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uctions" sheetId="1" r:id="rId4"/>
    <sheet state="visible" name="Own_Progress" sheetId="2" r:id="rId5"/>
    <sheet state="visible" name="Introducing_Issues_(I_Variables" sheetId="3" r:id="rId6"/>
    <sheet state="visible" name="Fixed_Bug_(F_Variables)" sheetId="4" r:id="rId7"/>
    <sheet state="visible" name="Other_source_(O_Variables)" sheetId="5" r:id="rId8"/>
    <sheet state="visible" name="Mailing_list_(ML_Variables)" sheetId="6" r:id="rId9"/>
    <sheet state="visible" name="Continuous_Integration_(CI_Vari" sheetId="7" r:id="rId10"/>
    <sheet state="visible" name="BIC_(C_Variables)" sheetId="8" r:id="rId11"/>
    <sheet state="visible" name="Review_(R_Variables)" sheetId="9" r:id="rId12"/>
    <sheet state="visible" name="Internal_lists_bugs" sheetId="10" r:id="rId13"/>
    <sheet state="visible" name="Building_Tools_(B_Variables)" sheetId="11" r:id="rId14"/>
    <sheet state="hidden" name="Info_C" sheetId="12" r:id="rId15"/>
    <sheet state="hidden" name="Internal_lists_variables" sheetId="13" r:id="rId1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if the ID is a number, then it is a bug (Nova) or issue (ES); otherwise, it is a BP.
NA: information not available</t>
      </text>
    </comment>
    <comment authorId="0" ref="D2">
      <text>
        <t xml:space="preserve">Guide yourself with the COLUMN C.  The introducing issues can be a Blueprint or a BUG.
Write each ID of the introducing issue in a new line as needed </t>
      </text>
    </comment>
    <comment authorId="0" ref="E2">
      <text>
        <t xml:space="preserve">Write all the types for an issue separated by commas.
If the value is not available, write it normally, ignore the warning,  the list will update in a couple of seconds</t>
      </text>
    </comment>
    <comment authorId="0" ref="F2">
      <text>
        <t xml:space="preserve">For each introducing issue, write the aspects in a different line. This means that you should copy the same Bug ID and Issue ID again, but not the general Variables (I2). 
If the value is not available, write it normally and ignore the warning. The list will update in a couple of seconds</t>
      </text>
    </comment>
    <comment authorId="0" ref="G2">
      <text>
        <t xml:space="preserve">make sure to have a clear source, of the code</t>
      </text>
    </comment>
    <comment authorId="0" ref="H2">
      <text>
        <t xml:space="preserve">if it has a wiki, go to others and code it there</t>
      </text>
    </comment>
    <comment authorId="0" ref="A1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1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1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3">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13">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1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3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3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3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3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3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3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54">
      <text>
        <t xml:space="preserve">This bug (control Group) has  ''icehouse-objects'' as Introducing issue. This issue was already tagged in the BUGS introducing issues. Copy all the information relevant to this sheet about that introducing issue (''icehouse-objects'').</t>
      </text>
    </comment>
    <comment authorId="0" ref="A55">
      <text>
        <t xml:space="preserve">This bug (control Group) has  ''icehouse-objects'' as Introducing issue. This issue was already tagged in the BUGS introducing issues. Copy all the information relevant to this sheet about that introducing issue (''icehouse-objects'').</t>
      </text>
    </comment>
    <comment authorId="0" ref="A56">
      <text>
        <t xml:space="preserve">This bug (control Group) has  ''icehouse-objects'' as Introducing issue. This issue was already tagged in the BUGS introducing issues. Copy all the information relevant to this sheet about that introducing issue (''icehouse-objects'').</t>
      </text>
    </comment>
    <comment authorId="0" ref="A57">
      <text>
        <t xml:space="preserve">This bug (control Group) has  ''icehouse-objects'' as Introducing issue. This issue was already tagged in the BUGS introducing issues. Copy all the information relevant to this sheet about that introducing issue (''icehouse-objects'').</t>
      </text>
    </comment>
    <comment authorId="0" ref="A58">
      <text>
        <t xml:space="preserve">This bug (control Group) has  ''icehouse-objects'' as Introducing issue. This issue was already tagged in the BUGS introducing issues. Copy all the information relevant to this sheet about that introducing issue (''icehouse-objects'').</t>
      </text>
    </comment>
    <comment authorId="0" ref="A59">
      <text>
        <t xml:space="preserve">This bug (control Group) has  ''icehouse-objects'' as Introducing issue. This issue was already tagged in the BUGS introducing issues. Copy all the information relevant to this sheet about that introducing issue (''icehouse-objects'').</t>
      </text>
    </comment>
    <comment authorId="0" ref="A64">
      <text>
        <t xml:space="preserve">This bug (Control Group) has ''v3-api-policy'' as introducing issue, which you may have already tagged inside the CG in another bug. The bugs: NOVA 1434855 and NOVA 1443697 have ''v3-api-policy'' as introducing issues.</t>
      </text>
    </comment>
    <comment authorId="0" ref="D64">
      <text>
        <t xml:space="preserve">This bug (Control Group) has ''v3-api-policy'' as introducing issue, which you may have already tagged inside the CG in another bug. The bugs: NOVA 1434855 and NOVA 1443697 have ''v3-api-policy'' as introducing issues.</t>
      </text>
    </comment>
    <comment authorId="0" ref="A65">
      <text>
        <t xml:space="preserve">This bug (Control Group) has ''v3-api-policy'' as introducing issue, which you may have already tagged inside the CG in another bug. The bugs: NOVA 1434855 and NOVA 1443697 have ''v3-api-policy'' as introducing issues.</t>
      </text>
    </comment>
    <comment authorId="0" ref="D65">
      <text>
        <t xml:space="preserve">This bug (Control Group) has ''v3-api-policy'' as introducing issue, which you may have already tagged inside the CG in another bug. The bugs: NOVA 1434855 and NOVA 1443697 have ''v3-api-policy'' as introducing issues.</t>
      </text>
    </comment>
    <comment authorId="0" ref="A66">
      <text>
        <t xml:space="preserve">This bug (Control Group) has ''v3-api-policy'' as introducing issue, which you may have already tagged inside the CG in another bug. The bugs: NOVA 1434855 and NOVA 1443697 have ''v3-api-policy'' as introducing issues.</t>
      </text>
    </comment>
    <comment authorId="0" ref="D66">
      <text>
        <t xml:space="preserve">This bug (Control Group) has ''v3-api-policy'' as introducing issue, which you may have already tagged inside the CG in another bug. The bugs: NOVA 1434855 and NOVA 1443697 have ''v3-api-policy'' as introducing issues.</t>
      </text>
    </comment>
    <comment authorId="0" ref="A67">
      <text>
        <t xml:space="preserve">This bug (Control Group) has ''v3-api-policy'' as introducing issue, which you may have already tagged inside the CG in another bug. The bugs: NOVA 1434855 and NOVA 1443697 have ''v3-api-policy'' as introducing issues.</t>
      </text>
    </comment>
    <comment authorId="0" ref="D67">
      <text>
        <t xml:space="preserve">This bug (Control Group) has ''v3-api-policy'' as introducing issue, which you may have already tagged inside the CG in another bug. The bugs: NOVA 1434855 and NOVA 1443697 have ''v3-api-policy'' as introducing issues.</t>
      </text>
    </comment>
    <comment authorId="0" ref="A68">
      <text>
        <t xml:space="preserve">This bug (Control Group) has ''v3-api-policy'' as introducing issue, which you may have already tagged inside the CG in another bug. The bugs: NOVA 1434855 and NOVA 1443697 have ''v3-api-policy'' as introducing issues.</t>
      </text>
    </comment>
    <comment authorId="0" ref="D68">
      <text>
        <t xml:space="preserve">This bug (Control Group) has ''v3-api-policy'' as introducing issue, which you may have already tagged inside the CG in another bug. The bugs: NOVA 1434855 and NOVA 1443697 have ''v3-api-policy'' as introducing issues.</t>
      </text>
    </comment>
    <comment authorId="0" ref="A69">
      <text>
        <t xml:space="preserve">This bug (Control Group) has ''v3-api-policy'' as introducing issue, which you may have already tagged inside the CG in another bug. The bugs: NOVA 1434855 and NOVA 1443697 have ''v3-api-policy'' as introducing issues.</t>
      </text>
    </comment>
    <comment authorId="0" ref="D69">
      <text>
        <t xml:space="preserve">This bug (Control Group) has ''v3-api-policy'' as introducing issue, which you may have already tagged inside the CG in another bug. The bugs: NOVA 1434855 and NOVA 1443697 have ''v3-api-policy'' as introducing issues.</t>
      </text>
    </comment>
    <comment authorId="0" ref="A70">
      <text>
        <t xml:space="preserve">This bug (Control Group) has ''v3-api-policy'' as introducing issue, which you may have already tagged inside the CG in another bug. The bugs: NOVA 1434855 and NOVA 1443697 have ''v3-api-policy'' as introducing issues.</t>
      </text>
    </comment>
    <comment authorId="0" ref="D70">
      <text>
        <t xml:space="preserve">This bug (Control Group) has ''v3-api-policy'' as introducing issue, which you may have already tagged inside the CG in another bug. The bugs: NOVA 1434855 and NOVA 1443697 have ''v3-api-policy'' as introducing issues.</t>
      </text>
    </comment>
    <comment authorId="0" ref="A71">
      <text>
        <t xml:space="preserve">This bug (Control Group) has ''v3-api-policy'' as introducing issue, which you may have already tagged inside the CG in another bug. The bugs: NOVA 1434855 and NOVA 1443697 have ''v3-api-policy'' as introducing issues.</t>
      </text>
    </comment>
    <comment authorId="0" ref="D71">
      <text>
        <t xml:space="preserve">This bug (Control Group) has ''v3-api-policy'' as introducing issue, which you may have already tagged inside the CG in another bug. The bugs: NOVA 1434855 and NOVA 1443697 have ''v3-api-policy'' as introducing issues.</t>
      </text>
    </comment>
    <comment authorId="0" ref="A72">
      <text>
        <t xml:space="preserve">This bug (Control Group) has ''v3-api-policy'' as introducing issue, which you may have already tagged inside the CG in another bug. The bugs: NOVA 1434855 and NOVA 1443697 have ''v3-api-policy'' as introducing issues.</t>
      </text>
    </comment>
    <comment authorId="0" ref="D72">
      <text>
        <t xml:space="preserve">This bug (Control Group) has ''v3-api-policy'' as introducing issue, which you may have already tagged inside the CG in another bug. The bugs: NOVA 1434855 and NOVA 1443697 have ''v3-api-policy'' as introducing issues.</t>
      </text>
    </comment>
    <comment authorId="0" ref="A73">
      <text>
        <t xml:space="preserve">This bug (Control Group) has ''v3-api-policy'' as introducing issue, which you may have already tagged inside the CG in another bug. The bugs: NOVA 1434855 and NOVA 1443697 have ''v3-api-policy'' as introducing issues.</t>
      </text>
    </comment>
    <comment authorId="0" ref="D73">
      <text>
        <t xml:space="preserve">This bug (Control Group) has ''v3-api-policy'' as introducing issue, which you may have already tagged inside the CG in another bug. The bugs: NOVA 1434855 and NOVA 1443697 have ''v3-api-policy'' as introducing issues.</t>
      </text>
    </comment>
    <comment authorId="0" ref="A74">
      <text>
        <t xml:space="preserve">This bug (Control Group) has ''v3-api-policy'' as introducing issue, which you may have already tagged inside the CG in another bug. The bugs: NOVA 1434855 and NOVA 1443697 have ''v3-api-policy'' as introducing issues.</t>
      </text>
    </comment>
    <comment authorId="0" ref="D74">
      <text>
        <t xml:space="preserve">This bug (Control Group) has ''v3-api-policy'' as introducing issue, which you may have already tagged inside the CG in another bug. The bugs: NOVA 1434855 and NOVA 1443697 have ''v3-api-policy'' as introducing issues.</t>
      </text>
    </comment>
    <comment authorId="0" ref="A75">
      <text>
        <t xml:space="preserve">This bug (Control Group) has ''v3-api-policy'' as introducing issue, which you may have already tagged inside the CG in another bug. The bugs: NOVA 1434855 and NOVA 1443697 have ''v3-api-policy'' as introducing issues.</t>
      </text>
    </comment>
    <comment authorId="0" ref="D75">
      <text>
        <t xml:space="preserve">This bug (Control Group) has ''v3-api-policy'' as introducing issue, which you may have already tagged inside the CG in another bug. The bugs: NOVA 1434855 and NOVA 1443697 have ''v3-api-policy'' as introducing issues.</t>
      </text>
    </comment>
    <comment authorId="0" ref="A76">
      <text>
        <t xml:space="preserve">This bug (Control Group) has ''v3-api-policy'' as introducing issue, which you may have already tagged inside the CG in another bug. The bugs: NOVA 1434855 and NOVA 1443697 have ''v3-api-policy'' as introducing issues.</t>
      </text>
    </comment>
    <comment authorId="0" ref="D76">
      <text>
        <t xml:space="preserve">This bug (Control Group) has ''v3-api-policy'' as introducing issue, which you may have already tagged inside the CG in another bug. The bugs: NOVA 1434855 and NOVA 1443697 have ''v3-api-policy'' as introducing issues.</t>
      </text>
    </comment>
    <comment authorId="0" ref="A77">
      <text>
        <t xml:space="preserve">This bug (Control Group) has ''v3-api-policy'' as introducing issue, which you may have already tagged inside the CG in another bug. The bugs: NOVA 1434855 and NOVA 1443697 have ''v3-api-policy'' as introducing issues.</t>
      </text>
    </comment>
    <comment authorId="0" ref="D77">
      <text>
        <t xml:space="preserve">This bug (Control Group) has ''v3-api-policy'' as introducing issue, which you may have already tagged inside the CG in another bug. The bugs: NOVA 1434855 and NOVA 1443697 have ''v3-api-policy'' as introducing issues.</t>
      </text>
    </comment>
    <comment authorId="0" ref="A78">
      <text>
        <t xml:space="preserve">This bug (Control Group) has ''v3-api-policy'' as introducing issue, which you may have already tagged inside the CG in another bug. The bugs: NOVA 1434855 and NOVA 1443697 have ''v3-api-policy'' as introducing issues.</t>
      </text>
    </comment>
    <comment authorId="0" ref="D78">
      <text>
        <t xml:space="preserve">This bug (Control Group) has ''v3-api-policy'' as introducing issue, which you may have already tagged inside the CG in another bug. The bugs: NOVA 1434855 and NOVA 1443697 have ''v3-api-policy'' as introducing issues.</t>
      </text>
    </comment>
    <comment authorId="0" ref="A79">
      <text>
        <t xml:space="preserve">This bug (Control Group) has ''v3-api-policy'' as introducing issue, which you may have already tagged inside the CG in another bug. The bugs: NOVA 1434855 and NOVA 1443697 have ''v3-api-policy'' as introducing issues.</t>
      </text>
    </comment>
    <comment authorId="0" ref="D79">
      <text>
        <t xml:space="preserve">This bug (Control Group) has ''v3-api-policy'' as introducing issue, which you may have already tagged inside the CG in another bug. The bugs: NOVA 1434855 and NOVA 1443697 have ''v3-api-policy'' as introducing issues.</t>
      </text>
    </comment>
    <comment authorId="0" ref="A80">
      <text>
        <t xml:space="preserve">This bug (Control Group) has ''v3-api-policy'' as introducing issue, which you may have already tagged inside the CG in another bug. The bugs: NOVA 1434855 and NOVA 1443697 have ''v3-api-policy'' as introducing issues.</t>
      </text>
    </comment>
    <comment authorId="0" ref="D80">
      <text>
        <t xml:space="preserve">This bug (Control Group) has ''v3-api-policy'' as introducing issue, which you may have already tagged inside the CG in another bug. The bugs: NOVA 1434855 and NOVA 1443697 have ''v3-api-policy'' as introducing issues.</t>
      </text>
    </comment>
    <comment authorId="0" ref="A81">
      <text>
        <t xml:space="preserve">This bug (Control Group) has ''v3-api-policy'' as introducing issue, which you may have already tagged inside the CG in another bug. The bugs: NOVA 1434855 and NOVA 1443697 have ''v3-api-policy'' as introducing issues.</t>
      </text>
    </comment>
    <comment authorId="0" ref="D81">
      <text>
        <t xml:space="preserve">This bug (Control Group) has ''v3-api-policy'' as introducing issue, which you may have already tagged inside the CG in another bug. The bugs: NOVA 1434855 and NOVA 1443697 have ''v3-api-policy'' as introducing issues.</t>
      </text>
    </comment>
    <comment authorId="0" ref="A82">
      <text>
        <t xml:space="preserve">This bug (Control Group) has ''v3-api-policy'' as introducing issue, which you may have already tagged inside the CG in another bug. The bugs: NOVA 1434855 and NOVA 1443697 have ''v3-api-policy'' as introducing issues.</t>
      </text>
    </comment>
    <comment authorId="0" ref="D82">
      <text>
        <t xml:space="preserve">This bug (Control Group) has ''v3-api-policy'' as introducing issue, which you may have already tagged inside the CG in another bug. The bugs: NOVA 1434855 and NOVA 1443697 have ''v3-api-policy'' as introducing issues.</t>
      </text>
    </comment>
    <comment authorId="0" ref="A83">
      <text>
        <t xml:space="preserve">This bug (Control Group) has ''v3-api-policy'' as introducing issue, which you may have already tagged inside the CG in another bug. The bugs: NOVA 1434855 and NOVA 1443697 have ''v3-api-policy'' as introducing issues.</t>
      </text>
    </comment>
    <comment authorId="0" ref="D83">
      <text>
        <t xml:space="preserve">This bug (Control Group) has ''v3-api-policy'' as introducing issue, which you may have already tagged inside the CG in another bug. The bugs: NOVA 1434855 and NOVA 1443697 have ''v3-api-policy'' as introducing issues.</t>
      </text>
    </comment>
    <comment authorId="0" ref="A84">
      <text>
        <t xml:space="preserve">This bug (Control Group) has ''v3-api-policy'' as introducing issue, which you may have already tagged inside the CG in another bug. The bugs: NOVA 1434855 and NOVA 1443697 have ''v3-api-policy'' as introducing issues.</t>
      </text>
    </comment>
    <comment authorId="0" ref="D84">
      <text>
        <t xml:space="preserve">This bug (Control Group) has ''v3-api-policy'' as introducing issue, which you may have already tagged inside the CG in another bug. The bugs: NOVA 1434855 and NOVA 1443697 have ''v3-api-policy'' as introducing issues.</t>
      </text>
    </comment>
    <comment authorId="0" ref="A85">
      <text>
        <t xml:space="preserve">This bug (Control Group) has ''v3-api-policy'' as introducing issue, which you may have already tagged inside the CG in another bug. The bugs: NOVA 1434855 and NOVA 1443697 have ''v3-api-policy'' as introducing issues.</t>
      </text>
    </comment>
    <comment authorId="0" ref="D85">
      <text>
        <t xml:space="preserve">This bug (Control Group) has ''v3-api-policy'' as introducing issue, which you may have already tagged inside the CG in another bug. The bugs: NOVA 1434855 and NOVA 1443697 have ''v3-api-policy'' as introducing issues.</t>
      </text>
    </comment>
    <comment authorId="0" ref="A86">
      <text>
        <t xml:space="preserve">This bug (Control Group) has ''v3-api-policy'' as introducing issue, which you may have already tagged inside the CG in another bug. The bugs: NOVA 1434855 and NOVA 1443697 have ''v3-api-policy'' as introducing issues.</t>
      </text>
    </comment>
    <comment authorId="0" ref="D86">
      <text>
        <t xml:space="preserve">This bug (Control Group) has ''v3-api-policy'' as introducing issue, which you may have already tagged inside the CG in another bug. The bugs: NOVA 1434855 and NOVA 1443697 have ''v3-api-policy'' as introducing issues.</t>
      </text>
    </comment>
    <comment authorId="0" ref="A87">
      <text>
        <t xml:space="preserve">This bug (Control Group) has ''v3-api-policy'' as introducing issue, which you may have already tagged inside the CG in another bug. The bugs: NOVA 1434855 and NOVA 1443697 have ''v3-api-policy'' as introducing issues.</t>
      </text>
    </comment>
    <comment authorId="0" ref="D87">
      <text>
        <t xml:space="preserve">This bug (Control Group) has ''v3-api-policy'' as introducing issue, which you may have already tagged inside the CG in another bug. The bugs: NOVA 1434855 and NOVA 1443697 have ''v3-api-policy'' as introducing issues.</t>
      </text>
    </comment>
    <comment authorId="0" ref="A88">
      <text>
        <t xml:space="preserve">This bug (Control Group) has ''v3-api-policy'' as introducing issue, which you may have already tagged inside the CG in another bug. The bugs: NOVA 1434855 and NOVA 1443697 have ''v3-api-policy'' as introducing issues.</t>
      </text>
    </comment>
    <comment authorId="0" ref="D88">
      <text>
        <t xml:space="preserve">This bug (Control Group) has ''v3-api-policy'' as introducing issue, which you may have already tagged inside the CG in another bug. The bugs: NOVA 1434855 and NOVA 1443697 have ''v3-api-policy'' as introducing issues.</t>
      </text>
    </comment>
    <comment authorId="0" ref="A89">
      <text>
        <t xml:space="preserve">This bug (Control Group) has ''v3-api-policy'' as introducing issue, which you may have already tagged inside the CG in another bug. The bugs: NOVA 1434855 and NOVA 1443697 have ''v3-api-policy'' as introducing issues.</t>
      </text>
    </comment>
    <comment authorId="0" ref="D89">
      <text>
        <t xml:space="preserve">This bug (Control Group) has ''v3-api-policy'' as introducing issue, which you may have already tagged inside the CG in another bug. The bugs: NOVA 1434855 and NOVA 1443697 have ''v3-api-policy'' as introducing issues.</t>
      </text>
    </comment>
    <comment authorId="0" ref="A90">
      <text>
        <t xml:space="preserve">This bug (Control Group) has ''v3-api-policy'' as introducing issue, which you may have already tagged inside the CG in another bug. The bugs: NOVA 1434855 and NOVA 1443697 have ''v3-api-policy'' as introducing issues.</t>
      </text>
    </comment>
    <comment authorId="0" ref="D90">
      <text>
        <t xml:space="preserve">This bug (Control Group) has ''v3-api-policy'' as introducing issue, which you may have already tagged inside the CG in another bug. The bugs: NOVA 1434855 and NOVA 1443697 have ''v3-api-policy'' as introducing issues.</t>
      </text>
    </comment>
    <comment authorId="0" ref="A91">
      <text>
        <t xml:space="preserve">This bug (Control Group) has ''v3-api-policy'' as introducing issue, which you may have already tagged inside the CG in another bug. The bugs: NOVA 1434855 and NOVA 1443697 have ''v3-api-policy'' as introducing issues.</t>
      </text>
    </comment>
    <comment authorId="0" ref="D91">
      <text>
        <t xml:space="preserve">This bug (Control Group) has ''v3-api-policy'' as introducing issue, which you may have already tagged inside the CG in another bug. The bugs: NOVA 1434855 and NOVA 1443697 have ''v3-api-policy'' as introducing issues.</t>
      </text>
    </comment>
    <comment authorId="0" ref="A92">
      <text>
        <t xml:space="preserve">This bug (Control Group) has ''v3-api-policy'' as introducing issue, which you may have already tagged inside the CG in another bug. The bugs: NOVA 1434855 and NOVA 1443697 have ''v3-api-policy'' as introducing issues.</t>
      </text>
    </comment>
    <comment authorId="0" ref="D92">
      <text>
        <t xml:space="preserve">This bug (Control Group) has ''v3-api-policy'' as introducing issue, which you may have already tagged inside the CG in another bug. The bugs: NOVA 1434855 and NOVA 1443697 have ''v3-api-policy'' as introducing issues.</t>
      </text>
    </comment>
    <comment authorId="0" ref="A93">
      <text>
        <t xml:space="preserve">This bug (Control Group) has ''v3-api-policy'' as introducing issue, which you may have already tagged inside the CG in another bug. The bugs: NOVA 1434855 and NOVA 1443697 have ''v3-api-policy'' as introducing issues.</t>
      </text>
    </comment>
    <comment authorId="0" ref="D93">
      <text>
        <t xml:space="preserve">This bug (Control Group) has ''v3-api-policy'' as introducing issue, which you may have already tagged inside the CG in another bug. The bugs: NOVA 1434855 and NOVA 1443697 have ''v3-api-policy'' as introducing issues.</t>
      </text>
    </comment>
    <comment authorId="0" ref="A94">
      <text>
        <t xml:space="preserve">This bug (Control Group) has ''v3-api-policy'' as introducing issue, which you may have already tagged inside the CG in another bug. The bugs: NOVA 1434855 and NOVA 1443697 have ''v3-api-policy'' as introducing issues.</t>
      </text>
    </comment>
    <comment authorId="0" ref="D94">
      <text>
        <t xml:space="preserve">This bug (Control Group) has ''v3-api-policy'' as introducing issue, which you may have already tagged inside the CG in another bug. The bugs: NOVA 1434855 and NOVA 1443697 have ''v3-api-policy'' as introducing issues.</t>
      </text>
    </comment>
    <comment authorId="0" ref="A95">
      <text>
        <t xml:space="preserve">This bug (Control Group) has ''v3-api-policy'' as introducing issue, which you may have already tagged inside the CG in another bug. The bugs: NOVA 1434855 and NOVA 1443697 have ''v3-api-policy'' as introducing issues.</t>
      </text>
    </comment>
    <comment authorId="0" ref="D95">
      <text>
        <t xml:space="preserve">This bug (Control Group) has ''v3-api-policy'' as introducing issue, which you may have already tagged inside the CG in another bug. The bugs: NOVA 1434855 and NOVA 1443697 have ''v3-api-policy'' as introducing issues.</t>
      </text>
    </comment>
    <comment authorId="0" ref="A129">
      <text>
        <t xml:space="preserve">This bug (control Group) has  ''icehouse-objects'' as Introducing issue. This issue was already tagged in the BUGS introducing issues. Copy all the information relevant to this sheet about that introducing issue (''icehouse-objects'').</t>
      </text>
    </comment>
    <comment authorId="0" ref="A130">
      <text>
        <t xml:space="preserve">This bug (control Group) has  ''icehouse-objects'' as Introducing issue. This issue was already tagged in the BUGS introducing issues. Copy all the information relevant to this sheet about that introducing issue (''icehouse-objects'').</t>
      </text>
    </comment>
    <comment authorId="0" ref="A131">
      <text>
        <t xml:space="preserve">This bug (control Group) has  ''icehouse-objects'' as Introducing issue. This issue was already tagged in the BUGS introducing issues. Copy all the information relevant to this sheet about that introducing issue (''icehouse-objects'').</t>
      </text>
    </comment>
    <comment authorId="0" ref="A132">
      <text>
        <t xml:space="preserve">This bug (control Group) has  ''icehouse-objects'' as Introducing issue. This issue was already tagged in the BUGS introducing issues. Copy all the information relevant to this sheet about that introducing issue (''icehouse-objects'').</t>
      </text>
    </comment>
    <comment authorId="0" ref="A133">
      <text>
        <t xml:space="preserve">This bug (control Group) has  ''icehouse-objects'' as Introducing issue. This issue was already tagged in the BUGS introducing issues. Copy all the information relevant to this sheet about that introducing issue (''icehouse-objects'').</t>
      </text>
    </comment>
    <comment authorId="0" ref="A134">
      <text>
        <t xml:space="preserve">This bug (control Group) has  ''icehouse-objects'' as Introducing issue. This issue was already tagged in the BUGS introducing issues. Copy all the information relevant to this sheet about that introducing issue (''icehouse-objects'').</t>
      </text>
    </comment>
    <comment authorId="0" ref="A135">
      <text>
        <t xml:space="preserve">This bug (control Group) has  ''icehouse-objects'' as Introducing issue. This issue was already tagged in the BUGS introducing issues. Copy all the information relevant to this sheet about that introducing issue (''icehouse-objects'').</t>
      </text>
    </comment>
    <comment authorId="0" ref="D135">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36">
      <text>
        <t xml:space="preserve">This bug (control Group) has  ''icehouse-objects'' as Introducing issue. This issue was already tagged in the BUGS introducing issues. Copy all the information relevant to this sheet about that introducing issue (''icehouse-objects'').</t>
      </text>
    </comment>
    <comment authorId="0" ref="D13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37">
      <text>
        <t xml:space="preserve">This bug (control Group) has  ''icehouse-objects'' as Introducing issue. This issue was already tagged in the BUGS introducing issues. Copy all the information relevant to this sheet about that introducing issue (''icehouse-objects'').</t>
      </text>
    </comment>
    <comment authorId="0" ref="D137">
      <text>
        <t xml:space="preserve">This bug (Control Group) has ''compute-manager-objects'' as introducing issue, which you may have already tagged inside the CG in another bug. The bugs: NOVA 1294939 and NOVA 1438331 have ''compute-manager-objects'' as introducing issues.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Please take into account the bug duplicates (if applicable)</t>
      </text>
    </comment>
    <comment authorId="0" ref="D2">
      <text>
        <t xml:space="preserve">If the code is not available in the list, just write the code normally and ignore the warning. The list will update after a couple of seconds.'
The list will show the codes sorted alphabetically
You should include in these codes, the aspects discussed on the duplicated bugs
Write each aspect in a different line, with the respective source. Do not duplicate any other information of the bug despite the BUG ID</t>
      </text>
    </comment>
    <comment authorId="0" ref="E2">
      <text>
        <t xml:space="preserve">If the code comes from a duplicated bug, please write it down here</t>
      </text>
    </comment>
    <comment authorId="0" ref="F2">
      <text>
        <t xml:space="preserve">Basic types (sorted in the drop down alphabetically, the same as the combinations): 
Configuration issue
Database-related issue
GUI-related issue
Network issue
Performance issue
Permission/deprecation issue
Program anomaly issue
Security issue
Test code-related issue
SEARCH them in alphabetical  ORDER</t>
      </text>
    </comment>
    <comment authorId="0" ref="H2">
      <text>
        <t xml:space="preserve">Use as a hint the COLUMN C. However, you should double-check this information.</t>
      </text>
    </comment>
    <comment authorId="0" ref="I2">
      <text>
        <t xml:space="preserve">Write down which ones are the duplicates</t>
      </text>
    </comment>
    <comment authorId="0" ref="J2">
      <text>
        <t xml:space="preserve">Use as a hint the COLUMN C. However, you should double-check this information.</t>
      </text>
    </comment>
    <comment authorId="0" ref="K2">
      <text>
        <t xml:space="preserve">Write down which ones are the duplicates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in this column the ID</t>
      </text>
    </comment>
    <comment authorId="0" ref="E2">
      <text>
        <t xml:space="preserve">If the value is not available, write it normally and ignore the warning. The list will update in a couple of seconds
</t>
      </text>
    </comment>
    <comment authorId="0" ref="F2">
      <text>
        <t xml:space="preserve">Write a single aspect per line. This means that you should repeat the Bug ID and O1 variable but not O2.
If the value is not available, write it normally and ignore the warning. The list will update in a couple of seconds
</t>
      </text>
    </comment>
    <comment authorId="0" ref="I2">
      <text>
        <t xml:space="preserve">PLease, to check his correctly, go to to Internal_list_bugs and check the full path in Column  Y
</t>
      </text>
    </comment>
    <comment authorId="0" ref="A8">
      <text>
        <t xml:space="preserve">This bug (Control Group) has ''v3-api-policy'' as introducing issue, which you may have already tagged inside the CG in another bug. The bugs: NOVA 1434855 and NOVA 1443697 have ''v3-api-policy'' as introducing issues.</t>
      </text>
    </comment>
    <comment authorId="0" ref="D8">
      <text>
        <t xml:space="preserve">This bug (Control Group) has ''v3-api-policy'' as introducing issue, which you may have already tagged inside the CG in another bug. The bugs: NOVA 1434855 and NOVA 1443697 have ''v3-api-policy'' as introducing issues.</t>
      </text>
    </comment>
    <comment authorId="0" ref="A9">
      <text>
        <t xml:space="preserve">This bug (Control Group) has ''v3-api-policy'' as introducing issue, which you may have already tagged inside the CG in another bug. The bugs: NOVA 1434855 and NOVA 1443697 have ''v3-api-policy'' as introducing issues.</t>
      </text>
    </comment>
    <comment authorId="0" ref="D9">
      <text>
        <t xml:space="preserve">This bug (Control Group) has ''v3-api-policy'' as introducing issue, which you may have already tagged inside the CG in another bug. The bugs: NOVA 1434855 and NOVA 1443697 have ''v3-api-policy'' as introducing issues.</t>
      </text>
    </comment>
    <comment authorId="0" ref="A10">
      <text>
        <t xml:space="preserve">This bug (Control Group) has ''v3-api-policy'' as introducing issue, which you may have already tagged inside the CG in another bug. The bugs: NOVA 1434855 and NOVA 1443697 have ''v3-api-policy'' as introducing issues.</t>
      </text>
    </comment>
    <comment authorId="0" ref="D10">
      <text>
        <t xml:space="preserve">This bug (Control Group) has ''v3-api-policy'' as introducing issue, which you may have already tagged inside the CG in another bug. The bugs: NOVA 1434855 and NOVA 1443697 have ''v3-api-policy'' as introducing issues.</t>
      </text>
    </comment>
    <comment authorId="0" ref="A11">
      <text>
        <t xml:space="preserve">This bug (Control Group) has ''v3-api-policy'' as introducing issue, which you may have already tagged inside the CG in another bug. The bugs: NOVA 1434855 and NOVA 1443697 have ''v3-api-policy'' as introducing issues.</t>
      </text>
    </comment>
    <comment authorId="0" ref="D11">
      <text>
        <t xml:space="preserve">This bug (Control Group) has ''v3-api-policy'' as introducing issue, which you may have already tagged inside the CG in another bug. The bugs: NOVA 1434855 and NOVA 1443697 have ''v3-api-policy'' as introducing issues.</t>
      </text>
    </comment>
    <comment authorId="0" ref="A12">
      <text>
        <t xml:space="preserve">This bug (Control Group) has ''v3-api-policy'' as introducing issue, which you may have already tagged inside the CG in another bug. The bugs: NOVA 1434855 and NOVA 1443697 have ''v3-api-policy'' as introducing issues.</t>
      </text>
    </comment>
    <comment authorId="0" ref="D12">
      <text>
        <t xml:space="preserve">This bug (Control Group) has ''v3-api-policy'' as introducing issue, which you may have already tagged inside the CG in another bug. The bugs: NOVA 1434855 and NOVA 1443697 have ''v3-api-policy'' as introducing issues.</t>
      </text>
    </comment>
    <comment authorId="0" ref="A13">
      <text>
        <t xml:space="preserve">This bug (Control Group) has ''v3-api-policy'' as introducing issue, which you may have already tagged inside the CG in another bug. The bugs: NOVA 1434855 and NOVA 1443697 have ''v3-api-policy'' as introducing issues.</t>
      </text>
    </comment>
    <comment authorId="0" ref="D13">
      <text>
        <t xml:space="preserve">This bug (Control Group) has ''v3-api-policy'' as introducing issue, which you may have already tagged inside the CG in another bug. The bugs: NOVA 1434855 and NOVA 1443697 have ''v3-api-policy'' as introducing issues.</t>
      </text>
    </comment>
    <comment authorId="0" ref="A14">
      <text>
        <t xml:space="preserve">This bug (Control Group) has ''v3-api-policy'' as introducing issue, which you may have already tagged inside the CG in another bug. The bugs: NOVA 1434855 and NOVA 1443697 have ''v3-api-policy'' as introducing issues.</t>
      </text>
    </comment>
    <comment authorId="0" ref="D14">
      <text>
        <t xml:space="preserve">This bug (Control Group) has ''v3-api-policy'' as introducing issue, which you may have already tagged inside the CG in another bug. The bugs: NOVA 1434855 and NOVA 1443697 have ''v3-api-policy'' as introducing issues.</t>
      </text>
    </comment>
    <comment authorId="0" ref="A15">
      <text>
        <t xml:space="preserve">This bug (Control Group) has ''v3-api-policy'' as introducing issue, which you may have already tagged inside the CG in another bug. The bugs: NOVA 1434855 and NOVA 1443697 have ''v3-api-policy'' as introducing issues.</t>
      </text>
    </comment>
    <comment authorId="0" ref="D15">
      <text>
        <t xml:space="preserve">This bug (Control Group) has ''v3-api-policy'' as introducing issue, which you may have already tagged inside the CG in another bug. The bugs: NOVA 1434855 and NOVA 1443697 have ''v3-api-policy'' as introducing issues.</t>
      </text>
    </comment>
    <comment authorId="0" ref="A16">
      <text>
        <t xml:space="preserve">This bug (Control Group) has ''v3-api-policy'' as introducing issue, which you may have already tagged inside the CG in another bug. The bugs: NOVA 1434855 and NOVA 1443697 have ''v3-api-policy'' as introducing issues.</t>
      </text>
    </comment>
    <comment authorId="0" ref="D16">
      <text>
        <t xml:space="preserve">This bug (Control Group) has ''v3-api-policy'' as introducing issue, which you may have already tagged inside the CG in another bug. The bugs: NOVA 1434855 and NOVA 1443697 have ''v3-api-policy'' as introducing issues.</t>
      </text>
    </comment>
    <comment authorId="0" ref="A17">
      <text>
        <t xml:space="preserve">This bug (Control Group) has ''v3-api-policy'' as introducing issue, which you may have already tagged inside the CG in another bug. The bugs: NOVA 1434855 and NOVA 1443697 have ''v3-api-policy'' as introducing issues.</t>
      </text>
    </comment>
    <comment authorId="0" ref="D17">
      <text>
        <t xml:space="preserve">This bug (Control Group) has ''v3-api-policy'' as introducing issue, which you may have already tagged inside the CG in another bug. The bugs: NOVA 1434855 and NOVA 1443697 have ''v3-api-policy'' as introducing issues.</t>
      </text>
    </comment>
    <comment authorId="0" ref="A18">
      <text>
        <t xml:space="preserve">This bug (Control Group) has ''v3-api-policy'' as introducing issue, which you may have already tagged inside the CG in another bug. The bugs: NOVA 1434855 and NOVA 1443697 have ''v3-api-policy'' as introducing issues.</t>
      </text>
    </comment>
    <comment authorId="0" ref="D18">
      <text>
        <t xml:space="preserve">This bug (Control Group) has ''v3-api-policy'' as introducing issue, which you may have already tagged inside the CG in another bug. The bugs: NOVA 1434855 and NOVA 1443697 have ''v3-api-policy'' as introducing issues.</t>
      </text>
    </comment>
    <comment authorId="0" ref="A19">
      <text>
        <t xml:space="preserve">This bug (Control Group) has ''v3-api-policy'' as introducing issue, which you may have already tagged inside the CG in another bug. The bugs: NOVA 1434855 and NOVA 1443697 have ''v3-api-policy'' as introducing issues.</t>
      </text>
    </comment>
    <comment authorId="0" ref="D19">
      <text>
        <t xml:space="preserve">This bug (Control Group) has ''v3-api-policy'' as introducing issue, which you may have already tagged inside the CG in another bug. The bugs: NOVA 1434855 and NOVA 1443697 have ''v3-api-policy'' as introducing issues.</t>
      </text>
    </comment>
    <comment authorId="0" ref="A20">
      <text>
        <t xml:space="preserve">This bug (Control Group) has ''v3-api-policy'' as introducing issue, which you may have already tagged inside the CG in another bug. The bugs: NOVA 1434855 and NOVA 1443697 have ''v3-api-policy'' as introducing issues.</t>
      </text>
    </comment>
    <comment authorId="0" ref="D20">
      <text>
        <t xml:space="preserve">This bug (Control Group) has ''v3-api-policy'' as introducing issue, which you may have already tagged inside the CG in another bug. The bugs: NOVA 1434855 and NOVA 1443697 have ''v3-api-policy'' as introducing issues.</t>
      </text>
    </comment>
    <comment authorId="0" ref="A21">
      <text>
        <t xml:space="preserve">This bug (Control Group) has ''v3-api-policy'' as introducing issue, which you may have already tagged inside the CG in another bug. The bugs: NOVA 1434855 and NOVA 1443697 have ''v3-api-policy'' as introducing issues.</t>
      </text>
    </comment>
    <comment authorId="0" ref="D21">
      <text>
        <t xml:space="preserve">This bug (Control Group) has ''v3-api-policy'' as introducing issue, which you may have already tagged inside the CG in another bug. The bugs: NOVA 1434855 and NOVA 1443697 have ''v3-api-policy'' as introducing issues.</t>
      </text>
    </comment>
    <comment authorId="0" ref="A22">
      <text>
        <t xml:space="preserve">This bug (Control Group) has ''v3-api-policy'' as introducing issue, which you may have already tagged inside the CG in another bug. The bugs: NOVA 1434855 and NOVA 1443697 have ''v3-api-policy'' as introducing issues.</t>
      </text>
    </comment>
    <comment authorId="0" ref="D22">
      <text>
        <t xml:space="preserve">This bug (Control Group) has ''v3-api-policy'' as introducing issue, which you may have already tagged inside the CG in another bug. The bugs: NOVA 1434855 and NOVA 1443697 have ''v3-api-policy'' as introducing issues.</t>
      </text>
    </comment>
    <comment authorId="0" ref="A23">
      <text>
        <t xml:space="preserve">This bug (Control Group) has ''v3-api-policy'' as introducing issue, which you may have already tagged inside the CG in another bug. The bugs: NOVA 1434855 and NOVA 1443697 have ''v3-api-policy'' as introducing issues.</t>
      </text>
    </comment>
    <comment authorId="0" ref="D23">
      <text>
        <t xml:space="preserve">This bug (Control Group) has ''v3-api-policy'' as introducing issue, which you may have already tagged inside the CG in another bug. The bugs: NOVA 1434855 and NOVA 1443697 have ''v3-api-policy'' as introducing issues.</t>
      </text>
    </comment>
    <comment authorId="0" ref="A24">
      <text>
        <t xml:space="preserve">This bug (Control Group) has ''v3-api-policy'' as introducing issue, which you may have already tagged inside the CG in another bug. The bugs: NOVA 1434855 and NOVA 1443697 have ''v3-api-policy'' as introducing issues.</t>
      </text>
    </comment>
    <comment authorId="0" ref="D24">
      <text>
        <t xml:space="preserve">This bug (Control Group) has ''v3-api-policy'' as introducing issue, which you may have already tagged inside the CG in another bug. The bugs: NOVA 1434855 and NOVA 1443697 have ''v3-api-policy'' as introducing issues.</t>
      </text>
    </comment>
    <comment authorId="0" ref="A25">
      <text>
        <t xml:space="preserve">This bug (Control Group) has ''v3-api-policy'' as introducing issue, which you may have already tagged inside the CG in another bug. The bugs: NOVA 1434855 and NOVA 1443697 have ''v3-api-policy'' as introducing issues.</t>
      </text>
    </comment>
    <comment authorId="0" ref="D25">
      <text>
        <t xml:space="preserve">This bug (Control Group) has ''v3-api-policy'' as introducing issue, which you may have already tagged inside the CG in another bug. The bugs: NOVA 1434855 and NOVA 1443697 have ''v3-api-policy'' as introducing issues.</t>
      </text>
    </comment>
    <comment authorId="0" ref="A26">
      <text>
        <t xml:space="preserve">This bug (Control Group) has ''v3-api-policy'' as introducing issue, which you may have already tagged inside the CG in another bug. The bugs: NOVA 1434855 and NOVA 1443697 have ''v3-api-policy'' as introducing issues.</t>
      </text>
    </comment>
    <comment authorId="0" ref="D26">
      <text>
        <t xml:space="preserve">This bug (Control Group) has ''v3-api-policy'' as introducing issue, which you may have already tagged inside the CG in another bug. The bugs: NOVA 1434855 and NOVA 1443697 have ''v3-api-policy'' as introducing issues.</t>
      </text>
    </comment>
    <comment authorId="0" ref="A27">
      <text>
        <t xml:space="preserve">This bug (Control Group) has ''v3-api-policy'' as introducing issue, which you may have already tagged inside the CG in another bug. The bugs: NOVA 1434855 and NOVA 1443697 have ''v3-api-policy'' as introducing issues.</t>
      </text>
    </comment>
    <comment authorId="0" ref="D27">
      <text>
        <t xml:space="preserve">This bug (Control Group) has ''v3-api-policy'' as introducing issue, which you may have already tagged inside the CG in another bug. The bugs: NOVA 1434855 and NOVA 1443697 have ''v3-api-policy'' as introducing issues.</t>
      </text>
    </comment>
    <comment authorId="0" ref="A28">
      <text>
        <t xml:space="preserve">This bug (Control Group) has ''v3-api-policy'' as introducing issue, which you may have already tagged inside the CG in another bug. The bugs: NOVA 1434855 and NOVA 1443697 have ''v3-api-policy'' as introducing issues.</t>
      </text>
    </comment>
    <comment authorId="0" ref="D28">
      <text>
        <t xml:space="preserve">This bug (Control Group) has ''v3-api-policy'' as introducing issue, which you may have already tagged inside the CG in another bug. The bugs: NOVA 1434855 and NOVA 1443697 have ''v3-api-policy'' as introducing issues.</t>
      </text>
    </comment>
    <comment authorId="0" ref="A29">
      <text>
        <t xml:space="preserve">This bug (Control Group) has ''v3-api-policy'' as introducing issue, which you may have already tagged inside the CG in another bug. The bugs: NOVA 1434855 and NOVA 1443697 have ''v3-api-policy'' as introducing issues.</t>
      </text>
    </comment>
    <comment authorId="0" ref="D29">
      <text>
        <t xml:space="preserve">This bug (Control Group) has ''v3-api-policy'' as introducing issue, which you may have already tagged inside the CG in another bug. The bugs: NOVA 1434855 and NOVA 1443697 have ''v3-api-policy'' as introducing issues.</t>
      </text>
    </comment>
    <comment authorId="0" ref="A30">
      <text>
        <t xml:space="preserve">This bug (Control Group) has ''v3-api-policy'' as introducing issue, which you may have already tagged inside the CG in another bug. The bugs: NOVA 1434855 and NOVA 1443697 have ''v3-api-policy'' as introducing issues.</t>
      </text>
    </comment>
    <comment authorId="0" ref="D30">
      <text>
        <t xml:space="preserve">This bug (Control Group) has ''v3-api-policy'' as introducing issue, which you may have already tagged inside the CG in another bug. The bugs: NOVA 1434855 and NOVA 1443697 have ''v3-api-policy'' as introducing issues.</t>
      </text>
    </comment>
    <comment authorId="0" ref="A31">
      <text>
        <t xml:space="preserve">This bug (Control Group) has ''v3-api-policy'' as introducing issue, which you may have already tagged inside the CG in another bug. The bugs: NOVA 1434855 and NOVA 1443697 have ''v3-api-policy'' as introducing issues.</t>
      </text>
    </comment>
    <comment authorId="0" ref="D31">
      <text>
        <t xml:space="preserve">This bug (Control Group) has ''v3-api-policy'' as introducing issue, which you may have already tagged inside the CG in another bug. The bugs: NOVA 1434855 and NOVA 1443697 have ''v3-api-policy'' as introducing issues.</t>
      </text>
    </comment>
    <comment authorId="0" ref="A32">
      <text>
        <t xml:space="preserve">This bug (Control Group) has ''v3-api-policy'' as introducing issue, which you may have already tagged inside the CG in another bug. The bugs: NOVA 1434855 and NOVA 1443697 have ''v3-api-policy'' as introducing issues.</t>
      </text>
    </comment>
    <comment authorId="0" ref="D32">
      <text>
        <t xml:space="preserve">This bug (Control Group) has ''v3-api-policy'' as introducing issue, which you may have already tagged inside the CG in another bug. The bugs: NOVA 1434855 and NOVA 1443697 have ''v3-api-policy'' as introducing issues.</t>
      </text>
    </comment>
    <comment authorId="0" ref="A33">
      <text>
        <t xml:space="preserve">This bug (Control Group) has ''v3-api-policy'' as introducing issue, which you may have already tagged inside the CG in another bug. The bugs: NOVA 1434855 and NOVA 1443697 have ''v3-api-policy'' as introducing issues.</t>
      </text>
    </comment>
    <comment authorId="0" ref="D33">
      <text>
        <t xml:space="preserve">This bug (Control Group) has ''v3-api-policy'' as introducing issue, which you may have already tagged inside the CG in another bug. The bugs: NOVA 1434855 and NOVA 1443697 have ''v3-api-policy'' as introducing issues.</t>
      </text>
    </comment>
    <comment authorId="0" ref="A34">
      <text>
        <t xml:space="preserve">This bug (Control Group) has ''v3-api-policy'' as introducing issue, which you may have already tagged inside the CG in another bug. The bugs: NOVA 1434855 and NOVA 1443697 have ''v3-api-policy'' as introducing issues.</t>
      </text>
    </comment>
    <comment authorId="0" ref="D34">
      <text>
        <t xml:space="preserve">This bug (Control Group) has ''v3-api-policy'' as introducing issue, which you may have already tagged inside the CG in another bug. The bugs: NOVA 1434855 and NOVA 1443697 have ''v3-api-policy'' as introducing issues.</t>
      </text>
    </comment>
    <comment authorId="0" ref="A35">
      <text>
        <t xml:space="preserve">This bug (Control Group) has ''v3-api-policy'' as introducing issue, which you may have already tagged inside the CG in another bug. The bugs: NOVA 1434855 and NOVA 1443697 have ''v3-api-policy'' as introducing issues.</t>
      </text>
    </comment>
    <comment authorId="0" ref="D35">
      <text>
        <t xml:space="preserve">This bug (Control Group) has ''v3-api-policy'' as introducing issue, which you may have already tagged inside the CG in another bug. The bugs: NOVA 1434855 and NOVA 1443697 have ''v3-api-policy'' as introducing issues.</t>
      </text>
    </comment>
    <comment authorId="0" ref="A36">
      <text>
        <t xml:space="preserve">This bug (Control Group) has ''v3-api-policy'' as introducing issue, which you may have already tagged inside the CG in another bug. The bugs: NOVA 1434855 and NOVA 1443697 have ''v3-api-policy'' as introducing issues.</t>
      </text>
    </comment>
    <comment authorId="0" ref="D36">
      <text>
        <t xml:space="preserve">This bug (Control Group) has ''v3-api-policy'' as introducing issue, which you may have already tagged inside the CG in another bug. The bugs: NOVA 1434855 and NOVA 1443697 have ''v3-api-policy'' as introducing issues.</t>
      </text>
    </comment>
    <comment authorId="0" ref="A37">
      <text>
        <t xml:space="preserve">This bug (Control Group) has ''v3-api-policy'' as introducing issue, which you may have already tagged inside the CG in another bug. The bugs: NOVA 1434855 and NOVA 1443697 have ''v3-api-policy'' as introducing issues.</t>
      </text>
    </comment>
    <comment authorId="0" ref="D37">
      <text>
        <t xml:space="preserve">This bug (Control Group) has ''v3-api-policy'' as introducing issue, which you may have already tagged inside the CG in another bug. The bugs: NOVA 1434855 and NOVA 1443697 have ''v3-api-policy'' as introducing issues.</t>
      </text>
    </comment>
    <comment authorId="0" ref="A38">
      <text>
        <t xml:space="preserve">This bug (Control Group) has ''v3-api-policy'' as introducing issue, which you may have already tagged inside the CG in another bug. The bugs: NOVA 1434855 and NOVA 1443697 have ''v3-api-policy'' as introducing issues.</t>
      </text>
    </comment>
    <comment authorId="0" ref="D38">
      <text>
        <t xml:space="preserve">This bug (Control Group) has ''v3-api-policy'' as introducing issue, which you may have already tagged inside the CG in another bug. The bugs: NOVA 1434855 and NOVA 1443697 have ''v3-api-policy'' as introducing issues.</t>
      </text>
    </comment>
    <comment authorId="0" ref="A39">
      <text>
        <t xml:space="preserve">This bug (Control Group) has ''v3-api-policy'' as introducing issue, which you may have already tagged inside the CG in another bug. The bugs: NOVA 1434855 and NOVA 1443697 have ''v3-api-policy'' as introducing issues.</t>
      </text>
    </comment>
    <comment authorId="0" ref="D39">
      <text>
        <t xml:space="preserve">This bug (Control Group) has ''v3-api-policy'' as introducing issue, which you may have already tagged inside the CG in another bug. The bugs: NOVA 1434855 and NOVA 1443697 have ''v3-api-policy'' as introducing issues.</t>
      </text>
    </comment>
    <comment authorId="0" ref="A40">
      <text>
        <t xml:space="preserve">This bug (Control Group) has ''v3-api-policy'' as introducing issue, which you may have already tagged inside the CG in another bug. The bugs: NOVA 1434855 and NOVA 1443697 have ''v3-api-policy'' as introducing issues.</t>
      </text>
    </comment>
    <comment authorId="0" ref="D40">
      <text>
        <t xml:space="preserve">This bug (Control Group) has ''v3-api-policy'' as introducing issue, which you may have already tagged inside the CG in another bug. The bugs: NOVA 1434855 and NOVA 1443697 have ''v3-api-policy'' as introducing issues.</t>
      </text>
    </comment>
    <comment authorId="0" ref="A41">
      <text>
        <t xml:space="preserve">This bug (Control Group) has ''v3-api-policy'' as introducing issue, which you may have already tagged inside the CG in another bug. The bugs: NOVA 1434855 and NOVA 1443697 have ''v3-api-policy'' as introducing issues.</t>
      </text>
    </comment>
    <comment authorId="0" ref="D41">
      <text>
        <t xml:space="preserve">This bug (Control Group) has ''v3-api-policy'' as introducing issue, which you may have already tagged inside the CG in another bug. The bugs: NOVA 1434855 and NOVA 1443697 have ''v3-api-policy'' as introducing issues.</t>
      </text>
    </comment>
    <comment authorId="0" ref="A42">
      <text>
        <t xml:space="preserve">This bug (Control Group) has ''v3-api-policy'' as introducing issue, which you may have already tagged inside the CG in another bug. The bugs: NOVA 1434855 and NOVA 1443697 have ''v3-api-policy'' as introducing issues.</t>
      </text>
    </comment>
    <comment authorId="0" ref="D42">
      <text>
        <t xml:space="preserve">This bug (Control Group) has ''v3-api-policy'' as introducing issue, which you may have already tagged inside the CG in another bug. The bugs: NOVA 1434855 and NOVA 1443697 have ''v3-api-policy'' as introducing issues.</t>
      </text>
    </comment>
    <comment authorId="0" ref="A43">
      <text>
        <t xml:space="preserve">This bug (Control Group) has ''v3-api-policy'' as introducing issue, which you may have already tagged inside the CG in another bug. The bugs: NOVA 1434855 and NOVA 1443697 have ''v3-api-policy'' as introducing issues.</t>
      </text>
    </comment>
    <comment authorId="0" ref="D43">
      <text>
        <t xml:space="preserve">This bug (Control Group) has ''v3-api-policy'' as introducing issue, which you may have already tagged inside the CG in another bug. The bugs: NOVA 1434855 and NOVA 1443697 have ''v3-api-policy'' as introducing issues.</t>
      </text>
    </comment>
    <comment authorId="0" ref="A44">
      <text>
        <t xml:space="preserve">This bug (Control Group) has ''v3-api-policy'' as introducing issue, which you may have already tagged inside the CG in another bug. The bugs: NOVA 1434855 and NOVA 1443697 have ''v3-api-policy'' as introducing issues.</t>
      </text>
    </comment>
    <comment authorId="0" ref="D44">
      <text>
        <t xml:space="preserve">This bug (Control Group) has ''v3-api-policy'' as introducing issue, which you may have already tagged inside the CG in another bug. The bugs: NOVA 1434855 and NOVA 1443697 have ''v3-api-policy'' as introducing issues.</t>
      </text>
    </comment>
    <comment authorId="0" ref="A45">
      <text>
        <t xml:space="preserve">This bug (Control Group) has ''v3-api-policy'' as introducing issue, which you may have already tagged inside the CG in another bug. The bugs: NOVA 1434855 and NOVA 1443697 have ''v3-api-policy'' as introducing issues.</t>
      </text>
    </comment>
    <comment authorId="0" ref="D45">
      <text>
        <t xml:space="preserve">This bug (Control Group) has ''v3-api-policy'' as introducing issue, which you may have already tagged inside the CG in another bug. The bugs: NOVA 1434855 and NOVA 1443697 have ''v3-api-policy'' as introducing issues.</t>
      </text>
    </comment>
    <comment authorId="0" ref="A46">
      <text>
        <t xml:space="preserve">This bug (Control Group) has ''v3-api-policy'' as introducing issue, which you may have already tagged inside the CG in another bug. The bugs: NOVA 1434855 and NOVA 1443697 have ''v3-api-policy'' as introducing issues.</t>
      </text>
    </comment>
    <comment authorId="0" ref="D46">
      <text>
        <t xml:space="preserve">This bug (Control Group) has ''v3-api-policy'' as introducing issue, which you may have already tagged inside the CG in another bug. The bugs: NOVA 1434855 and NOVA 1443697 have ''v3-api-policy'' as introducing issues.</t>
      </text>
    </comment>
    <comment authorId="0" ref="A47">
      <text>
        <t xml:space="preserve">This bug (Control Group) has ''v3-api-policy'' as introducing issue, which you may have already tagged inside the CG in another bug. The bugs: NOVA 1434855 and NOVA 1443697 have ''v3-api-policy'' as introducing issues.</t>
      </text>
    </comment>
    <comment authorId="0" ref="D47">
      <text>
        <t xml:space="preserve">This bug (Control Group) has ''v3-api-policy'' as introducing issue, which you may have already tagged inside the CG in another bug. The bugs: NOVA 1434855 and NOVA 1443697 have ''v3-api-policy'' as introducing issues.</t>
      </text>
    </comment>
    <comment authorId="0" ref="A48">
      <text>
        <t xml:space="preserve">This bug (Control Group) has ''v3-api-policy'' as introducing issue, which you may have already tagged inside the CG in another bug. The bugs: NOVA 1434855 and NOVA 1443697 have ''v3-api-policy'' as introducing issues.</t>
      </text>
    </comment>
    <comment authorId="0" ref="D48">
      <text>
        <t xml:space="preserve">This bug (Control Group) has ''v3-api-policy'' as introducing issue, which you may have already tagged inside the CG in another bug. The bugs: NOVA 1434855 and NOVA 1443697 have ''v3-api-policy'' as introducing issues.</t>
      </text>
    </comment>
    <comment authorId="0" ref="A49">
      <text>
        <t xml:space="preserve">This bug (Control Group) has ''v3-api-policy'' as introducing issue, which you may have already tagged inside the CG in another bug. The bugs: NOVA 1434855 and NOVA 1443697 have ''v3-api-policy'' as introducing issues.</t>
      </text>
    </comment>
    <comment authorId="0" ref="D49">
      <text>
        <t xml:space="preserve">This bug (Control Group) has ''v3-api-policy'' as introducing issue, which you may have already tagged inside the CG in another bug. The bugs: NOVA 1434855 and NOVA 1443697 have ''v3-api-policy'' as introducing issues.</t>
      </text>
    </comment>
    <comment authorId="0" ref="A50">
      <text>
        <t xml:space="preserve">This bug (Control Group) has ''v3-api-policy'' as introducing issue, which you may have already tagged inside the CG in another bug. The bugs: NOVA 1434855 and NOVA 1443697 have ''v3-api-policy'' as introducing issues.</t>
      </text>
    </comment>
    <comment authorId="0" ref="D50">
      <text>
        <t xml:space="preserve">This bug (Control Group) has ''v3-api-policy'' as introducing issue, which you may have already tagged inside the CG in another bug. The bugs: NOVA 1434855 and NOVA 1443697 have ''v3-api-policy'' as introducing issues.</t>
      </text>
    </comment>
    <comment authorId="0" ref="A51">
      <text>
        <t xml:space="preserve">This bug (Control Group) has ''v3-api-policy'' as introducing issue, which you may have already tagged inside the CG in another bug. The bugs: NOVA 1434855 and NOVA 1443697 have ''v3-api-policy'' as introducing issues.</t>
      </text>
    </comment>
    <comment authorId="0" ref="D51">
      <text>
        <t xml:space="preserve">This bug (Control Group) has ''v3-api-policy'' as introducing issue, which you may have already tagged inside the CG in another bug. The bugs: NOVA 1434855 and NOVA 1443697 have ''v3-api-policy'' as introducing issues.</t>
      </text>
    </comment>
    <comment authorId="0" ref="A52">
      <text>
        <t xml:space="preserve">This bug (Control Group) has ''v3-api-policy'' as introducing issue, which you may have already tagged inside the CG in another bug. The bugs: NOVA 1434855 and NOVA 1443697 have ''v3-api-policy'' as introducing issues.</t>
      </text>
    </comment>
    <comment authorId="0" ref="D52">
      <text>
        <t xml:space="preserve">This bug (Control Group) has ''v3-api-policy'' as introducing issue, which you may have already tagged inside the CG in another bug. The bugs: NOVA 1434855 and NOVA 1443697 have ''v3-api-policy'' as introducing issues.</t>
      </text>
    </comment>
    <comment authorId="0" ref="A53">
      <text>
        <t xml:space="preserve">This bug (Control Group) has ''v3-api-policy'' as introducing issue, which you may have already tagged inside the CG in another bug. The bugs: NOVA 1434855 and NOVA 1443697 have ''v3-api-policy'' as introducing issues.</t>
      </text>
    </comment>
    <comment authorId="0" ref="D53">
      <text>
        <t xml:space="preserve">This bug (Control Group) has ''v3-api-policy'' as introducing issue, which you may have already tagged inside the CG in another bug. The bugs: NOVA 1434855 and NOVA 1443697 have ''v3-api-policy'' as introducing issues.</t>
      </text>
    </comment>
    <comment authorId="0" ref="A7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75">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5">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7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7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7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79">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9">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0">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0">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3">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3">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5">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5">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89">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9">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90">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90">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9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9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9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9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93">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93">
      <text>
        <t xml:space="preserve">This bug (Control Group) has ''compute-manager-objects'' as introducing issue, which you may have already tagged inside the CG in another bug. The bugs: NOVA 1294939 and NOVA 1438331 have ''compute-manager-objects'' as introducing issues.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each id of the ML bug discussion ids separated by commas. 
The ids are the ones that are at the end of the Nova URL: E.g.: /msg124868.html --&gt; ID: msg124868</t>
      </text>
    </comment>
    <comment authorId="0" ref="E2">
      <text>
        <t xml:space="preserve">Write each aspect in a different line, that means hat you have to write down JUST the bug id as many times as needed.
If the value is not available, write it normally and ignore the warning. The list will update in a couple of seconds
</t>
      </text>
    </comment>
    <comment authorId="0" ref="G2">
      <text>
        <t xml:space="preserve">For each email, write the lists of IDs that were discussed,  in a new line 
(IDS of the introducing issues COLUMN J, 
Zou have to find the mails, in the same way as the main mail is searched)</t>
      </text>
    </comment>
    <comment authorId="0" ref="H2">
      <text>
        <t xml:space="preserve">Write each aspect in a different line, that means that you have to write down JUST the bug ID as many times as needed.
If the value is not available, write it normally and ignore the warning. The list will update in a couple of seconds</t>
      </text>
    </comment>
    <comment authorId="0" ref="J2">
      <text>
        <t xml:space="preserve">if the ID is a number, then it is a bug (Nova) or issue (ES); otherwise, it is a BP.
NA: information not available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the type of the commit
If the value is not available, write it normally and ignore the warning. The list will update in a couple of seconds
Value</t>
      </text>
    </comment>
    <comment authorId="0" ref="R2">
      <text>
        <t xml:space="preserve">If the value is not available, write it normally and ignore the warning. The list will update in a couple of seconds</t>
      </text>
    </comment>
    <comment authorId="0" ref="AN2">
      <text>
        <t xml:space="preserve">Write the email of each coauthor, separated by a comma</t>
      </text>
    </comment>
    <comment authorId="0" ref="AG21">
      <text>
        <t xml:space="preserve">check cell content</t>
      </text>
    </comment>
    <comment authorId="0" ref="AG22">
      <text>
        <t xml:space="preserve">check cell content</t>
      </text>
    </comment>
    <comment authorId="0" ref="AG32">
      <text>
        <t xml:space="preserve">check cell content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all the tools for a single review in a single row separated by commas</t>
      </text>
    </comment>
    <comment authorId="0" ref="E2">
      <text>
        <t xml:space="preserve">write all the tools for a single review in a single row separated by commas</t>
      </text>
    </comment>
    <comment authorId="0" ref="G2">
      <text>
        <t xml:space="preserve">per each code, write a different line, duplicate the ID of the bug but not the general variables. 
</t>
      </text>
    </comment>
    <comment authorId="0" ref="O2">
      <text>
        <t xml:space="preserve">PLease, to check his correctly, go to to Internal_list_bugs and check the full path in Column  Y
</t>
      </text>
    </comment>
    <comment authorId="0" ref="F3">
      <text>
        <t xml:space="preserve">the different patches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a single tool per line. This means that you should repeat the Bug ID and Commit ID
If the value is not available, write it normally and ignore the warning. The list will update in a couple of seconds
</t>
      </text>
    </comment>
    <comment authorId="0" ref="F2">
      <text>
        <t xml:space="preserve">Write a single dependency resolution per line. This means that you should repeat the Bug ID and Commit ID, NOT B1 or B3 (those variables are independent from each other
If the value is not available, write it normally and ignore the warning. The list will update in a couple of seconds
</t>
      </text>
    </comment>
    <comment authorId="0" ref="H2">
      <text>
        <t xml:space="preserve">Write a single practice resolution per line. This means that you should repeat the Bug ID and Commit ID, NOT B1 or B2 (those variables are independent from each other
If the value is not available, write it normally and ignore the warning. The list will update in a couple of seconds
</t>
      </text>
    </comment>
  </commentList>
</comments>
</file>

<file path=xl/sharedStrings.xml><?xml version="1.0" encoding="utf-8"?>
<sst xmlns="http://schemas.openxmlformats.org/spreadsheetml/2006/main" count="8330" uniqueCount="1430">
  <si>
    <t xml:space="preserve"> </t>
  </si>
  <si>
    <t>Where</t>
  </si>
  <si>
    <t>Bugs and Commits assignation</t>
  </si>
  <si>
    <t>Please see the "Assignment page" in order to see which label (e.g., Tagger A, Tagger B) and which articles were assigned to you</t>
  </si>
  <si>
    <t>General_Book [Assignment]</t>
  </si>
  <si>
    <t xml:space="preserve">Each tagger has three columns. 1) A column that identifies the tagger (one of us, Ana (Tag_A) and tagger L (Lukas) 2) A column with the assigned ID of the bugs 3) a status column that could be used to identify which papers have been analyzed (e.g., not started, in progress, DONE) </t>
  </si>
  <si>
    <t>Filling out the excel</t>
  </si>
  <si>
    <t xml:space="preserve">For each one of the sheets, </t>
  </si>
  <si>
    <r>
      <rPr>
        <rFont val="Arial"/>
        <color theme="1"/>
        <sz val="12.0"/>
      </rPr>
      <t xml:space="preserve">Take into account that each aspect to discuss/ label/ id of other media / related issue ID, etc. should be written in a </t>
    </r>
    <r>
      <rPr>
        <rFont val="Arial"/>
        <b/>
        <color theme="1"/>
        <sz val="12.0"/>
      </rPr>
      <t>separate LINE.</t>
    </r>
  </si>
  <si>
    <t xml:space="preserve">1. For the Bugs (NOT the control group) Write the BUG ID in each sheet in the first COLUMN (Column A) </t>
  </si>
  <si>
    <t>2. After a Bug ID is selected in Column A,  in Colum B the URL of the Bug is going to appear as a helper for you</t>
  </si>
  <si>
    <t>3. After a BUG ID is selected in Column A, in Column C, the information that is related to the sheet and the bug is going to appear (e.g., for the fixed bug sheet is going to appear the id of the duplicated bugs, so you can consider them for the tagging)</t>
  </si>
  <si>
    <t xml:space="preserve">4. In the case that multiple practices/ aspects to discuss for a single bug, issue, etc.., are found, please write EACH practice in a NEW LINE. repeating in Column A  the BUG ID and, if applicable, the id of the sub-identifier 
e.g.,  [introducing issue sheet] In line 1, write the id of Bug1 and the introducing issue II1, and write one aspect that was discussed for that introducing issue II1, a second aspect was discussed for II1 write down again the BUG ID and the introducing issue in a new line, the same if more than one introducing issue appears. </t>
  </si>
  <si>
    <t>5. Doing 5 we can keep track easily of the sources for each manually labeled aspect, and in the homogenization process will be faster and easier</t>
  </si>
  <si>
    <t xml:space="preserve">6.  In the cases in which a BUG ID and Subsequent ID are repeated due to new aspects to be discussed or any other variable, the variables that are GENERAL to the BUG or to the subsequent ID SHOULD be left EMPTY in the "duplicate lines". 
E.g. In the previous example, the values of the severities of each should be written only ONCE, the first time that they are addressed, and then, when the BUG ID and the ii ID are written down again, they should be left empty. </t>
  </si>
  <si>
    <t>NOTE:</t>
  </si>
  <si>
    <t>If the codes have more than one word, join them with an underscore</t>
  </si>
  <si>
    <t>If there is a specific instruction for the column that has to be filled, out it will be a comment or a note in the header</t>
  </si>
  <si>
    <t>Additional Information</t>
  </si>
  <si>
    <t>Information, details of the variables:</t>
  </si>
  <si>
    <t>Variables</t>
  </si>
  <si>
    <t>Information, lists of codes</t>
  </si>
  <si>
    <t>Codes</t>
  </si>
  <si>
    <t>I_Variables</t>
  </si>
  <si>
    <t>ML_Variables</t>
  </si>
  <si>
    <t>O_Variables</t>
  </si>
  <si>
    <t>B_Variables</t>
  </si>
  <si>
    <t>C_Variables</t>
  </si>
  <si>
    <t>R_Variables</t>
  </si>
  <si>
    <t>NOVA 1481164</t>
  </si>
  <si>
    <t>NOVA 1466390</t>
  </si>
  <si>
    <t>NOVA 1438331</t>
  </si>
  <si>
    <t>NOVA 1402728</t>
  </si>
  <si>
    <t>NOVA 1307791</t>
  </si>
  <si>
    <t>NOVA 1481078</t>
  </si>
  <si>
    <t>NOVA 1370177</t>
  </si>
  <si>
    <t>NOVA 1443970</t>
  </si>
  <si>
    <t>NOVA 1294939</t>
  </si>
  <si>
    <t>NOVA 1336127</t>
  </si>
  <si>
    <t>NOVA 1419002</t>
  </si>
  <si>
    <t>NOVA 1441000</t>
  </si>
  <si>
    <t>NOVA 1475911</t>
  </si>
  <si>
    <t>NOVA 1402535</t>
  </si>
  <si>
    <t>NOVA 1370590</t>
  </si>
  <si>
    <t>NOVA 1300788</t>
  </si>
  <si>
    <t>NOVA 1367363</t>
  </si>
  <si>
    <t>NOVA 1392798</t>
  </si>
  <si>
    <t>NOVA 1403544</t>
  </si>
  <si>
    <t>NOVA 1381468</t>
  </si>
  <si>
    <t>NOVA 1475356</t>
  </si>
  <si>
    <t>NOVA 1434855</t>
  </si>
  <si>
    <t>NOVA 1443697</t>
  </si>
  <si>
    <t>NOVA 1467451</t>
  </si>
  <si>
    <t>NOVA 1453274</t>
  </si>
  <si>
    <t>NOVA 1371677</t>
  </si>
  <si>
    <t>NOVA 1343080</t>
  </si>
  <si>
    <t>NOVA 1375379</t>
  </si>
  <si>
    <t>NOVA 1314677</t>
  </si>
  <si>
    <t>NOVA 1486541</t>
  </si>
  <si>
    <t>NOVA 1424647</t>
  </si>
  <si>
    <t>NOVA 1447249</t>
  </si>
  <si>
    <t>NOVA 1437855</t>
  </si>
  <si>
    <t>NOVA 1505471</t>
  </si>
  <si>
    <t>Elastic Search 1162</t>
  </si>
  <si>
    <t>Elastic Search 764</t>
  </si>
  <si>
    <t>Elastic Search 7686</t>
  </si>
  <si>
    <t>Elastic Search 5948</t>
  </si>
  <si>
    <t>Elastic Search 864</t>
  </si>
  <si>
    <t>Elastic Search 8507</t>
  </si>
  <si>
    <t>Elastic Search 14782</t>
  </si>
  <si>
    <t>Elastic Search 8438</t>
  </si>
  <si>
    <t>Elastic Search 1134</t>
  </si>
  <si>
    <t>Elastic Search 8580</t>
  </si>
  <si>
    <t>Elastic Search 3242</t>
  </si>
  <si>
    <t>Elastic Search 1814</t>
  </si>
  <si>
    <t>Elastic Search 8893</t>
  </si>
  <si>
    <t>Elastic Search 1725</t>
  </si>
  <si>
    <t>Elastic Search 4814</t>
  </si>
  <si>
    <t>Elastic Search 5048</t>
  </si>
  <si>
    <t>Elastic Search 12193</t>
  </si>
  <si>
    <t>Elastic Search 2991</t>
  </si>
  <si>
    <t>Elastic Search 5165</t>
  </si>
  <si>
    <t>Elastic Search 200</t>
  </si>
  <si>
    <t>Elastic Search 2566</t>
  </si>
  <si>
    <t>Elastic Search 3267</t>
  </si>
  <si>
    <t>Elastic Search 1948</t>
  </si>
  <si>
    <t>Elastic Search 8125</t>
  </si>
  <si>
    <t>Elastic Search 1154</t>
  </si>
  <si>
    <t>Elastic Search 1626</t>
  </si>
  <si>
    <t>Elastic Search 2608</t>
  </si>
  <si>
    <t>Elastic Search 9317</t>
  </si>
  <si>
    <t>Elastic Search 15858</t>
  </si>
  <si>
    <t>Elastic Search 8526</t>
  </si>
  <si>
    <t>Elastic Search 5021</t>
  </si>
  <si>
    <t>Elastic Search 1380</t>
  </si>
  <si>
    <t>Elastic Search 16246</t>
  </si>
  <si>
    <t>Elastic Search 4581</t>
  </si>
  <si>
    <t>Elastic Search 7623</t>
  </si>
  <si>
    <t>Elastic Search 3560</t>
  </si>
  <si>
    <t>Elastic Search 1960</t>
  </si>
  <si>
    <t>Elastic Search 16790</t>
  </si>
  <si>
    <t>CLICK: Variables description</t>
  </si>
  <si>
    <t>Code_Lists</t>
  </si>
  <si>
    <t>Information that must be tagged</t>
  </si>
  <si>
    <t>I1</t>
  </si>
  <si>
    <t>I2</t>
  </si>
  <si>
    <t>I6 - Aspects of introducing issue discussion</t>
  </si>
  <si>
    <t>I8 - does it have a wiki? or does it have a spec?</t>
  </si>
  <si>
    <t>I9 - Introducing Issue doubles as review</t>
  </si>
  <si>
    <t>ID- Bug</t>
  </si>
  <si>
    <t>URL - Bug</t>
  </si>
  <si>
    <r>
      <rPr>
        <rFont val="Arial"/>
        <color theme="1"/>
      </rPr>
      <t xml:space="preserve">In this field, the possible ids that need to be tagged are going to appear  (if applicable)
</t>
    </r>
    <r>
      <rPr>
        <rFont val="Arial"/>
        <b/>
        <color theme="1"/>
      </rPr>
      <t xml:space="preserve">Introducing ISSUES IDS. </t>
    </r>
    <r>
      <rPr>
        <rFont val="Arial"/>
        <color theme="1"/>
      </rPr>
      <t xml:space="preserve">
</t>
    </r>
    <r>
      <rPr>
        <rFont val="Arial"/>
        <b/>
        <color theme="1"/>
      </rPr>
      <t xml:space="preserve">NOVA URL: </t>
    </r>
    <r>
      <rPr>
        <rFont val="Arial"/>
        <color theme="1"/>
      </rPr>
      <t xml:space="preserve"> https://bugs.launchpad.net/nova/+bug/&lt;BugID&gt;
</t>
    </r>
    <r>
      <rPr>
        <rFont val="Arial"/>
        <b/>
        <color theme="1"/>
      </rPr>
      <t>ES ISSUE URL:</t>
    </r>
    <r>
      <rPr>
        <rFont val="Arial"/>
        <color theme="1"/>
      </rPr>
      <t xml:space="preserve">  https://github.com/elastic/elasticsearch/issues/&lt;BugID&gt;
</t>
    </r>
    <r>
      <rPr>
        <rFont val="Arial"/>
        <b/>
        <color theme="1"/>
      </rPr>
      <t>NOVA BP</t>
    </r>
    <r>
      <rPr>
        <rFont val="Arial"/>
        <color theme="1"/>
      </rPr>
      <t>:  https://blueprints.launchpad.net/nova/+spec/&lt;BPID&gt;</t>
    </r>
  </si>
  <si>
    <t>Introducing issues ids</t>
  </si>
  <si>
    <t>Introducing issue types</t>
  </si>
  <si>
    <t>Value</t>
  </si>
  <si>
    <t>Source</t>
  </si>
  <si>
    <t xml:space="preserve">
NOVA:
https://wiki.openstack.org/wiki/</t>
  </si>
  <si>
    <t>True = Introducing Issue and review
False= it is only introducing issue</t>
  </si>
  <si>
    <t>bug</t>
  </si>
  <si>
    <t>summary::of::the::problem</t>
  </si>
  <si>
    <t>title</t>
  </si>
  <si>
    <t>NO</t>
  </si>
  <si>
    <t>expected::behaviour</t>
  </si>
  <si>
    <t>description</t>
  </si>
  <si>
    <t>undesired::behaviour</t>
  </si>
  <si>
    <t>when::is::the::bug::present</t>
  </si>
  <si>
    <t>steps::replicate::bug</t>
  </si>
  <si>
    <t>displays::error::message::(logs)</t>
  </si>
  <si>
    <t>reason::of::the::bug</t>
  </si>
  <si>
    <t>comment #1</t>
  </si>
  <si>
    <t>proposal::of::a::possible::fix::(link::review1)</t>
  </si>
  <si>
    <t>comment #2</t>
  </si>
  <si>
    <t>compute-manager-objects-juno</t>
  </si>
  <si>
    <t>blueprint, improvement</t>
  </si>
  <si>
    <t>feature::description</t>
  </si>
  <si>
    <t>YES</t>
  </si>
  <si>
    <t>but 404</t>
  </si>
  <si>
    <t>BP::is::continuation::of::other::BP</t>
  </si>
  <si>
    <t>asking::about::development::process::(schedule/time)</t>
  </si>
  <si>
    <t>whiteboard</t>
  </si>
  <si>
    <t>commenting::development::process::(schedule/time)</t>
  </si>
  <si>
    <t>pci-passthrough-sriov</t>
  </si>
  <si>
    <t>blueprint, feature request</t>
  </si>
  <si>
    <t>feature::documentation::link</t>
  </si>
  <si>
    <t>requesting::add::desciption::requirements::(testing::purposes)</t>
  </si>
  <si>
    <t>requesting:developing::process::(tidy::up::patches)</t>
  </si>
  <si>
    <t>approved::freeze::exception::(FFE)</t>
  </si>
  <si>
    <t>ref::code::link</t>
  </si>
  <si>
    <t>fix::merged::(link::review::1)</t>
  </si>
  <si>
    <t>comment #3</t>
  </si>
  <si>
    <t>nova-no-downward-sql-migration</t>
  </si>
  <si>
    <t>approval::BP/feature</t>
  </si>
  <si>
    <t>aggregate-api-policy</t>
  </si>
  <si>
    <t>current::situation::(why::feature::is::needed)</t>
  </si>
  <si>
    <t>no::backporting::(feature::only::in::next::version)</t>
  </si>
  <si>
    <t>compute-manager-objects</t>
  </si>
  <si>
    <t>expected::outcome::(use::of::existing::functionality)</t>
  </si>
  <si>
    <t>dependency::tree</t>
  </si>
  <si>
    <t>work items</t>
  </si>
  <si>
    <t>assertequal</t>
  </si>
  <si>
    <t>blueprint, refactoring</t>
  </si>
  <si>
    <t>expected::outcome::(refactoring)</t>
  </si>
  <si>
    <t>ref::external::references::(documentation)</t>
  </si>
  <si>
    <t>requesting::add::details::(description)</t>
  </si>
  <si>
    <t>bug, missing feature</t>
  </si>
  <si>
    <t>referer::to::related::bug</t>
  </si>
  <si>
    <t>icehouse-objects</t>
  </si>
  <si>
    <t>expected::outcome::(functionallities)</t>
  </si>
  <si>
    <t>preceeding::feature</t>
  </si>
  <si>
    <t>reviews::addressing::feature</t>
  </si>
  <si>
    <t>deadline::missed::feature:freeze</t>
  </si>
  <si>
    <t>new::blueprint::for::remaining::patches</t>
  </si>
  <si>
    <t>v3-api-policy</t>
  </si>
  <si>
    <t>blueprint, feature request, security</t>
  </si>
  <si>
    <t>partial::implementation</t>
  </si>
  <si>
    <t>steps::required::for::backwards::compatibility</t>
  </si>
  <si>
    <t>partially::deferred::to::later::release1</t>
  </si>
  <si>
    <t>unapproved::specification::of::BP</t>
  </si>
  <si>
    <t>feature::deadline::missed</t>
  </si>
  <si>
    <t>partially::deferred::to::later::release2</t>
  </si>
  <si>
    <t>dropping::some::patches::(outdated::feature)</t>
  </si>
  <si>
    <t>rebase::required</t>
  </si>
  <si>
    <t>code::reviews::required</t>
  </si>
  <si>
    <t>marking::code::as::abandoned</t>
  </si>
  <si>
    <t>informing::completness::BP</t>
  </si>
  <si>
    <t>examples::of::wrong::behaviour</t>
  </si>
  <si>
    <t>displays::logs::of::the::behaviour</t>
  </si>
  <si>
    <t>proposal::of::a::possible::fix::(code::in::text)</t>
  </si>
  <si>
    <t>proposal::of::a::possible::fix::(explanation)</t>
  </si>
  <si>
    <t>informing::bug::replaced::with::another</t>
  </si>
  <si>
    <t>comment #4</t>
  </si>
  <si>
    <t>comment #5</t>
  </si>
  <si>
    <t>comment #6</t>
  </si>
  <si>
    <t>cause::of::another::bug::(explanation)</t>
  </si>
  <si>
    <t>link::related::review</t>
  </si>
  <si>
    <t>fix::merged::(link::review::2)</t>
  </si>
  <si>
    <t>wrong::linking::between::review::commit2::and::bug</t>
  </si>
  <si>
    <t>fix::merged::(link::review3)::not::main::branch</t>
  </si>
  <si>
    <t>when::is::the::bug::present::(specific::python::version)</t>
  </si>
  <si>
    <t>source::of::the::bug::(hash::commit)</t>
  </si>
  <si>
    <t>kilo-objects</t>
  </si>
  <si>
    <t>blueprint, umbrella</t>
  </si>
  <si>
    <t>deferred::to::later::release1</t>
  </si>
  <si>
    <t>scope-config-opts</t>
  </si>
  <si>
    <t>blueprint, refactoring, improvement</t>
  </si>
  <si>
    <t>expected::outcome</t>
  </si>
  <si>
    <t>why::change::is::required</t>
  </si>
  <si>
    <t>improvement, bug</t>
  </si>
  <si>
    <t>feature::description::(multiple::concerns)</t>
  </si>
  <si>
    <t>issue::closed::(revision::hash)</t>
  </si>
  <si>
    <t>what::is::the::bug::causing</t>
  </si>
  <si>
    <t>referer::to::related::review</t>
  </si>
  <si>
    <t>feature, improvement</t>
  </si>
  <si>
    <t>why::feature::is::required</t>
  </si>
  <si>
    <t>asking::for::documentation</t>
  </si>
  <si>
    <t>providing::documentation</t>
  </si>
  <si>
    <t>asking::for::clarification::documentation</t>
  </si>
  <si>
    <t>providing::clarification::documentation</t>
  </si>
  <si>
    <t>comment #7</t>
  </si>
  <si>
    <t>comment #8</t>
  </si>
  <si>
    <t>comment #9</t>
  </si>
  <si>
    <t>asking::for::clarification::intended::solution::design</t>
  </si>
  <si>
    <t>comment #10</t>
  </si>
  <si>
    <t>providing::clarification::intended::solution::design</t>
  </si>
  <si>
    <t>comment #11</t>
  </si>
  <si>
    <t>when::is::the::bug::present::(specific::elasticsearch::version)</t>
  </si>
  <si>
    <t>source::of::the::bug::(issue::link)</t>
  </si>
  <si>
    <t>informing::lgtm::(+1)</t>
  </si>
  <si>
    <t>improvement</t>
  </si>
  <si>
    <t>F5 - Aspects of the bug discussion</t>
  </si>
  <si>
    <t>F6 - Type of Bug</t>
  </si>
  <si>
    <t>F7 - does the bug have any duplicates?</t>
  </si>
  <si>
    <t>F8 - was reopened (regression)</t>
  </si>
  <si>
    <t>URL - Bug + Buggy files path</t>
  </si>
  <si>
    <r>
      <rPr>
        <rFont val="Arial"/>
        <color theme="1"/>
      </rPr>
      <t xml:space="preserve">In this field, the possible ids that need to be tagged are going to appear  (if applicable)
</t>
    </r>
    <r>
      <rPr>
        <rFont val="Arial"/>
        <b/>
        <color theme="1"/>
      </rPr>
      <t xml:space="preserve">Duplicated BUG IDS. </t>
    </r>
    <r>
      <rPr>
        <rFont val="Arial"/>
        <color theme="1"/>
      </rPr>
      <t xml:space="preserve">
</t>
    </r>
    <r>
      <rPr>
        <rFont val="Arial"/>
        <b/>
        <color theme="1"/>
      </rPr>
      <t>NOVA URL</t>
    </r>
    <r>
      <rPr>
        <rFont val="Arial"/>
        <color theme="1"/>
      </rPr>
      <t xml:space="preserve">:  https://bugs.launchpad.net/nova/+bug/&lt;BugID&gt;
</t>
    </r>
    <r>
      <rPr>
        <rFont val="Arial"/>
        <b/>
        <color theme="1"/>
      </rPr>
      <t>ES URL:</t>
    </r>
    <r>
      <rPr>
        <rFont val="Arial"/>
        <color theme="1"/>
      </rPr>
      <t xml:space="preserve">  https://github.com/elastic/elasticsearch/issues/&lt;BugID&gt;</t>
    </r>
  </si>
  <si>
    <t>Type of Bug - Value</t>
  </si>
  <si>
    <t>Value (YES | NO)</t>
  </si>
  <si>
    <t>O1</t>
  </si>
  <si>
    <t>O2</t>
  </si>
  <si>
    <t>O4 - Aspects of discussions in other media</t>
  </si>
  <si>
    <t>BIC</t>
  </si>
  <si>
    <r>
      <rPr>
        <rFont val="Arial"/>
        <color theme="1"/>
      </rPr>
      <t xml:space="preserve">In this field, the possible IDs that need to be tagged are going to appear  (if applicable)
</t>
    </r>
    <r>
      <rPr>
        <rFont val="Arial"/>
        <b/>
        <color theme="1"/>
      </rPr>
      <t xml:space="preserve">Other sources. </t>
    </r>
    <r>
      <rPr>
        <rFont val="Arial"/>
        <color theme="1"/>
      </rPr>
      <t xml:space="preserve">
The IDs that are displayed </t>
    </r>
    <r>
      <rPr>
        <rFont val="Arial"/>
        <b/>
        <color theme="1"/>
      </rPr>
      <t>must</t>
    </r>
    <r>
      <rPr>
        <rFont val="Arial"/>
        <color theme="1"/>
      </rPr>
      <t xml:space="preserve"> be analyzed (when a bug is present).  But</t>
    </r>
    <r>
      <rPr>
        <rFont val="Arial"/>
        <b/>
        <color theme="1"/>
      </rPr>
      <t xml:space="preserve"> you should check</t>
    </r>
    <r>
      <rPr>
        <rFont val="Arial"/>
        <color theme="1"/>
      </rPr>
      <t xml:space="preserve"> if there is </t>
    </r>
    <r>
      <rPr>
        <rFont val="Arial"/>
        <b/>
        <color theme="1"/>
      </rPr>
      <t>anything</t>
    </r>
    <r>
      <rPr>
        <rFont val="Arial"/>
        <color theme="1"/>
      </rPr>
      <t xml:space="preserve"> </t>
    </r>
    <r>
      <rPr>
        <rFont val="Arial"/>
        <b/>
        <color theme="1"/>
      </rPr>
      <t>more</t>
    </r>
    <r>
      <rPr>
        <rFont val="Arial"/>
        <color theme="1"/>
      </rPr>
      <t xml:space="preserve"> available
You should always check if the </t>
    </r>
    <r>
      <rPr>
        <rFont val="Arial"/>
        <b/>
        <color theme="1"/>
      </rPr>
      <t>BIC</t>
    </r>
    <r>
      <rPr>
        <rFont val="Arial"/>
        <color theme="1"/>
      </rPr>
      <t xml:space="preserve"> files involved all the files mentioned in </t>
    </r>
    <r>
      <rPr>
        <rFont val="Arial"/>
        <b/>
        <color theme="1"/>
      </rPr>
      <t>COLUMN B (COMPARE COLUMN B with files included in BIC  COLUMN J)</t>
    </r>
  </si>
  <si>
    <t>Identifier of related information in other media</t>
  </si>
  <si>
    <t>Type of other media in which bug was discussed</t>
  </si>
  <si>
    <t>URL OF THE BIC for the BUG</t>
  </si>
  <si>
    <t>https://wiki.openstack.org/wiki/Nova-neutron-sriov</t>
  </si>
  <si>
    <t>blueprint -&gt; wiki</t>
  </si>
  <si>
    <t>mentioned::bp::as::part::of:.meeting::agenda</t>
  </si>
  <si>
    <t>problem::description</t>
  </si>
  <si>
    <t>proposed::change</t>
  </si>
  <si>
    <t>steps::to::follow::BP</t>
  </si>
  <si>
    <t>scope::of::BP</t>
  </si>
  <si>
    <t>https://specs.openstack.org/openstack/nova-specs/specs/kilo/approved/nova-api-policy.html</t>
  </si>
  <si>
    <t>blueprint -&gt; spec</t>
  </si>
  <si>
    <t>external::references::(summit)</t>
  </si>
  <si>
    <t>summary::problem</t>
  </si>
  <si>
    <t>code::example</t>
  </si>
  <si>
    <t>use::cases::of::the::BP</t>
  </si>
  <si>
    <t>project::priority</t>
  </si>
  <si>
    <t>alternatives</t>
  </si>
  <si>
    <t>impact::(on::data::model::-&gt;::none)</t>
  </si>
  <si>
    <t>impact::(on::API::-&gt;::none)</t>
  </si>
  <si>
    <t>impact::(security)</t>
  </si>
  <si>
    <t>impact::(on::notifications::-&gt;::none)</t>
  </si>
  <si>
    <t>impact::(on::other::end::users::-&gt;::none)</t>
  </si>
  <si>
    <t>impact::(on::performance)</t>
  </si>
  <si>
    <t>impact::(other::deployer::impact)</t>
  </si>
  <si>
    <t>impact::(on::developer)</t>
  </si>
  <si>
    <t>responsibilities::(assignees)</t>
  </si>
  <si>
    <t>units::of::work</t>
  </si>
  <si>
    <t>dependencies::(none)</t>
  </si>
  <si>
    <t>testing</t>
  </si>
  <si>
    <t>impact::(documentation)</t>
  </si>
  <si>
    <t>external::references::(etherpad)</t>
  </si>
  <si>
    <t>https://specs.openstack.org/openstack/nova-specs/specs/juno/implemented/pci-passthrough-sriov.html</t>
  </si>
  <si>
    <t>external::references::(blueprint)</t>
  </si>
  <si>
    <t>impact::(on::data::model)</t>
  </si>
  <si>
    <t>impact::(security::-&gt;::none)</t>
  </si>
  <si>
    <t>impact::(other::deployer::impact::-&gt;::none)</t>
  </si>
  <si>
    <t>impact::(on::developer::-&gt;::none)</t>
  </si>
  <si>
    <t>testing::(tempest::tests)</t>
  </si>
  <si>
    <t>testing::(unit::tests)</t>
  </si>
  <si>
    <t>external::references</t>
  </si>
  <si>
    <t>https://specs.openstack.org/openstack/nova-specs/specs/juno/implemented/compute-manager-objects-juno.html</t>
  </si>
  <si>
    <t>impact::(on::notifications)</t>
  </si>
  <si>
    <t>impact::(on::performance::-&gt;::none)</t>
  </si>
  <si>
    <t>dependencies</t>
  </si>
  <si>
    <t>external::references::(another::blueprint)</t>
  </si>
  <si>
    <t>impact::(documentation::-&gt;::none)</t>
  </si>
  <si>
    <t>ML1</t>
  </si>
  <si>
    <t>ML3 - Aspects of ML bug discussion</t>
  </si>
  <si>
    <t>ML4</t>
  </si>
  <si>
    <t>ML6 - Aspects of ML bug introduction discussion</t>
  </si>
  <si>
    <t>ID- introducing issue</t>
  </si>
  <si>
    <t>YOU SHOULD search by bug ID in the following link escribed in the respective row</t>
  </si>
  <si>
    <t>ML bug discussion ids</t>
  </si>
  <si>
    <t>ML introducing change ids</t>
  </si>
  <si>
    <t>NA</t>
  </si>
  <si>
    <t>msg32281</t>
  </si>
  <si>
    <t>reference::review</t>
  </si>
  <si>
    <t>msg32283</t>
  </si>
  <si>
    <t>reminder::to::review::high-priority::reviews::(including::BP)</t>
  </si>
  <si>
    <t>msg14433</t>
  </si>
  <si>
    <t>discussing::topics::of::a::BP::related</t>
  </si>
  <si>
    <t>discussing::plan::development::process::(timeframe)</t>
  </si>
  <si>
    <t>informing::preference::implementation::timeframe::(sooner::than::later)</t>
  </si>
  <si>
    <t>discussing::development::process::(next::meeting::related::BP::priority::not::delaying)</t>
  </si>
  <si>
    <t>msg14469</t>
  </si>
  <si>
    <t>msg14497</t>
  </si>
  <si>
    <t>suggesting::discussing::topic::in::meeting</t>
  </si>
  <si>
    <t>msg14851</t>
  </si>
  <si>
    <t>reference::wiki::(meetings)</t>
  </si>
  <si>
    <t>msg14969</t>
  </si>
  <si>
    <t>reference::meeting</t>
  </si>
  <si>
    <t>discussing::intended::solution::design</t>
  </si>
  <si>
    <t>msg14975</t>
  </si>
  <si>
    <t>discussing::solution::design::(requirements::of::the::solution)</t>
  </si>
  <si>
    <t>msg15022</t>
  </si>
  <si>
    <t>discussing::developer::assignment</t>
  </si>
  <si>
    <t>reference::wiki::(meetings::agenda)</t>
  </si>
  <si>
    <t>msg15036</t>
  </si>
  <si>
    <t>informing::improvement::(live::migration)</t>
  </si>
  <si>
    <t>msg15028</t>
  </si>
  <si>
    <t>msg15031</t>
  </si>
  <si>
    <t>msg15064</t>
  </si>
  <si>
    <t>mentioning::related::bp</t>
  </si>
  <si>
    <t>msg15032</t>
  </si>
  <si>
    <t>asking::clarification::about::solution::design::(components::of::the::solution)</t>
  </si>
  <si>
    <t>msg15040</t>
  </si>
  <si>
    <t>msg15065</t>
  </si>
  <si>
    <t>msg15111</t>
  </si>
  <si>
    <t>question::about::details::in::implementation</t>
  </si>
  <si>
    <t>msg15116</t>
  </si>
  <si>
    <t>answering::question::about::details::in::implementation</t>
  </si>
  <si>
    <t>msg15170</t>
  </si>
  <si>
    <t>msg15030</t>
  </si>
  <si>
    <t>msg15034</t>
  </si>
  <si>
    <t>msg15039</t>
  </si>
  <si>
    <t>agreeing::plan::development::process::(future::enhancement)</t>
  </si>
  <si>
    <t>msg06339</t>
  </si>
  <si>
    <t>proposal::to::discuss::topic::(related:.to::BP)::in::summit::(global::meeting)</t>
  </si>
  <si>
    <t>msg07005</t>
  </si>
  <si>
    <t>msg07188</t>
  </si>
  <si>
    <t>asking::clarification::about::next::steps::(design:.choices)</t>
  </si>
  <si>
    <t>msg07206</t>
  </si>
  <si>
    <t>providing::clarification::about::intended::solution::design</t>
  </si>
  <si>
    <t>providing::clarification::current::design</t>
  </si>
  <si>
    <t>msg07187</t>
  </si>
  <si>
    <t>asking::clarification::about::intended::solution::design</t>
  </si>
  <si>
    <t>msg07207</t>
  </si>
  <si>
    <t>asking::clarification::about::functionallity::(how::to::enable::in::the::future)</t>
  </si>
  <si>
    <t>msg07210</t>
  </si>
  <si>
    <t>providing::clarification::about::functionallity::(current::code)</t>
  </si>
  <si>
    <t>msg07217</t>
  </si>
  <si>
    <t>discussing::compatebility::of::solution::design::(with::related::feature)</t>
  </si>
  <si>
    <t>sharing::ideas::for::implementation</t>
  </si>
  <si>
    <t>msg07282</t>
  </si>
  <si>
    <t>msg07329</t>
  </si>
  <si>
    <t>informing::low::interest::(by::devs::of::related::project)</t>
  </si>
  <si>
    <t>msg07331</t>
  </si>
  <si>
    <t>asking::advice::development::process::(split::changes)::due::to::interaction::of::different::projects::(nova::neutron)::with::the::wanted::change</t>
  </si>
  <si>
    <t>msg07381</t>
  </si>
  <si>
    <t>asking::for::more::oppinions::(by::devs::of::related::project)</t>
  </si>
  <si>
    <t>msg07238</t>
  </si>
  <si>
    <t>msg07289</t>
  </si>
  <si>
    <t>msg07240</t>
  </si>
  <si>
    <t>msg07247</t>
  </si>
  <si>
    <t>msg07290</t>
  </si>
  <si>
    <t>msg07301</t>
  </si>
  <si>
    <t>msg07303</t>
  </si>
  <si>
    <t>msg07311</t>
  </si>
  <si>
    <t>msg07318</t>
  </si>
  <si>
    <t>agreeing::on::clarification::on::discussing::solution::design</t>
  </si>
  <si>
    <t>impact::of::bp::(security)</t>
  </si>
  <si>
    <t>msg53501</t>
  </si>
  <si>
    <t>informing::where::bug::occures</t>
  </si>
  <si>
    <t>false positive</t>
  </si>
  <si>
    <t>reference::wiki</t>
  </si>
  <si>
    <t>asking::advice::issue::encountered</t>
  </si>
  <si>
    <t>message::containing::debug::log</t>
  </si>
  <si>
    <t>msg16230</t>
  </si>
  <si>
    <t>discussing::the::release::deadline::for::BP/feature</t>
  </si>
  <si>
    <t>msg16225</t>
  </si>
  <si>
    <t>msg16162</t>
  </si>
  <si>
    <t>msg34075</t>
  </si>
  <si>
    <t>reference::BP</t>
  </si>
  <si>
    <t>informing::refactoring</t>
  </si>
  <si>
    <t>infroming::review::waiting::for::approval</t>
  </si>
  <si>
    <t>msg34090</t>
  </si>
  <si>
    <t>commiting::to::review</t>
  </si>
  <si>
    <t>msg34099</t>
  </si>
  <si>
    <t>msg34248</t>
  </si>
  <si>
    <t>approval::FFE</t>
  </si>
  <si>
    <t>msg18311</t>
  </si>
  <si>
    <t>informing::previous::decision</t>
  </si>
  <si>
    <t>informing::extension::of::scope::for::blueprint</t>
  </si>
  <si>
    <t>msg18344</t>
  </si>
  <si>
    <t>message::containing::code</t>
  </si>
  <si>
    <t>msg18354</t>
  </si>
  <si>
    <t>informing::refactoring::required</t>
  </si>
  <si>
    <t>msg18368</t>
  </si>
  <si>
    <t>requesting::review</t>
  </si>
  <si>
    <t>msg18397</t>
  </si>
  <si>
    <t>disagreeing::refactoring::required</t>
  </si>
  <si>
    <t>msg18401</t>
  </si>
  <si>
    <t>move::discussion::into::a::related::review</t>
  </si>
  <si>
    <t>msg26821</t>
  </si>
  <si>
    <t>providing::example::(use::case)</t>
  </si>
  <si>
    <t>msg33893</t>
  </si>
  <si>
    <t>msg15634</t>
  </si>
  <si>
    <t>informing::bp::updated</t>
  </si>
  <si>
    <t>msg15735</t>
  </si>
  <si>
    <t>msg15810</t>
  </si>
  <si>
    <t>asking::approval::bp</t>
  </si>
  <si>
    <t>msg27791</t>
  </si>
  <si>
    <t>providing::advice::development::process::(topcs/tags)</t>
  </si>
  <si>
    <t>msg11310</t>
  </si>
  <si>
    <t>providing::clarification::about::solution::design</t>
  </si>
  <si>
    <t>msg09183</t>
  </si>
  <si>
    <t>msg51155</t>
  </si>
  <si>
    <t>functionality::that::was::enabled::thanks::to::the::BP::introduced::a::bug</t>
  </si>
  <si>
    <t>msg51212</t>
  </si>
  <si>
    <t>proposing::a::solution::to::bug::due::to::new::functionality::that::was::enabled::thanks::to::the::BP</t>
  </si>
  <si>
    <t>msg51213</t>
  </si>
  <si>
    <t>agreeing::with::the::solution::proposed::for::bug::due::to::new::functionality::that::was::enabled::thanks::to::the::BP</t>
  </si>
  <si>
    <t>msg51240</t>
  </si>
  <si>
    <t>asking::clarification::of::backporting::other::features::of::the::same::release::of::BP</t>
  </si>
  <si>
    <t>msg51248</t>
  </si>
  <si>
    <t>providing::clarification::of::backporting::other::features::of::the::same::release::of::BP::(oportunistic::approach)</t>
  </si>
  <si>
    <t>msg51552</t>
  </si>
  <si>
    <t>msg45356</t>
  </si>
  <si>
    <t>msg45386</t>
  </si>
  <si>
    <t>msg45388</t>
  </si>
  <si>
    <t>msg02607</t>
  </si>
  <si>
    <t>informing::filing::bug::to::track::progress</t>
  </si>
  <si>
    <t>msg02652</t>
  </si>
  <si>
    <t>proposing::temporary::fix</t>
  </si>
  <si>
    <t>reason::of::bug</t>
  </si>
  <si>
    <t>msg02954</t>
  </si>
  <si>
    <t>mentioning::related::bug</t>
  </si>
  <si>
    <t>msg02715</t>
  </si>
  <si>
    <t>asking::for::advice::(solution::design)</t>
  </si>
  <si>
    <t>msg02913</t>
  </si>
  <si>
    <t>providing::advice::(solution::design)</t>
  </si>
  <si>
    <t>CI1</t>
  </si>
  <si>
    <t>CI2</t>
  </si>
  <si>
    <t>CI3</t>
  </si>
  <si>
    <t>CodeReview</t>
  </si>
  <si>
    <r>
      <rPr>
        <rFont val="Arial"/>
        <color theme="1"/>
      </rPr>
      <t xml:space="preserve">This field contains information that could be used for the continuous integration check
Review the URL of the commit. 
</t>
    </r>
    <r>
      <rPr>
        <rFont val="Arial"/>
        <b/>
        <color theme="1"/>
      </rPr>
      <t>Nova</t>
    </r>
    <r>
      <rPr>
        <rFont val="Arial"/>
        <color theme="1"/>
      </rPr>
      <t xml:space="preserve"> --&gt; check the zuul section in the review (URL Provided </t>
    </r>
    <r>
      <rPr>
        <rFont val="Arial"/>
        <b/>
        <color theme="1"/>
      </rPr>
      <t>Column D</t>
    </r>
    <r>
      <rPr>
        <rFont val="Arial"/>
        <color theme="1"/>
      </rPr>
      <t xml:space="preserve">). 
</t>
    </r>
    <r>
      <rPr>
        <rFont val="Arial"/>
        <b/>
        <color theme="1"/>
      </rPr>
      <t xml:space="preserve">ES </t>
    </r>
    <r>
      <rPr>
        <rFont val="Arial"/>
        <color theme="1"/>
      </rPr>
      <t xml:space="preserve">--&gt; check github actions that link to the PR (URL Provided: </t>
    </r>
    <r>
      <rPr>
        <rFont val="Arial"/>
        <b/>
        <color theme="1"/>
      </rPr>
      <t>Column D</t>
    </r>
    <r>
      <rPr>
        <rFont val="Arial"/>
        <color theme="1"/>
      </rPr>
      <t xml:space="preserve">) Or check if any GH action is related to the CommitID in </t>
    </r>
    <r>
      <rPr>
        <rFont val="Arial"/>
        <b/>
        <color theme="1"/>
      </rPr>
      <t>Column C.</t>
    </r>
  </si>
  <si>
    <t>CI build id</t>
  </si>
  <si>
    <t>CI build status</t>
  </si>
  <si>
    <t>CI build status change</t>
  </si>
  <si>
    <t>Comparable Status change?</t>
  </si>
  <si>
    <t>jenkins</t>
  </si>
  <si>
    <t>Success</t>
  </si>
  <si>
    <t>db datasets ci</t>
  </si>
  <si>
    <t>microsoft hyper-v ci</t>
  </si>
  <si>
    <t>vmware nsx ci</t>
  </si>
  <si>
    <t>Failed</t>
  </si>
  <si>
    <t>smokestack ci</t>
  </si>
  <si>
    <t>citrix xenserver ci</t>
  </si>
  <si>
    <t>ibm powerkvm ci</t>
  </si>
  <si>
    <t>intel pci ci</t>
  </si>
  <si>
    <t>C2.1 - Commit type (Current) (Commit type (discussion with Steffen))</t>
  </si>
  <si>
    <t>C 2.2 - Commit Children(s) Type (Commit type (discussion with Steffen))</t>
  </si>
  <si>
    <t>C 2.3 - Commit Parent(s) Type (Commit type (discussion with Steffen))</t>
  </si>
  <si>
    <t>C8 - Multiple Concerns</t>
  </si>
  <si>
    <t>C9 - Commit Type Swason</t>
  </si>
  <si>
    <t>C10 - Test Changes</t>
  </si>
  <si>
    <t>C11 - Bug-covering test changes</t>
  </si>
  <si>
    <t>C12 - Bug Covering test changes prior or subsequent commit</t>
  </si>
  <si>
    <t>C-13 - Test Failures</t>
  </si>
  <si>
    <t>C-14 - Bug Covering test failures</t>
  </si>
  <si>
    <t>C-15 - Documentation Changes</t>
  </si>
  <si>
    <t>C-16 - Bug affecting documentation Changes</t>
  </si>
  <si>
    <t>C-17 - Refactorings</t>
  </si>
  <si>
    <t>C-18 - Bug Introducing Refactorings</t>
  </si>
  <si>
    <t>C-19 - Design Changes</t>
  </si>
  <si>
    <t>C-20 - Bug introducing Design Changes</t>
  </si>
  <si>
    <t>C-21 - Changes of external dependencies</t>
  </si>
  <si>
    <t>C-21 - Bug-introducing Changes of external dependencies</t>
  </si>
  <si>
    <t>C2 OLD - Commit type of addition</t>
  </si>
  <si>
    <t>C22 - Commit has more than one revision (e.g., check the commit id in the search bar)</t>
  </si>
  <si>
    <r>
      <rPr>
        <rFont val="Arial"/>
        <color theme="1"/>
      </rPr>
      <t xml:space="preserve">This field contains information that could be used for the continuous integration check
</t>
    </r>
    <r>
      <rPr>
        <rFont val="Arial"/>
        <b/>
        <color theme="1"/>
      </rPr>
      <t xml:space="preserve">Bug Introducing commit. </t>
    </r>
    <r>
      <rPr>
        <rFont val="Arial"/>
        <color theme="1"/>
      </rPr>
      <t xml:space="preserve">
Check the whole tree and not only the committed file to understand the  building process</t>
    </r>
  </si>
  <si>
    <t>Source (WHY)</t>
  </si>
  <si>
    <t>Co authors</t>
  </si>
  <si>
    <t>Rebase</t>
  </si>
  <si>
    <t>mentiones cherry pick</t>
  </si>
  <si>
    <t>Merge</t>
  </si>
  <si>
    <t>378c045b1d40a4af8330eb7ece3dcda1620a578c</t>
  </si>
  <si>
    <t>Other::(Cherry::Pick)</t>
  </si>
  <si>
    <t>61fc52948f26656c4bec4a09ee3daa16153f991b</t>
  </si>
  <si>
    <t>Corrective, Perfective</t>
  </si>
  <si>
    <t>Status(Not Available), CL(NO)</t>
  </si>
  <si>
    <t>inline</t>
  </si>
  <si>
    <t>moved logic to method</t>
  </si>
  <si>
    <t>Ammend</t>
  </si>
  <si>
    <t>Rebase::Ammend</t>
  </si>
  <si>
    <t>eed038d2bf128b6e571095488d87b59a64252386</t>
  </si>
  <si>
    <t>65d8c81ddaa0419c2273674de84f80ee1354b2f0</t>
  </si>
  <si>
    <t>Perfective</t>
  </si>
  <si>
    <t>Status(YES), CL(YES)</t>
  </si>
  <si>
    <t>inline in tests</t>
  </si>
  <si>
    <t>its the whole point</t>
  </si>
  <si>
    <t>26aeee429e77d518f39fb6057c5768e7edc0b281</t>
  </si>
  <si>
    <t>Direct::Commit</t>
  </si>
  <si>
    <t>only commit in review</t>
  </si>
  <si>
    <t>f70c1a81543d89c6b3191ae0ad62ee1e918cc104</t>
  </si>
  <si>
    <t>5a8ae0f1d0c115b488992f98ceb077e1c23ea330</t>
  </si>
  <si>
    <t>db migration</t>
  </si>
  <si>
    <t>mock</t>
  </si>
  <si>
    <t>4e449c0843150b785bc61e87599d05ff242a8f4a</t>
  </si>
  <si>
    <t>80d32286bdb5b886197e03fc8ad924d27c1ae122</t>
  </si>
  <si>
    <t>Corrective</t>
  </si>
  <si>
    <t>Status(Not Available), CL(YES)</t>
  </si>
  <si>
    <t>14e2ed3ace769c4deaca3c48a2fa59863f637a5f</t>
  </si>
  <si>
    <t>03fed769c21e4030309d86bed0ffd776209cc005</t>
  </si>
  <si>
    <t>fcb77e7678e887e8a83211ef530bc531068bbdf6</t>
  </si>
  <si>
    <t>Adaptive, Perfective</t>
  </si>
  <si>
    <t>db</t>
  </si>
  <si>
    <t>d14fe775be0c732ce13fea826048ca8e853d284c</t>
  </si>
  <si>
    <t>a3d292fd2eefe4fd9020e29d26af9f733d272f19</t>
  </si>
  <si>
    <t>1fc7170b0f82c24e519c4a7e02d138638d3c41d1</t>
  </si>
  <si>
    <t>46e3b8fa63ec780c2cbf03236012686cbe0f122f</t>
  </si>
  <si>
    <t>test class</t>
  </si>
  <si>
    <t>50e177b858a18f891f2cf591bf6ebf34a93f6e01</t>
  </si>
  <si>
    <t>0bcf22e71d914a396d9f01ca02bc5c347224f5db</t>
  </si>
  <si>
    <t>in tests</t>
  </si>
  <si>
    <t>204c11a893fb4a4c7c549b98f489eedaac0279dd</t>
  </si>
  <si>
    <t>8b3f79e5ad437c54d4c91879634034b3dd9fb3f3</t>
  </si>
  <si>
    <t>b2ade54e822f8d49eda9946056e65f510c9f5038</t>
  </si>
  <si>
    <t>Adaptive</t>
  </si>
  <si>
    <t>adapting to method deprecation in python</t>
  </si>
  <si>
    <t>Other</t>
  </si>
  <si>
    <t>no indication what it is</t>
  </si>
  <si>
    <t>191a2086d94dfb34c43738ec9b702763354f314a</t>
  </si>
  <si>
    <t>no indication what it is
dbf14e9b6cc337233ef95b03fd1c2fdba8ebf8a7</t>
  </si>
  <si>
    <t>Status(Not Available), CL(Not Available)</t>
  </si>
  <si>
    <t>193ec0529275420b00d461d4a3310a06284a2004</t>
  </si>
  <si>
    <t>only commit in review
a9a04eec29701ec8c185b48ce114f3e59c538cc9</t>
  </si>
  <si>
    <t>removes classes in tests</t>
  </si>
  <si>
    <t>5cdb8f120ecd9490c04fa3210a1e76e290da4578</t>
  </si>
  <si>
    <t>Ic17334e0a9de89488d5e0c8b75950027d51a3cd4</t>
  </si>
  <si>
    <t>added onle line comment for one of the multiple new functions</t>
  </si>
  <si>
    <t>a95b62b51c55541e0c856de01e78bb9f49bf73a7</t>
  </si>
  <si>
    <t>3d5d1f68eadff9f4a49f70c0fcb3e4462044bca4</t>
  </si>
  <si>
    <t>fix, tests and more cleanup</t>
  </si>
  <si>
    <t>new class</t>
  </si>
  <si>
    <t>but internal</t>
  </si>
  <si>
    <t>ff78a03a91a2d75cdb9f7f72f7c816c05d962f81</t>
  </si>
  <si>
    <t>844d0cafdbecfddc12b2fde456d9c123436ab10a</t>
  </si>
  <si>
    <t>Status(NO), CL(NO)</t>
  </si>
  <si>
    <t>2a5bbae0b811b160ed629a94485e122d9f0811ca</t>
  </si>
  <si>
    <t>874e8203fab39fee955a5a3cc468a77a02049a62</t>
  </si>
  <si>
    <t>only non voting</t>
  </si>
  <si>
    <t>new test class</t>
  </si>
  <si>
    <t>1adf65dda010b0d0da53acbce9d2872df09a2f29</t>
  </si>
  <si>
    <t>5c74a937da1380c2ad492d67c39f6ff93a1d0b07</t>
  </si>
  <si>
    <t>8b9f924306ffa35b2a87cd6ec5adc28159bc78c1</t>
  </si>
  <si>
    <t>only moved some</t>
  </si>
  <si>
    <t>2413356773b99c78c6d19547555270e3d76dd961</t>
  </si>
  <si>
    <t>36fffe9bde1d353a418274a79e6f7abd0177d065</t>
  </si>
  <si>
    <t>hmm no idea</t>
  </si>
  <si>
    <t>technically, iguess</t>
  </si>
  <si>
    <t>yes? no? idk</t>
  </si>
  <si>
    <t>But does not say "merge" in the title
41b5e4a12d23308f2143dfb5a059c43a931370e2</t>
  </si>
  <si>
    <t>But does not say "merge" in the title
800ecbd713c55d7410d6eb860a439cb87468e7ad</t>
  </si>
  <si>
    <t>651ef4d0019951da106c0dbb2cad22a3bd0bdd52</t>
  </si>
  <si>
    <t>30b66a90a4f51a04d7f59b4196c4235484ade38d</t>
  </si>
  <si>
    <t>only to the fake object</t>
  </si>
  <si>
    <t>hyper</t>
  </si>
  <si>
    <t>removes class</t>
  </si>
  <si>
    <t>b6222eb7441296179c6b47bdc55f68f8cf240ae8</t>
  </si>
  <si>
    <t>3d19edc023e34c73cbaed60bf1fb0c9dc287fb89</t>
  </si>
  <si>
    <t>a099320c6a2981f518c031e5b76179037235411a</t>
  </si>
  <si>
    <t>afeb8a7b0eb5e62e771a103593311c32e31086e7</t>
  </si>
  <si>
    <t>Status(YES), CL(NO)</t>
  </si>
  <si>
    <t>15bc30eb5a2c530f8c037a53ee42f27840c4fb59</t>
  </si>
  <si>
    <t>60c817838900b1181eeb7947aee0c72993cc214f</t>
  </si>
  <si>
    <t>8c3293d77a4e79b1b633e5b421e800bbc9ab7c42</t>
  </si>
  <si>
    <t>4715dd9b402137ba16c8afa0519aca2eccb9c2cf</t>
  </si>
  <si>
    <t>4903a9837be228e01eabb71748b7fdba671ab7cd</t>
  </si>
  <si>
    <t>79b38e2aeebaa2ebe8a73ee0cf73b2879e272f3e</t>
  </si>
  <si>
    <t>internal only</t>
  </si>
  <si>
    <t>ba41928d013809437518f0510c0ee6a8b3f5aa27</t>
  </si>
  <si>
    <t>42e4c04e9ec26acf79ac0f08c5ab59489b36cb2f</t>
  </si>
  <si>
    <t>b4cfd9ab1b78d8926072615d21cb7bd430b38612</t>
  </si>
  <si>
    <t>899277303450d1d96dd835e80c0a076ad5e89c18</t>
  </si>
  <si>
    <t>bug and new fake implementaion</t>
  </si>
  <si>
    <t>some inlines</t>
  </si>
  <si>
    <t>partially</t>
  </si>
  <si>
    <t>eventlet in tests</t>
  </si>
  <si>
    <t>7c4ea19d9b79a50557db1b3723f4d7fd5d574ff6</t>
  </si>
  <si>
    <t>b6b9ca1136de4b1dbb01b059d8e954dbaf0508cb</t>
  </si>
  <si>
    <t>507daea012322b913128f5d201057966f8e3dfcf</t>
  </si>
  <si>
    <t>1216cb2f8a588cc55bd7716a0cdd4fc5260d8369</t>
  </si>
  <si>
    <t>96a62e0dd8a251d1b7134bbf60417abe48371450</t>
  </si>
  <si>
    <t>two blueprints</t>
  </si>
  <si>
    <t>maybe...</t>
  </si>
  <si>
    <t>d5b80e12d29a38df0bac48a32d02926e0111a9fc</t>
  </si>
  <si>
    <t>667bc41d5d6845fd97a164ac409a0bea1c4bf4f9</t>
  </si>
  <si>
    <t>7df1c911e42124d74cc0e4dd0fc2d7be14960970</t>
  </si>
  <si>
    <t>2 reviews, neither on the master branch, neither with more than 1 patchset
54f9225a3d6d3b4196ece7700809def3e38b9482</t>
  </si>
  <si>
    <t>3dcdce39e5fd17277f12621c2f91d74b69710fbb</t>
  </si>
  <si>
    <t>58f9f3b12285e0045932959049778b9663042944</t>
  </si>
  <si>
    <t>7fdc5fc74c7107d1d0a325b52ee31aa7f5e63405</t>
  </si>
  <si>
    <t>I6b256b783852cb91869ea99e699b3cafd8665adf</t>
  </si>
  <si>
    <t>39256b802351e6786d3cb210504cdb461b9fa053</t>
  </si>
  <si>
    <t>953d0d7be7eee3a7949efe2c9585a0ce725c5370</t>
  </si>
  <si>
    <t>af90386cecb6036bbae93918b83f6db242518b75</t>
  </si>
  <si>
    <t>b6f4796f8649ae656c098a624afbf9fed5261e72</t>
  </si>
  <si>
    <t>f005a70a6f3cdee0aa0fea9c64e0c5b8bd597ba9</t>
  </si>
  <si>
    <t>32af3c94bd62c46713a44bf75f2e4989f8b98bc4</t>
  </si>
  <si>
    <t>maybe</t>
  </si>
  <si>
    <t>according to commit message</t>
  </si>
  <si>
    <t>Rebase::(Review)</t>
  </si>
  <si>
    <t>only tests</t>
  </si>
  <si>
    <t>Direct::Commit::(Review)</t>
  </si>
  <si>
    <t>Adaptive, Corrective, Perfective</t>
  </si>
  <si>
    <t>api doc</t>
  </si>
  <si>
    <t>Direct::Commit::(Multi::Review)</t>
  </si>
  <si>
    <t>mult. PRs</t>
  </si>
  <si>
    <t>adaptive because it adds new endpints</t>
  </si>
  <si>
    <t>hmmm its test files not test changes</t>
  </si>
  <si>
    <t>R2 - Review Tool</t>
  </si>
  <si>
    <t>R7</t>
  </si>
  <si>
    <t>R8 - Aspects of reviews comments</t>
  </si>
  <si>
    <t>R 11 - Where is done the review? (main branch or secondary branch)</t>
  </si>
  <si>
    <t>PR ID</t>
  </si>
  <si>
    <t>URL Commit</t>
  </si>
  <si>
    <r>
      <rPr>
        <rFont val="Arial"/>
        <color theme="1"/>
      </rPr>
      <t xml:space="preserve">This field contains information that could be used for the review system
</t>
    </r>
    <r>
      <rPr>
        <rFont val="Arial"/>
        <b/>
        <color theme="1"/>
      </rPr>
      <t xml:space="preserve">Review (Nova) | PR (ES)
</t>
    </r>
    <r>
      <rPr>
        <rFont val="Arial"/>
        <color theme="1"/>
      </rPr>
      <t>However, this should be checked</t>
    </r>
  </si>
  <si>
    <t>Caused changes</t>
  </si>
  <si>
    <t>Gerrit</t>
  </si>
  <si>
    <t>Issues::(BP/bugs)::that::caused::the::change</t>
  </si>
  <si>
    <t>Main</t>
  </si>
  <si>
    <t>suggestion::content::change::(commit::message)</t>
  </si>
  <si>
    <t>p1 /COMMIT_MSG 7 0</t>
  </si>
  <si>
    <t>asking::clarification::about::code::(error::handling)</t>
  </si>
  <si>
    <t>p2 nova/compute/manager.py 1326 0</t>
  </si>
  <si>
    <t>providing::clarification::about::code::(error::handling)</t>
  </si>
  <si>
    <t>p2 nova/compute/manager.py 1326 1</t>
  </si>
  <si>
    <t>suggestion::refactoring::(use::method/function)</t>
  </si>
  <si>
    <t>p2 nova/tests/compute/test_compute.py 2360 0</t>
  </si>
  <si>
    <t>suggestion::change::(use::method/function)</t>
  </si>
  <si>
    <t>p2 nova/tests/compute/test_compute.py 2363 0</t>
  </si>
  <si>
    <t>p2 nova/tests/compute/test_compute.py 2388 0</t>
  </si>
  <si>
    <t>not::approval::for::submitting1</t>
  </si>
  <si>
    <t>p1 log Aeva Black</t>
  </si>
  <si>
    <t>suggestion::change::(driver::level)</t>
  </si>
  <si>
    <t>p1 log melanie witt</t>
  </si>
  <si>
    <t>approval::for::submitting::granted::(non::final)1</t>
  </si>
  <si>
    <t>p1 log David Ripton</t>
  </si>
  <si>
    <t>approval::for::submitting::granted::(non::final)::core::rev1</t>
  </si>
  <si>
    <t>p2 log Vish Ishaya</t>
  </si>
  <si>
    <t>not::approval::for::submitting2</t>
  </si>
  <si>
    <t>p2 log David Ripton</t>
  </si>
  <si>
    <t>not::approval::for::submitting3</t>
  </si>
  <si>
    <t>p2 log Dan Smith</t>
  </si>
  <si>
    <t>approval::for::submitting::granted::(non::final)::core::rev2</t>
  </si>
  <si>
    <t>p3 log Dan Smith</t>
  </si>
  <si>
    <t>approval::for::submitting::granted::(final)</t>
  </si>
  <si>
    <t>p3 log Aeva Black</t>
  </si>
  <si>
    <t>informing::recheck::(specific::bug)</t>
  </si>
  <si>
    <t>p3 log melanie witt</t>
  </si>
  <si>
    <t>approval::for::submitting::granted::(non::final)::core::rev::(vote1)</t>
  </si>
  <si>
    <t>p1 log Andrew Laski</t>
  </si>
  <si>
    <t>bugs::hit</t>
  </si>
  <si>
    <t>p2 log Elastic Recheck</t>
  </si>
  <si>
    <t>failed::tests::(jenkins)</t>
  </si>
  <si>
    <t>p2 log Matt Riedemann</t>
  </si>
  <si>
    <t>approval::for::submitting::granted::(final)::core::rev::(vote1)</t>
  </si>
  <si>
    <t>p2 log Michael Still</t>
  </si>
  <si>
    <t>approval::for::workflow::(final)::(vote1)</t>
  </si>
  <si>
    <t>p1 nova/tests/pci/test_pci_stats.py 240 0</t>
  </si>
  <si>
    <t>p1 nova/tests/pci/test_pci_stats.py 256 0</t>
  </si>
  <si>
    <t>informing::recheck::(migrations)</t>
  </si>
  <si>
    <t>p1 log Baodong (Robert) Li</t>
  </si>
  <si>
    <t>informing::recheck::(no::bug)</t>
  </si>
  <si>
    <t>p1 log Jay Pipes</t>
  </si>
  <si>
    <t>p1 log Michael Still</t>
  </si>
  <si>
    <t>not::approval::for::submitting::(with::reasons)1</t>
  </si>
  <si>
    <t>p1 log p-draigbrady</t>
  </si>
  <si>
    <t>asking::development::status</t>
  </si>
  <si>
    <t>approval::for::submitting::granted::(non::final)::(vote2)</t>
  </si>
  <si>
    <t>p2 log Chuck Short</t>
  </si>
  <si>
    <t>approval::for::submitting::granted::(non::final)::core::rev::(vote2)</t>
  </si>
  <si>
    <t>p2 log Yun Mao</t>
  </si>
  <si>
    <t>informing::rebase</t>
  </si>
  <si>
    <t>p2 log Davanum Srinivas</t>
  </si>
  <si>
    <t>approval::for::submitting::granted::(non::final)::(vote3)</t>
  </si>
  <si>
    <t>p3 log Chuck Short</t>
  </si>
  <si>
    <t>approval::for::submitting::granted::(non::final)::core::rev::(vote3)</t>
  </si>
  <si>
    <t>p3 log Vish Ishaya</t>
  </si>
  <si>
    <t>approval::for::submitting::granted::(non::final)::core::rev::(vote4)</t>
  </si>
  <si>
    <t>p3 log Yun Mao</t>
  </si>
  <si>
    <t>approval::for::submitting::granted::(final)::core::rev::(vote2)</t>
  </si>
  <si>
    <t>referes::to::spec::(github)</t>
  </si>
  <si>
    <t>p1 log Kevin L. Mitchell</t>
  </si>
  <si>
    <t>approval::for::submitting::granted::(non::final)::(vote1)</t>
  </si>
  <si>
    <t>p1 log Joshua Hesketh</t>
  </si>
  <si>
    <t>p1 log Matthew Gilliard</t>
  </si>
  <si>
    <t>p1 log John Garbutt</t>
  </si>
  <si>
    <t>approval::for::workflow::(non::final)::(vote1)</t>
  </si>
  <si>
    <t>p1 log Sylvain Bauza</t>
  </si>
  <si>
    <t>p2 log Matt Dietz</t>
  </si>
  <si>
    <t>approval::for::workflow::(non::final)::(vote2)</t>
  </si>
  <si>
    <t>doc::impact::mentioned</t>
  </si>
  <si>
    <t>suggestion::content::change::(commit::message::docImpact)</t>
  </si>
  <si>
    <t>p2 /COMMIT_MSG 19 0</t>
  </si>
  <si>
    <t>done::/::will::do</t>
  </si>
  <si>
    <t>p2 /COMMIT_MSG 19 1</t>
  </si>
  <si>
    <t>asking::clarification::about::code</t>
  </si>
  <si>
    <t>p2 etc/nova/policy.json 65 0</t>
  </si>
  <si>
    <t>providing::clarification::about::code</t>
  </si>
  <si>
    <t>p2 etc/nova/policy.json 65 1</t>
  </si>
  <si>
    <t>suggestion::refactoring::(style)</t>
  </si>
  <si>
    <t>p2 nova/api/openstack/compute/plugins/v3/aggregates.py 160 0</t>
  </si>
  <si>
    <t>p2 nova/api/openstack/compute/plugins/v3/aggregates.py 160 1</t>
  </si>
  <si>
    <t>p2 nova/api/openstack/compute/plugins/v3/aggregates.py 178 0</t>
  </si>
  <si>
    <t>p2 nova/api/openstack/compute/plugins/v3/aggregates.py 178 1</t>
  </si>
  <si>
    <t>p2 nova/api/openstack/compute/plugins/v3/aggregates.py 197 0</t>
  </si>
  <si>
    <t>p2 nova/api/openstack/compute/plugins/v3/aggregates.py 197 1</t>
  </si>
  <si>
    <t>suggestion::content::change::(commit::message::BP::referenced)</t>
  </si>
  <si>
    <t>p3 /COMMIT_MSG 19 0</t>
  </si>
  <si>
    <t>p3 /COMMIT_MSG 19 1</t>
  </si>
  <si>
    <t>p3 etc/nova/policy.json 56 0</t>
  </si>
  <si>
    <t>p3 etc/nova/policy.json 56 1</t>
  </si>
  <si>
    <t>p3 etc/nova/policy.json 65 0</t>
  </si>
  <si>
    <t>p3 etc/nova/policy.json 65 1</t>
  </si>
  <si>
    <t>objecting::clarification::about::code</t>
  </si>
  <si>
    <t>p3 etc/nova/policy.json 65 2</t>
  </si>
  <si>
    <t>p3 etc/nova/policy.json 65 3</t>
  </si>
  <si>
    <t>asking::clarification::about::change::(logic)</t>
  </si>
  <si>
    <t>p3 nova/api/openstack/compute/contrib/aggregates.py 30 0</t>
  </si>
  <si>
    <t>providing::clarification::about::change::(logic)</t>
  </si>
  <si>
    <t>p3 nova/api/openstack/compute/contrib/aggregates.py 30 1</t>
  </si>
  <si>
    <t>accepting::clarification</t>
  </si>
  <si>
    <t>p3 nova/api/openstack/compute/contrib/aggregates.py 30 2</t>
  </si>
  <si>
    <t>suggestion::change::(to::mantain::bacward::compatibility)</t>
  </si>
  <si>
    <t>p3 nova/api/openstack/compute/contrib/aggregates.py 56 0</t>
  </si>
  <si>
    <t>objecting::suggestion::change::(to::mantain::bacward::compatibility)</t>
  </si>
  <si>
    <t>p3 nova/api/openstack/compute/contrib/aggregates.py 56 1</t>
  </si>
  <si>
    <t>suggestion::change::(update::method)</t>
  </si>
  <si>
    <t>p3 nova/api/openstack/compute/plugins/v3/aggregates.py 33 0</t>
  </si>
  <si>
    <t>objecting::suggestion::change::(update::method)</t>
  </si>
  <si>
    <t>p3 nova/api/openstack/compute/plugins/v3/aggregates.py 33 1</t>
  </si>
  <si>
    <t>suggestion::refactoring::(function::parameters)</t>
  </si>
  <si>
    <t>p5 nova/api/openstack/compute/plugins/v3/aggregates.py 105 0</t>
  </si>
  <si>
    <t>p5 nova/api/openstack/compute/plugins/v3/aggregates.py 105 1</t>
  </si>
  <si>
    <t>p5 nova/api/openstack/compute/plugins/v3/aggregates.py 116 0</t>
  </si>
  <si>
    <t>p5 nova/api/openstack/compute/plugins/v3/aggregates.py 116 1</t>
  </si>
  <si>
    <t>p5 nova/api/openstack/compute/plugins/v3/aggregates.py 147 0</t>
  </si>
  <si>
    <t>p5 nova/api/openstack/compute/plugins/v3/aggregates.py 147 1</t>
  </si>
  <si>
    <t>p5 nova/api/openstack/compute/plugins/v3/aggregates.py 160 0</t>
  </si>
  <si>
    <t>p5 nova/api/openstack/compute/plugins/v3/aggregates.py 160 1</t>
  </si>
  <si>
    <t>p5 nova/api/openstack/compute/plugins/v3/aggregates.py 178 0</t>
  </si>
  <si>
    <t>p5 nova/api/openstack/compute/plugins/v3/aggregates.py 178 1</t>
  </si>
  <si>
    <t>p5 nova/api/openstack/compute/plugins/v3/aggregates.py 197 0</t>
  </si>
  <si>
    <t>p5 nova/api/openstack/compute/plugins/v3/aggregates.py 197 1</t>
  </si>
  <si>
    <t>suggestion::change::(exception::type)</t>
  </si>
  <si>
    <t>p5 nova/tests/api/openstack/compute/plugins/v3/test_aggregates.py 62 0</t>
  </si>
  <si>
    <t>objecting::suggestion::change::(exception::type)</t>
  </si>
  <si>
    <t>p5 nova/tests/api/openstack/compute/plugins/v3/test_aggregates.py 62 1</t>
  </si>
  <si>
    <t>informing::error::in::CI::system</t>
  </si>
  <si>
    <t>p6 nova/tests/api/openstack/compute/plugins/v3/test_aggregates.py 62 0</t>
  </si>
  <si>
    <t>providing::clarification::about::dependency::(api::version)</t>
  </si>
  <si>
    <t>suggestion::content::change::(commit::message::docImpact::explanation)</t>
  </si>
  <si>
    <t>p8 /COMMIT_MSG 23 0</t>
  </si>
  <si>
    <t>p8 /COMMIT_MSG 23 1</t>
  </si>
  <si>
    <t>p2 log Christopher Yeoh</t>
  </si>
  <si>
    <t>discussing::about::change::(backwards::compatibility)</t>
  </si>
  <si>
    <t>discussing::about::change::(blueprint::bp::needed)</t>
  </si>
  <si>
    <t>p2 log Joe Cropper</t>
  </si>
  <si>
    <t>p3 log Guangya Liu</t>
  </si>
  <si>
    <t>p3 log Alex Xu</t>
  </si>
  <si>
    <t>discussing::about::solution::design</t>
  </si>
  <si>
    <t>referes::to::related::BP</t>
  </si>
  <si>
    <r>
      <rPr>
        <rFont val="Arial"/>
        <sz val="8.0"/>
      </rPr>
      <t xml:space="preserve">p3 log Alex Xu -&gt; </t>
    </r>
    <r>
      <rPr>
        <rFont val="Arial"/>
        <color rgb="FF1155CC"/>
        <sz val="8.0"/>
        <u/>
      </rPr>
      <t>https://blueprints.launchpad.net/nova/+spec/v3-api-policy</t>
    </r>
  </si>
  <si>
    <t>referes::to::related::review</t>
  </si>
  <si>
    <r>
      <rPr>
        <rFont val="Arial"/>
        <sz val="8.0"/>
      </rPr>
      <t xml:space="preserve">p3 log Alex Xu -&gt; </t>
    </r>
    <r>
      <rPr>
        <rFont val="Arial"/>
        <color rgb="FF1155CC"/>
        <sz val="8.0"/>
        <u/>
      </rPr>
      <t>https://review.openstack.org/#/c/64999/</t>
    </r>
  </si>
  <si>
    <t>p3 log Joe Cropper</t>
  </si>
  <si>
    <t>not::approval::for::submitting4</t>
  </si>
  <si>
    <t>p5 log Alex Xu</t>
  </si>
  <si>
    <t>minor::changes::required::for::submitting</t>
  </si>
  <si>
    <t>p7 log Joe Cropper</t>
  </si>
  <si>
    <t>p8 log Joe Cropper</t>
  </si>
  <si>
    <t>p8 log Matt Riedemann</t>
  </si>
  <si>
    <t>p9 log Joe Cropper</t>
  </si>
  <si>
    <t>failed::tests::(temptest)</t>
  </si>
  <si>
    <t>p9 log Elastic Recheck</t>
  </si>
  <si>
    <t>p9 log Matt Riedemann</t>
  </si>
  <si>
    <t>approval::for::submitting::granted::for::the::BP</t>
  </si>
  <si>
    <t>p9 log Christopher Yeoh</t>
  </si>
  <si>
    <t>p9 log Guangya Liu</t>
  </si>
  <si>
    <t>approval::for::submitting::granted::(non::final)2</t>
  </si>
  <si>
    <t>p9 log garyk</t>
  </si>
  <si>
    <t>approval::for::submitting::granted::(non::final)3</t>
  </si>
  <si>
    <t>p9 log Alex Xu</t>
  </si>
  <si>
    <t>approval::for::submitting::granted::(final)::core::rev1</t>
  </si>
  <si>
    <t>p9 log Russell Bryant</t>
  </si>
  <si>
    <t>p3 nova/tests/virt/xenapi/test_volumeops.py 180 0</t>
  </si>
  <si>
    <t>p3 nova/tests/virt/xenapi/test_volumeops.py 180 1</t>
  </si>
  <si>
    <t>suggestion::change::(naming::class)</t>
  </si>
  <si>
    <t>p3 nova/tests/virt/xenapi/test_volumeops.py 217 0</t>
  </si>
  <si>
    <t>p3 nova/tests/virt/xenapi/test_volumeops.py 217 1</t>
  </si>
  <si>
    <t>p3 nova/virt/xenapi/volumeops.py 165 0</t>
  </si>
  <si>
    <t>accepting::suggestion::refactoring::(style)</t>
  </si>
  <si>
    <t>p3 nova/virt/xenapi/volumeops.py 165 1</t>
  </si>
  <si>
    <t>not::approval::for::submitting::core::rev::(vote1)</t>
  </si>
  <si>
    <t>not::approval::workflow::(vote1)</t>
  </si>
  <si>
    <t>p3 log Sandy Walsh</t>
  </si>
  <si>
    <t>p3 log Johannes Erdfelt</t>
  </si>
  <si>
    <t>p3 log John Garbutt</t>
  </si>
  <si>
    <t>p4 log Michael Still</t>
  </si>
  <si>
    <t>p4 log Brian Elliott</t>
  </si>
  <si>
    <t>informing::rebase2</t>
  </si>
  <si>
    <t>p4 log John Garbutt</t>
  </si>
  <si>
    <t>p5 log John Garbutt</t>
  </si>
  <si>
    <t>informing::rebase3</t>
  </si>
  <si>
    <t>approval::for::workflow::(non::final)::(vote3)</t>
  </si>
  <si>
    <t>p6 log John Garbutt</t>
  </si>
  <si>
    <t>approval::for::workflow::(non::final)::(vote4)</t>
  </si>
  <si>
    <t>informing::rebase4</t>
  </si>
  <si>
    <t>approval::for::workflow::(non::final)::(vote5)</t>
  </si>
  <si>
    <t>p7 log John Garbutt</t>
  </si>
  <si>
    <t>p7 log Elastic Recheck</t>
  </si>
  <si>
    <t>p3 log Chris Behrens</t>
  </si>
  <si>
    <t>p3 log Matt Dietz</t>
  </si>
  <si>
    <t>p3 log garyk</t>
  </si>
  <si>
    <t>approval::for::submitting::granted::(non::final)::core::rev3</t>
  </si>
  <si>
    <t>p4 log Matt Dietz</t>
  </si>
  <si>
    <t>approval::for::submitting::granted::(non::final)::core::rev4</t>
  </si>
  <si>
    <t>p4 log Chris Behrens</t>
  </si>
  <si>
    <t>p4 log garyk</t>
  </si>
  <si>
    <t>p4 log Joshua Hesketh</t>
  </si>
  <si>
    <t>approval::for::submitting::granted::(non::final)::core::rev5</t>
  </si>
  <si>
    <t>p5 log Matt Dietz</t>
  </si>
  <si>
    <t>approval::for::submitting::granted::(non::final)::core::rev6</t>
  </si>
  <si>
    <t>p5 log Chris Behrens</t>
  </si>
  <si>
    <t>approval::for::submitting::granted::(non::final)4</t>
  </si>
  <si>
    <t>p5 log garyk</t>
  </si>
  <si>
    <t>approval::for::submitting::granted::(non::final)5</t>
  </si>
  <si>
    <t>p5 log Joshua Hesketh</t>
  </si>
  <si>
    <t>p5 log Michael Still</t>
  </si>
  <si>
    <t>suggestion::refactoring::(style::indentation)</t>
  </si>
  <si>
    <t>p3 nova/tests/virt/xenapi/test_vm_utils.py 193 0</t>
  </si>
  <si>
    <t>p3 nova/tests/virt/xenapi/test_vm_utils.py 193 1</t>
  </si>
  <si>
    <t>p3 nova/tests/virt/xenapi/test_vm_utils.py 210 0</t>
  </si>
  <si>
    <t>p3 nova/tests/virt/xenapi/test_vm_utils.py 210 1</t>
  </si>
  <si>
    <t>p3 nova/tests/virt/xenapi/test_xenapi.py 635 0</t>
  </si>
  <si>
    <t>p3 nova/tests/virt/xenapi/test_xenapi.py 635 1</t>
  </si>
  <si>
    <t>p3 nova/tests/virt/xenapi/test_xenapi.py 1050 0</t>
  </si>
  <si>
    <t>p3 nova/tests/virt/xenapi/test_xenapi.py 1050 1</t>
  </si>
  <si>
    <t>p3 nova/tests/virt/xenapi/test_xenapi.py 3715 0</t>
  </si>
  <si>
    <t>p3 nova/tests/virt/xenapi/test_xenapi.py 3715 1</t>
  </si>
  <si>
    <t>p1 log Russell Bryant</t>
  </si>
  <si>
    <t>informing::review::expired</t>
  </si>
  <si>
    <t>p1 log LaunchpadSync</t>
  </si>
  <si>
    <t>review::restored::after::abandoned</t>
  </si>
  <si>
    <t>p1 log garyk</t>
  </si>
  <si>
    <t>no::score</t>
  </si>
  <si>
    <t>p3 log Russell Bryant</t>
  </si>
  <si>
    <t>p3 log Zhongyue Luo</t>
  </si>
  <si>
    <t>p4 log Zhongyue Luo</t>
  </si>
  <si>
    <t>p4 log Guangya Liu</t>
  </si>
  <si>
    <t>p4 log GuoHui LIu</t>
  </si>
  <si>
    <t>p4 log Andrew Laski</t>
  </si>
  <si>
    <t>p4 log Joe Gordon</t>
  </si>
  <si>
    <t>BP::needs::approval</t>
  </si>
  <si>
    <t>informing::BP::status</t>
  </si>
  <si>
    <t>p6 log garyk</t>
  </si>
  <si>
    <t>p6 log Guangya Liu</t>
  </si>
  <si>
    <t>p6 log Joe Gordon</t>
  </si>
  <si>
    <t>p6 log Mark McLoughlin</t>
  </si>
  <si>
    <t>p6 log Eugeniya Kudryashova</t>
  </si>
  <si>
    <t>p8 log Hans Lindgren</t>
  </si>
  <si>
    <t>p9 log Jay Pipes</t>
  </si>
  <si>
    <t>p10 log Hans Lindgren</t>
  </si>
  <si>
    <t>p11 log Sylvain Bauza</t>
  </si>
  <si>
    <t>asking::about::waiting::for::patch::(other::review)</t>
  </si>
  <si>
    <t>providing::clarification::about::waiting::for::patch::(other::review)</t>
  </si>
  <si>
    <t>p11 log Hans Lindgren</t>
  </si>
  <si>
    <t>p12 log Sylvain Bauza</t>
  </si>
  <si>
    <t>split::patches</t>
  </si>
  <si>
    <t>informing::recheck</t>
  </si>
  <si>
    <t>p14 log Hans Lindgren</t>
  </si>
  <si>
    <t>p14 log Alex Xu</t>
  </si>
  <si>
    <t>p14 log ice yao</t>
  </si>
  <si>
    <t>p14 log Jay Pipes</t>
  </si>
  <si>
    <t>p14 log Sean Dague</t>
  </si>
  <si>
    <t>approval::for::workflow1</t>
  </si>
  <si>
    <t>suggestion::change::typo::(commit::message)</t>
  </si>
  <si>
    <t>p1 /COMMIT_MSG 9 0</t>
  </si>
  <si>
    <t>p1 /COMMIT_MSG 15 0</t>
  </si>
  <si>
    <t>suggestion::change::(external::endpont::url)</t>
  </si>
  <si>
    <t>p1 nova/tests/api/openstack/compute/contrib/test_availability_zone.py 293 0</t>
  </si>
  <si>
    <t>referes::to::previous::suggestion</t>
  </si>
  <si>
    <t>p1 nova/tests/api/openstack/compute/contrib/test_availability_zone.py 307 0</t>
  </si>
  <si>
    <t>p1 nova/tests/api/openstack/compute/contrib/test_availability_zone.py 325 0</t>
  </si>
  <si>
    <t>p1 log Shuangtai Tian</t>
  </si>
  <si>
    <t>p1 log Ken'ichi Ohmichi</t>
  </si>
  <si>
    <t>p2 log Ken'ichi Ohmichi</t>
  </si>
  <si>
    <t>p2 log Ghanshyam</t>
  </si>
  <si>
    <t>p3 log Christopher Yeoh</t>
  </si>
  <si>
    <t>p3 log Ken'ichi Ohmichi</t>
  </si>
  <si>
    <t>p1 log Dan Smith</t>
  </si>
  <si>
    <t>requesting::more::tests</t>
  </si>
  <si>
    <t>p1 log Daniel Berrange</t>
  </si>
  <si>
    <t>p1 log Mauro Rodrigues</t>
  </si>
  <si>
    <t>not::approval::for::submitting::core::rev1</t>
  </si>
  <si>
    <t>informing::tests::added::(no::inline::message)</t>
  </si>
  <si>
    <t>p2 log Daniel Berrange</t>
  </si>
  <si>
    <t>p3 log p-draigbrady</t>
  </si>
  <si>
    <t>p1 log Mike Durnosvistov</t>
  </si>
  <si>
    <t>thanking::for::fix</t>
  </si>
  <si>
    <t>p1 /COMMIT_MSG 8 0</t>
  </si>
  <si>
    <t>p1 nova/tests/test_db_api.py 3564 0</t>
  </si>
  <si>
    <t>suggestion::refactoring::(renaming::function/method)</t>
  </si>
  <si>
    <t>p1 nova/tests/test_db_api.py 3567 0</t>
  </si>
  <si>
    <t>suggestion::change::(remove::obsulete::tests)</t>
  </si>
  <si>
    <t>p1 nova/tests/test_db_api.py 3593 0</t>
  </si>
  <si>
    <t>p1 nova/tests/test_db_api.py 3601 0</t>
  </si>
  <si>
    <t>p1 nova/tests/test_db_api.py 3639 0</t>
  </si>
  <si>
    <t>p1 log Boris Pavlovic</t>
  </si>
  <si>
    <t>p3 log Boris Pavlovic</t>
  </si>
  <si>
    <t>p3 log Michael Still</t>
  </si>
  <si>
    <t>agreeing::current::approach</t>
  </si>
  <si>
    <t>p1 nova/compute/api.py 2057 0</t>
  </si>
  <si>
    <t>asking::for::assistance</t>
  </si>
  <si>
    <t>p1 log Chris Behrens</t>
  </si>
  <si>
    <t>p2 log Chris Behrens</t>
  </si>
  <si>
    <t>p2 log Sean Dague</t>
  </si>
  <si>
    <t>p2 log Nikola Dipanov</t>
  </si>
  <si>
    <t>p4 log Nikola Dipanov</t>
  </si>
  <si>
    <t>suggestion::refactoring::code::(different::approach::change::config::file)</t>
  </si>
  <si>
    <t>agreeing::suggestion::refactoring::code::(different::approach::change::config::file)</t>
  </si>
  <si>
    <t>p1 log Mark McLoughlin</t>
  </si>
  <si>
    <t>p2 log Mauro Rodrigues</t>
  </si>
  <si>
    <t>p2 log Kevin L. Mitchell</t>
  </si>
  <si>
    <t>p2 log Rafi Khardalian</t>
  </si>
  <si>
    <t>p2 log Joe Gordon</t>
  </si>
  <si>
    <t>p2 log LaunchpadSync</t>
  </si>
  <si>
    <t>p2 log Mark McLoughlin</t>
  </si>
  <si>
    <t>p3 log Kevin L. Mitchell</t>
  </si>
  <si>
    <t>p3 log Joe Gordon</t>
  </si>
  <si>
    <t>suggestion::change::(delete::type/exception)</t>
  </si>
  <si>
    <t>p1 log Matthew Booth</t>
  </si>
  <si>
    <t>p2 log Jay Pipes</t>
  </si>
  <si>
    <t>suggestion::change::(logging::message::clearness)</t>
  </si>
  <si>
    <t>p1 nova/virt/vmwareapi/driver.py 768 0</t>
  </si>
  <si>
    <t>suggestion::change::(logging)</t>
  </si>
  <si>
    <t>p1 nova/virt/vmwareapi/driver.py 769 0</t>
  </si>
  <si>
    <t>agreeing::suggestion::change::(logging::message::clearness)</t>
  </si>
  <si>
    <t>p1 nova/virt/vmwareapi/driver.py 769 1</t>
  </si>
  <si>
    <t>suggestion::change::(removing::comment::documentation)</t>
  </si>
  <si>
    <t>p3 nova/virt/vmwareapi/driver.py 772 0</t>
  </si>
  <si>
    <t>p1 log Christopher Lefelhocz</t>
  </si>
  <si>
    <t>p1 log Shawn Hartsock</t>
  </si>
  <si>
    <t>p3 log Tracy Jones</t>
  </si>
  <si>
    <t>p3 log Sabari</t>
  </si>
  <si>
    <t>p3 log Matt Riedemann</t>
  </si>
  <si>
    <t>p3 log Christopher Lefelhocz</t>
  </si>
  <si>
    <t>p3 log Maithem</t>
  </si>
  <si>
    <t>suggestion::change::(delete::temporary::files)</t>
  </si>
  <si>
    <t>p1 tmp.commit 1 0</t>
  </si>
  <si>
    <t>p1 tmp.commit 1 1</t>
  </si>
  <si>
    <t>suggestion::change::(optional::improvement::remove::duplicated::tests)</t>
  </si>
  <si>
    <t>p2 nova/tests/unit/api/openstack/compute/contrib/test_rescue.py 223 0</t>
  </si>
  <si>
    <t>agreement::suggestion::change</t>
  </si>
  <si>
    <t>p2 nova/tests/unit/api/openstack/compute/contrib/test_rescue.py 223 1</t>
  </si>
  <si>
    <t>p1 log Sergey Nikitin</t>
  </si>
  <si>
    <t>not::approval::for::submitting::(vote1)</t>
  </si>
  <si>
    <t>p1 log shaohef</t>
  </si>
  <si>
    <t>p2 log Alex Xu</t>
  </si>
  <si>
    <t>p2 log Sergey Nikitin</t>
  </si>
  <si>
    <t>approval::for::submitting::granted::(non::final)::(vote4)</t>
  </si>
  <si>
    <t>p2 log shaohef</t>
  </si>
  <si>
    <t>approval::for::submitting::granted::(non::final)::(vote5)</t>
  </si>
  <si>
    <t>p2 log yuntongjin</t>
  </si>
  <si>
    <t>approval::for::submitting::granted::(final)::(vote1)</t>
  </si>
  <si>
    <t>suggestion::refactoring::(style::imports)</t>
  </si>
  <si>
    <t>p1 nova/tests/functional/v3/test_cloudpipe.py 20 0</t>
  </si>
  <si>
    <t>p3 nova/tests/unit/api/openstack/compute/contrib/test_cloudpipe.py 181 0</t>
  </si>
  <si>
    <t>p3 nova/tests/unit/api/openstack/compute/contrib/test_cloudpipe.py 181 1</t>
  </si>
  <si>
    <t>suggestion::refactoring::(accessibility::modifiers)</t>
  </si>
  <si>
    <t>p7 nova/tests/unit/api/openstack/compute/contrib/test_cloudpipe.py 171 0</t>
  </si>
  <si>
    <t>asking::clarification::suggestion::refactoring::(accessibility::modifiers)</t>
  </si>
  <si>
    <t>p7 nova/tests/unit/api/openstack/compute/contrib/test_cloudpipe.py 171 1</t>
  </si>
  <si>
    <t>p7 nova/tests/unit/api/openstack/compute/contrib/test_cloudpipe.py 172 0</t>
  </si>
  <si>
    <t>asking::clarification::intended::solution::design</t>
  </si>
  <si>
    <t>p7 nova/tests/unit/api/openstack/compute/contrib/test_cloudpipe.py 172 1</t>
  </si>
  <si>
    <t>p7 nova/tests/unit/api/openstack/compute/contrib/test_cloudpipe.py 182 0</t>
  </si>
  <si>
    <t>p7 nova/tests/unit/api/openstack/compute/contrib/test_cloudpipe.py 182 1</t>
  </si>
  <si>
    <t>suggestion::change::(logic)</t>
  </si>
  <si>
    <t>p8 nova/api/openstack/compute/plugins/v3/cloudpipe.py 49 0</t>
  </si>
  <si>
    <t>p8 nova/api/openstack/compute/plugins/v3/cloudpipe.py 49 1</t>
  </si>
  <si>
    <t>p9 nova/cloudpipe/pipelib.py 93 0</t>
  </si>
  <si>
    <t>not::approval::for::submitting::(vote2)</t>
  </si>
  <si>
    <t>not::approval::for::submitting::(vote3)</t>
  </si>
  <si>
    <t>p3 log shaohef</t>
  </si>
  <si>
    <t>p7 log Eli Qiao</t>
  </si>
  <si>
    <t>not::approval::for::submitting::(vote4)</t>
  </si>
  <si>
    <t>not::approval::for::submitting::(vote5)</t>
  </si>
  <si>
    <t>p7 log shaohef</t>
  </si>
  <si>
    <t>not::approval::for::submitting::(vote6)</t>
  </si>
  <si>
    <t>p8 log Alex Xu</t>
  </si>
  <si>
    <t>not::approval::for::submitting::(vote7)</t>
  </si>
  <si>
    <t>p10 log Alex Xu</t>
  </si>
  <si>
    <t>p10 log yuntongjin</t>
  </si>
  <si>
    <t>p10 log Ken'ichi Ohmichi</t>
  </si>
  <si>
    <t>p10 log Sean Dague</t>
  </si>
  <si>
    <t>trivial::fix</t>
  </si>
  <si>
    <t>p1 log Eugeniya Kudryashova</t>
  </si>
  <si>
    <t>p1 log Davanum Srinivas</t>
  </si>
  <si>
    <t>p1 log Lucian Petrut</t>
  </si>
  <si>
    <t>informing::reverify</t>
  </si>
  <si>
    <t>p1 log Elastic Recheck</t>
  </si>
  <si>
    <t>suggestion::change::(prevent::failure)</t>
  </si>
  <si>
    <t>p1 nova/compute/resource_tracker.py 298 0</t>
  </si>
  <si>
    <t>suggestion::change::(error::handling)</t>
  </si>
  <si>
    <t>suggestion::refactoring::(clearer::code)</t>
  </si>
  <si>
    <t>p2 nova/compute/resource_tracker.py 303 0</t>
  </si>
  <si>
    <t>p2 nova/compute/resource_tracker.py 639 0</t>
  </si>
  <si>
    <t>suggestion::change::(missing::unit::tests)</t>
  </si>
  <si>
    <t>p2 nova/tests/compute/test_resource_tracker.py 1232 0</t>
  </si>
  <si>
    <t>p3 nova/compute/resource_tracker.py 305 0</t>
  </si>
  <si>
    <t>p3 nova/compute/resource_tracker.py 305 1</t>
  </si>
  <si>
    <t>p5 /COMMIT_MSG 12 0</t>
  </si>
  <si>
    <t>p5 /COMMIT_MSG 14 0</t>
  </si>
  <si>
    <t>asking::clarification::about::code::(logic)</t>
  </si>
  <si>
    <t>p6 nova/compute/stats.py 38 0</t>
  </si>
  <si>
    <t>p1 log Paul Murray</t>
  </si>
  <si>
    <t>informing::recheck::(experimental)</t>
  </si>
  <si>
    <t>informing::recheck::(xenserver)</t>
  </si>
  <si>
    <t>informing::tests::passing::(different::envs)</t>
  </si>
  <si>
    <t>p1 log Nicholas Randon</t>
  </si>
  <si>
    <t>informing::tests::added</t>
  </si>
  <si>
    <t>p2 log Paul Murray</t>
  </si>
  <si>
    <t>requesting::more::tests::(coverage)</t>
  </si>
  <si>
    <t>p2 log Sylvain Bauza</t>
  </si>
  <si>
    <t>p3 log Sylvain Bauza</t>
  </si>
  <si>
    <t>p3 log Paul Murray</t>
  </si>
  <si>
    <t>p4 log Nicholas Randon</t>
  </si>
  <si>
    <t>referes::to::related::bug</t>
  </si>
  <si>
    <t>p4 log Sylvain Bauza</t>
  </si>
  <si>
    <t>summary::of::the::changes</t>
  </si>
  <si>
    <t>p5 log Paul Murray</t>
  </si>
  <si>
    <t>p5 log Elastic Recheck</t>
  </si>
  <si>
    <t>p5 log Mike Durnosvistov</t>
  </si>
  <si>
    <t>informing::changes::commit::message</t>
  </si>
  <si>
    <t>p6 log Paul Murray</t>
  </si>
  <si>
    <t>p6 log Brian Elliott</t>
  </si>
  <si>
    <t>p6 log Matt Dietz</t>
  </si>
  <si>
    <t>p6 log Elastic Recheck</t>
  </si>
  <si>
    <t>p6 log Sylvain Bauza</t>
  </si>
  <si>
    <t>p6 log Nicholas Randon</t>
  </si>
  <si>
    <t>suggestion::change::(typo)</t>
  </si>
  <si>
    <t>p1 nova/api/openstack/compute/contrib/attach_interfaces.py 74 0</t>
  </si>
  <si>
    <t>p1 nova/api/openstack/compute/contrib/attach_interfaces.py 74 1</t>
  </si>
  <si>
    <t>p1 nova/api/openstack/compute/contrib/attach_interfaces.py 98 0</t>
  </si>
  <si>
    <t>p1 nova/api/openstack/compute/contrib/attach_interfaces.py 98 1</t>
  </si>
  <si>
    <t>compliment::to::the::author</t>
  </si>
  <si>
    <t>p1 log Christopher Yeoh</t>
  </si>
  <si>
    <t>p2 log jichenjc</t>
  </si>
  <si>
    <t>p2 log Mike Durnosvistov</t>
  </si>
  <si>
    <t>p3 log jichenjc</t>
  </si>
  <si>
    <t>asking::clarification::about::change</t>
  </si>
  <si>
    <t>p1 nova/test.py 49 0</t>
  </si>
  <si>
    <t>suggestion::change::(removing::unnecessary::code)</t>
  </si>
  <si>
    <t>p2 nova/test.py 49 0</t>
  </si>
  <si>
    <t>p2 nova/test.py 49 1</t>
  </si>
  <si>
    <t>suggestion::change::(test::design)</t>
  </si>
  <si>
    <t>discussing::about::intended::test::design</t>
  </si>
  <si>
    <t>p1 log Vish Ishaya</t>
  </si>
  <si>
    <t>asking::clarification::intended::test::design</t>
  </si>
  <si>
    <t>suggestion::style::change::(commit::message)</t>
  </si>
  <si>
    <t>p2 /COMMIT_MSG 7 0</t>
  </si>
  <si>
    <t>p2 log Russell Bryant</t>
  </si>
  <si>
    <t>wait::until::CI::pass</t>
  </si>
  <si>
    <t>p2 log p-draigbrady</t>
  </si>
  <si>
    <t>p2 log John Bresnahan</t>
  </si>
  <si>
    <t>referes::to::comment</t>
  </si>
  <si>
    <t>p1 nova/compute/manager.py 2111 0</t>
  </si>
  <si>
    <t>p1 nova/compute/manager.py 3624 0</t>
  </si>
  <si>
    <t>informing::preference::(changes::in::own/new::patch)</t>
  </si>
  <si>
    <t>p3 nova/compute/manager.py 327 0</t>
  </si>
  <si>
    <t>asking::clarification::about::code::(input::parameter)</t>
  </si>
  <si>
    <t>p4 nova/tests/compute/test_compute.py 9462 0</t>
  </si>
  <si>
    <t>providing::clarification::about::code::(input::parameter)</t>
  </si>
  <si>
    <t>p4 nova/tests/compute/test_compute.py 9462 1</t>
  </si>
  <si>
    <t>suggestion::refactoring::(remove::unnecessary::parameter)</t>
  </si>
  <si>
    <t>p2 log garyk</t>
  </si>
  <si>
    <t>p5 log Guangya Liu</t>
  </si>
  <si>
    <t>approval::for::submitting::granted::(non::final)6</t>
  </si>
  <si>
    <t>p5 log Shuangtai Tian</t>
  </si>
  <si>
    <t>approval::for::submitting::granted::(non::final)7</t>
  </si>
  <si>
    <t>approval::for::submitting::granted::(non::final)8</t>
  </si>
  <si>
    <t>p5 log Sahid Orentino Ferdjaoui</t>
  </si>
  <si>
    <t>approval::for::submitting::granted::(non::final)9</t>
  </si>
  <si>
    <t>p5 log Michael Davies</t>
  </si>
  <si>
    <t>approval::for::submitting::granted::(non::final)10</t>
  </si>
  <si>
    <t>p5 log jichenjc</t>
  </si>
  <si>
    <t>p5 log Dan Smith</t>
  </si>
  <si>
    <t>p5 log Matt Riedemann</t>
  </si>
  <si>
    <t>p5 log LaunchpadSync</t>
  </si>
  <si>
    <t>changes::required::for::submitting</t>
  </si>
  <si>
    <t>p6 log Michael Still</t>
  </si>
  <si>
    <t>approval::for::submitting::granted::(non::final)11</t>
  </si>
  <si>
    <t>p6 log Michael Davies</t>
  </si>
  <si>
    <t>approval::for::submitting::granted::(non::final)12</t>
  </si>
  <si>
    <t>p6 log Joshua Hesketh</t>
  </si>
  <si>
    <t>p6 log Dan Smith</t>
  </si>
  <si>
    <t>approval::for::submitting::granted::(non::final)13</t>
  </si>
  <si>
    <t>p6 log Sahid Orentino Ferdjaoui</t>
  </si>
  <si>
    <t>p6 log Russell Bryant</t>
  </si>
  <si>
    <t>p7 log Russell Bryant</t>
  </si>
  <si>
    <t>approval::for::submitting::granted::(final)1</t>
  </si>
  <si>
    <t>p7 log Joshua Hesketh</t>
  </si>
  <si>
    <t>p7 log Michael Still</t>
  </si>
  <si>
    <t>p1 log Dave Walker</t>
  </si>
  <si>
    <t>p3 log Dave Walker</t>
  </si>
  <si>
    <t>informing::recheck::(ste)</t>
  </si>
  <si>
    <t>p5 log Ihar Hrachyshka</t>
  </si>
  <si>
    <t>informing::dependency::(requirement)</t>
  </si>
  <si>
    <t>p6 log Thierry Carrez</t>
  </si>
  <si>
    <t>p6 log Ihar Hrachyshka</t>
  </si>
  <si>
    <t>faild::build</t>
  </si>
  <si>
    <t>p6 log Dream Host</t>
  </si>
  <si>
    <t>p3 log Sean Dague</t>
  </si>
  <si>
    <t>p1 log Trey Morris</t>
  </si>
  <si>
    <t>Issues::(BP/bugs)::related::to::the::change</t>
  </si>
  <si>
    <t>p1 log Joe Gordon</t>
  </si>
  <si>
    <t>p1 log Sean Dague</t>
  </si>
  <si>
    <t>GitHub Pull Request</t>
  </si>
  <si>
    <t>Secondary branch</t>
  </si>
  <si>
    <t>suggestion::wrong::label</t>
  </si>
  <si>
    <t>informing::solution::not::ideal</t>
  </si>
  <si>
    <t>deferred::to::later::release</t>
  </si>
  <si>
    <t>informing::bug::found</t>
  </si>
  <si>
    <t>bug::fixed</t>
  </si>
  <si>
    <t>confirming::bug::fixed</t>
  </si>
  <si>
    <t>referes::to::related::issue</t>
  </si>
  <si>
    <t>asking::clarification::developing::process::(added::wrong::commit::to::PR)</t>
  </si>
  <si>
    <t>asking::clarification::(need::of::new::PR)</t>
  </si>
  <si>
    <t>providing::clarification::developing::process::(added::wrong::commit::to::PR)</t>
  </si>
  <si>
    <t>providing::clarification::(need::of::new::PR)</t>
  </si>
  <si>
    <t>informing::added::new::PR</t>
  </si>
  <si>
    <t>asking::clarification::about::dependency</t>
  </si>
  <si>
    <t>informing::lost::progress::(code::gone)</t>
  </si>
  <si>
    <t>referes::to::documentation</t>
  </si>
  <si>
    <t>referes::to::code::(github)</t>
  </si>
  <si>
    <t>asking::for::feedback</t>
  </si>
  <si>
    <t>asking::for::assistance::(unrelated)</t>
  </si>
  <si>
    <t>disputing::request::for::assistance::(unrelated)</t>
  </si>
  <si>
    <t>comment #12</t>
  </si>
  <si>
    <t>highlights::missunderstanding</t>
  </si>
  <si>
    <t>minor::changes::required::for::submitting::(comments::added)</t>
  </si>
  <si>
    <t>suggestion::ignore::backwards::compatebility</t>
  </si>
  <si>
    <t>informing::backwards::compatebility::broken</t>
  </si>
  <si>
    <t>agreement::suggestion::ignore::backwards::compatebility</t>
  </si>
  <si>
    <t>informing::new::PR::with::different::target::branch</t>
  </si>
  <si>
    <t>suggestion::change::(documentation)</t>
  </si>
  <si>
    <t>suggestion::refactoring::(renaming)</t>
  </si>
  <si>
    <t>compliment::to::the::author::(solution::design)</t>
  </si>
  <si>
    <t>minor::changes::required::for::submitting::(comments::added::elsewhere)</t>
  </si>
  <si>
    <t>suggestion::change::(remove::uncommented::code)</t>
  </si>
  <si>
    <t>informing::lost::in::squash</t>
  </si>
  <si>
    <t>comment #13</t>
  </si>
  <si>
    <t>BUGS NOVA</t>
  </si>
  <si>
    <t>B1 - Build tools</t>
  </si>
  <si>
    <t>B2 - Dependency resolution</t>
  </si>
  <si>
    <t>B3 - Build practices</t>
  </si>
  <si>
    <r>
      <rPr>
        <rFont val="Arial"/>
        <color theme="1"/>
      </rPr>
      <t xml:space="preserve">This field contains information that could be used for the continuous integration check
</t>
    </r>
    <r>
      <rPr>
        <rFont val="Arial"/>
        <b/>
        <color theme="1"/>
      </rPr>
      <t xml:space="preserve">Bug Introducing commit. </t>
    </r>
    <r>
      <rPr>
        <rFont val="Arial"/>
        <color theme="1"/>
      </rPr>
      <t xml:space="preserve">
Check the whole tree and not only the committed file to understand the  building process</t>
    </r>
  </si>
  <si>
    <t>Setuptools</t>
  </si>
  <si>
    <t>remote::repositories::(e.g.,::pip::maven::central)</t>
  </si>
  <si>
    <t>usage::of::virtual::environments</t>
  </si>
  <si>
    <t>Sphinx</t>
  </si>
  <si>
    <t>usage::of::style::checking::static::analysis::tools::(pylint)</t>
  </si>
  <si>
    <t>venv</t>
  </si>
  <si>
    <t>usage::of::generic::coding::conventions::(pep8)</t>
  </si>
  <si>
    <t>Twissted*</t>
  </si>
  <si>
    <t>test suite, amongst others</t>
  </si>
  <si>
    <t>Pylint</t>
  </si>
  <si>
    <t>readme</t>
  </si>
  <si>
    <t>pep8::hacking</t>
  </si>
  <si>
    <t>mailamp</t>
  </si>
  <si>
    <t>* typo mailmap</t>
  </si>
  <si>
    <t>pip</t>
  </si>
  <si>
    <t>smoketests</t>
  </si>
  <si>
    <t>mixed</t>
  </si>
  <si>
    <t>unittest::(unit::test)</t>
  </si>
  <si>
    <t>pep8</t>
  </si>
  <si>
    <t>nosetest::(unit::test)</t>
  </si>
  <si>
    <t>execution::automated::merge::test</t>
  </si>
  <si>
    <t>nosetest::(coverage)</t>
  </si>
  <si>
    <t>execution::automated::unit::and::integration::tests</t>
  </si>
  <si>
    <t>gerrit</t>
  </si>
  <si>
    <t>generation::of::source::code::documentation</t>
  </si>
  <si>
    <t>testing::in::different::python::versions</t>
  </si>
  <si>
    <t>Jenkins</t>
  </si>
  <si>
    <t>execution::automated::unit::and::integration::tests::(tempest)</t>
  </si>
  <si>
    <t>Tox::(testenv)</t>
  </si>
  <si>
    <t>Tox</t>
  </si>
  <si>
    <t>usage::of::pre-commit::hooks</t>
  </si>
  <si>
    <t>execution::automated::smoke::tests</t>
  </si>
  <si>
    <t>Babel</t>
  </si>
  <si>
    <t>pre::commit::hooks::(run::unit::tests)</t>
  </si>
  <si>
    <t>SmokeStack::CI</t>
  </si>
  <si>
    <t>pyflakes</t>
  </si>
  <si>
    <t>testr::(coverage)</t>
  </si>
  <si>
    <t>execution::automated::testenv::setup::(devstack)</t>
  </si>
  <si>
    <t>testr::(unit::test)</t>
  </si>
  <si>
    <t>check::if::regressions::exist</t>
  </si>
  <si>
    <t>regression::test::check::(automated)</t>
  </si>
  <si>
    <t>testtools::(unit::test::debugging)</t>
  </si>
  <si>
    <t>execution::automated::testenv::setup::(grenade)</t>
  </si>
  <si>
    <t>Grenade</t>
  </si>
  <si>
    <t>usage::of::config::file::(d2to1/pbr)::instead::of::write::config::in::code</t>
  </si>
  <si>
    <t>requirements::txt::(test)</t>
  </si>
  <si>
    <t>requirements::txt</t>
  </si>
  <si>
    <t>flake8</t>
  </si>
  <si>
    <t>usage::of::config::file::(PBR)::instead::of::write::config::in::code</t>
  </si>
  <si>
    <t>execution::automated::database::migrations</t>
  </si>
  <si>
    <t>db::datasets::ci</t>
  </si>
  <si>
    <t>execution::automated::unit::and::integration::tests::(microsoft::vmware::ibm)</t>
  </si>
  <si>
    <t>testing::in::different::VM::(types)::versions</t>
  </si>
  <si>
    <t>Microsoft::Hyper-V::CI</t>
  </si>
  <si>
    <t>VMware::NSX::CI</t>
  </si>
  <si>
    <t>execution::and::reporting::of::automated::system::tests::(elastic::recheck)</t>
  </si>
  <si>
    <t>Citrix::XenServer::CI::(XenServer::CI)</t>
  </si>
  <si>
    <t>IBM::PowerKVM::CI</t>
  </si>
  <si>
    <t>elastic::recheck</t>
  </si>
  <si>
    <t>usage::automated::dependency::resolution</t>
  </si>
  <si>
    <t>tox.ini [testenv:pip-missing-reqs]</t>
  </si>
  <si>
    <t>execution::automated::unit::and::integration::tests::(nova::tox::functional)</t>
  </si>
  <si>
    <t>usage::automated::dependency::resolution::(gate::nova::requirements)</t>
  </si>
  <si>
    <t>jenkins -&gt; gate-nova-requirements</t>
  </si>
  <si>
    <t>Dream::Host::CI</t>
  </si>
  <si>
    <t>OpenStack::Proposal::Bot</t>
  </si>
  <si>
    <t>Intel::PCI::CI</t>
  </si>
  <si>
    <t>XenProject::CI</t>
  </si>
  <si>
    <t>Hyper</t>
  </si>
  <si>
    <t>testng</t>
  </si>
  <si>
    <t>usage::automated::project::build::(gradle)</t>
  </si>
  <si>
    <t>micro-benchmark</t>
  </si>
  <si>
    <t>execution::automated::unit::and::integration::tests::(testng)</t>
  </si>
  <si>
    <t>gradle</t>
  </si>
  <si>
    <t>execution::automated::performance::tests::(jmeter/micro)</t>
  </si>
  <si>
    <t>maven::repo::(jboss)</t>
  </si>
  <si>
    <t>maven::repo::(maven::central)</t>
  </si>
  <si>
    <t>jmeter</t>
  </si>
  <si>
    <t>gradle::wrapper</t>
  </si>
  <si>
    <t>intelij::ide</t>
  </si>
  <si>
    <t>log4j</t>
  </si>
  <si>
    <t>hamcrest</t>
  </si>
  <si>
    <t>maven::repo::(googlecode)</t>
  </si>
  <si>
    <t>usage::automated::dependency::resolution::(jarjar)</t>
  </si>
  <si>
    <t>maven::repo::(codehaus)</t>
  </si>
  <si>
    <t>maven::repo::(sonatype)</t>
  </si>
  <si>
    <t>jarjar</t>
  </si>
  <si>
    <t>maven::repo::(java)</t>
  </si>
  <si>
    <t>maven</t>
  </si>
  <si>
    <t>usage::automated::project::build::(maven)</t>
  </si>
  <si>
    <t>execution::automated::performance::tests::(jmeter)</t>
  </si>
  <si>
    <t>google::findbugs</t>
  </si>
  <si>
    <t>usage::CI</t>
  </si>
  <si>
    <t>usage::of::bug::finding::static::analysis::tools</t>
  </si>
  <si>
    <t>execution::automated::unit::and::integration::tests::(junit)</t>
  </si>
  <si>
    <t>travis::CI</t>
  </si>
  <si>
    <t>junit</t>
  </si>
  <si>
    <t>there is nothing...</t>
  </si>
  <si>
    <t>execution::automated::randomized::tests::(carrotsearch)</t>
  </si>
  <si>
    <t>execution::automated::best::practice::enforcement::(forbiddenapis)</t>
  </si>
  <si>
    <t>carrotsearch</t>
  </si>
  <si>
    <t>forbiddenapis</t>
  </si>
  <si>
    <t>eclipse::ide</t>
  </si>
  <si>
    <t>maven::migration</t>
  </si>
  <si>
    <t>vagrant</t>
  </si>
  <si>
    <t>ID_bug</t>
  </si>
  <si>
    <t>BIC_INFO</t>
  </si>
  <si>
    <t>CHILDREN_INFO</t>
  </si>
  <si>
    <t>PARENT_INFO</t>
  </si>
  <si>
    <t>542958fac7445a14dea</t>
  </si>
  <si>
    <t>{'num_parents': 1, 'date_commit': 'Wed Feb 12 15:34:42.000000 2014 +0100', 'date_author_commit': 'Thu Jan 16 23:36:32.000000 2014 +0100', 'Parent_1': '79121d9a11d10b80fd3eee53073913e0f66f0949', 'Parent_1author_date': 'Thu Jan 16 21:59:06.000000 2014 +0100', 'Parent_1commit_date': 'Wed Feb 12 15:34:42.000000 2014 +0100', 'possible_rebase': True}</t>
  </si>
  <si>
    <t>{'311652325b93f6e2675bdcc52c416bd06f12fd3b': {'num_parents': 2, 'date_commit': 'Wed Feb 12 15:34:42.000000 2014 +0100', 'date_author_commit': 'Thu Jan 16 23:36:32.000000 2014 +0100', 'Parent_1': 'b66a092a7a9ab2363ce23cdfd09e8f564c986c06', 'Parent_1author_date': 'Fri Feb 14 19:40:28.000000 2014 +0100', 'Parent_1commit_date': 'Fri Feb 14 19:40:28.000000 2014 +0100', 'possible_rebase': False, 'Parent_2': '542958fac7445a14deaae146b0d4047aa90a2fab', 'Parent_2author_date': 'Thu Jan 16 23:36:32.000000 2014 +0100', 'Parent_2commit_date': 'Wed Feb 12 15:34:42.000000 2014 +0100'}, '9776175fc3b2331168651176ec56f9adc5d463dd': {'num_parents': 1, 'date_commit': 'Wed Feb 12 15:34:42.000000 2014 +0100', 'date_author_commit': 'Thu Jan 16 23:36:32.000000 2014 +0100', 'Parent_1': '542958fac7445a14deaae146b0d4047aa90a2fab', 'Parent_1author_date': 'Thu Jan 16 23:36:32.000000 2014 +0100', 'Parent_1commit_date': 'Wed Feb 12 15:34:42.000000 2014 +0100', 'possible_rebase': False}}</t>
  </si>
  <si>
    <t>{'79121d9a11d10b80fd3eee53073913e0f66f0949': {'num_parents': 1, 'date_commit': 'Wed Feb 12 15:34:42.000000 2014 +0100', 'date_author_commit': 'Thu Jan 16 23:36:32.000000 2014 +0100', 'Parent_1': '8bc9586056fe2f455a23b342d3da5473e9d3cbfc', 'Parent_1author_date': 'Wed Feb 12 14:28:37.000000 2014 +0100', 'Parent_1commit_date': 'Wed Feb 12 14:28:37.000000 2014 +0100', 'possible_rebase': True}}</t>
  </si>
  <si>
    <t>e517e5668ab</t>
  </si>
  <si>
    <t>{'num_parents': 1, 'date_commit': 'Thu Jun 13 05:07:22.000000 2013 +0200', 'date_author_commit': 'Wed Jun 05 09:16:16.000000 2013 +0200', 'Parent_1': '3f2b22499d9e94ae3ac80786752223f43d24492b', 'Parent_1author_date': 'Thu Jun 13 03:30:01.000000 2013 +0200', 'Parent_1commit_date': 'Thu Jun 13 03:30:01.000000 2013 +0200', 'possible_rebase': True}</t>
  </si>
  <si>
    <t>{'8bac24e5b7252b3f23c5473cdf2e17a9740bdb98': {'num_parents': 2, 'date_commit': 'Thu Jun 13 05:07:22.000000 2013 +0200', 'date_author_commit': 'Wed Jun 05 09:16:16.000000 2013 +0200', 'Parent_1': '049bfbcc29d1a5ff45446d88a068990600505bed', 'Parent_1author_date': 'Fri Jun 14 21:08:29.000000 2013 +0200', 'Parent_1commit_date': 'Fri Jun 14 21:08:29.000000 2013 +0200', 'possible_rebase': False, 'Parent_2': 'e517e5668ab20214432e06ef87f7b16776edaf7c', 'Parent_2author_date': 'Wed Jun 05 09:16:16.000000 2013 +0200', 'Parent_2commit_date': 'Thu Jun 13 05:07:22.000000 2013 +0200'}}</t>
  </si>
  <si>
    <t>{'3f2b22499d9e94ae3ac80786752223f43d24492b': {'num_parents': 2, 'date_commit': 'Thu Jun 13 05:07:22.000000 2013 +0200', 'date_author_commit': 'Wed Jun 05 09:16:16.000000 2013 +0200', 'Parent_1': 'ba876e2a110f39270a5cf57c5197083088736d32', 'Parent_1author_date': 'Thu Jun 13 03:17:59.000000 2013 +0200', 'Parent_1commit_date': 'Thu Jun 13 03:17:59.000000 2013 +0200', 'possible_rebase': True, 'Parent_2': 'a9aa1a402b64751614fbc98e14973d867a1bfca7', 'Parent_2author_date': 'Thu May 30 18:34:05.000000 2013 +0200', 'Parent_2commit_date': 'Fri Jun 07 20:43:37.000000 2013 +0200'}}</t>
  </si>
  <si>
    <t>3dff4335661</t>
  </si>
  <si>
    <t>{'num_parents': 1, 'date_commit': 'Tue Oct 30 21:51:40.000000 2012 +0100', 'date_author_commit': 'Thu Oct 25 03:07:28.000000 2012 +0200', 'Parent_1': '7aea941005deda6f057e1e1692018d81c4aebcdc', 'Parent_1author_date': 'Tue Oct 30 19:25:34.000000 2012 +0100', 'Parent_1commit_date': 'Tue Oct 30 19:25:34.000000 2012 +0100', 'possible_rebase': True}</t>
  </si>
  <si>
    <t>{'a980001046c8915b3cea3f3d2aec9979d6634532': {'num_parents': 2, 'date_commit': 'Tue Oct 30 21:51:40.000000 2012 +0100', 'date_author_commit': 'Thu Oct 25 03:07:28.000000 2012 +0200', 'Parent_1': '117db792b80e1280135603d26e042bc4a17e02c2', 'Parent_1author_date': 'Wed Oct 31 13:58:46.000000 2012 +0100', 'Parent_1commit_date': 'Wed Oct 31 13:58:46.000000 2012 +0100', 'possible_rebase': False, 'Parent_2': '3dff43356619b4a935a5f395b066e96e8856bb4f', 'Parent_2author_date': 'Thu Oct 25 03:07:28.000000 2012 +0200', 'Parent_2commit_date': 'Tue Oct 30 21:51:40.000000 2012 +0100'}}</t>
  </si>
  <si>
    <t>{'7aea941005deda6f057e1e1692018d81c4aebcdc': {'num_parents': 2, 'date_commit': 'Tue Oct 30 21:51:40.000000 2012 +0100', 'date_author_commit': 'Thu Oct 25 03:07:28.000000 2012 +0200', 'Parent_1': '774a28a20aec1a853f29e586682b9a33a6bbad60', 'Parent_1author_date': 'Tue Oct 30 19:03:13.000000 2012 +0100', 'Parent_1commit_date': 'Tue Oct 30 19:03:13.000000 2012 +0100', 'possible_rebase': True, 'Parent_2': 'c08a105b8e71f1010ec88715c2f04b84d2a0d5bd', 'Parent_2author_date': 'Mon Oct 29 15:52:01.000000 2012 +0100', 'Parent_2commit_date': 'Tue Oct 30 14:42:07.000000 2012 +0100'}}</t>
  </si>
  <si>
    <t>88ab936</t>
  </si>
  <si>
    <t>{'num_parents': 1, 'date_commit': 'Mon Jul 15 17:32:23.000000 2013 +0200', 'date_author_commit': 'Mon Jul 15 17:32:23.000000 2013 +0200', 'Parent_1': 'fe1e15678e65b291f22c6ea776aee1b1b6f47ef9', 'Parent_1author_date': 'Mon Jul 15 14:47:23.000000 2013 +0200', 'Parent_1commit_date': 'Mon Jul 15 14:47:23.000000 2013 +0200', 'possible_rebase': True}</t>
  </si>
  <si>
    <t>{'55dcec35856045049ec33c43762445a8c588651e': {'num_parents': 2, 'date_commit': 'Mon Jul 15 17:32:23.000000 2013 +0200', 'date_author_commit': 'Mon Jul 15 17:32:23.000000 2013 +0200', 'Parent_1': '4110960378a61e42e6e6fbc95348d08ecca76d9a', 'Parent_1author_date': 'Tue Jul 16 17:44:30.000000 2013 +0200', 'Parent_1commit_date': 'Tue Jul 16 17:44:30.000000 2013 +0200', 'possible_rebase': False, 'Parent_2': '88ab9369e3ddfd8b8684bf280330ff8d37a74b2b', 'Parent_2author_date': 'Mon Jul 15 17:32:23.000000 2013 +0200', 'Parent_2commit_date': 'Mon Jul 15 17:32:23.000000 2013 +0200'}}</t>
  </si>
  <si>
    <t>{'fe1e15678e65b291f22c6ea776aee1b1b6f47ef9': {'num_parents': 2, 'date_commit': 'Mon Jul 15 17:32:23.000000 2013 +0200', 'date_author_commit': 'Mon Jul 15 17:32:23.000000 2013 +0200', 'Parent_1': '9db20d4c51172cecab929c1de6a8db8ce509c3d1', 'Parent_1author_date': 'Mon Jul 15 14:47:09.000000 2013 +0200', 'Parent_1commit_date': 'Mon Jul 15 14:47:09.000000 2013 +0200', 'possible_rebase': True, 'Parent_2': '9b7d33f22781ade62ac712a1285d0c0729bfebc1', 'Parent_2author_date': 'Fri Jun 28 08:12:31.000000 2013 +0200', 'Parent_2commit_date': 'Mon Jul 15 08:02:20.000000 2013 +0200'}}</t>
  </si>
  <si>
    <t>2c62e34</t>
  </si>
  <si>
    <t>{'num_parents': 1, 'date_commit': 'Tue Oct 22 23:27:57.000000 2013 +0200', 'date_author_commit': 'Thu Aug 15 16:07:19.000000 2013 +0200', 'Parent_1': '509bd157d3afc11ccda2a3a53fc3770cee2da3f6', 'Parent_1author_date': 'Thu Oct 17 00:13:29.000000 2013 +0200', 'Parent_1commit_date': 'Tue Oct 22 18:30:55.000000 2013 +0200', 'possible_rebase': True}</t>
  </si>
  <si>
    <t>{'6729fc5678f9f665ca82b38121f3d62b09105aa7': {'num_parents': 2, 'date_commit': 'Tue Oct 22 23:27:57.000000 2013 +0200', 'date_author_commit': 'Thu Aug 15 16:07:19.000000 2013 +0200', 'Parent_1': '2efcc9dc242c913629ac8f11d9a5223159895f7b', 'Parent_1author_date': 'Tue Oct 29 12:39:25.000000 2013 +0100', 'Parent_1commit_date': 'Tue Oct 29 12:39:25.000000 2013 +0100', 'possible_rebase': False, 'Parent_2': '2c62e344e26ccba08d5c613a7c4a40a0f076901e', 'Parent_2author_date': 'Thu Aug 15 16:07:19.000000 2013 +0200', 'Parent_2commit_date': 'Tue Oct 22 23:27:57.000000 2013 +0200'}}</t>
  </si>
  <si>
    <t>{'509bd157d3afc11ccda2a3a53fc3770cee2da3f6': {'num_parents': 1, 'date_commit': 'Tue Oct 22 23:27:57.000000 2013 +0200', 'date_author_commit': 'Thu Aug 15 16:07:19.000000 2013 +0200', 'Parent_1': '19ea0c8c83b20692ee1e7572079388cbd9d8681a', 'Parent_1author_date': 'Tue Oct 22 16:09:53.000000 2013 +0200', 'Parent_1commit_date': 'Tue Oct 22 16:09:53.000000 2013 +0200', 'possible_rebase': True}}</t>
  </si>
  <si>
    <t>e7aa4022374fb35d2131a7c633212c5d6302db3d</t>
  </si>
  <si>
    <t>{'num_parents': 1, 'date_commit': 'Wed Nov 16 23:33:40.000000 2011 +0100', 'date_author_commit': 'Wed Oct 26 20:57:35.000000 2011 +0200', 'Parent_1': '217af7df5980ee7a258d2e8b24aea4444c083201', 'Parent_1author_date': 'Wed Nov 16 22:33:48.000000 2011 +0100', 'Parent_1commit_date': 'Wed Nov 16 22:33:48.000000 2011 +0100', 'possible_rebase': True}</t>
  </si>
  <si>
    <t>{'90cc4f15956f9595fc30bf4a23f5995c97d173ac': {'num_parents': 2, 'date_commit': 'Wed Nov 16 23:33:40.000000 2011 +0100', 'date_author_commit': 'Wed Oct 26 20:57:35.000000 2011 +0200', 'Parent_1': '36dcc2d9230f8104f0defc8fa27ee8f6c2f2eeaf', 'Parent_1author_date': 'Thu Nov 17 00:35:08.000000 2011 +0100', 'Parent_1commit_date': 'Thu Nov 17 00:35:08.000000 2011 +0100', 'possible_rebase': False, 'Parent_2': 'e7aa4022374fb35d2131a7c633212c5d6302db3d', 'Parent_2author_date': 'Wed Oct 26 20:57:35.000000 2011 +0200', 'Parent_2commit_date': 'Wed Nov 16 23:33:40.000000 2011 +0100'}}</t>
  </si>
  <si>
    <t>{'217af7df5980ee7a258d2e8b24aea4444c083201': {'num_parents': 2, 'date_commit': 'Wed Nov 16 23:33:40.000000 2011 +0100', 'date_author_commit': 'Wed Oct 26 20:57:35.000000 2011 +0200', 'Parent_1': '7c34941b89437e69037be4ea392885c914c227ce', 'Parent_1author_date': 'Wed Nov 16 22:19:31.000000 2011 +0100', 'Parent_1commit_date': 'Wed Nov 16 22:19:31.000000 2011 +0100', 'possible_rebase': True, 'Parent_2': '1dba0cdc332e54162dc1d880e80deca968dbff4e', 'Parent_2author_date': 'Fri Nov 11 05:36:17.000000 2011 +0100', 'Parent_2commit_date': 'Wed Nov 16 22:03:12.000000 2011 +0100'}}</t>
  </si>
  <si>
    <t>0fcbb7b</t>
  </si>
  <si>
    <t>{'num_parents': 1, 'date_commit': 'Mon Dec 30 07:01:47.000000 2013 +0100', 'date_author_commit': 'Tue Oct 22 10:32:25.000000 2013 +0200', 'Parent_1': 'bf38dd4091dde95017fb57905af9b707930c440b', 'Parent_1author_date': 'Mon Dec 30 06:34:21.000000 2013 +0100', 'Parent_1commit_date': 'Mon Dec 30 06:34:21.000000 2013 +0100', 'possible_rebase': True}</t>
  </si>
  <si>
    <t>{'8947824372c3fe800dc7e244848f740a4c5ad8a5': {'num_parents': 2, 'date_commit': 'Mon Dec 30 07:01:47.000000 2013 +0100', 'date_author_commit': 'Tue Oct 22 10:32:25.000000 2013 +0200', 'Parent_1': '96199f42b43508836d93fcf8368177cba02c7f3e', 'Parent_1author_date': 'Sat Jan 11 15:19:40.000000 2014 +0100', 'Parent_1commit_date': 'Sat Jan 11 15:19:40.000000 2014 +0100', 'possible_rebase': False, 'Parent_2': '0fcbb7b286888d642d329db1299eb9f3708d1f50', 'Parent_2author_date': 'Tue Oct 22 10:32:25.000000 2013 +0200', 'Parent_2commit_date': 'Mon Dec 30 07:01:47.000000 2013 +0100'}}</t>
  </si>
  <si>
    <t>{'bf38dd4091dde95017fb57905af9b707930c440b': {'num_parents': 2, 'date_commit': 'Mon Dec 30 07:01:47.000000 2013 +0100', 'date_author_commit': 'Tue Oct 22 10:32:25.000000 2013 +0200', 'Parent_1': 'bc8e111740e22b99e46b054329ac5f1debf2ec87', 'Parent_1author_date': 'Mon Dec 30 06:06:27.000000 2013 +0100', 'Parent_1commit_date': 'Mon Dec 30 06:06:27.000000 2013 +0100', 'possible_rebase': True, 'Parent_2': 'b819f4c46ecbcbcf3ff7d5cf937d6620b04019cf', 'Parent_2author_date': 'Fri Dec 20 11:02:51.000000 2013 +0100', 'Parent_2commit_date': 'Thu Dec 26 15:48:05.000000 2013 +0100'}}</t>
  </si>
  <si>
    <t>33e3d4c6b9</t>
  </si>
  <si>
    <t>{'num_parents': 1, 'date_commit': 'Thu Jan 30 15:28:05.000000 2014 +0100', 'date_author_commit': 'Thu Nov 28 14:59:57.000000 2013 +0100', 'Parent_1': '15e91d7a61032ac9cfa8037267850cb31427f993', 'Parent_1author_date': 'Mon Nov 25 18:52:03.000000 2013 +0100', 'Parent_1commit_date': 'Thu Jan 30 15:28:05.000000 2014 +0100', 'possible_rebase': True}</t>
  </si>
  <si>
    <t>{'2127cf72ea82754afa9540f2d36db1c8b08fad64': {'num_parents': 2, 'date_commit': 'Thu Jan 30 15:28:05.000000 2014 +0100', 'date_author_commit': 'Thu Nov 28 14:59:57.000000 2013 +0100', 'Parent_1': '4219887bae367c5cae1f7bc0a7aa2d598e392b51', 'Parent_1author_date': 'Thu Jan 30 22:20:17.000000 2014 +0100', 'Parent_1commit_date': 'Thu Jan 30 22:20:17.000000 2014 +0100', 'possible_rebase': False, 'Parent_2': '33e3d4c6b9e0b11500fe47d861110be1c1981572', 'Parent_2author_date': 'Thu Nov 28 14:59:57.000000 2013 +0100', 'Parent_2commit_date': 'Thu Jan 30 15:28:05.000000 2014 +0100'}, 'b3e05bdb51e2f238db655e75ff1384bd8a111fe0': {'num_parents': 1, 'date_commit': 'Thu Jan 30 15:28:05.000000 2014 +0100', 'date_author_commit': 'Thu Nov 28 14:59:57.000000 2013 +0100', 'Parent_1': '33e3d4c6b9e0b11500fe47d861110be1c1981572', 'Parent_1author_date': 'Thu Nov 28 14:59:57.000000 2013 +0100', 'Parent_1commit_date': 'Thu Jan 30 15:28:05.000000 2014 +0100', 'possible_rebase': False}}</t>
  </si>
  <si>
    <t>{'15e91d7a61032ac9cfa8037267850cb31427f993': {'num_parents': 1, 'date_commit': 'Thu Jan 30 15:28:05.000000 2014 +0100', 'date_author_commit': 'Thu Nov 28 14:59:57.000000 2013 +0100', 'Parent_1': '9b00f39ccef22be851bba8da71669ae7074c0a7f', 'Parent_1author_date': 'Fri Nov 22 12:04:54.000000 2013 +0100', 'Parent_1commit_date': 'Thu Jan 30 15:28:05.000000 2014 +0100', 'possible_rebase': True}}</t>
  </si>
  <si>
    <t>7326bac8f95</t>
  </si>
  <si>
    <t>{'num_parents': 1, 'date_commit': 'Wed Sep 10 01:48:51.000000 2014 +0200', 'date_author_commit': 'Wed Jul 02 01:19:08.000000 2014 +0200', 'Parent_1': '42e4c04e9ec26acf79ac0f08c5ab59489b36cb2f', 'Parent_1author_date': 'Tue Sep 09 12:34:39.000000 2014 +0200', 'Parent_1commit_date': 'Tue Sep 09 12:34:39.000000 2014 +0200', 'possible_rebase': True}</t>
  </si>
  <si>
    <t>{'d946915e062adc37453ecb4f1874b2faae189ce9': {'num_parents': 2, 'date_commit': 'Wed Sep 10 01:48:51.000000 2014 +0200', 'date_author_commit': 'Wed Jul 02 01:19:08.000000 2014 +0200', 'Parent_1': 'c886168aae9b1bfaf253d71ddda0a31805a0705c', 'Parent_1author_date': 'Thu Sep 11 15:02:51.000000 2014 +0200', 'Parent_1commit_date': 'Thu Sep 11 15:02:51.000000 2014 +0200', 'possible_rebase': False, 'Parent_2': '7326bac8f9564bd96bbf69afe43cf3a876468c9c', 'Parent_2author_date': 'Wed Jul 02 01:19:08.000000 2014 +0200', 'Parent_2commit_date': 'Wed Sep 10 01:48:51.000000 2014 +0200'}}</t>
  </si>
  <si>
    <t>{'42e4c04e9ec26acf79ac0f08c5ab59489b36cb2f': {'num_parents': 2, 'date_commit': 'Wed Sep 10 01:48:51.000000 2014 +0200', 'date_author_commit': 'Wed Jul 02 01:19:08.000000 2014 +0200', 'Parent_1': '989f054a054705df534b87982e12f8136c5b889a', 'Parent_1author_date': 'Tue Sep 09 05:43:30.000000 2014 +0200', 'Parent_1commit_date': 'Tue Sep 09 05:43:30.000000 2014 +0200', 'possible_rebase': True, 'Parent_2': '5fa74bc0b2ab6fe5149a9b684b4beadb67877622', 'Parent_2author_date': 'Wed Sep 03 00:16:04.000000 2014 +0200', 'Parent_2commit_date': 'Sat Sep 06 18:40:48.000000 2014 +0200'}}</t>
  </si>
  <si>
    <t>5fa74bc</t>
  </si>
  <si>
    <t>{'num_parents': 1, 'date_commit': 'Sat Sep 06 18:40:48.000000 2014 +0200', 'date_author_commit': 'Wed Sep 03 00:16:04.000000 2014 +0200', 'Parent_1': '844d0cafdbecfddc12b2fde456d9c123436ab10a', 'Parent_1author_date': 'Fri Sep 05 06:36:16.000000 2014 +0200', 'Parent_1commit_date': 'Fri Sep 05 06:36:16.000000 2014 +0200', 'possible_rebase': True}</t>
  </si>
  <si>
    <t>{'42e4c04e9ec26acf79ac0f08c5ab59489b36cb2f': {'num_parents': 2, 'date_commit': 'Sat Sep 06 18:40:48.000000 2014 +0200', 'date_author_commit': 'Wed Sep 03 00:16:04.000000 2014 +0200', 'Parent_1': '989f054a054705df534b87982e12f8136c5b889a', 'Parent_1author_date': 'Tue Sep 09 05:43:30.000000 2014 +0200', 'Parent_1commit_date': 'Tue Sep 09 05:43:30.000000 2014 +0200', 'possible_rebase': False, 'Parent_2': '5fa74bc0b2ab6fe5149a9b684b4beadb67877622', 'Parent_2author_date': 'Wed Sep 03 00:16:04.000000 2014 +0200', 'Parent_2commit_date': 'Sat Sep 06 18:40:48.000000 2014 +0200'}}</t>
  </si>
  <si>
    <t>{'844d0cafdbecfddc12b2fde456d9c123436ab10a': {'num_parents': 2, 'date_commit': 'Sat Sep 06 18:40:48.000000 2014 +0200', 'date_author_commit': 'Wed Sep 03 00:16:04.000000 2014 +0200', 'Parent_1': 'c0d1eb30538752a71db74d24fc6aef5cf0fbb232', 'Parent_1author_date': 'Fri Sep 05 05:10:48.000000 2014 +0200', 'Parent_1commit_date': 'Fri Sep 05 05:10:48.000000 2014 +0200', 'possible_rebase': True, 'Parent_2': '5978e6276dc76b6fe5db29bfef9671276005fb65', 'Parent_2author_date': 'Wed Jul 02 11:17:02.000000 2014 +0200', 'Parent_2commit_date': 'Wed Sep 03 05:30:29.000000 2014 +0200'}}</t>
  </si>
  <si>
    <t>e71e8c2</t>
  </si>
  <si>
    <t>{'num_parents': 1, 'date_commit': 'Wed Jan 16 11:19:37.000000 2013 +0100', 'date_author_commit': 'Thu Jan 03 11:52:40.000000 2013 +0100', 'Parent_1': 'c215b5ec79516111456dfc2a63fa0facf5946ab0', 'Parent_1author_date': 'Tue Dec 18 13:06:15.000000 2012 +0100', 'Parent_1commit_date': 'Wed Jan 16 11:19:37.000000 2013 +0100', 'possible_rebase': True}</t>
  </si>
  <si>
    <t>{'bd8399bd2f51f1dcaa5194cb035415c634383917': {'num_parents': 2, 'date_commit': 'Wed Jan 16 11:19:37.000000 2013 +0100', 'date_author_commit': 'Thu Jan 03 11:52:40.000000 2013 +0100', 'Parent_1': '2cdc27b752fa53fd936df1d1a7f4c51701b5e39a', 'Parent_1author_date': 'Thu Jan 17 12:52:10.000000 2013 +0100', 'Parent_1commit_date': 'Thu Jan 17 12:52:10.000000 2013 +0100', 'possible_rebase': False, 'Parent_2': 'e71e8c2a8902acb59dc95e4ea3521e09ae50aa7d', 'Parent_2author_date': 'Thu Jan 03 11:52:40.000000 2013 +0100', 'Parent_2commit_date': 'Wed Jan 16 11:19:37.000000 2013 +0100'}, 'eab051ec68bdc8792dddb63c9231ece11ab06037': {'num_parents': 1, 'date_commit': 'Wed Jan 16 11:19:37.000000 2013 +0100', 'date_author_commit': 'Thu Jan 03 11:52:40.000000 2013 +0100', 'Parent_1': 'e71e8c2a8902acb59dc95e4ea3521e09ae50aa7d', 'Parent_1author_date': 'Thu Jan 03 11:52:40.000000 2013 +0100', 'Parent_1commit_date': 'Wed Jan 16 11:19:37.000000 2013 +0100', 'possible_rebase': False}}</t>
  </si>
  <si>
    <t>{'c215b5ec79516111456dfc2a63fa0facf5946ab0': {'num_parents': 1, 'date_commit': 'Wed Jan 16 11:19:37.000000 2013 +0100', 'date_author_commit': 'Thu Jan 03 11:52:40.000000 2013 +0100', 'Parent_1': 'a41f4c96ca5f1d8323c5631b9a0eab4de3e2001e', 'Parent_1author_date': 'Tue Dec 18 12:31:40.000000 2012 +0100', 'Parent_1commit_date': 'Wed Jan 16 11:19:37.000000 2013 +0100', 'possible_rebase': True}}</t>
  </si>
  <si>
    <t>30871e870</t>
  </si>
  <si>
    <t>{'num_parents': 1, 'date_commit': 'Tue Sep 30 16:41:02.000000 2014 +0200', 'date_author_commit': 'Mon Sep 29 13:33:50.000000 2014 +0200', 'Parent_1': '3c13c9e9419d4bf09d03f679d66b12f40f4c2a16', 'Parent_1author_date': 'Thu Sep 25 08:08:45.000000 2014 +0200', 'Parent_1commit_date': 'Thu Sep 25 08:08:45.000000 2014 +0200', 'possible_rebase': True}</t>
  </si>
  <si>
    <t>{'fd367af856f7ba51f1f91ffc849a441753e1238c': {'num_parents': 2, 'date_commit': 'Tue Sep 30 16:41:02.000000 2014 +0200', 'date_author_commit': 'Mon Sep 29 13:33:50.000000 2014 +0200', 'Parent_1': 'd7a4e182867cc45659aff9ea7001ca14547af641', 'Parent_1author_date': 'Sat Oct 04 01:44:36.000000 2014 +0200', 'Parent_1commit_date': 'Sat Oct 04 01:44:36.000000 2014 +0200', 'possible_rebase': False, 'Parent_2': '30871e8702737edbbfbcbbb5f21858873b37685c', 'Parent_2author_date': 'Mon Sep 29 13:33:50.000000 2014 +0200', 'Parent_2commit_date': 'Tue Sep 30 16:41:02.000000 2014 +0200'}}</t>
  </si>
  <si>
    <t>{'3c13c9e9419d4bf09d03f679d66b12f40f4c2a16': {'num_parents': 2, 'date_commit': 'Tue Sep 30 16:41:02.000000 2014 +0200', 'date_author_commit': 'Mon Sep 29 13:33:50.000000 2014 +0200', 'Parent_1': 'ce79bbf188e3e069d839f565a2c17ab764940c43', 'Parent_1author_date': 'Thu Sep 25 08:05:46.000000 2014 +0200', 'Parent_1commit_date': 'Thu Sep 25 08:05:46.000000 2014 +0200', 'possible_rebase': True, 'Parent_2': '232cbfe67ffb7696f115830c711a960af5fa0828', 'Parent_2author_date': 'Wed Jun 04 02:42:56.000000 2014 +0200', 'Parent_2commit_date': 'Wed Sep 24 19:39:41.000000 2014 +0200'}}</t>
  </si>
  <si>
    <t>a9d0313c</t>
  </si>
  <si>
    <t>{'num_parents': 1, 'date_commit': 'Thu Feb 28 19:59:56.000000 2013 +0100', 'date_author_commit': 'Mon Feb 25 22:16:19.000000 2013 +0100', 'Parent_1': '176789368269582455fb55facd7b1c0fdaea4e03', 'Parent_1author_date': 'Thu Feb 28 18:02:44.000000 2013 +0100', 'Parent_1commit_date': 'Thu Feb 28 18:02:44.000000 2013 +0100', 'possible_rebase': True}</t>
  </si>
  <si>
    <t>{'8296533147b3a974a94c443a4164a97d9434fd8b': {'num_parents': 2, 'date_commit': 'Thu Feb 28 19:59:56.000000 2013 +0100', 'date_author_commit': 'Mon Feb 25 22:16:19.000000 2013 +0100', 'Parent_1': 'b6045e695422cc748a59687dcc54f1e1b36dd492', 'Parent_1author_date': 'Sat Mar 02 05:26:53.000000 2013 +0100', 'Parent_1commit_date': 'Sat Mar 02 05:26:53.000000 2013 +0100', 'possible_rebase': False, 'Parent_2': 'a9d0313cc7d36a9e5e60aa7710b9ce8ec2f37f19', 'Parent_2author_date': 'Mon Feb 25 22:16:19.000000 2013 +0100', 'Parent_2commit_date': 'Thu Feb 28 19:59:56.000000 2013 +0100'}}</t>
  </si>
  <si>
    <t>{'176789368269582455fb55facd7b1c0fdaea4e03': {'num_parents': 2, 'date_commit': 'Thu Feb 28 19:59:56.000000 2013 +0100', 'date_author_commit': 'Mon Feb 25 22:16:19.000000 2013 +0100', 'Parent_1': 'fad84ab9eba658af0b73fa5a4f0a6755421c148f', 'Parent_1author_date': 'Thu Feb 28 17:58:15.000000 2013 +0100', 'Parent_1commit_date': 'Thu Feb 28 17:58:15.000000 2013 +0100', 'possible_rebase': True, 'Parent_2': '40680d96302a266f2d56dcf3031ce7b27f260018', 'Parent_2author_date': 'Thu Feb 28 01:24:22.000000 2013 +0100', 'Parent_2commit_date': 'Thu Feb 28 01:24:22.000000 2013 +0100'}}</t>
  </si>
  <si>
    <t>933365a58</t>
  </si>
  <si>
    <t>{'num_parents': 1, 'date_commit': 'Mon Feb 18 15:51:46.000000 2013 +0100', 'date_author_commit': 'Wed Dec 12 16:49:33.000000 2012 +0100', 'Parent_1': 'ae888be9a356e88589d0ceeb5a777a627c284a4d', 'Parent_1author_date': 'Sun Feb 17 00:42:53.000000 2013 +0100', 'Parent_1commit_date': 'Sun Feb 17 00:42:53.000000 2013 +0100', 'possible_rebase': True}</t>
  </si>
  <si>
    <t>{'b23c557cc8d03028caba95777f98adfe9b1031d9': {'num_parents': 2, 'date_commit': 'Mon Feb 18 15:51:46.000000 2013 +0100', 'date_author_commit': 'Wed Dec 12 16:49:33.000000 2012 +0100', 'Parent_1': '9e2b990f2260dbbe1b207e853b37f6261e594fbd', 'Parent_1author_date': 'Mon Feb 18 18:58:46.000000 2013 +0100', 'Parent_1commit_date': 'Mon Feb 18 18:58:46.000000 2013 +0100', 'possible_rebase': False, 'Parent_2': '933365a583daa5b9eabcf2397c3e7b803e7af74c', 'Parent_2author_date': 'Wed Dec 12 16:49:33.000000 2012 +0100', 'Parent_2commit_date': 'Mon Feb 18 15:51:46.000000 2013 +0100'}}</t>
  </si>
  <si>
    <t>{'ae888be9a356e88589d0ceeb5a777a627c284a4d': {'num_parents': 2, 'date_commit': 'Mon Feb 18 15:51:46.000000 2013 +0100', 'date_author_commit': 'Wed Dec 12 16:49:33.000000 2012 +0100', 'Parent_1': '574eae99dcd0c0ca809d11053dd83f3616b97e70', 'Parent_1author_date': 'Sat Feb 16 20:51:40.000000 2013 +0100', 'Parent_1commit_date': 'Sat Feb 16 20:51:40.000000 2013 +0100', 'possible_rebase': True, 'Parent_2': '404eb54c572b53ad1f6495ed1982a3177b8e75ab', 'Parent_2author_date': 'Sat Feb 16 20:49:57.000000 2013 +0100', 'Parent_2commit_date': 'Sat Feb 16 20:50:14.000000 2013 +0100'}}</t>
  </si>
  <si>
    <t>2bcda65d512</t>
  </si>
  <si>
    <t>{'num_parents': 1, 'date_commit': 'Thu Aug 28 08:36:12.000000 2014 +0200', 'date_author_commit': 'Tue Jul 15 13:43:29.000000 2014 +0200', 'Parent_1': '2df73a4a8dcae157eff0be24918b00ec58e85680', 'Parent_1author_date': 'Thu Aug 28 08:22:51.000000 2014 +0200', 'Parent_1commit_date': 'Thu Aug 28 08:22:51.000000 2014 +0200', 'possible_rebase': True}</t>
  </si>
  <si>
    <t>{'15ff3d35a9ded67a73427d675c2f6bd63e6081df': {'num_parents': 2, 'date_commit': 'Thu Aug 28 08:36:12.000000 2014 +0200', 'date_author_commit': 'Tue Jul 15 13:43:29.000000 2014 +0200', 'Parent_1': '2a97e1afe6a1ec9e44498128fa8d52f9223c647b', 'Parent_1author_date': 'Thu Aug 28 20:40:13.000000 2014 +0200', 'Parent_1commit_date': 'Thu Aug 28 20:40:13.000000 2014 +0200', 'possible_rebase': False, 'Parent_2': '2bcda65d512f38902514e986883d9b36f4d85c33', 'Parent_2author_date': 'Tue Jul 15 13:43:29.000000 2014 +0200', 'Parent_2commit_date': 'Thu Aug 28 08:36:12.000000 2014 +0200'}, '5f055eddae036576f144485d1c62da988767f2f7': {'num_parents': 1, 'date_commit': 'Thu Aug 28 08:36:12.000000 2014 +0200', 'date_author_commit': 'Tue Jul 15 13:43:29.000000 2014 +0200', 'Parent_1': '2bcda65d512f38902514e986883d9b36f4d85c33', 'Parent_1author_date': 'Tue Jul 15 13:43:29.000000 2014 +0200', 'Parent_1commit_date': 'Thu Aug 28 08:36:12.000000 2014 +0200', 'possible_rebase': False}}</t>
  </si>
  <si>
    <t>{'2df73a4a8dcae157eff0be24918b00ec58e85680': {'num_parents': 2, 'date_commit': 'Thu Aug 28 08:36:12.000000 2014 +0200', 'date_author_commit': 'Tue Jul 15 13:43:29.000000 2014 +0200', 'Parent_1': '1f6ccc5f62f29ae34bb7bc1d047f617aed13f33b', 'Parent_1author_date': 'Thu Aug 28 07:14:20.000000 2014 +0200', 'Parent_1commit_date': 'Thu Aug 28 07:14:20.000000 2014 +0200', 'possible_rebase': True, 'Parent_2': '6e55c1f507c01a2dcdffe3b45545fb8f1d8eb4a5', 'Parent_2author_date': 'Wed Aug 20 06:05:08.000000 2014 +0200', 'Parent_2commit_date': 'Mon Aug 25 04:22:08.000000 2014 +0200'}}</t>
  </si>
  <si>
    <t>6956057ac490c788</t>
  </si>
  <si>
    <t>{'num_parents': 1, 'date_commit': 'Wed Dec 01 18:24:39.000000 2010 +0100', 'date_author_commit': 'Wed Dec 01 18:24:39.000000 2010 +0100', 'Parent_1': '7d771bf9c549499c0a138ea991da5df537e0dd88', 'Parent_1author_date': 'Thu Nov 25 00:16:23.000000 2010 +0100', 'Parent_1commit_date': 'Thu Nov 25 00:16:23.000000 2010 +0100', 'possible_rebase': True}</t>
  </si>
  <si>
    <t>{'1bcc4da8bbcfdfee8f5eed80e9115d51803f86e2': {'num_parents': 2, 'date_commit': 'Wed Dec 01 18:24:39.000000 2010 +0100', 'date_author_commit': 'Wed Dec 01 18:24:39.000000 2010 +0100', 'Parent_1': '6956057ac490c788cb94fbfd0af7fe6e91a7ca96', 'Parent_1author_date': 'Wed Dec 01 18:24:39.000000 2010 +0100', 'Parent_1commit_date': 'Wed Dec 01 18:24:39.000000 2010 +0100', 'possible_rebase': True, 'Parent_2': 'f8afbcc08b65d4d6764a6dc66c804816573ab3b4', 'Parent_2author_date': 'Wed Dec 01 23:14:29.000000 2010 +0100', 'Parent_2commit_date': 'Wed Dec 01 23:14:29.000000 2010 +0100'}}</t>
  </si>
  <si>
    <t>{'7d771bf9c549499c0a138ea991da5df537e0dd88': {'num_parents': 1, 'date_commit': 'Wed Dec 01 18:24:39.000000 2010 +0100', 'date_author_commit': 'Wed Dec 01 18:24:39.000000 2010 +0100', 'Parent_1': '1188dd95fbfef144ca71a3c9df2f7dbdb665c97f', 'Parent_1author_date': 'Wed Nov 24 23:52:10.000000 2010 +0100', 'Parent_1commit_date': 'Wed Nov 24 23:52:10.000000 2010 +0100', 'possible_rebase': True}}</t>
  </si>
  <si>
    <t>2ef03c6a0a8c5705</t>
  </si>
  <si>
    <t>{'num_parents': 1, 'date_commit': 'Tue Apr 19 04:02:54.000000 2011 +0200', 'date_author_commit': 'Tue Apr 19 04:02:54.000000 2011 +0200', 'Parent_1': '5f5874b0012e77e846ad02c7ce43f10356105f3d', 'Parent_1author_date': 'Tue Apr 19 02:42:57.000000 2011 +0200', 'Parent_1commit_date': 'Tue Apr 19 02:42:57.000000 2011 +0200', 'possible_rebase': True}</t>
  </si>
  <si>
    <t>{'ad562e2bf7e5ad593f41a5b77e78d0b452d70d0e': {'num_parents': 2, 'date_commit': 'Tue Apr 19 04:02:54.000000 2011 +0200', 'date_author_commit': 'Tue Apr 19 04:02:54.000000 2011 +0200', 'Parent_1': '2ef03c6a0a8c5705249c3b5be755e0a13ca39332', 'Parent_1author_date': 'Tue Apr 19 04:02:54.000000 2011 +0200', 'Parent_1commit_date': 'Tue Apr 19 04:02:54.000000 2011 +0200', 'possible_rebase': True, 'Parent_2': '757709eeaed44ac315d4767620636773ac7f8804', 'Parent_2author_date': 'Sat Apr 30 04:46:29.000000 2011 +0200', 'Parent_2commit_date': 'Sat Apr 30 04:46:29.000000 2011 +0200'}}</t>
  </si>
  <si>
    <t>{'5f5874b0012e77e846ad02c7ce43f10356105f3d': {'num_parents': 2, 'date_commit': 'Tue Apr 19 04:02:54.000000 2011 +0200', 'date_author_commit': 'Tue Apr 19 04:02:54.000000 2011 +0200', 'Parent_1': '049b19ca9954e203804a32aec61a39846019d045', 'Parent_1author_date': 'Tue Apr 19 02:31:41.000000 2011 +0200', 'Parent_1commit_date': 'Tue Apr 19 02:31:41.000000 2011 +0200', 'possible_rebase': True, 'Parent_2': '0d40279353be6932a05e614f78e7b23d28177b94', 'Parent_2author_date': 'Mon Apr 11 22:04:00.000000 2011 +0200', 'Parent_2commit_date': 'Mon Apr 11 22:04:00.000000 2011 +0200'}}</t>
  </si>
  <si>
    <t>d2cbb9a</t>
  </si>
  <si>
    <t>{'num_parents': 1, 'date_commit': 'Tue Jan 20 17:18:04.000000 2015 +0100', 'date_author_commit': 'Mon Nov 10 10:15:46.000000 2014 +0100', 'Parent_1': 'ba01e0141155d4be48720d4547ef03596b6eace3', 'Parent_1author_date': 'Tue Jan 20 17:08:17.000000 2015 +0100', 'Parent_1commit_date': 'Tue Jan 20 17:08:17.000000 2015 +0100', 'possible_rebase': True}</t>
  </si>
  <si>
    <t>{'ee4ad49b42fe0b2a0b10b099268238f87e40188c': {'num_parents': 2, 'date_commit': 'Tue Jan 20 17:18:04.000000 2015 +0100', 'date_author_commit': 'Mon Nov 10 10:15:46.000000 2014 +0100', 'Parent_1': '6674783aacaf4a092dcb8d9ee814499e15061ae9', 'Parent_1author_date': 'Mon Feb 02 21:52:40.000000 2015 +0100', 'Parent_1commit_date': 'Mon Feb 02 21:52:40.000000 2015 +0100', 'possible_rebase': False, 'Parent_2': 'd2cbb9adeaddefc00db430644e0d51b11ffb7600', 'Parent_2author_date': 'Mon Nov 10 10:15:46.000000 2014 +0100', 'Parent_2commit_date': 'Tue Jan 20 17:18:04.000000 2015 +0100'}}</t>
  </si>
  <si>
    <t>{'ba01e0141155d4be48720d4547ef03596b6eace3': {'num_parents': 2, 'date_commit': 'Tue Jan 20 17:18:04.000000 2015 +0100', 'date_author_commit': 'Mon Nov 10 10:15:46.000000 2014 +0100', 'Parent_1': '794700558efe07044d4673f2d60af00200e18f56', 'Parent_1author_date': 'Tue Jan 20 17:06:28.000000 2015 +0100', 'Parent_1commit_date': 'Tue Jan 20 17:06:28.000000 2015 +0100', 'possible_rebase': True, 'Parent_2': '770ab8eeb72b184ac6164aeabb89c4bf45f938a9', 'Parent_2author_date': 'Mon Dec 08 14:45:48.000000 2014 +0100', 'Parent_2commit_date': 'Mon Jan 19 13:49:31.000000 2015 +0100'}}</t>
  </si>
  <si>
    <t>abc656d</t>
  </si>
  <si>
    <t>{'num_parents': 1, 'date_commit': 'Thu Mar 05 16:19:23.000000 2015 +0100', 'date_author_commit': 'Thu Feb 19 00:42:42.000000 2015 +0100', 'Parent_1': 'e6568b24696b07347b687e9dbc605743ce16a92f', 'Parent_1author_date': 'Thu Mar 05 15:49:20.000000 2015 +0100', 'Parent_1commit_date': 'Thu Mar 05 15:49:20.000000 2015 +0100', 'possible_rebase': True}</t>
  </si>
  <si>
    <t>{'8b5cb7a9c96fd1da59bcafbd30723ba26af5c556': {'num_parents': 2, 'date_commit': 'Thu Mar 05 16:19:23.000000 2015 +0100', 'date_author_commit': 'Thu Feb 19 00:42:42.000000 2015 +0100', 'Parent_1': 'a7ef9420ee1d3231c3d658d4ec2a5e86099b29d3', 'Parent_1author_date': 'Fri Mar 06 00:16:53.000000 2015 +0100', 'Parent_1commit_date': 'Fri Mar 06 00:16:53.000000 2015 +0100', 'possible_rebase': False, 'Parent_2': 'abc656d3d549c555cf7c94d0ae0e5d50768bd366', 'Parent_2author_date': 'Thu Feb 19 00:42:42.000000 2015 +0100', 'Parent_2commit_date': 'Thu Mar 05 16:19:23.000000 2015 +0100'}}</t>
  </si>
  <si>
    <t>{'e6568b24696b07347b687e9dbc605743ce16a92f': {'num_parents': 2, 'date_commit': 'Thu Mar 05 16:19:23.000000 2015 +0100', 'date_author_commit': 'Thu Feb 19 00:42:42.000000 2015 +0100', 'Parent_1': '61d07fbce90a21f5d82a131bef8d469955d28ce9', 'Parent_1author_date': 'Thu Mar 05 15:47:13.000000 2015 +0100', 'Parent_1commit_date': 'Thu Mar 05 15:47:13.000000 2015 +0100', 'possible_rebase': True, 'Parent_2': '97e6e33a25e7f3df0385b54e58c21d98cb165ac1', 'Parent_2author_date': 'Fri Feb 13 18:12:57.000000 2015 +0100', 'Parent_2commit_date': 'Wed Mar 04 19:32:45.000000 2015 +0100'}}</t>
  </si>
  <si>
    <t>1b2c121f133b1</t>
  </si>
  <si>
    <t>{'num_parents': 1, 'date_commit': 'Fri May 10 02:29:27.000000 2013 +0200', 'date_author_commit': 'Thu Apr 04 19:00:49.000000 2013 +0200', 'Parent_1': 'b17715174e8cdd98fe336ee79660860890cf6dce', 'Parent_1author_date': 'Sat Apr 20 02:04:49.000000 2013 +0200', 'Parent_1commit_date': 'Sat Apr 20 02:04:49.000000 2013 +0200', 'possible_rebase': True}</t>
  </si>
  <si>
    <t>{'9629c8eb14104a31872f9e3757dd64c637142f9b': {'num_parents': 2, 'date_commit': 'Fri May 10 02:29:27.000000 2013 +0200', 'date_author_commit': 'Thu Apr 04 19:00:49.000000 2013 +0200', 'Parent_1': 'f743e00cdef5e621af5c9a9bc4ebbda5b4329372', 'Parent_1author_date': 'Fri May 10 23:34:22.000000 2013 +0200', 'Parent_1commit_date': 'Fri May 10 23:34:22.000000 2013 +0200', 'possible_rebase': False, 'Parent_2': '1b2c121f133b15d0fe3f6ebdb131ac9998bc4b83', 'Parent_2author_date': 'Thu Apr 04 19:00:49.000000 2013 +0200', 'Parent_2commit_date': 'Fri May 10 02:29:27.000000 2013 +0200'}}</t>
  </si>
  <si>
    <t>{'b17715174e8cdd98fe336ee79660860890cf6dce': {'num_parents': 1, 'date_commit': 'Fri May 10 02:29:27.000000 2013 +0200', 'date_author_commit': 'Thu Apr 04 19:00:49.000000 2013 +0200', 'Parent_1': '7c2b662dc6923b88ce9d3ae3a7262368cceff9b2', 'Parent_1author_date': 'Fri Apr 19 05:14:01.000000 2013 +0200', 'Parent_1commit_date': 'Fri Apr 19 05:14:01.000000 2013 +0200', 'possible_rebase': True}}</t>
  </si>
  <si>
    <t>13e2bd0</t>
  </si>
  <si>
    <t>{'num_parents': 1, 'date_commit': 'Sun Jul 27 23:45:24.000000 2014 +0200', 'date_author_commit': 'Thu Mar 13 22:33:11.000000 2014 +0100', 'Parent_1': '8230b751fbb4c41a3da987fea335d06f05e07272', 'Parent_1author_date': 'Wed Jan 22 23:44:11.000000 2014 +0100', 'Parent_1commit_date': 'Sun Jul 27 23:45:24.000000 2014 +0200', 'possible_rebase': True}</t>
  </si>
  <si>
    <t>{'18f57e6904b69b09a91966930894fcc788d26ecc': {'num_parents': 2, 'date_commit': 'Sun Jul 27 23:45:24.000000 2014 +0200', 'date_author_commit': 'Thu Mar 13 22:33:11.000000 2014 +0100', 'Parent_1': 'fd7312ef9d703291e3c64bc2b5a4edf0d0c24ce8', 'Parent_1author_date': 'Mon Jul 28 17:14:42.000000 2014 +0200', 'Parent_1commit_date': 'Mon Jul 28 17:14:42.000000 2014 +0200', 'possible_rebase': False, 'Parent_2': '13e2bd02a5b50973f95eb3d8fc0af4e0702e3381', 'Parent_2author_date': 'Thu Mar 13 22:33:11.000000 2014 +0100', 'Parent_2commit_date': 'Sun Jul 27 23:45:24.000000 2014 +0200'}}</t>
  </si>
  <si>
    <t>{'8230b751fbb4c41a3da987fea335d06f05e07272': {'num_parents': 1, 'date_commit': 'Sun Jul 27 23:45:24.000000 2014 +0200', 'date_author_commit': 'Thu Mar 13 22:33:11.000000 2014 +0100', 'Parent_1': '8585a242cb1c6425dd647cdce4498eb2071842a4', 'Parent_1author_date': 'Sun Jul 27 20:12:03.000000 2014 +0200', 'Parent_1commit_date': 'Sun Jul 27 20:12:03.000000 2014 +0200', 'possible_rebase': True}}</t>
  </si>
  <si>
    <t>7dd6a4a</t>
  </si>
  <si>
    <t>{'num_parents': 1, 'date_commit': 'Wed Feb 18 14:46:12.000000 2015 +0100', 'date_author_commit': 'Thu Jan 29 15:33:32.000000 2015 +0100', 'Parent_1': '75d0aabc4e4402781f5072aedc8ddf0f7d3ab4f7', 'Parent_1author_date': 'Wed Feb 18 11:33:43.000000 2015 +0100', 'Parent_1commit_date': 'Wed Feb 18 11:33:43.000000 2015 +0100', 'possible_rebase': True}</t>
  </si>
  <si>
    <t>{'6e09ff46343e83c3ce9a36351c1bdfc9a2afb001': {'num_parents': 2, 'date_commit': 'Wed Feb 18 14:46:12.000000 2015 +0100', 'date_author_commit': 'Thu Jan 29 15:33:32.000000 2015 +0100', 'Parent_1': '97d63d8745cd9b3b391ce96b94b4da263b3a053d', 'Parent_1author_date': 'Mon Feb 09 23:28:19.000000 2015 +0100', 'Parent_1commit_date': 'Sun Feb 22 13:56:40.000000 2015 +0100', 'possible_rebase': False, 'Parent_2': '7dd6a4a19311136c02d89cd2afd97236b0f4cc27', 'Parent_2author_date': 'Thu Jan 29 15:33:32.000000 2015 +0100', 'Parent_2commit_date': 'Wed Feb 18 14:46:12.000000 2015 +0100'}, '28c9af9a7acb97a5056bbf92f0d0eee038e32dfb': {'num_parents': 1, 'date_commit': 'Wed Feb 18 14:46:12.000000 2015 +0100', 'date_author_commit': 'Thu Jan 29 15:33:32.000000 2015 +0100', 'Parent_1': '7dd6a4a19311136c02d89cd2afd97236b0f4cc27', 'Parent_1author_date': 'Thu Jan 29 15:33:32.000000 2015 +0100', 'Parent_1commit_date': 'Wed Feb 18 14:46:12.000000 2015 +0100', 'possible_rebase': False}}</t>
  </si>
  <si>
    <t>{'75d0aabc4e4402781f5072aedc8ddf0f7d3ab4f7': {'num_parents': 2, 'date_commit': 'Wed Feb 18 14:46:12.000000 2015 +0100', 'date_author_commit': 'Thu Jan 29 15:33:32.000000 2015 +0100', 'Parent_1': 'ad6d5713b1889059d4d271b71600f764079f8acd', 'Parent_1author_date': 'Wed Feb 18 09:41:29.000000 2015 +0100', 'Parent_1commit_date': 'Wed Feb 18 09:41:29.000000 2015 +0100', 'possible_rebase': True, 'Parent_2': 'b8eb84c07e609c0bc5ca76f3e70907ba14963600', 'Parent_2author_date': 'Tue Feb 17 13:21:45.000000 2015 +0100', 'Parent_2commit_date': 'Tue Feb 17 13:21:45.000000 2015 +0100'}}</t>
  </si>
  <si>
    <t>f3f1a53f</t>
  </si>
  <si>
    <t>{'num_parents': 1, 'date_commit': 'Sat Feb 14 18:44:06.000000 2015 +0100', 'date_author_commit': 'Mon Jan 05 11:48:15.000000 2015 +0100', 'Parent_1': '7afd22b9574b0c610a8f87fa8c773b4448f7b368', 'Parent_1author_date': 'Sat Feb 14 01:28:50.000000 2015 +0100', 'Parent_1commit_date': 'Sat Feb 14 01:28:50.000000 2015 +0100', 'possible_rebase': True}</t>
  </si>
  <si>
    <t>{'74077f00dba5c0980a120bc6d1694a409fd295b6': {'num_parents': 2, 'date_commit': 'Sat Feb 14 18:44:06.000000 2015 +0100', 'date_author_commit': 'Mon Jan 05 11:48:15.000000 2015 +0100', 'Parent_1': '7cb20d75c398da3f537ff5c95ca9abfcd8837fad', 'Parent_1author_date': 'Tue Feb 17 18:14:03.000000 2015 +0100', 'Parent_1commit_date': 'Tue Feb 17 18:14:03.000000 2015 +0100', 'possible_rebase': False, 'Parent_2': 'f3f1a53fe2bfe23229867c4a90f6456ac204181f', 'Parent_2author_date': 'Mon Jan 05 11:48:15.000000 2015 +0100', 'Parent_2commit_date': 'Sat Feb 14 18:44:06.000000 2015 +0100'}, '36a133e11852a52fecd9a12255ca4b4f46a989d8': {'num_parents': 1, 'date_commit': 'Sat Feb 14 18:44:06.000000 2015 +0100', 'date_author_commit': 'Mon Jan 05 11:48:15.000000 2015 +0100', 'Parent_1': 'f3f1a53fe2bfe23229867c4a90f6456ac204181f', 'Parent_1author_date': 'Mon Jan 05 11:48:15.000000 2015 +0100', 'Parent_1commit_date': 'Sat Feb 14 18:44:06.000000 2015 +0100', 'possible_rebase': False}}</t>
  </si>
  <si>
    <t>{'7afd22b9574b0c610a8f87fa8c773b4448f7b368': {'num_parents': 2, 'date_commit': 'Sat Feb 14 18:44:06.000000 2015 +0100', 'date_author_commit': 'Mon Jan 05 11:48:15.000000 2015 +0100', 'Parent_1': 'd764066345e1013e7f40fcb292f0e5d6e84fbc3a', 'Parent_1author_date': 'Sat Feb 14 01:25:26.000000 2015 +0100', 'Parent_1commit_date': 'Sat Feb 14 01:25:26.000000 2015 +0100', 'possible_rebase': True, 'Parent_2': '5f6306985fcc1e16470cb4d175c3deedc7be917d', 'Parent_2author_date': 'Thu Feb 12 14:46:56.000000 2015 +0100', 'Parent_2commit_date': 'Fri Feb 13 17:02:25.000000 2015 +0100'}}</t>
  </si>
  <si>
    <t>447641972539f1</t>
  </si>
  <si>
    <t>{'num_parents': 1, 'date_commit': 'Thu Jun 19 18:20:49.000000 2014 +0200', 'date_author_commit': 'Wed May 14 23:36:59.000000 2014 +0200', 'Parent_1': 'ad6051bb5c2b62a0de6708cd2d7ac1e3cfd8f1d3', 'Parent_1author_date': 'Wed May 14 23:35:30.000000 2014 +0200', 'Parent_1commit_date': 'Thu Jun 19 18:20:49.000000 2014 +0200', 'possible_rebase': True}</t>
  </si>
  <si>
    <t>{'646338d9981435a3a9ffa72373933e0e56a258ce': {'num_parents': 2, 'date_commit': 'Thu Jun 19 18:20:49.000000 2014 +0200', 'date_author_commit': 'Wed May 14 23:36:59.000000 2014 +0200', 'Parent_1': '7b6db5d60d830d0a758a9dcf4e7379a8596ead27', 'Parent_1author_date': 'Tue Jun 24 06:00:58.000000 2014 +0200', 'Parent_1commit_date': 'Tue Jun 24 06:00:58.000000 2014 +0200', 'possible_rebase': False, 'Parent_2': '447641972539f1e13923c6ee5d64169f4229b856', 'Parent_2author_date': 'Wed May 14 23:36:59.000000 2014 +0200', 'Parent_2commit_date': 'Thu Jun 19 18:20:49.000000 2014 +0200'}, 'e29a80022c305fa5050e83fe7a420d5a57f7a9b4': {'num_parents': 1, 'date_commit': 'Thu Jun 19 18:20:49.000000 2014 +0200', 'date_author_commit': 'Wed May 14 23:36:59.000000 2014 +0200', 'Parent_1': '447641972539f1e13923c6ee5d64169f4229b856', 'Parent_1author_date': 'Wed May 14 23:36:59.000000 2014 +0200', 'Parent_1commit_date': 'Thu Jun 19 18:20:49.000000 2014 +0200', 'possible_rebase': False}}</t>
  </si>
  <si>
    <t>{'ad6051bb5c2b62a0de6708cd2d7ac1e3cfd8f1d3': {'num_parents': 1, 'date_commit': 'Thu Jun 19 18:20:49.000000 2014 +0200', 'date_author_commit': 'Wed May 14 23:36:59.000000 2014 +0200', 'Parent_1': '2958e570ff80a10a29ba078a15fe84b72f1476cc', 'Parent_1author_date': 'Thu May 08 17:55:26.000000 2014 +0200', 'Parent_1commit_date': 'Thu Jun 19 18:20:49.000000 2014 +0200', 'possible_rebase': True}}</t>
  </si>
  <si>
    <t>1682c5b</t>
  </si>
  <si>
    <t>{'num_parents': 1, 'date_commit': 'Tue Feb 03 16:13:05.000000 2015 +0100', 'date_author_commit': 'Fri Jan 02 18:21:12.000000 2015 +0100', 'Parent_1': '422b22eaf79c04e42e1b2257b7ab1feff54152bc', 'Parent_1author_date': 'Thu Jan 29 08:54:07.000000 2015 +0100', 'Parent_1commit_date': 'Thu Jan 29 08:54:07.000000 2015 +0100', 'possible_rebase': True}</t>
  </si>
  <si>
    <t>{'98641da6402c44793da4d2f6d7ea1a7ba5f16708': {'num_parents': 2, 'date_commit': 'Tue Feb 03 16:13:05.000000 2015 +0100', 'date_author_commit': 'Fri Jan 02 18:21:12.000000 2015 +0100', 'Parent_1': 'f47676c21ebbd18d708ed547f54a10128d53ed29', 'Parent_1author_date': 'Fri Feb 06 00:02:32.000000 2015 +0100', 'Parent_1commit_date': 'Fri Feb 06 00:02:32.000000 2015 +0100', 'possible_rebase': False, 'Parent_2': '1682c5b585835e151845c7f64a6c29bc21c29edc', 'Parent_2author_date': 'Fri Jan 02 18:21:12.000000 2015 +0100', 'Parent_2commit_date': 'Tue Feb 03 16:13:05.000000 2015 +0100'}}</t>
  </si>
  <si>
    <t>{'422b22eaf79c04e42e1b2257b7ab1feff54152bc': {'num_parents': 2, 'date_commit': 'Tue Feb 03 16:13:05.000000 2015 +0100', 'date_author_commit': 'Fri Jan 02 18:21:12.000000 2015 +0100', 'Parent_1': '75d946da7bd19df210ca1a016cf1fab173ba3eac', 'Parent_1author_date': 'Thu Jan 29 07:22:12.000000 2015 +0100', 'Parent_1commit_date': 'Thu Jan 29 07:22:12.000000 2015 +0100', 'possible_rebase': True, 'Parent_2': '78a706f784b8b42df4c85ac18270da848c99cd67', 'Parent_2author_date': 'Wed Jan 28 13:46:02.000000 2015 +0100', 'Parent_2commit_date': 'Wed Jan 28 14:29:58.000000 2015 +0100'}}</t>
  </si>
  <si>
    <t>60c90f7</t>
  </si>
  <si>
    <t>{'num_parents': 1, 'date_commit': 'Fri Jul 11 18:21:37.000000 2014 +0200', 'date_author_commit': 'Tue Jun 24 21:03:17.000000 2014 +0200', 'Parent_1': '119b95290b38f370020e43da790508398ea87f6d', 'Parent_1author_date': 'Fri Jul 11 17:58:49.000000 2014 +0200', 'Parent_1commit_date': 'Fri Jul 11 17:58:49.000000 2014 +0200', 'possible_rebase': True}</t>
  </si>
  <si>
    <t>{'e8c300efeb6656e84caa5be7e0df6ddd8e0e7ab1': {'num_parents': 2, 'date_commit': 'Fri Jul 11 18:21:37.000000 2014 +0200', 'date_author_commit': 'Tue Jun 24 21:03:17.000000 2014 +0200', 'Parent_1': 'b0f5992c5f2647cfa6026a8c07e146edc46e137c', 'Parent_1author_date': 'Tue Jul 22 22:38:42.000000 2014 +0200', 'Parent_1commit_date': 'Tue Jul 22 22:38:42.000000 2014 +0200', 'possible_rebase': False, 'Parent_2': '60c90f73261efb8c73ecc02152307c81265cab13', 'Parent_2author_date': 'Tue Jun 24 21:03:17.000000 2014 +0200', 'Parent_2commit_date': 'Fri Jul 11 18:21:37.000000 2014 +0200'}}</t>
  </si>
  <si>
    <t>{'119b95290b38f370020e43da790508398ea87f6d': {'num_parents': 2, 'date_commit': 'Fri Jul 11 18:21:37.000000 2014 +0200', 'date_author_commit': 'Tue Jun 24 21:03:17.000000 2014 +0200', 'Parent_1': '031add7a82fb088ae9a4586189cc5f89c1a303b6', 'Parent_1author_date': 'Fri Jul 11 16:33:25.000000 2014 +0200', 'Parent_1commit_date': 'Fri Jul 11 16:33:25.000000 2014 +0200', 'possible_rebase': True, 'Parent_2': '8af2fdfa8864b369eec599d2bccefb01c8f0c330', 'Parent_2author_date': 'Thu Jul 03 10:54:29.000000 2014 +0200', 'Parent_2commit_date': 'Thu Jul 03 16:27:40.000000 2014 +0200'}}</t>
  </si>
  <si>
    <t>501ff41</t>
  </si>
  <si>
    <t>{'num_parents': 1, 'date_commit': 'Tue Jun 11 10:50:50.000000 2013 +0200', 'date_author_commit': 'Thu May 09 15:42:44.000000 2013 +0200', 'Parent_1': 'a79eea05db0e907c3f942fd8380f238aa34b8f2b', 'Parent_1author_date': 'Tue Jun 11 10:09:29.000000 2013 +0200', 'Parent_1commit_date': 'Tue Jun 11 10:09:29.000000 2013 +0200', 'possible_rebase': True}</t>
  </si>
  <si>
    <t>{'3f2b5fdd83b5fc48b6c213837d7a6b71a13fd48b': {'num_parents': 2, 'date_commit': 'Tue Jun 11 10:50:50.000000 2013 +0200', 'date_author_commit': 'Thu May 09 15:42:44.000000 2013 +0200', 'Parent_1': '685228d96b7d40f537cf6144014234e24e8cd7fd', 'Parent_1author_date': 'Tue Jun 11 12:36:48.000000 2013 +0200', 'Parent_1commit_date': 'Tue Jun 11 12:36:48.000000 2013 +0200', 'possible_rebase': False, 'Parent_2': '501ff418df4c08e52a697772200aa08dd67a4a43', 'Parent_2author_date': 'Thu May 09 15:42:44.000000 2013 +0200', 'Parent_2commit_date': 'Tue Jun 11 10:50:50.000000 2013 +0200'}}</t>
  </si>
  <si>
    <t>{'a79eea05db0e907c3f942fd8380f238aa34b8f2b': {'num_parents': 2, 'date_commit': 'Tue Jun 11 10:50:50.000000 2013 +0200', 'date_author_commit': 'Thu May 09 15:42:44.000000 2013 +0200', 'Parent_1': '63d0ff2c4853a0b576262fc13d686e216c270d88', 'Parent_1author_date': 'Tue Jun 11 08:18:25.000000 2013 +0200', 'Parent_1commit_date': 'Tue Jun 11 08:18:25.000000 2013 +0200', 'possible_rebase': True, 'Parent_2': '3abd08defd352a7015d4c8c5ccc4ca12ac080421', 'Parent_2author_date': 'Thu May 30 14:28:35.000000 2013 +0200', 'Parent_2commit_date': 'Mon Jun 10 16:49:57.000000 2013 +0200'}}</t>
  </si>
  <si>
    <t>0e02db2980dc4e76ef7949ba4ec131af9fc4a44d</t>
  </si>
  <si>
    <t>{'num_parents': 1, 'date_commit': 'Mon Dec 08 15:38:17.000000 2014 +0100', 'date_author_commit': 'Thu Oct 09 10:32:27.000000 2014 +0200', 'Parent_1': '6f5fe6d2d787a32d653a395707590d32ddea1095', 'Parent_1author_date': 'Mon Dec 08 15:29:12.000000 2014 +0100', 'Parent_1commit_date': 'Mon Dec 08 15:29:12.000000 2014 +0100', 'possible_rebase': True}</t>
  </si>
  <si>
    <t>{'159d4eb9f8b6dbcdb00d72fff067e1b8536915a7': {'num_parents': 2, 'date_commit': 'Mon Dec 08 15:38:17.000000 2014 +0100', 'date_author_commit': 'Thu Oct 09 10:32:27.000000 2014 +0200', 'Parent_1': 'd6fb908654db5858c70b60b56755d50c5fc37587', 'Parent_1author_date': 'Mon Dec 08 16:51:25.000000 2014 +0100', 'Parent_1commit_date': 'Mon Dec 08 16:51:25.000000 2014 +0100', 'possible_rebase': False, 'Parent_2': '0e02db2980dc4e76ef7949ba4ec131af9fc4a44d', 'Parent_2author_date': 'Thu Oct 09 10:32:27.000000 2014 +0200', 'Parent_2commit_date': 'Mon Dec 08 15:38:17.000000 2014 +0100'}}</t>
  </si>
  <si>
    <t>{'6f5fe6d2d787a32d653a395707590d32ddea1095': {'num_parents': 2, 'date_commit': 'Mon Dec 08 15:38:17.000000 2014 +0100', 'date_author_commit': 'Thu Oct 09 10:32:27.000000 2014 +0200', 'Parent_1': 'fd48c68c04e7ce417807b8aa9e7b1d97b5a90f6c', 'Parent_1author_date': 'Mon Dec 08 14:51:19.000000 2014 +0100', 'Parent_1commit_date': 'Mon Dec 08 14:51:19.000000 2014 +0100', 'possible_rebase': True, 'Parent_2': 'd8a17851b4a4d8d20df9ac9ae270f379c373a37e', 'Parent_2author_date': 'Tue Nov 25 04:02:06.000000 2014 +0100', 'Parent_2commit_date': 'Fri Dec 05 02:55:37.000000 2014 +0100'}}</t>
  </si>
  <si>
    <t>0eb7e35fbf</t>
  </si>
  <si>
    <t>{'num_parents': 1, 'date_commit': 'Mon Dec 16 16:15:26.000000 2013 +0100', 'date_author_commit': 'Mon Dec 02 21:25:04.000000 2013 +0100', 'Parent_1': 'b32d01d44ca5711c96d192df51bf7acd34f52556', 'Parent_1author_date': 'Tue Jul 02 16:32:57.000000 2013 +0200', 'Parent_1commit_date': 'Sun Dec 15 17:20:50.000000 2013 +0100', 'possible_rebase': True}</t>
  </si>
  <si>
    <t>{'228d244ab64b87be588c8bcb396e25e2074b22ec': {'num_parents': 2, 'date_commit': 'Mon Dec 16 16:15:26.000000 2013 +0100', 'date_author_commit': 'Mon Dec 02 21:25:04.000000 2013 +0100', 'Parent_1': '1c20a224536648915c14828d2d8962c45d95d7b2', 'Parent_1author_date': 'Mon Dec 16 21:15:01.000000 2013 +0100', 'Parent_1commit_date': 'Mon Dec 16 21:15:01.000000 2013 +0100', 'possible_rebase': False, 'Parent_2': '0eb7e35fbfe5de5f9f00ff1a0cce1d6a61f3a902', 'Parent_2author_date': 'Mon Dec 02 21:25:04.000000 2013 +0100', 'Parent_2commit_date': 'Mon Dec 16 16:15:26.000000 2013 +0100'}}</t>
  </si>
  <si>
    <t>{'b32d01d44ca5711c96d192df51bf7acd34f52556': {'num_parents': 1, 'date_commit': 'Mon Dec 16 16:15:26.000000 2013 +0100', 'date_author_commit': 'Mon Dec 02 21:25:04.000000 2013 +0100', 'Parent_1': 'caa2775793753f21667ad883fe7565bc4773e7f2', 'Parent_1author_date': 'Sun Dec 15 03:16:28.000000 2013 +0100', 'Parent_1commit_date': 'Sun Dec 15 03:16:28.000000 2013 +0100', 'possible_rebase': True}}</t>
  </si>
  <si>
    <t>e310985</t>
  </si>
  <si>
    <t>{'num_parents': 1, 'date_commit': 'Fri Aug 29 20:52:22.000000 2014 +0200', 'date_author_commit': 'Tue Aug 12 16:41:44.000000 2014 +0200', 'Parent_1': 'f74f7776584378b9f2154173ed670cf4c4c68c1d', 'Parent_1author_date': 'Fri May 23 19:21:56.000000 2014 +0200', 'Parent_1commit_date': 'Fri Aug 29 20:52:10.000000 2014 +0200', 'possible_rebase': True}</t>
  </si>
  <si>
    <t>{'3fe1851d3b723678acc371ebb845afee73f8264e': {'num_parents': 1, 'date_commit': 'Fri Aug 29 20:52:22.000000 2014 +0200', 'date_author_commit': 'Tue Aug 12 16:41:44.000000 2014 +0200', 'Parent_1': 'e310985b77d916b1ad7f9ec60a9a0b46364046ac', 'Parent_1author_date': 'Tue Aug 12 16:41:44.000000 2014 +0200', 'Parent_1commit_date': 'Fri Aug 29 20:52:22.000000 2014 +0200', 'possible_rebase': False}, '0751e2225cb839f905e2181c9b61b582e039c446': {'num_parents': 2, 'date_commit': 'Fri Aug 29 20:52:22.000000 2014 +0200', 'date_author_commit': 'Tue Aug 12 16:41:44.000000 2014 +0200', 'Parent_1': '1dcdfd1d2b05418fea101877d53ab9daa610552d', 'Parent_1author_date': 'Tue Sep 02 19:06:44.000000 2014 +0200', 'Parent_1commit_date': 'Tue Sep 02 19:06:44.000000 2014 +0200', 'possible_rebase': False, 'Parent_2': 'e310985b77d916b1ad7f9ec60a9a0b46364046ac', 'Parent_2author_date': 'Tue Aug 12 16:41:44.000000 2014 +0200', 'Parent_2commit_date': 'Fri Aug 29 20:52:22.000000 2014 +0200'}}</t>
  </si>
  <si>
    <t>{'f74f7776584378b9f2154173ed670cf4c4c68c1d': {'num_parents': 1, 'date_commit': 'Fri Aug 29 20:52:22.000000 2014 +0200', 'date_author_commit': 'Tue Aug 12 16:41:44.000000 2014 +0200', 'Parent_1': '8f49b1ed9f879fd1ee26688c33737b92aa2d91b4', 'Parent_1author_date': 'Fri Aug 29 15:27:19.000000 2014 +0200', 'Parent_1commit_date': 'Fri Aug 29 15:27:19.000000 2014 +0200', 'possible_rebase': True}}</t>
  </si>
  <si>
    <t>31f208423405</t>
  </si>
  <si>
    <t>{'num_parents': 1, 'date_commit': 'Tue Apr 07 07:25:09.000000 2015 +0200', 'date_author_commit': 'Sat Mar 28 03:41:22.000000 2015 +0100', 'Parent_1': 'bf70df295b0529da9f4381f52fc94d328fa2fdb3', 'Parent_1author_date': 'Tue Apr 07 01:57:10.000000 2015 +0200', 'Parent_1commit_date': 'Tue Apr 07 01:57:10.000000 2015 +0200', 'possible_rebase': True}</t>
  </si>
  <si>
    <t>{'d29d169fdde93e2c4de9b07d7bddd0a4988e7ea4': {'num_parents': 2, 'date_commit': 'Tue Apr 07 07:25:09.000000 2015 +0200', 'date_author_commit': 'Sat Mar 28 03:41:22.000000 2015 +0100', 'Parent_1': '596d16237ab5ec624e3088a45e09b74ad9762ec6', 'Parent_1author_date': 'Wed Apr 08 18:51:04.000000 2015 +0200', 'Parent_1commit_date': 'Wed Apr 08 18:51:04.000000 2015 +0200', 'possible_rebase': False, 'Parent_2': '31f208423405ed50bb5b32977071f917ac3ce26d', 'Parent_2author_date': 'Sat Mar 28 03:41:22.000000 2015 +0100', 'Parent_2commit_date': 'Tue Apr 07 07:25:09.000000 2015 +0200'}}</t>
  </si>
  <si>
    <t>{'bf70df295b0529da9f4381f52fc94d328fa2fdb3': {'num_parents': 2, 'date_commit': 'Tue Apr 07 07:25:09.000000 2015 +0200', 'date_author_commit': 'Sat Mar 28 03:41:22.000000 2015 +0100', 'Parent_1': 'ad329b0d443dd8bae1c84b78c803bcd9349ddc9c', 'Parent_1author_date': 'Tue Apr 07 01:44:12.000000 2015 +0200', 'Parent_1commit_date': 'Tue Apr 07 01:44:12.000000 2015 +0200', 'possible_rebase': True, 'Parent_2': '7560620da7704671e6e5a304c25e506e12f213bd', 'Parent_2author_date': 'Tue Mar 10 21:54:52.000000 2015 +0100', 'Parent_2commit_date': 'Tue Mar 10 21:54:52.000000 2015 +0100'}}</t>
  </si>
  <si>
    <t>f5071bd1ac00ed68102d37c8025</t>
  </si>
  <si>
    <t>{'num_parents': 1, 'date_commit': 'Thu Mar 06 09:14:47.000000 2014 +0100', 'date_author_commit': 'Fri Jan 31 15:20:47.000000 2014 +0100', 'Parent_1': '4897b18a406aa1fa3ba4916f9d9cfde2b064f406', 'Parent_1author_date': 'Thu Mar 06 02:55:17.000000 2014 +0100', 'Parent_1commit_date': 'Thu Mar 06 02:55:17.000000 2014 +0100', 'possible_rebase': True}</t>
  </si>
  <si>
    <t>{'87f35cfcc7d26b89dcc084be337d97a213079e77': {'num_parents': 1, 'date_commit': 'Thu Mar 06 09:14:47.000000 2014 +0100', 'date_author_commit': 'Fri Jan 31 15:20:47.000000 2014 +0100', 'Parent_1': 'f5071bd1ac00ed68102d37c8025d36df6777cd9e', 'Parent_1author_date': 'Fri Jan 31 15:20:47.000000 2014 +0100', 'Parent_1commit_date': 'Thu Mar 06 09:14:47.000000 2014 +0100', 'possible_rebase': False}}</t>
  </si>
  <si>
    <t>{'4897b18a406aa1fa3ba4916f9d9cfde2b064f406': {'num_parents': 2, 'date_commit': 'Thu Mar 06 09:14:47.000000 2014 +0100', 'date_author_commit': 'Fri Jan 31 15:20:47.000000 2014 +0100', 'Parent_1': '46c0c773d95b4d2045240a60b9c36615ad15f2d8', 'Parent_1author_date': 'Thu Mar 06 02:44:27.000000 2014 +0100', 'Parent_1commit_date': 'Thu Mar 06 02:44:27.000000 2014 +0100', 'possible_rebase': True, 'Parent_2': '784372985907dd88771e4ee1ff32305022b49e78', 'Parent_2author_date': 'Fri Feb 21 15:54:30.000000 2014 +0100', 'Parent_2commit_date': 'Tue Mar 04 22:58:50.000000 2014 +0100'}}</t>
  </si>
  <si>
    <t>64e167eb6</t>
  </si>
  <si>
    <t>{'num_parents': 1, 'date_commit': 'Mon Nov 26 23:10:40.000000 2012 +0100', 'date_author_commit': 'Mon Aug 06 18:37:12.000000 2012 +0200', 'Parent_1': 'ab77c4e1b8e4c500a9372e290e658952a2441627', 'Parent_1author_date': 'Mon Nov 26 19:47:22.000000 2012 +0100', 'Parent_1commit_date': 'Mon Nov 26 19:47:22.000000 2012 +0100', 'possible_rebase': True}</t>
  </si>
  <si>
    <t>{'d751a58d0a909a5ab9605a4fc707c1027d710755': {'num_parents': 2, 'date_commit': 'Mon Nov 26 23:10:40.000000 2012 +0100', 'date_author_commit': 'Mon Aug 06 18:37:12.000000 2012 +0200', 'Parent_1': '0e4e6edb06951dc836651697c2dc6bd0a7d0f862', 'Parent_1author_date': 'Mon Nov 26 22:43:09.000000 2012 +0100', 'Parent_1commit_date': 'Mon Nov 26 22:43:09.000000 2012 +0100', 'possible_rebase': False, 'Parent_2': '64e167eb62bd3483b2947ec8de218453c116bd93', 'Parent_2author_date': 'Mon Aug 06 18:37:12.000000 2012 +0200', 'Parent_2commit_date': 'Mon Nov 26 23:10:40.000000 2012 +0100'}}</t>
  </si>
  <si>
    <t>{'ab77c4e1b8e4c500a9372e290e658952a2441627': {'num_parents': 2, 'date_commit': 'Mon Nov 26 23:10:40.000000 2012 +0100', 'date_author_commit': 'Mon Aug 06 18:37:12.000000 2012 +0200', 'Parent_1': '9adc3a456a4a38fd9e372ddd7ee2fc6abeddbb0d', 'Parent_1author_date': 'Mon Nov 26 19:39:22.000000 2012 +0100', 'Parent_1commit_date': 'Mon Nov 26 19:39:22.000000 2012 +0100', 'possible_rebase': True, 'Parent_2': '717c9755805aa06340130b6bc4e7de8f81ea8e57', 'Parent_2author_date': 'Wed Oct 03 20:21:24.000000 2012 +0200', 'Parent_2commit_date': 'Mon Nov 26 18:16:53.000000 2012 +0100'}}</t>
  </si>
  <si>
    <t>F5</t>
  </si>
  <si>
    <t>F6</t>
  </si>
  <si>
    <t>I6</t>
  </si>
  <si>
    <t>ML3</t>
  </si>
  <si>
    <t>ML6</t>
  </si>
  <si>
    <t>O4</t>
  </si>
  <si>
    <t>B1</t>
  </si>
  <si>
    <t>B2</t>
  </si>
  <si>
    <t>B3</t>
  </si>
  <si>
    <t>C2</t>
  </si>
  <si>
    <t>C9</t>
  </si>
  <si>
    <t>C12</t>
  </si>
  <si>
    <t>R2</t>
  </si>
  <si>
    <t>R8</t>
  </si>
  <si>
    <t>Missing_IDS</t>
  </si>
  <si>
    <t>C2.1, C2.2 and C2.3</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</si>
</sst>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color theme="1"/>
      <name val="Arial"/>
    </font>
    <font>
      <b/>
      <sz val="12.0"/>
      <color theme="1"/>
      <name val="Arial"/>
    </font>
    <font>
      <b/>
      <sz val="12.0"/>
      <color rgb="FF000000"/>
      <name val="Arial"/>
    </font>
    <font>
      <sz val="12.0"/>
      <color theme="1"/>
      <name val="Arial"/>
    </font>
    <font>
      <u/>
      <color rgb="FF1155CC"/>
      <name val="Arial"/>
    </font>
    <font>
      <b/>
      <sz val="12.0"/>
      <color rgb="FFFFFFFF"/>
      <name val="Arial"/>
    </font>
    <font>
      <b/>
      <color rgb="FFFFFF00"/>
      <name val="Arial"/>
    </font>
    <font>
      <sz val="12.0"/>
      <color rgb="FFFF0000"/>
      <name val="Arial"/>
    </font>
    <font>
      <u/>
      <color rgb="FF0000FF"/>
      <name val="Arial"/>
    </font>
    <font>
      <u/>
      <sz val="12.0"/>
      <color rgb="FF1155CC"/>
      <name val="Arial"/>
    </font>
    <font>
      <u/>
      <color rgb="FF0000FF"/>
    </font>
    <font>
      <color theme="1"/>
      <name val="Arial"/>
      <scheme val="minor"/>
    </font>
    <font>
      <b/>
      <u/>
      <sz val="12.0"/>
      <color rgb="FFFFFF00"/>
    </font>
    <font>
      <b/>
      <color theme="1"/>
      <name val="Arial"/>
      <scheme val="minor"/>
    </font>
    <font/>
    <font>
      <b/>
      <color theme="1"/>
      <name val="Arial"/>
    </font>
    <font>
      <b/>
      <color rgb="FF434343"/>
      <name val="Arial"/>
      <scheme val="minor"/>
    </font>
    <font>
      <sz val="8.0"/>
      <color rgb="FF434343"/>
      <name val="Arial"/>
      <scheme val="minor"/>
    </font>
    <font>
      <u/>
      <sz val="9.0"/>
      <color rgb="FF434343"/>
    </font>
    <font>
      <sz val="9.0"/>
      <color rgb="FF434343"/>
      <name val="Arial"/>
      <scheme val="minor"/>
    </font>
    <font>
      <color rgb="FF000000"/>
      <name val="Arial"/>
    </font>
    <font>
      <u/>
      <color rgb="FF0000FF"/>
    </font>
    <font>
      <b/>
      <color rgb="FF434343"/>
      <name val="Arial"/>
    </font>
    <font>
      <u/>
      <sz val="8.0"/>
      <color rgb="FF434343"/>
      <name val="Arial"/>
    </font>
    <font>
      <u/>
      <sz val="9.0"/>
      <color rgb="FF434343"/>
      <name val="Arial"/>
    </font>
    <font>
      <sz val="8.0"/>
      <color theme="1"/>
      <name val="Liberation Serif"/>
    </font>
    <font>
      <sz val="8.0"/>
      <color rgb="FF434343"/>
      <name val="Arial"/>
    </font>
    <font>
      <sz val="9.0"/>
      <color rgb="FF434343"/>
      <name val="Arial"/>
    </font>
    <font>
      <sz val="8.0"/>
      <color theme="1"/>
      <name val="&quot;Liberation Sans&quot;"/>
    </font>
    <font>
      <u/>
      <sz val="8.0"/>
      <color rgb="FF434343"/>
    </font>
    <font>
      <sz val="8.0"/>
      <color theme="1"/>
      <name val="Liberation Sans"/>
    </font>
    <font>
      <sz val="8.0"/>
      <color theme="1"/>
      <name val="Arial"/>
    </font>
    <font>
      <u/>
      <sz val="8.0"/>
      <color rgb="FF0000FF"/>
      <name val="Liberation Sans"/>
    </font>
    <font>
      <sz val="8.0"/>
      <color rgb="FF000000"/>
      <name val="Arial"/>
    </font>
    <font>
      <u/>
      <color rgb="FF0000FF"/>
    </font>
    <font>
      <u/>
      <color rgb="FF0000FF"/>
    </font>
    <font>
      <color rgb="FFFF00FF"/>
      <name val="Arial"/>
      <scheme val="minor"/>
    </font>
    <font>
      <b/>
      <sz val="11.0"/>
      <color theme="1"/>
      <name val="Calibri"/>
    </font>
    <font>
      <sz val="11.0"/>
      <color rgb="FF000000"/>
      <name val="Calibri"/>
    </font>
    <font>
      <sz val="9.0"/>
      <color rgb="FF000000"/>
      <name val="&quot;Google Sans Mono&quot;"/>
    </font>
  </fonts>
  <fills count="15">
    <fill>
      <patternFill patternType="none"/>
    </fill>
    <fill>
      <patternFill patternType="lightGray"/>
    </fill>
    <fill>
      <patternFill patternType="solid">
        <fgColor rgb="FFA4C2F4"/>
        <bgColor rgb="FFA4C2F4"/>
      </patternFill>
    </fill>
    <fill>
      <patternFill patternType="solid">
        <fgColor rgb="FF0B5394"/>
        <bgColor rgb="FF0B5394"/>
      </patternFill>
    </fill>
    <fill>
      <patternFill patternType="solid">
        <fgColor rgb="FF000000"/>
        <bgColor rgb="FF000000"/>
      </patternFill>
    </fill>
    <fill>
      <patternFill patternType="solid">
        <fgColor rgb="FF351C75"/>
        <bgColor rgb="FF351C75"/>
      </patternFill>
    </fill>
    <fill>
      <patternFill patternType="solid">
        <fgColor rgb="FF999999"/>
        <bgColor rgb="FF999999"/>
      </patternFill>
    </fill>
    <fill>
      <patternFill patternType="solid">
        <fgColor rgb="FFEFEFEF"/>
        <bgColor rgb="FFEFEFEF"/>
      </patternFill>
    </fill>
    <fill>
      <patternFill patternType="solid">
        <fgColor rgb="FFE6F3FF"/>
        <bgColor rgb="FFE6F3FF"/>
      </patternFill>
    </fill>
    <fill>
      <patternFill patternType="solid">
        <fgColor rgb="FFF3F3F3"/>
        <bgColor rgb="FFF3F3F3"/>
      </patternFill>
    </fill>
    <fill>
      <patternFill patternType="solid">
        <fgColor rgb="FFFFFFFF"/>
        <bgColor rgb="FFFFFFFF"/>
      </patternFill>
    </fill>
    <fill>
      <patternFill patternType="solid">
        <fgColor rgb="FFEAD1DC"/>
        <bgColor rgb="FFEAD1DC"/>
      </patternFill>
    </fill>
    <fill>
      <patternFill patternType="solid">
        <fgColor rgb="FFFFD966"/>
        <bgColor rgb="FFFFD966"/>
      </patternFill>
    </fill>
    <fill>
      <patternFill patternType="solid">
        <fgColor rgb="FFFFF2CC"/>
        <bgColor rgb="FFFFF2CC"/>
      </patternFill>
    </fill>
    <fill>
      <patternFill patternType="solid">
        <fgColor rgb="FFCCCCCC"/>
        <bgColor rgb="FFCCCCCC"/>
      </patternFill>
    </fill>
  </fills>
  <borders count="13">
    <border/>
    <border>
      <left style="medium">
        <color rgb="FF000000"/>
      </left>
    </border>
    <border>
      <right style="medium">
        <color rgb="FF000000"/>
      </right>
    </border>
    <border>
      <right style="thick">
        <color rgb="FF000000"/>
      </right>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horizontal="center" shrinkToFit="0" vertical="center" wrapText="1"/>
    </xf>
    <xf borderId="0" fillId="0" fontId="4" numFmtId="0" xfId="0" applyAlignment="1" applyFont="1">
      <alignment shrinkToFit="0" vertical="bottom" wrapText="1"/>
    </xf>
    <xf borderId="0" fillId="0" fontId="5" numFmtId="0" xfId="0" applyAlignment="1" applyFont="1">
      <alignment vertical="bottom"/>
    </xf>
    <xf borderId="0" fillId="3" fontId="6" numFmtId="0" xfId="0" applyAlignment="1" applyFill="1" applyFont="1">
      <alignment horizontal="center" readingOrder="0" shrinkToFit="0" vertical="center" wrapText="1"/>
    </xf>
    <xf borderId="0" fillId="0" fontId="4" numFmtId="0" xfId="0" applyAlignment="1" applyFont="1">
      <alignment readingOrder="0" shrinkToFit="0" vertical="bottom" wrapText="1"/>
    </xf>
    <xf borderId="0" fillId="4" fontId="7" numFmtId="0" xfId="0" applyAlignment="1" applyFill="1" applyFont="1">
      <alignment horizontal="center" readingOrder="0" vertical="center"/>
    </xf>
    <xf borderId="0" fillId="0" fontId="1" numFmtId="0" xfId="0" applyAlignment="1" applyFont="1">
      <alignment readingOrder="0" vertical="bottom"/>
    </xf>
    <xf borderId="0" fillId="5" fontId="6" numFmtId="0" xfId="0" applyAlignment="1" applyFill="1" applyFont="1">
      <alignment horizontal="center" readingOrder="0" shrinkToFit="0" vertical="center" wrapText="1"/>
    </xf>
    <xf borderId="0" fillId="0" fontId="8" numFmtId="0" xfId="0" applyAlignment="1" applyFont="1">
      <alignment readingOrder="0" shrinkToFit="0" vertical="bottom" wrapText="1"/>
    </xf>
    <xf borderId="0" fillId="0" fontId="9" numFmtId="0" xfId="0" applyAlignment="1" applyFont="1">
      <alignment readingOrder="0" vertical="bottom"/>
    </xf>
    <xf borderId="0" fillId="0" fontId="10" numFmtId="0" xfId="0" applyAlignment="1" applyFont="1">
      <alignment readingOrder="0" shrinkToFit="0" vertical="bottom" wrapText="1"/>
    </xf>
    <xf borderId="0" fillId="0" fontId="11" numFmtId="0" xfId="0" applyAlignment="1" applyFont="1">
      <alignment readingOrder="0"/>
    </xf>
    <xf borderId="0" fillId="0" fontId="1" numFmtId="0" xfId="0" applyAlignment="1" applyFont="1">
      <alignment horizontal="right" vertical="bottom"/>
    </xf>
    <xf borderId="0" fillId="0" fontId="12" numFmtId="0" xfId="0" applyAlignment="1" applyFont="1">
      <alignment readingOrder="0"/>
    </xf>
    <xf borderId="0" fillId="6" fontId="1" numFmtId="0" xfId="0" applyAlignment="1" applyFill="1" applyFont="1">
      <alignment horizontal="right" vertical="bottom"/>
    </xf>
    <xf borderId="0" fillId="0" fontId="1" numFmtId="0" xfId="0" applyAlignment="1" applyFont="1">
      <alignment horizontal="center" readingOrder="0"/>
    </xf>
    <xf borderId="0" fillId="0" fontId="12" numFmtId="10" xfId="0" applyFont="1" applyNumberFormat="1"/>
    <xf borderId="0" fillId="0" fontId="1" numFmtId="0" xfId="0" applyAlignment="1" applyFont="1">
      <alignment horizontal="right" vertical="bottom"/>
    </xf>
    <xf borderId="0" fillId="4" fontId="13" numFmtId="0" xfId="0" applyAlignment="1" applyFont="1">
      <alignment horizontal="center" readingOrder="0" shrinkToFit="0" wrapText="1"/>
    </xf>
    <xf borderId="0" fillId="7" fontId="14" numFmtId="0" xfId="0" applyAlignment="1" applyFill="1" applyFont="1">
      <alignment horizontal="center" readingOrder="0" shrinkToFit="0" wrapText="1"/>
    </xf>
    <xf borderId="0" fillId="0" fontId="14" numFmtId="0" xfId="0" applyAlignment="1" applyFont="1">
      <alignment readingOrder="0" shrinkToFit="0" wrapText="0"/>
    </xf>
    <xf borderId="0" fillId="0" fontId="14" numFmtId="0" xfId="0" applyAlignment="1" applyFont="1">
      <alignment readingOrder="0"/>
    </xf>
    <xf borderId="1" fillId="0" fontId="14" numFmtId="0" xfId="0" applyAlignment="1" applyBorder="1" applyFont="1">
      <alignment horizontal="center" readingOrder="0"/>
    </xf>
    <xf borderId="2" fillId="0" fontId="15" numFmtId="0" xfId="0" applyBorder="1" applyFont="1"/>
    <xf borderId="0" fillId="0" fontId="16" numFmtId="0" xfId="0" applyAlignment="1" applyFont="1">
      <alignment horizontal="center" shrinkToFit="0" vertical="bottom" wrapText="1"/>
    </xf>
    <xf borderId="0" fillId="8" fontId="14" numFmtId="0" xfId="0" applyAlignment="1" applyFill="1" applyFont="1">
      <alignment horizontal="center" readingOrder="0" shrinkToFit="0" wrapText="1"/>
    </xf>
    <xf borderId="0" fillId="9" fontId="17" numFmtId="0" xfId="0" applyAlignment="1" applyFill="1" applyFont="1">
      <alignment horizontal="center" readingOrder="0" shrinkToFit="0" wrapText="1"/>
    </xf>
    <xf borderId="0" fillId="9" fontId="12" numFmtId="0" xfId="0" applyAlignment="1" applyFont="1">
      <alignment horizontal="center" readingOrder="0" shrinkToFit="0" wrapText="1"/>
    </xf>
    <xf borderId="0" fillId="0" fontId="12" numFmtId="0" xfId="0" applyAlignment="1" applyFont="1">
      <alignment horizontal="center" readingOrder="0" shrinkToFit="0" wrapText="0"/>
    </xf>
    <xf borderId="0" fillId="0" fontId="12" numFmtId="0" xfId="0" applyAlignment="1" applyFont="1">
      <alignment horizontal="center" readingOrder="0" shrinkToFit="0" wrapText="1"/>
    </xf>
    <xf borderId="1" fillId="0" fontId="12" numFmtId="0" xfId="0" applyAlignment="1" applyBorder="1" applyFont="1">
      <alignment horizontal="center" readingOrder="0" shrinkToFit="0" wrapText="1"/>
    </xf>
    <xf borderId="2" fillId="0" fontId="12" numFmtId="0" xfId="0" applyAlignment="1" applyBorder="1" applyFont="1">
      <alignment horizontal="center" readingOrder="0" shrinkToFit="0" wrapText="1"/>
    </xf>
    <xf borderId="0" fillId="0" fontId="14" numFmtId="0" xfId="0" applyAlignment="1" applyFont="1">
      <alignment horizontal="center" readingOrder="0" shrinkToFit="0" wrapText="1"/>
    </xf>
    <xf borderId="0" fillId="0" fontId="1" numFmtId="0" xfId="0" applyAlignment="1" applyFont="1">
      <alignment horizontal="center" shrinkToFit="0" vertical="bottom" wrapText="1"/>
    </xf>
    <xf borderId="0" fillId="0" fontId="12" numFmtId="0" xfId="0" applyAlignment="1" applyFont="1">
      <alignment horizontal="center" shrinkToFit="0" wrapText="1"/>
    </xf>
    <xf borderId="0" fillId="9" fontId="18" numFmtId="0" xfId="0" applyAlignment="1" applyFont="1">
      <alignment horizontal="center"/>
    </xf>
    <xf borderId="0" fillId="9" fontId="19" numFmtId="0" xfId="0" applyAlignment="1" applyFont="1">
      <alignment horizontal="center" shrinkToFit="0" wrapText="1"/>
    </xf>
    <xf borderId="0" fillId="0" fontId="12" numFmtId="0" xfId="0" applyAlignment="1" applyFont="1">
      <alignment readingOrder="0" shrinkToFit="0" wrapText="0"/>
    </xf>
    <xf borderId="1" fillId="0" fontId="12" numFmtId="0" xfId="0" applyAlignment="1" applyBorder="1" applyFont="1">
      <alignment readingOrder="0"/>
    </xf>
    <xf borderId="2" fillId="0" fontId="12" numFmtId="0" xfId="0" applyAlignment="1" applyBorder="1" applyFont="1">
      <alignment readingOrder="0"/>
    </xf>
    <xf borderId="0" fillId="0" fontId="12" numFmtId="0" xfId="0" applyFont="1"/>
    <xf borderId="2" fillId="0" fontId="12" numFmtId="0" xfId="0" applyAlignment="1" applyBorder="1" applyFont="1">
      <alignment readingOrder="0"/>
    </xf>
    <xf borderId="0" fillId="0" fontId="1" numFmtId="0" xfId="0" applyAlignment="1" applyFont="1">
      <alignment vertical="bottom"/>
    </xf>
    <xf borderId="2" fillId="0" fontId="1" numFmtId="0" xfId="0" applyAlignment="1" applyBorder="1" applyFont="1">
      <alignment vertical="bottom"/>
    </xf>
    <xf borderId="2" fillId="0" fontId="1" numFmtId="0" xfId="0" applyAlignment="1" applyBorder="1" applyFont="1">
      <alignment vertical="bottom"/>
    </xf>
    <xf borderId="0" fillId="0" fontId="1" numFmtId="0" xfId="0" applyAlignment="1" applyFont="1">
      <alignment horizontal="right" readingOrder="0" vertical="bottom"/>
    </xf>
    <xf borderId="1" fillId="0" fontId="12" numFmtId="0" xfId="0" applyBorder="1" applyFont="1"/>
    <xf borderId="2" fillId="0" fontId="12" numFmtId="0" xfId="0" applyBorder="1" applyFont="1"/>
    <xf borderId="0" fillId="9" fontId="20" numFmtId="0" xfId="0" applyAlignment="1" applyFont="1">
      <alignment horizontal="center" shrinkToFit="0" wrapText="1"/>
    </xf>
    <xf borderId="0" fillId="0" fontId="12" numFmtId="0" xfId="0" applyAlignment="1" applyFont="1">
      <alignment shrinkToFit="0" wrapText="0"/>
    </xf>
    <xf borderId="0" fillId="0" fontId="14" numFmtId="0" xfId="0" applyAlignment="1" applyFont="1">
      <alignment horizontal="center" readingOrder="0"/>
    </xf>
    <xf borderId="1" fillId="0" fontId="14" numFmtId="0" xfId="0" applyAlignment="1" applyBorder="1" applyFont="1">
      <alignment horizontal="center" readingOrder="0" shrinkToFit="0" wrapText="1"/>
    </xf>
    <xf borderId="0" fillId="0" fontId="14" numFmtId="0" xfId="0" applyAlignment="1" applyFont="1">
      <alignment horizontal="center" readingOrder="0" shrinkToFit="0" wrapText="1"/>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0" fillId="0" fontId="1" numFmtId="0" xfId="0" applyAlignment="1" applyFont="1">
      <alignment horizontal="right" shrinkToFit="0" vertical="bottom" wrapText="0"/>
    </xf>
    <xf borderId="0" fillId="9" fontId="18" numFmtId="0" xfId="0" applyAlignment="1" applyFont="1">
      <alignment horizontal="center" shrinkToFit="0" wrapText="1"/>
    </xf>
    <xf borderId="1" fillId="0" fontId="12" numFmtId="0" xfId="0" applyAlignment="1" applyBorder="1" applyFont="1">
      <alignment readingOrder="0" shrinkToFit="0" wrapText="1"/>
    </xf>
    <xf borderId="2" fillId="0" fontId="12" numFmtId="0" xfId="0" applyAlignment="1" applyBorder="1" applyFont="1">
      <alignment readingOrder="0" shrinkToFit="0" wrapText="1"/>
    </xf>
    <xf borderId="1" fillId="0" fontId="12" numFmtId="0" xfId="0" applyAlignment="1" applyBorder="1" applyFont="1">
      <alignment shrinkToFit="0" wrapText="1"/>
    </xf>
    <xf borderId="2" fillId="0" fontId="12" numFmtId="0" xfId="0" applyAlignment="1" applyBorder="1" applyFont="1">
      <alignment shrinkToFit="0" wrapText="1"/>
    </xf>
    <xf borderId="0" fillId="0" fontId="1" numFmtId="0" xfId="0" applyAlignment="1" applyFont="1">
      <alignment horizontal="right" shrinkToFit="0" vertical="bottom" wrapText="0"/>
    </xf>
    <xf borderId="0" fillId="9" fontId="18" numFmtId="0" xfId="0" applyAlignment="1" applyFont="1">
      <alignment horizontal="center" shrinkToFit="0" wrapText="0"/>
    </xf>
    <xf borderId="2" fillId="0" fontId="12" numFmtId="0" xfId="0" applyAlignment="1" applyBorder="1" applyFont="1">
      <alignment readingOrder="0" shrinkToFit="0" wrapText="0"/>
    </xf>
    <xf borderId="0" fillId="0" fontId="1" numFmtId="0" xfId="0" applyAlignment="1" applyFont="1">
      <alignment horizontal="right" readingOrder="0" shrinkToFit="0" vertical="bottom" wrapText="0"/>
    </xf>
    <xf borderId="0" fillId="7" fontId="12" numFmtId="0" xfId="0" applyAlignment="1" applyFont="1">
      <alignment readingOrder="0"/>
    </xf>
    <xf borderId="0" fillId="0" fontId="18" numFmtId="0" xfId="0" applyAlignment="1" applyFont="1">
      <alignment horizontal="center" shrinkToFit="0" wrapText="1"/>
    </xf>
    <xf borderId="0" fillId="0" fontId="20" numFmtId="0" xfId="0" applyAlignment="1" applyFont="1">
      <alignment horizontal="center" shrinkToFit="0" wrapText="1"/>
    </xf>
    <xf borderId="0" fillId="0" fontId="12" numFmtId="0" xfId="0" applyAlignment="1" applyFont="1">
      <alignment horizontal="right" readingOrder="0"/>
    </xf>
    <xf borderId="1" fillId="0" fontId="1" numFmtId="0" xfId="0" applyAlignment="1" applyBorder="1" applyFont="1">
      <alignment readingOrder="0" shrinkToFit="0" vertical="bottom" wrapText="1"/>
    </xf>
    <xf borderId="2" fillId="0" fontId="1" numFmtId="0" xfId="0" applyAlignment="1" applyBorder="1" applyFont="1">
      <alignment shrinkToFit="0" vertical="bottom" wrapText="1"/>
    </xf>
    <xf borderId="0" fillId="0" fontId="12" numFmtId="0" xfId="0" applyAlignment="1" applyFont="1">
      <alignment readingOrder="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10" fontId="21" numFmtId="0" xfId="0" applyAlignment="1" applyFill="1" applyFont="1">
      <alignment horizontal="right" readingOrder="0"/>
    </xf>
    <xf borderId="0" fillId="0" fontId="12" numFmtId="0" xfId="0" applyAlignment="1" applyFont="1">
      <alignment horizontal="right"/>
    </xf>
    <xf borderId="0" fillId="0" fontId="14" numFmtId="0" xfId="0" applyAlignment="1" applyFont="1">
      <alignment horizontal="center" readingOrder="0" shrinkToFit="0" wrapText="0"/>
    </xf>
    <xf borderId="0" fillId="0" fontId="12" numFmtId="0" xfId="0" applyAlignment="1" applyFont="1">
      <alignment readingOrder="0" shrinkToFit="0" wrapText="1"/>
    </xf>
    <xf borderId="0" fillId="9" fontId="17" numFmtId="0" xfId="0" applyAlignment="1" applyFont="1">
      <alignment horizontal="center" readingOrder="0" shrinkToFit="0" vertical="center" wrapText="1"/>
    </xf>
    <xf borderId="0" fillId="0" fontId="12" numFmtId="0" xfId="0" applyAlignment="1" applyFont="1">
      <alignment horizontal="center" readingOrder="0" shrinkToFit="0" wrapText="0"/>
    </xf>
    <xf borderId="0" fillId="9" fontId="14" numFmtId="0" xfId="0" applyAlignment="1" applyFont="1">
      <alignment horizontal="center" readingOrder="0" shrinkToFit="0" wrapText="1"/>
    </xf>
    <xf borderId="0" fillId="0" fontId="22" numFmtId="0" xfId="0" applyAlignment="1" applyFont="1">
      <alignment readingOrder="0" shrinkToFit="0" wrapText="0"/>
    </xf>
    <xf borderId="0" fillId="0" fontId="12" numFmtId="0" xfId="0" applyAlignment="1" applyFont="1">
      <alignment shrinkToFit="0" wrapText="1"/>
    </xf>
    <xf borderId="0" fillId="0" fontId="12" numFmtId="0" xfId="0" applyAlignment="1" applyFont="1">
      <alignment readingOrder="0" shrinkToFit="0" wrapText="1"/>
    </xf>
    <xf borderId="2" fillId="0" fontId="12" numFmtId="0" xfId="0" applyAlignment="1" applyBorder="1" applyFont="1">
      <alignment readingOrder="0" shrinkToFit="0" wrapText="1"/>
    </xf>
    <xf borderId="0" fillId="11" fontId="12" numFmtId="0" xfId="0" applyAlignment="1" applyFill="1" applyFont="1">
      <alignment readingOrder="0" shrinkToFit="0" wrapText="1"/>
    </xf>
    <xf borderId="0" fillId="0" fontId="12" numFmtId="0" xfId="0" applyAlignment="1" applyFont="1">
      <alignment shrinkToFit="0" wrapText="0"/>
    </xf>
    <xf borderId="1" fillId="11" fontId="12" numFmtId="0" xfId="0" applyAlignment="1" applyBorder="1" applyFont="1">
      <alignment readingOrder="0" shrinkToFit="0" wrapText="1"/>
    </xf>
    <xf borderId="2" fillId="11" fontId="12" numFmtId="0" xfId="0" applyAlignment="1" applyBorder="1" applyFont="1">
      <alignment readingOrder="0" shrinkToFit="0" wrapText="1"/>
    </xf>
    <xf borderId="0" fillId="0" fontId="12" numFmtId="0" xfId="0" applyAlignment="1" applyFont="1">
      <alignment readingOrder="0" shrinkToFit="0" wrapText="0"/>
    </xf>
    <xf borderId="0" fillId="0" fontId="12" numFmtId="0" xfId="0" applyAlignment="1" applyFont="1">
      <alignment shrinkToFit="0" wrapText="0"/>
    </xf>
    <xf borderId="1" fillId="0" fontId="14" numFmtId="0" xfId="0" applyAlignment="1" applyBorder="1" applyFont="1">
      <alignment readingOrder="0"/>
    </xf>
    <xf borderId="0" fillId="8" fontId="16" numFmtId="0" xfId="0" applyAlignment="1" applyFont="1">
      <alignment horizontal="center" shrinkToFit="0" vertical="bottom" wrapText="1"/>
    </xf>
    <xf borderId="0" fillId="9" fontId="23" numFmtId="0" xfId="0" applyAlignment="1" applyFont="1">
      <alignment horizontal="center" readingOrder="0" shrinkToFit="0" vertical="bottom" wrapText="1"/>
    </xf>
    <xf borderId="0" fillId="9" fontId="1" numFmtId="0" xfId="0" applyAlignment="1" applyFont="1">
      <alignment horizontal="center" shrinkToFit="0" vertical="bottom" wrapText="1"/>
    </xf>
    <xf borderId="2" fillId="0" fontId="12" numFmtId="0" xfId="0" applyAlignment="1" applyBorder="1" applyFont="1">
      <alignment horizontal="center" readingOrder="0" shrinkToFit="0" wrapText="0"/>
    </xf>
    <xf borderId="1" fillId="9" fontId="1" numFmtId="0" xfId="0" applyAlignment="1" applyBorder="1" applyFont="1">
      <alignment horizontal="center" readingOrder="0" shrinkToFit="0" vertical="bottom" wrapText="1"/>
    </xf>
    <xf borderId="0" fillId="9" fontId="24" numFmtId="0" xfId="0" applyAlignment="1" applyFont="1">
      <alignment horizontal="center" shrinkToFit="0" vertical="bottom" wrapText="1"/>
    </xf>
    <xf borderId="0" fillId="9" fontId="25" numFmtId="0" xfId="0" applyAlignment="1" applyFont="1">
      <alignment horizontal="center" shrinkToFit="0" vertical="bottom" wrapText="1"/>
    </xf>
    <xf borderId="2" fillId="0" fontId="12" numFmtId="0" xfId="0" applyAlignment="1" applyBorder="1" applyFont="1">
      <alignment shrinkToFit="0" wrapText="0"/>
    </xf>
    <xf borderId="0" fillId="12" fontId="1" numFmtId="0" xfId="0" applyAlignment="1" applyFill="1" applyFont="1">
      <alignment horizontal="right" readingOrder="0" shrinkToFit="0" vertical="bottom" wrapText="0"/>
    </xf>
    <xf borderId="0" fillId="0" fontId="26" numFmtId="0" xfId="0" applyAlignment="1" applyFont="1">
      <alignment horizontal="left" readingOrder="0"/>
    </xf>
    <xf borderId="2" fillId="0" fontId="12" numFmtId="0" xfId="0" applyAlignment="1" applyBorder="1" applyFont="1">
      <alignment readingOrder="0" shrinkToFit="0" wrapText="0"/>
    </xf>
    <xf borderId="0" fillId="9" fontId="27" numFmtId="0" xfId="0" applyAlignment="1" applyFont="1">
      <alignment horizontal="center" shrinkToFit="0" vertical="bottom" wrapText="1"/>
    </xf>
    <xf borderId="0" fillId="9" fontId="28" numFmtId="0" xfId="0" applyAlignment="1" applyFont="1">
      <alignment horizontal="center" shrinkToFit="0" vertical="bottom" wrapText="1"/>
    </xf>
    <xf borderId="0" fillId="0" fontId="29" numFmtId="0" xfId="0" applyAlignment="1" applyFont="1">
      <alignment horizontal="left" readingOrder="0"/>
    </xf>
    <xf borderId="0" fillId="0" fontId="29" numFmtId="0" xfId="0" applyAlignment="1" applyFont="1">
      <alignment horizontal="right" readingOrder="0"/>
    </xf>
    <xf borderId="0" fillId="0" fontId="29" numFmtId="0" xfId="0" applyAlignment="1" applyFont="1">
      <alignment horizontal="left"/>
    </xf>
    <xf borderId="0" fillId="0" fontId="29" numFmtId="0" xfId="0" applyAlignment="1" applyFont="1">
      <alignment horizontal="left"/>
    </xf>
    <xf borderId="0" fillId="0" fontId="16" numFmtId="0" xfId="0" applyAlignment="1" applyFont="1">
      <alignment horizontal="center" readingOrder="0" shrinkToFit="0" vertical="bottom" wrapText="1"/>
    </xf>
    <xf borderId="0" fillId="13" fontId="12" numFmtId="0" xfId="0" applyAlignment="1" applyFill="1" applyFont="1">
      <alignment horizontal="center" readingOrder="0" shrinkToFit="0" wrapText="1"/>
    </xf>
    <xf borderId="0" fillId="9" fontId="30" numFmtId="0" xfId="0" applyAlignment="1" applyFont="1">
      <alignment horizontal="center" shrinkToFit="0" wrapText="1"/>
    </xf>
    <xf borderId="2" fillId="0" fontId="1" numFmtId="0" xfId="0" applyAlignment="1" applyBorder="1" applyFont="1">
      <alignment readingOrder="0" vertical="bottom"/>
    </xf>
    <xf borderId="3" fillId="0" fontId="1" numFmtId="0" xfId="0" applyAlignment="1" applyBorder="1" applyFont="1">
      <alignment readingOrder="0" shrinkToFit="0" vertical="bottom" wrapText="0"/>
    </xf>
    <xf borderId="0" fillId="9" fontId="12" numFmtId="0" xfId="0" applyFont="1"/>
    <xf borderId="0" fillId="9" fontId="12" numFmtId="0" xfId="0" applyAlignment="1" applyFont="1">
      <alignment readingOrder="0"/>
    </xf>
    <xf borderId="3" fillId="0" fontId="1" numFmtId="0" xfId="0" applyAlignment="1" applyBorder="1" applyFont="1">
      <alignment shrinkToFit="0" vertical="bottom" wrapText="0"/>
    </xf>
    <xf borderId="0" fillId="14" fontId="29" numFmtId="0" xfId="0" applyAlignment="1" applyFill="1" applyFont="1">
      <alignment horizontal="left" readingOrder="0"/>
    </xf>
    <xf borderId="1" fillId="0" fontId="1" numFmtId="0" xfId="0" applyAlignment="1" applyBorder="1" applyFont="1">
      <alignment vertical="bottom"/>
    </xf>
    <xf borderId="1" fillId="0" fontId="1" numFmtId="0" xfId="0" applyAlignment="1" applyBorder="1" applyFont="1">
      <alignment readingOrder="0" vertical="bottom"/>
    </xf>
    <xf borderId="0" fillId="0" fontId="1" numFmtId="0" xfId="0" applyAlignment="1" applyFont="1">
      <alignment shrinkToFit="0" vertical="bottom" wrapText="0"/>
    </xf>
    <xf borderId="4" fillId="0" fontId="14" numFmtId="0" xfId="0" applyAlignment="1" applyBorder="1" applyFont="1">
      <alignment horizontal="center" readingOrder="0"/>
    </xf>
    <xf borderId="0" fillId="7" fontId="1" numFmtId="0" xfId="0" applyAlignment="1" applyFont="1">
      <alignment vertical="bottom"/>
    </xf>
    <xf borderId="1" fillId="0" fontId="16" numFmtId="0" xfId="0" applyAlignment="1" applyBorder="1" applyFont="1">
      <alignment horizontal="center" shrinkToFit="0" vertical="bottom" wrapText="1"/>
    </xf>
    <xf borderId="5" fillId="0" fontId="12" numFmtId="0" xfId="0" applyAlignment="1" applyBorder="1" applyFont="1">
      <alignment horizontal="center" readingOrder="0" shrinkToFit="0" wrapText="1"/>
    </xf>
    <xf borderId="6" fillId="0" fontId="12" numFmtId="0" xfId="0" applyAlignment="1" applyBorder="1" applyFont="1">
      <alignment horizontal="center" readingOrder="0" shrinkToFit="0" wrapText="1"/>
    </xf>
    <xf borderId="7" fillId="0" fontId="12" numFmtId="0" xfId="0" applyAlignment="1" applyBorder="1" applyFont="1">
      <alignment horizontal="center" readingOrder="0" shrinkToFit="0" wrapText="1"/>
    </xf>
    <xf borderId="5" fillId="0" fontId="12" numFmtId="0" xfId="0" applyAlignment="1" applyBorder="1" applyFont="1">
      <alignment readingOrder="0"/>
    </xf>
    <xf borderId="0" fillId="7" fontId="1" numFmtId="0" xfId="0" applyAlignment="1" applyFont="1">
      <alignment vertical="bottom"/>
    </xf>
    <xf borderId="0" fillId="9" fontId="20" numFmtId="0" xfId="0" applyAlignment="1" applyFont="1">
      <alignment horizontal="center" readingOrder="0" shrinkToFit="0" wrapText="1"/>
    </xf>
    <xf borderId="5" fillId="0" fontId="12" numFmtId="0" xfId="0" applyBorder="1" applyFont="1"/>
    <xf borderId="0" fillId="0" fontId="31" numFmtId="0" xfId="0" applyAlignment="1" applyFont="1">
      <alignment vertical="bottom"/>
    </xf>
    <xf borderId="0" fillId="0" fontId="32" numFmtId="0" xfId="0" applyAlignment="1" applyFont="1">
      <alignment horizontal="left" readingOrder="0"/>
    </xf>
    <xf borderId="0" fillId="0" fontId="33" numFmtId="0" xfId="0" applyAlignment="1" applyFont="1">
      <alignment readingOrder="0" vertical="bottom"/>
    </xf>
    <xf borderId="0" fillId="0" fontId="1" numFmtId="0" xfId="0" applyAlignment="1" applyFont="1">
      <alignment shrinkToFit="0" vertical="bottom" wrapText="1"/>
    </xf>
    <xf borderId="1" fillId="0" fontId="1" numFmtId="0" xfId="0" applyAlignment="1" applyBorder="1" applyFont="1">
      <alignment vertical="bottom"/>
    </xf>
    <xf borderId="0" fillId="0" fontId="1" numFmtId="0" xfId="0" applyAlignment="1" applyFont="1">
      <alignment shrinkToFit="0" vertical="bottom" wrapText="1"/>
    </xf>
    <xf borderId="2" fillId="7" fontId="1" numFmtId="0" xfId="0" applyAlignment="1" applyBorder="1" applyFont="1">
      <alignment vertical="bottom"/>
    </xf>
    <xf borderId="2" fillId="7" fontId="1" numFmtId="0" xfId="0" applyAlignment="1" applyBorder="1" applyFont="1">
      <alignment vertical="bottom"/>
    </xf>
    <xf borderId="0" fillId="0" fontId="31" numFmtId="0" xfId="0" applyAlignment="1" applyFont="1">
      <alignment vertical="bottom"/>
    </xf>
    <xf borderId="0" fillId="10" fontId="21" numFmtId="0" xfId="0" applyAlignment="1" applyFont="1">
      <alignment horizontal="left" readingOrder="0"/>
    </xf>
    <xf borderId="0" fillId="10" fontId="34" numFmtId="0" xfId="0" applyAlignment="1" applyFont="1">
      <alignment horizontal="left" readingOrder="0"/>
    </xf>
    <xf borderId="0" fillId="7" fontId="1" numFmtId="0" xfId="0" applyAlignment="1" applyFont="1">
      <alignment readingOrder="0" vertical="bottom"/>
    </xf>
    <xf borderId="4" fillId="0" fontId="12" numFmtId="0" xfId="0" applyAlignment="1" applyBorder="1" applyFont="1">
      <alignment readingOrder="0"/>
    </xf>
    <xf borderId="2" fillId="0" fontId="1" numFmtId="0" xfId="0" applyAlignment="1" applyBorder="1" applyFont="1">
      <alignment readingOrder="0" vertical="bottom"/>
    </xf>
    <xf borderId="8" fillId="0" fontId="12" numFmtId="0" xfId="0" applyBorder="1" applyFont="1"/>
    <xf borderId="9" fillId="0" fontId="12" numFmtId="0" xfId="0" applyBorder="1" applyFont="1"/>
    <xf borderId="10" fillId="0" fontId="12" numFmtId="0" xfId="0" applyBorder="1" applyFont="1"/>
    <xf borderId="11" fillId="0" fontId="12" numFmtId="0" xfId="0" applyAlignment="1" applyBorder="1" applyFont="1">
      <alignment shrinkToFit="0" wrapText="0"/>
    </xf>
    <xf borderId="0" fillId="0" fontId="35" numFmtId="0" xfId="0" applyAlignment="1" applyFont="1">
      <alignment shrinkToFit="0" wrapText="0"/>
    </xf>
    <xf borderId="0" fillId="0" fontId="36" numFmtId="0" xfId="0" applyFont="1"/>
    <xf borderId="0" fillId="0" fontId="37" numFmtId="0" xfId="0" applyFont="1"/>
    <xf borderId="0" fillId="0" fontId="38" numFmtId="0" xfId="0" applyAlignment="1" applyFont="1">
      <alignment horizontal="center" readingOrder="0" shrinkToFit="0" vertical="top" wrapText="0"/>
    </xf>
    <xf borderId="11" fillId="0" fontId="38" numFmtId="0" xfId="0" applyAlignment="1" applyBorder="1" applyFont="1">
      <alignment horizontal="center" readingOrder="0" shrinkToFit="0" vertical="top" wrapText="0"/>
    </xf>
    <xf borderId="12" fillId="0" fontId="38" numFmtId="0" xfId="0" applyAlignment="1" applyBorder="1" applyFont="1">
      <alignment horizontal="center" readingOrder="0" shrinkToFit="0" vertical="top" wrapText="0"/>
    </xf>
    <xf borderId="0" fillId="0" fontId="39" numFmtId="0" xfId="0" applyAlignment="1" applyFont="1">
      <alignment horizontal="right" readingOrder="0" shrinkToFit="0" vertical="bottom" wrapText="0"/>
    </xf>
    <xf borderId="0" fillId="0" fontId="39" numFmtId="0" xfId="0" applyAlignment="1" applyFont="1">
      <alignment readingOrder="0" shrinkToFit="0" vertical="bottom" wrapText="0"/>
    </xf>
    <xf borderId="0" fillId="10" fontId="40" numFmtId="0" xfId="0" applyAlignment="1" applyFont="1">
      <alignment readingOrder="0" shrinkToFit="0" wrapText="0"/>
    </xf>
    <xf borderId="0" fillId="10" fontId="4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Y9FDM6PWfeg9VaMejzWN3Md3FLlGVyeSUr8AibeJN5I/edit?usp=sharing" TargetMode="Externa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40" Type="http://schemas.openxmlformats.org/officeDocument/2006/relationships/hyperlink" Target="http://specs.openstack.org/openstack/nova-specs/specs/kilo/approved/nova-api-policy.html" TargetMode="External"/><Relationship Id="rId84" Type="http://schemas.openxmlformats.org/officeDocument/2006/relationships/hyperlink" Target="https://specs.openstack.org/openstack/nova-specs/specs/juno/implemented/compute-manager-objects-juno.html" TargetMode="External"/><Relationship Id="rId83" Type="http://schemas.openxmlformats.org/officeDocument/2006/relationships/hyperlink" Target="https://specs.openstack.org/openstack/nova-specs/specs/juno/implemented/compute-manager-objects-juno.html" TargetMode="External"/><Relationship Id="rId42" Type="http://schemas.openxmlformats.org/officeDocument/2006/relationships/hyperlink" Target="http://specs.openstack.org/openstack/nova-specs/specs/kilo/approved/nova-api-policy.html" TargetMode="External"/><Relationship Id="rId86" Type="http://schemas.openxmlformats.org/officeDocument/2006/relationships/hyperlink" Target="https://specs.openstack.org/openstack/nova-specs/specs/juno/implemented/compute-manager-objects-juno.html" TargetMode="External"/><Relationship Id="rId41" Type="http://schemas.openxmlformats.org/officeDocument/2006/relationships/hyperlink" Target="http://specs.openstack.org/openstack/nova-specs/specs/kilo/approved/nova-api-policy.html" TargetMode="External"/><Relationship Id="rId85" Type="http://schemas.openxmlformats.org/officeDocument/2006/relationships/hyperlink" Target="https://specs.openstack.org/openstack/nova-specs/specs/juno/implemented/compute-manager-objects-juno.html" TargetMode="External"/><Relationship Id="rId44" Type="http://schemas.openxmlformats.org/officeDocument/2006/relationships/hyperlink" Target="http://specs.openstack.org/openstack/nova-specs/specs/kilo/approved/nova-api-policy.html" TargetMode="External"/><Relationship Id="rId88" Type="http://schemas.openxmlformats.org/officeDocument/2006/relationships/hyperlink" Target="https://specs.openstack.org/openstack/nova-specs/specs/juno/implemented/compute-manager-objects-juno.html" TargetMode="External"/><Relationship Id="rId43" Type="http://schemas.openxmlformats.org/officeDocument/2006/relationships/hyperlink" Target="http://specs.openstack.org/openstack/nova-specs/specs/kilo/approved/nova-api-policy.html" TargetMode="External"/><Relationship Id="rId87" Type="http://schemas.openxmlformats.org/officeDocument/2006/relationships/hyperlink" Target="https://specs.openstack.org/openstack/nova-specs/specs/juno/implemented/compute-manager-objects-juno.html" TargetMode="External"/><Relationship Id="rId46" Type="http://schemas.openxmlformats.org/officeDocument/2006/relationships/hyperlink" Target="http://specs.openstack.org/openstack/nova-specs/specs/kilo/approved/nova-api-policy.html" TargetMode="External"/><Relationship Id="rId45" Type="http://schemas.openxmlformats.org/officeDocument/2006/relationships/hyperlink" Target="http://specs.openstack.org/openstack/nova-specs/specs/kilo/approved/nova-api-policy.html" TargetMode="External"/><Relationship Id="rId89" Type="http://schemas.openxmlformats.org/officeDocument/2006/relationships/hyperlink" Target="https://specs.openstack.org/openstack/nova-specs/specs/juno/implemented/compute-manager-objects-juno.html" TargetMode="External"/><Relationship Id="rId80" Type="http://schemas.openxmlformats.org/officeDocument/2006/relationships/hyperlink" Target="https://specs.openstack.org/openstack/nova-specs/specs/juno/implemented/compute-manager-objects-juno.html" TargetMode="External"/><Relationship Id="rId82" Type="http://schemas.openxmlformats.org/officeDocument/2006/relationships/hyperlink" Target="https://specs.openstack.org/openstack/nova-specs/specs/juno/implemented/compute-manager-objects-juno.html" TargetMode="External"/><Relationship Id="rId81" Type="http://schemas.openxmlformats.org/officeDocument/2006/relationships/hyperlink" Target="https://specs.openstack.org/openstack/nova-specs/specs/juno/implemented/compute-manager-objects-juno.html" TargetMode="External"/><Relationship Id="rId1" Type="http://schemas.openxmlformats.org/officeDocument/2006/relationships/comments" Target="../comments3.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s://wiki.openstack.org/wiki/Nova-neutron-sriov" TargetMode="External"/><Relationship Id="rId9" Type="http://schemas.openxmlformats.org/officeDocument/2006/relationships/hyperlink" Target="http://specs.openstack.org/openstack/nova-specs/specs/kilo/approved/nova-api-policy.html" TargetMode="External"/><Relationship Id="rId48" Type="http://schemas.openxmlformats.org/officeDocument/2006/relationships/hyperlink" Target="http://specs.openstack.org/openstack/nova-specs/specs/kilo/approved/nova-api-policy.html" TargetMode="External"/><Relationship Id="rId47" Type="http://schemas.openxmlformats.org/officeDocument/2006/relationships/hyperlink" Target="http://specs.openstack.org/openstack/nova-specs/specs/kilo/approved/nova-api-policy.html" TargetMode="External"/><Relationship Id="rId49" Type="http://schemas.openxmlformats.org/officeDocument/2006/relationships/hyperlink" Target="http://specs.openstack.org/openstack/nova-specs/specs/kilo/approved/nova-api-policy.html" TargetMode="External"/><Relationship Id="rId5" Type="http://schemas.openxmlformats.org/officeDocument/2006/relationships/hyperlink" Target="https://wiki.openstack.org/wiki/Nova-neutron-sriov" TargetMode="External"/><Relationship Id="rId6" Type="http://schemas.openxmlformats.org/officeDocument/2006/relationships/hyperlink" Target="https://wiki.openstack.org/wiki/Nova-neutron-sriov" TargetMode="External"/><Relationship Id="rId7" Type="http://schemas.openxmlformats.org/officeDocument/2006/relationships/hyperlink" Target="https://wiki.openstack.org/wiki/Nova-neutron-sriov" TargetMode="External"/><Relationship Id="rId8" Type="http://schemas.openxmlformats.org/officeDocument/2006/relationships/hyperlink" Target="https://wiki.openstack.org/wiki/Nova-neutron-sriov" TargetMode="External"/><Relationship Id="rId73" Type="http://schemas.openxmlformats.org/officeDocument/2006/relationships/hyperlink" Target="https://specs.openstack.org/openstack/nova-specs/specs/juno/implemented/pci-passthrough-sriov.html" TargetMode="External"/><Relationship Id="rId72" Type="http://schemas.openxmlformats.org/officeDocument/2006/relationships/hyperlink" Target="https://specs.openstack.org/openstack/nova-specs/specs/juno/implemented/pci-passthrough-sriov.html" TargetMode="External"/><Relationship Id="rId31" Type="http://schemas.openxmlformats.org/officeDocument/2006/relationships/hyperlink" Target="http://specs.openstack.org/openstack/nova-specs/specs/kilo/approved/nova-api-policy.html" TargetMode="External"/><Relationship Id="rId75" Type="http://schemas.openxmlformats.org/officeDocument/2006/relationships/hyperlink" Target="https://specs.openstack.org/openstack/nova-specs/specs/juno/implemented/compute-manager-objects-juno.html" TargetMode="External"/><Relationship Id="rId30" Type="http://schemas.openxmlformats.org/officeDocument/2006/relationships/hyperlink" Target="http://specs.openstack.org/openstack/nova-specs/specs/kilo/approved/nova-api-policy.html" TargetMode="External"/><Relationship Id="rId74" Type="http://schemas.openxmlformats.org/officeDocument/2006/relationships/hyperlink" Target="https://specs.openstack.org/openstack/nova-specs/specs/juno/implemented/pci-passthrough-sriov.html" TargetMode="External"/><Relationship Id="rId33" Type="http://schemas.openxmlformats.org/officeDocument/2006/relationships/hyperlink" Target="http://specs.openstack.org/openstack/nova-specs/specs/kilo/approved/nova-api-policy.html" TargetMode="External"/><Relationship Id="rId77" Type="http://schemas.openxmlformats.org/officeDocument/2006/relationships/hyperlink" Target="https://specs.openstack.org/openstack/nova-specs/specs/juno/implemented/compute-manager-objects-juno.html" TargetMode="External"/><Relationship Id="rId32" Type="http://schemas.openxmlformats.org/officeDocument/2006/relationships/hyperlink" Target="http://specs.openstack.org/openstack/nova-specs/specs/kilo/approved/nova-api-policy.html" TargetMode="External"/><Relationship Id="rId76" Type="http://schemas.openxmlformats.org/officeDocument/2006/relationships/hyperlink" Target="https://specs.openstack.org/openstack/nova-specs/specs/juno/implemented/compute-manager-objects-juno.html" TargetMode="External"/><Relationship Id="rId35" Type="http://schemas.openxmlformats.org/officeDocument/2006/relationships/hyperlink" Target="http://specs.openstack.org/openstack/nova-specs/specs/kilo/approved/nova-api-policy.html" TargetMode="External"/><Relationship Id="rId79" Type="http://schemas.openxmlformats.org/officeDocument/2006/relationships/hyperlink" Target="https://specs.openstack.org/openstack/nova-specs/specs/juno/implemented/compute-manager-objects-juno.html" TargetMode="External"/><Relationship Id="rId34" Type="http://schemas.openxmlformats.org/officeDocument/2006/relationships/hyperlink" Target="http://specs.openstack.org/openstack/nova-specs/specs/kilo/approved/nova-api-policy.html" TargetMode="External"/><Relationship Id="rId78" Type="http://schemas.openxmlformats.org/officeDocument/2006/relationships/hyperlink" Target="https://specs.openstack.org/openstack/nova-specs/specs/juno/implemented/compute-manager-objects-juno.html" TargetMode="External"/><Relationship Id="rId71" Type="http://schemas.openxmlformats.org/officeDocument/2006/relationships/hyperlink" Target="https://specs.openstack.org/openstack/nova-specs/specs/juno/implemented/pci-passthrough-sriov.html" TargetMode="External"/><Relationship Id="rId70" Type="http://schemas.openxmlformats.org/officeDocument/2006/relationships/hyperlink" Target="https://specs.openstack.org/openstack/nova-specs/specs/juno/implemented/pci-passthrough-sriov.html" TargetMode="External"/><Relationship Id="rId37" Type="http://schemas.openxmlformats.org/officeDocument/2006/relationships/hyperlink" Target="http://specs.openstack.org/openstack/nova-specs/specs/kilo/approved/nova-api-policy.html" TargetMode="External"/><Relationship Id="rId36" Type="http://schemas.openxmlformats.org/officeDocument/2006/relationships/hyperlink" Target="http://specs.openstack.org/openstack/nova-specs/specs/kilo/approved/nova-api-policy.html" TargetMode="External"/><Relationship Id="rId39" Type="http://schemas.openxmlformats.org/officeDocument/2006/relationships/hyperlink" Target="http://specs.openstack.org/openstack/nova-specs/specs/kilo/approved/nova-api-policy.html" TargetMode="External"/><Relationship Id="rId38" Type="http://schemas.openxmlformats.org/officeDocument/2006/relationships/hyperlink" Target="http://specs.openstack.org/openstack/nova-specs/specs/kilo/approved/nova-api-policy.html" TargetMode="External"/><Relationship Id="rId62" Type="http://schemas.openxmlformats.org/officeDocument/2006/relationships/hyperlink" Target="https://specs.openstack.org/openstack/nova-specs/specs/juno/implemented/pci-passthrough-sriov.html" TargetMode="External"/><Relationship Id="rId61" Type="http://schemas.openxmlformats.org/officeDocument/2006/relationships/hyperlink" Target="https://specs.openstack.org/openstack/nova-specs/specs/juno/implemented/pci-passthrough-sriov.html" TargetMode="External"/><Relationship Id="rId20" Type="http://schemas.openxmlformats.org/officeDocument/2006/relationships/hyperlink" Target="http://specs.openstack.org/openstack/nova-specs/specs/kilo/approved/nova-api-policy.html" TargetMode="External"/><Relationship Id="rId64" Type="http://schemas.openxmlformats.org/officeDocument/2006/relationships/hyperlink" Target="https://specs.openstack.org/openstack/nova-specs/specs/juno/implemented/pci-passthrough-sriov.html" TargetMode="External"/><Relationship Id="rId63" Type="http://schemas.openxmlformats.org/officeDocument/2006/relationships/hyperlink" Target="https://specs.openstack.org/openstack/nova-specs/specs/juno/implemented/pci-passthrough-sriov.html" TargetMode="External"/><Relationship Id="rId22" Type="http://schemas.openxmlformats.org/officeDocument/2006/relationships/hyperlink" Target="http://specs.openstack.org/openstack/nova-specs/specs/kilo/approved/nova-api-policy.html" TargetMode="External"/><Relationship Id="rId66" Type="http://schemas.openxmlformats.org/officeDocument/2006/relationships/hyperlink" Target="https://specs.openstack.org/openstack/nova-specs/specs/juno/implemented/pci-passthrough-sriov.html" TargetMode="External"/><Relationship Id="rId21" Type="http://schemas.openxmlformats.org/officeDocument/2006/relationships/hyperlink" Target="http://specs.openstack.org/openstack/nova-specs/specs/kilo/approved/nova-api-policy.html" TargetMode="External"/><Relationship Id="rId65" Type="http://schemas.openxmlformats.org/officeDocument/2006/relationships/hyperlink" Target="https://specs.openstack.org/openstack/nova-specs/specs/juno/implemented/pci-passthrough-sriov.html" TargetMode="External"/><Relationship Id="rId24" Type="http://schemas.openxmlformats.org/officeDocument/2006/relationships/hyperlink" Target="http://specs.openstack.org/openstack/nova-specs/specs/kilo/approved/nova-api-policy.html" TargetMode="External"/><Relationship Id="rId68" Type="http://schemas.openxmlformats.org/officeDocument/2006/relationships/hyperlink" Target="https://specs.openstack.org/openstack/nova-specs/specs/juno/implemented/pci-passthrough-sriov.html" TargetMode="External"/><Relationship Id="rId23" Type="http://schemas.openxmlformats.org/officeDocument/2006/relationships/hyperlink" Target="http://specs.openstack.org/openstack/nova-specs/specs/kilo/approved/nova-api-policy.html" TargetMode="External"/><Relationship Id="rId67" Type="http://schemas.openxmlformats.org/officeDocument/2006/relationships/hyperlink" Target="https://specs.openstack.org/openstack/nova-specs/specs/juno/implemented/pci-passthrough-sriov.html" TargetMode="External"/><Relationship Id="rId60" Type="http://schemas.openxmlformats.org/officeDocument/2006/relationships/hyperlink" Target="https://specs.openstack.org/openstack/nova-specs/specs/juno/implemented/pci-passthrough-sriov.html" TargetMode="External"/><Relationship Id="rId26" Type="http://schemas.openxmlformats.org/officeDocument/2006/relationships/hyperlink" Target="http://specs.openstack.org/openstack/nova-specs/specs/kilo/approved/nova-api-policy.html" TargetMode="External"/><Relationship Id="rId25" Type="http://schemas.openxmlformats.org/officeDocument/2006/relationships/hyperlink" Target="http://specs.openstack.org/openstack/nova-specs/specs/kilo/approved/nova-api-policy.html" TargetMode="External"/><Relationship Id="rId69" Type="http://schemas.openxmlformats.org/officeDocument/2006/relationships/hyperlink" Target="https://specs.openstack.org/openstack/nova-specs/specs/juno/implemented/pci-passthrough-sriov.html" TargetMode="External"/><Relationship Id="rId28" Type="http://schemas.openxmlformats.org/officeDocument/2006/relationships/hyperlink" Target="http://specs.openstack.org/openstack/nova-specs/specs/kilo/approved/nova-api-policy.html" TargetMode="External"/><Relationship Id="rId27" Type="http://schemas.openxmlformats.org/officeDocument/2006/relationships/hyperlink" Target="http://specs.openstack.org/openstack/nova-specs/specs/kilo/approved/nova-api-policy.html" TargetMode="External"/><Relationship Id="rId29" Type="http://schemas.openxmlformats.org/officeDocument/2006/relationships/hyperlink" Target="http://specs.openstack.org/openstack/nova-specs/specs/kilo/approved/nova-api-policy.html" TargetMode="External"/><Relationship Id="rId51" Type="http://schemas.openxmlformats.org/officeDocument/2006/relationships/hyperlink" Target="http://specs.openstack.org/openstack/nova-specs/specs/kilo/approved/nova-api-policy.html" TargetMode="External"/><Relationship Id="rId95" Type="http://schemas.openxmlformats.org/officeDocument/2006/relationships/drawing" Target="../drawings/drawing5.xml"/><Relationship Id="rId50" Type="http://schemas.openxmlformats.org/officeDocument/2006/relationships/hyperlink" Target="http://specs.openstack.org/openstack/nova-specs/specs/kilo/approved/nova-api-policy.html" TargetMode="External"/><Relationship Id="rId94" Type="http://schemas.openxmlformats.org/officeDocument/2006/relationships/hyperlink" Target="https://specs.openstack.org/openstack/nova-specs/specs/juno/implemented/compute-manager-objects-juno.html" TargetMode="External"/><Relationship Id="rId53" Type="http://schemas.openxmlformats.org/officeDocument/2006/relationships/hyperlink" Target="http://specs.openstack.org/openstack/nova-specs/specs/kilo/approved/nova-api-policy.html" TargetMode="External"/><Relationship Id="rId52" Type="http://schemas.openxmlformats.org/officeDocument/2006/relationships/hyperlink" Target="http://specs.openstack.org/openstack/nova-specs/specs/kilo/approved/nova-api-policy.html" TargetMode="External"/><Relationship Id="rId96" Type="http://schemas.openxmlformats.org/officeDocument/2006/relationships/vmlDrawing" Target="../drawings/vmlDrawing3.vml"/><Relationship Id="rId11" Type="http://schemas.openxmlformats.org/officeDocument/2006/relationships/hyperlink" Target="http://specs.openstack.org/openstack/nova-specs/specs/kilo/approved/nova-api-policy.html" TargetMode="External"/><Relationship Id="rId55" Type="http://schemas.openxmlformats.org/officeDocument/2006/relationships/hyperlink" Target="https://specs.openstack.org/openstack/nova-specs/specs/juno/implemented/pci-passthrough-sriov.html" TargetMode="External"/><Relationship Id="rId10" Type="http://schemas.openxmlformats.org/officeDocument/2006/relationships/hyperlink" Target="http://specs.openstack.org/openstack/nova-specs/specs/kilo/approved/nova-api-policy.html" TargetMode="External"/><Relationship Id="rId54" Type="http://schemas.openxmlformats.org/officeDocument/2006/relationships/hyperlink" Target="http://specs.openstack.org/openstack/nova-specs/specs/kilo/approved/nova-api-policy.html" TargetMode="External"/><Relationship Id="rId13" Type="http://schemas.openxmlformats.org/officeDocument/2006/relationships/hyperlink" Target="http://specs.openstack.org/openstack/nova-specs/specs/kilo/approved/nova-api-policy.html" TargetMode="External"/><Relationship Id="rId57" Type="http://schemas.openxmlformats.org/officeDocument/2006/relationships/hyperlink" Target="https://specs.openstack.org/openstack/nova-specs/specs/juno/implemented/pci-passthrough-sriov.html" TargetMode="External"/><Relationship Id="rId12" Type="http://schemas.openxmlformats.org/officeDocument/2006/relationships/hyperlink" Target="http://specs.openstack.org/openstack/nova-specs/specs/kilo/approved/nova-api-policy.html" TargetMode="External"/><Relationship Id="rId56" Type="http://schemas.openxmlformats.org/officeDocument/2006/relationships/hyperlink" Target="https://specs.openstack.org/openstack/nova-specs/specs/juno/implemented/pci-passthrough-sriov.html" TargetMode="External"/><Relationship Id="rId91" Type="http://schemas.openxmlformats.org/officeDocument/2006/relationships/hyperlink" Target="https://specs.openstack.org/openstack/nova-specs/specs/juno/implemented/compute-manager-objects-juno.html" TargetMode="External"/><Relationship Id="rId90" Type="http://schemas.openxmlformats.org/officeDocument/2006/relationships/hyperlink" Target="https://specs.openstack.org/openstack/nova-specs/specs/juno/implemented/compute-manager-objects-juno.html" TargetMode="External"/><Relationship Id="rId93" Type="http://schemas.openxmlformats.org/officeDocument/2006/relationships/hyperlink" Target="https://specs.openstack.org/openstack/nova-specs/specs/juno/implemented/compute-manager-objects-juno.html" TargetMode="External"/><Relationship Id="rId92" Type="http://schemas.openxmlformats.org/officeDocument/2006/relationships/hyperlink" Target="https://specs.openstack.org/openstack/nova-specs/specs/juno/implemented/compute-manager-objects-juno.html" TargetMode="External"/><Relationship Id="rId15" Type="http://schemas.openxmlformats.org/officeDocument/2006/relationships/hyperlink" Target="http://specs.openstack.org/openstack/nova-specs/specs/kilo/approved/nova-api-policy.html" TargetMode="External"/><Relationship Id="rId59" Type="http://schemas.openxmlformats.org/officeDocument/2006/relationships/hyperlink" Target="https://specs.openstack.org/openstack/nova-specs/specs/juno/implemented/pci-passthrough-sriov.html" TargetMode="External"/><Relationship Id="rId14" Type="http://schemas.openxmlformats.org/officeDocument/2006/relationships/hyperlink" Target="http://specs.openstack.org/openstack/nova-specs/specs/kilo/approved/nova-api-policy.html" TargetMode="External"/><Relationship Id="rId58" Type="http://schemas.openxmlformats.org/officeDocument/2006/relationships/hyperlink" Target="https://specs.openstack.org/openstack/nova-specs/specs/juno/implemented/pci-passthrough-sriov.html" TargetMode="External"/><Relationship Id="rId17" Type="http://schemas.openxmlformats.org/officeDocument/2006/relationships/hyperlink" Target="http://specs.openstack.org/openstack/nova-specs/specs/kilo/approved/nova-api-policy.html" TargetMode="External"/><Relationship Id="rId16" Type="http://schemas.openxmlformats.org/officeDocument/2006/relationships/hyperlink" Target="http://specs.openstack.org/openstack/nova-specs/specs/kilo/approved/nova-api-policy.html" TargetMode="External"/><Relationship Id="rId19" Type="http://schemas.openxmlformats.org/officeDocument/2006/relationships/hyperlink" Target="http://specs.openstack.org/openstack/nova-specs/specs/kilo/approved/nova-api-policy.html" TargetMode="External"/><Relationship Id="rId18" Type="http://schemas.openxmlformats.org/officeDocument/2006/relationships/hyperlink" Target="http://specs.openstack.org/openstack/nova-specs/specs/kilo/approved/nova-api-policy.html"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6.xml"/><Relationship Id="rId5"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e/2PACX-1vQ1pzWm0ix_RoylXKQ8_YIy47wHbuXn66LFmkx2qZ4E_UW6CYcGB4wx6tJNpKGSIlCSJ_Re00a7eig8/pubhtml?gid=1835839646&amp;single=true" TargetMode="External"/><Relationship Id="rId2" Type="http://schemas.openxmlformats.org/officeDocument/2006/relationships/hyperlink" Target="https://docs.google.com/spreadsheets/d/1Y9FDM6PWfeg9VaMejzWN3Md3FLlGVyeSUr8AibeJN5I/edit"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8.xml"/><Relationship Id="rId5"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s://blueprints.launchpad.net/nova/+spec/v3-api-policy" TargetMode="External"/><Relationship Id="rId5" Type="http://schemas.openxmlformats.org/officeDocument/2006/relationships/hyperlink" Target="https://review.openstack.org/" TargetMode="External"/><Relationship Id="rId6" Type="http://schemas.openxmlformats.org/officeDocument/2006/relationships/drawing" Target="../drawings/drawing9.xml"/><Relationship Id="rId7"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40" Type="http://schemas.openxmlformats.org/officeDocument/2006/relationships/hyperlink" Target="https://github.com/elastic/elasticsearch/commit/90a339ad5e4a61e750d0342be6326de46f45bedc" TargetMode="External"/><Relationship Id="rId42" Type="http://schemas.openxmlformats.org/officeDocument/2006/relationships/hyperlink" Target="https://github.com/elastic/elasticsearch/commit/c55341bf515fec6d4135cee8a6e9a7a9764da17f" TargetMode="External"/><Relationship Id="rId41" Type="http://schemas.openxmlformats.org/officeDocument/2006/relationships/hyperlink" Target="https://github.com/elastic/elasticsearch/issue/831" TargetMode="External"/><Relationship Id="rId44" Type="http://schemas.openxmlformats.org/officeDocument/2006/relationships/hyperlink" Target="https://github.com/elastic/elasticsearch/issue/21" TargetMode="External"/><Relationship Id="rId43" Type="http://schemas.openxmlformats.org/officeDocument/2006/relationships/hyperlink" Target="https://github.com/elastic/elasticsearch/commit/976448e3395609276446e2b8dbeddb046823aa2e" TargetMode="External"/><Relationship Id="rId46" Type="http://schemas.openxmlformats.org/officeDocument/2006/relationships/hyperlink" Target="https://github.com/elastic/elasticsearch/pull/7067" TargetMode="External"/><Relationship Id="rId45" Type="http://schemas.openxmlformats.org/officeDocument/2006/relationships/hyperlink" Target="https://github.com/elastic/elasticsearch/commit/91c4824a0f768f2d3e3651958656384d0735a85e" TargetMode="External"/><Relationship Id="rId107" Type="http://schemas.openxmlformats.org/officeDocument/2006/relationships/hyperlink" Target="https://review.opendev.org/c/openstack/nova/+/120675" TargetMode="External"/><Relationship Id="rId106" Type="http://schemas.openxmlformats.org/officeDocument/2006/relationships/hyperlink" Target="https://opendev.org/openstack/nova/commit/990561227d1cdadc1ae91fdcc74286a47f0ddf2c" TargetMode="External"/><Relationship Id="rId105" Type="http://schemas.openxmlformats.org/officeDocument/2006/relationships/hyperlink" Target="https://www.mail-archive.com/openstack-dev@lists.openstack.org/" TargetMode="External"/><Relationship Id="rId104" Type="http://schemas.openxmlformats.org/officeDocument/2006/relationships/hyperlink" Target="https://bugs.launchpad.net/nova/+bug/1148734" TargetMode="External"/><Relationship Id="rId109" Type="http://schemas.openxmlformats.org/officeDocument/2006/relationships/hyperlink" Target="https://www.mail-archive.com/openstack-dev@lists.openstack.org/" TargetMode="External"/><Relationship Id="rId108" Type="http://schemas.openxmlformats.org/officeDocument/2006/relationships/hyperlink" Target="https://blueprints.launchpad.net/nova/+spec/pci-passthrough-sriov" TargetMode="External"/><Relationship Id="rId48" Type="http://schemas.openxmlformats.org/officeDocument/2006/relationships/hyperlink" Target="https://github.com/elastic/elasticsearch/commit/fc51ebfce8a87252d868d1f160ae740972b8e48a" TargetMode="External"/><Relationship Id="rId47" Type="http://schemas.openxmlformats.org/officeDocument/2006/relationships/hyperlink" Target="https://github.com/elastic/elasticsearch/pull/7067" TargetMode="External"/><Relationship Id="rId49" Type="http://schemas.openxmlformats.org/officeDocument/2006/relationships/hyperlink" Target="https://github.com/elastic/elasticsearch/commit/8865e60e936b57feb1a31d23b29ba0b212492766" TargetMode="External"/><Relationship Id="rId103" Type="http://schemas.openxmlformats.org/officeDocument/2006/relationships/hyperlink" Target="https://review.opendev.org/c/openstack/nova/+/24363" TargetMode="External"/><Relationship Id="rId102" Type="http://schemas.openxmlformats.org/officeDocument/2006/relationships/hyperlink" Target="https://opendev.org/openstack/nova/commit/2d0578c539d000981e50ba0c143385974d10e2e2" TargetMode="External"/><Relationship Id="rId101" Type="http://schemas.openxmlformats.org/officeDocument/2006/relationships/hyperlink" Target="https://www.mail-archive.com/openstack-dev@lists.openstack.org/" TargetMode="External"/><Relationship Id="rId100" Type="http://schemas.openxmlformats.org/officeDocument/2006/relationships/hyperlink" Target="https://review.opendev.org/c/openstack/nova/+/19457" TargetMode="External"/><Relationship Id="rId31" Type="http://schemas.openxmlformats.org/officeDocument/2006/relationships/hyperlink" Target="https://github.com/elastic/elasticsearch/commit/3f1472505723866794d875c00bde575d988e120d" TargetMode="External"/><Relationship Id="rId30" Type="http://schemas.openxmlformats.org/officeDocument/2006/relationships/hyperlink" Target="https://github.com/elastic/elasticsearch/commit/22722840d4331a83fcfdd8edea22d372feba16ab" TargetMode="External"/><Relationship Id="rId33" Type="http://schemas.openxmlformats.org/officeDocument/2006/relationships/hyperlink" Target="https://github.com/elastic/elasticsearch/commit/07443089ce761cdfcf9206ad179381db7249d01a" TargetMode="External"/><Relationship Id="rId32" Type="http://schemas.openxmlformats.org/officeDocument/2006/relationships/hyperlink" Target="https://github.com/elastic/elasticsearch/issue/4782" TargetMode="External"/><Relationship Id="rId35" Type="http://schemas.openxmlformats.org/officeDocument/2006/relationships/hyperlink" Target="https://github.com/elastic/elasticsearch/issue/4508" TargetMode="External"/><Relationship Id="rId34" Type="http://schemas.openxmlformats.org/officeDocument/2006/relationships/hyperlink" Target="https://github.com/elastic/elasticsearch/commit/e7e1667a26de5472e3419c586682b92c37c6e7d3" TargetMode="External"/><Relationship Id="rId37" Type="http://schemas.openxmlformats.org/officeDocument/2006/relationships/hyperlink" Target="https://github.com/elastic/elasticsearch/commit/8561f897a984807958a543e378ab01349935a739" TargetMode="External"/><Relationship Id="rId36" Type="http://schemas.openxmlformats.org/officeDocument/2006/relationships/hyperlink" Target="https://github.com/elastic/elasticsearch/commit/459d59a04ad4eb1671bac50a6faf3a7ad372d0e4" TargetMode="External"/><Relationship Id="rId39" Type="http://schemas.openxmlformats.org/officeDocument/2006/relationships/hyperlink" Target="https://github.com/elastic/elasticsearch/commit/7180636df6dfe6b18bf738ee2285549ea95a8cb9" TargetMode="External"/><Relationship Id="rId38" Type="http://schemas.openxmlformats.org/officeDocument/2006/relationships/hyperlink" Target="https://github.com/elastic/elasticsearch/commit/ef85412f98e97ff5471013eab59fd8cb3046c17a" TargetMode="External"/><Relationship Id="rId173" Type="http://schemas.openxmlformats.org/officeDocument/2006/relationships/drawing" Target="../drawings/drawing10.xml"/><Relationship Id="rId20" Type="http://schemas.openxmlformats.org/officeDocument/2006/relationships/hyperlink" Target="https://github.com/elastic/elasticsearch/commit/2ea7423f3ac68578a81d92f50b6484cf1db2203d" TargetMode="External"/><Relationship Id="rId22" Type="http://schemas.openxmlformats.org/officeDocument/2006/relationships/hyperlink" Target="https://github.com/elastic/elasticsearch/commit/8285ffe22175bf4592e79bb881a6451741ccdac8" TargetMode="External"/><Relationship Id="rId21" Type="http://schemas.openxmlformats.org/officeDocument/2006/relationships/hyperlink" Target="https://github.com/elastic/elasticsearch/commit/aa68667d636d61b0cc67810e1e2489d1246e9af6" TargetMode="External"/><Relationship Id="rId24" Type="http://schemas.openxmlformats.org/officeDocument/2006/relationships/hyperlink" Target="https://github.com/elastic/elasticsearch/issue/2604" TargetMode="External"/><Relationship Id="rId23" Type="http://schemas.openxmlformats.org/officeDocument/2006/relationships/hyperlink" Target="https://github.com/elastic/elasticsearch/commit/bc20f068c9c62b69260f3b24adaaf9fb3ff3d371" TargetMode="External"/><Relationship Id="rId129" Type="http://schemas.openxmlformats.org/officeDocument/2006/relationships/hyperlink" Target="https://review.opendev.org/c/openstack/nova/+/132231" TargetMode="External"/><Relationship Id="rId128" Type="http://schemas.openxmlformats.org/officeDocument/2006/relationships/hyperlink" Target="https://opendev.org/openstack/nova/commit/f90885bacba3728dc9a35e99eecef37a37b881e2" TargetMode="External"/><Relationship Id="rId127" Type="http://schemas.openxmlformats.org/officeDocument/2006/relationships/hyperlink" Target="https://www.mail-archive.com/openstack-dev@lists.openstack.org/" TargetMode="External"/><Relationship Id="rId126" Type="http://schemas.openxmlformats.org/officeDocument/2006/relationships/hyperlink" Target="https://blueprints.launchpad.net/nova/+spec/compute-manager-objects-juno" TargetMode="External"/><Relationship Id="rId26" Type="http://schemas.openxmlformats.org/officeDocument/2006/relationships/hyperlink" Target="https://github.com/elastic/elasticsearch/pull/1065" TargetMode="External"/><Relationship Id="rId121" Type="http://schemas.openxmlformats.org/officeDocument/2006/relationships/hyperlink" Target="https://opendev.org/openstack/nova/commit/7cef50ad800274cad3d07240cc468d038ce4031b" TargetMode="External"/><Relationship Id="rId25" Type="http://schemas.openxmlformats.org/officeDocument/2006/relationships/hyperlink" Target="https://github.com/elastic/elasticsearch/commit/4f5e62e9882b36271280ad4e47e61aba2d7669f1" TargetMode="External"/><Relationship Id="rId120" Type="http://schemas.openxmlformats.org/officeDocument/2006/relationships/hyperlink" Target="https://www.mail-archive.com/openstack-dev@lists.openstack.org/" TargetMode="External"/><Relationship Id="rId28" Type="http://schemas.openxmlformats.org/officeDocument/2006/relationships/hyperlink" Target="https://github.com/elastic/elasticsearch/commit/a235a5594338789a448742fce19549206dd5b30c" TargetMode="External"/><Relationship Id="rId27" Type="http://schemas.openxmlformats.org/officeDocument/2006/relationships/hyperlink" Target="https://github.com/elastic/elasticsearch/commit/567cf6b5c3bbc4486b0472c8abe588ab6215637c" TargetMode="External"/><Relationship Id="rId125" Type="http://schemas.openxmlformats.org/officeDocument/2006/relationships/hyperlink" Target="https://review.opendev.org/c/openstack/nova/+/113741" TargetMode="External"/><Relationship Id="rId29" Type="http://schemas.openxmlformats.org/officeDocument/2006/relationships/hyperlink" Target="https://github.com/elastic/elasticsearch/issue/3410" TargetMode="External"/><Relationship Id="rId124" Type="http://schemas.openxmlformats.org/officeDocument/2006/relationships/hyperlink" Target="https://opendev.org/openstack/nova/commit/5876827d92bad3c408651184d9fea835639d8db8" TargetMode="External"/><Relationship Id="rId123" Type="http://schemas.openxmlformats.org/officeDocument/2006/relationships/hyperlink" Target="https://www.mail-archive.com/openstack-dev@lists.openstack.org/" TargetMode="External"/><Relationship Id="rId122" Type="http://schemas.openxmlformats.org/officeDocument/2006/relationships/hyperlink" Target="https://review.opendev.org/c/openstack/nova/+/28774" TargetMode="External"/><Relationship Id="rId95" Type="http://schemas.openxmlformats.org/officeDocument/2006/relationships/hyperlink" Target="https://www.mail-archive.com/openstack-dev@lists.openstack.org/" TargetMode="External"/><Relationship Id="rId94" Type="http://schemas.openxmlformats.org/officeDocument/2006/relationships/hyperlink" Target="https://review.opendev.org/c/openstack/nova/+/19679" TargetMode="External"/><Relationship Id="rId97" Type="http://schemas.openxmlformats.org/officeDocument/2006/relationships/hyperlink" Target="https://review.opendev.org/c/openstack/nova/+/123682" TargetMode="External"/><Relationship Id="rId96" Type="http://schemas.openxmlformats.org/officeDocument/2006/relationships/hyperlink" Target="https://opendev.org/openstack/nova/commit/583d12f4fae620719b893cb7f9fbfc461ec8a124" TargetMode="External"/><Relationship Id="rId11" Type="http://schemas.openxmlformats.org/officeDocument/2006/relationships/hyperlink" Target="https://github.com/elastic/elasticsearch/commit/1f30681a84fcafe9cf6e6b8a2801ea1791b9edc0" TargetMode="External"/><Relationship Id="rId99" Type="http://schemas.openxmlformats.org/officeDocument/2006/relationships/hyperlink" Target="https://opendev.org/openstack/nova/commit/1b32ed31425a0332ab16f5b5f6c08a20eafe7963" TargetMode="External"/><Relationship Id="rId10" Type="http://schemas.openxmlformats.org/officeDocument/2006/relationships/hyperlink" Target="https://github.com/elastic/elasticsearch/commit/7caee2fa4d918d4c6978bcf986a158d03bf7db2a" TargetMode="External"/><Relationship Id="rId98" Type="http://schemas.openxmlformats.org/officeDocument/2006/relationships/hyperlink" Target="https://www.mail-archive.com/openstack-dev@lists.openstack.org/" TargetMode="External"/><Relationship Id="rId13" Type="http://schemas.openxmlformats.org/officeDocument/2006/relationships/hyperlink" Target="https://github.com/elastic/elasticsearch/pull/13704" TargetMode="External"/><Relationship Id="rId12" Type="http://schemas.openxmlformats.org/officeDocument/2006/relationships/hyperlink" Target="https://github.com/elastic/elasticsearch/commit/093791e82dfe7c3e16ddb1f199fede2cf86b6797" TargetMode="External"/><Relationship Id="rId91" Type="http://schemas.openxmlformats.org/officeDocument/2006/relationships/hyperlink" Target="https://review.opendev.org/c/openstack/nova/+/107602" TargetMode="External"/><Relationship Id="rId90" Type="http://schemas.openxmlformats.org/officeDocument/2006/relationships/hyperlink" Target="https://opendev.org/openstack/nova/commit/9340f6db7961824aabdf73cecf5e19892ce01c03" TargetMode="External"/><Relationship Id="rId93" Type="http://schemas.openxmlformats.org/officeDocument/2006/relationships/hyperlink" Target="https://opendev.org/openstack/nova/commit/f2baacd4e634b815fe011ced0d6e46f6c06b7fdd" TargetMode="External"/><Relationship Id="rId92" Type="http://schemas.openxmlformats.org/officeDocument/2006/relationships/hyperlink" Target="https://www.mail-archive.com/openstack-dev@lists.openstack.org/" TargetMode="External"/><Relationship Id="rId118" Type="http://schemas.openxmlformats.org/officeDocument/2006/relationships/hyperlink" Target="https://review.opendev.org/c/openstack/nova/+/155678" TargetMode="External"/><Relationship Id="rId117" Type="http://schemas.openxmlformats.org/officeDocument/2006/relationships/hyperlink" Target="https://opendev.org/openstack/nova/commit/73515209cf09821a2fc922e1ae2c97650802fab4" TargetMode="External"/><Relationship Id="rId116" Type="http://schemas.openxmlformats.org/officeDocument/2006/relationships/hyperlink" Target="https://www.mail-archive.com/openstack-dev@lists.openstack.org/" TargetMode="External"/><Relationship Id="rId115" Type="http://schemas.openxmlformats.org/officeDocument/2006/relationships/hyperlink" Target="https://review.opendev.org/c/openstack/nova/+/136717" TargetMode="External"/><Relationship Id="rId119" Type="http://schemas.openxmlformats.org/officeDocument/2006/relationships/hyperlink" Target="https://blueprints.launchpad.net/nova/+spec/v3-api-policy" TargetMode="External"/><Relationship Id="rId15" Type="http://schemas.openxmlformats.org/officeDocument/2006/relationships/hyperlink" Target="https://github.com/elastic/elasticsearch/commit/b31b0e979c616251ed75b18a87193bd76b75eff3" TargetMode="External"/><Relationship Id="rId110" Type="http://schemas.openxmlformats.org/officeDocument/2006/relationships/hyperlink" Target="https://opendev.org/openstack/nova/commit/27d89c2d425aefcd32549b08e3cff8b132d3e75b" TargetMode="External"/><Relationship Id="rId14" Type="http://schemas.openxmlformats.org/officeDocument/2006/relationships/hyperlink" Target="https://github.com/elastic/elasticsearch/commit/3d310406b71973e82f94f60b8dab0c90729a579a" TargetMode="External"/><Relationship Id="rId17" Type="http://schemas.openxmlformats.org/officeDocument/2006/relationships/hyperlink" Target="https://github.com/elastic/elasticsearch/commit/8587f1611912c6633b72909939e91d226575dd90" TargetMode="External"/><Relationship Id="rId16" Type="http://schemas.openxmlformats.org/officeDocument/2006/relationships/hyperlink" Target="https://github.com/elastic/elasticsearch/issue/362" TargetMode="External"/><Relationship Id="rId19" Type="http://schemas.openxmlformats.org/officeDocument/2006/relationships/hyperlink" Target="https://github.com/elastic/elasticsearch/commit/103221e58a85dc5d133cc70af898102735c4375f" TargetMode="External"/><Relationship Id="rId114" Type="http://schemas.openxmlformats.org/officeDocument/2006/relationships/hyperlink" Target="https://opendev.org/openstack/nova/commit/5ee83244f40f3d3c29bf47c5d86952bf53de1684" TargetMode="External"/><Relationship Id="rId18" Type="http://schemas.openxmlformats.org/officeDocument/2006/relationships/hyperlink" Target="https://github.com/elastic/elasticsearch/pull/639" TargetMode="External"/><Relationship Id="rId113" Type="http://schemas.openxmlformats.org/officeDocument/2006/relationships/hyperlink" Target="https://www.mail-archive.com/openstack-dev@lists.openstack.org/" TargetMode="External"/><Relationship Id="rId112" Type="http://schemas.openxmlformats.org/officeDocument/2006/relationships/hyperlink" Target="https://opendev.org/openstack/nova/commit/1e4024b72218a07d1e535878337547cf16406dd8" TargetMode="External"/><Relationship Id="rId111" Type="http://schemas.openxmlformats.org/officeDocument/2006/relationships/hyperlink" Target="https://www.mail-archive.com/openstack-dev@lists.openstack.org/" TargetMode="External"/><Relationship Id="rId84" Type="http://schemas.openxmlformats.org/officeDocument/2006/relationships/hyperlink" Target="https://review.opendev.org/c/openstack/nova/+/65042" TargetMode="External"/><Relationship Id="rId83" Type="http://schemas.openxmlformats.org/officeDocument/2006/relationships/hyperlink" Target="https://opendev.org/openstack/nova/commit/6982d8534d78d9732fc8d6e05c8f3bb432d62264" TargetMode="External"/><Relationship Id="rId86" Type="http://schemas.openxmlformats.org/officeDocument/2006/relationships/hyperlink" Target="https://www.mail-archive.com/openstack-dev@lists.openstack.org/" TargetMode="External"/><Relationship Id="rId85" Type="http://schemas.openxmlformats.org/officeDocument/2006/relationships/hyperlink" Target="https://blueprints.launchpad.net/nova/+spec/aggregate-api-policy" TargetMode="External"/><Relationship Id="rId88" Type="http://schemas.openxmlformats.org/officeDocument/2006/relationships/hyperlink" Target="https://review.opendev.org/c/openstack/nova/+/119446" TargetMode="External"/><Relationship Id="rId150" Type="http://schemas.openxmlformats.org/officeDocument/2006/relationships/hyperlink" Target="https://opendev.org/openstack/nova/commit/c6088d94bfd11114c94b2bdf7bd51cb4b1989720" TargetMode="External"/><Relationship Id="rId87" Type="http://schemas.openxmlformats.org/officeDocument/2006/relationships/hyperlink" Target="https://opendev.org/openstack/nova/commit/e65a43837e9ccad8ca34da4d29824df591c685fe" TargetMode="External"/><Relationship Id="rId89" Type="http://schemas.openxmlformats.org/officeDocument/2006/relationships/hyperlink" Target="https://www.mail-archive.com/openstack-dev@lists.openstack.org/" TargetMode="External"/><Relationship Id="rId80" Type="http://schemas.openxmlformats.org/officeDocument/2006/relationships/hyperlink" Target="https://review.opendev.org/c/openstack/nova/+/63178" TargetMode="External"/><Relationship Id="rId82" Type="http://schemas.openxmlformats.org/officeDocument/2006/relationships/hyperlink" Target="https://www.mail-archive.com/openstack-dev@lists.openstack.org/" TargetMode="External"/><Relationship Id="rId81" Type="http://schemas.openxmlformats.org/officeDocument/2006/relationships/hyperlink" Target="https://blueprints.launchpad.net/nova/+spec/icehouse-objects" TargetMode="External"/><Relationship Id="rId1" Type="http://schemas.openxmlformats.org/officeDocument/2006/relationships/hyperlink" Target="https://github.com/elastic/elasticsearch/commit/10660d390d760cde78fb115107c04e1cf104a4da" TargetMode="External"/><Relationship Id="rId2" Type="http://schemas.openxmlformats.org/officeDocument/2006/relationships/hyperlink" Target="https://github.com/elastic/elasticsearch/commit/7a38e384c9ff783f17e9db92a730bdf654dbda6b" TargetMode="External"/><Relationship Id="rId3" Type="http://schemas.openxmlformats.org/officeDocument/2006/relationships/hyperlink" Target="https://github.com/elastic/elasticsearch/commit/e5b041c8efd408fdc71fd2f2c84439e5a4985244" TargetMode="External"/><Relationship Id="rId149" Type="http://schemas.openxmlformats.org/officeDocument/2006/relationships/hyperlink" Target="https://www.mail-archive.com/openstack-dev@lists.openstack.org/" TargetMode="External"/><Relationship Id="rId4" Type="http://schemas.openxmlformats.org/officeDocument/2006/relationships/hyperlink" Target="https://github.com/elastic/elasticsearch/commit/e88535a67e9594f3135465b5021ba9b502fef950" TargetMode="External"/><Relationship Id="rId148" Type="http://schemas.openxmlformats.org/officeDocument/2006/relationships/hyperlink" Target="https://bugs.launchpad.net/nova/+bug/1180178" TargetMode="External"/><Relationship Id="rId9" Type="http://schemas.openxmlformats.org/officeDocument/2006/relationships/hyperlink" Target="https://github.com/elastic/elasticsearch/issue/1368" TargetMode="External"/><Relationship Id="rId143" Type="http://schemas.openxmlformats.org/officeDocument/2006/relationships/hyperlink" Target="https://review.opendev.org/c/openstack/nova/+/109489" TargetMode="External"/><Relationship Id="rId142" Type="http://schemas.openxmlformats.org/officeDocument/2006/relationships/hyperlink" Target="https://opendev.org/openstack/nova/commit/c363dae6a2b878db6801b502cced1fcc6aad2d0c" TargetMode="External"/><Relationship Id="rId141" Type="http://schemas.openxmlformats.org/officeDocument/2006/relationships/hyperlink" Target="https://www.mail-archive.com/openstack-dev@lists.openstack.org/" TargetMode="External"/><Relationship Id="rId140" Type="http://schemas.openxmlformats.org/officeDocument/2006/relationships/hyperlink" Target="https://blueprints.launchpad.net/nova/+spec/kilo-objects" TargetMode="External"/><Relationship Id="rId5" Type="http://schemas.openxmlformats.org/officeDocument/2006/relationships/hyperlink" Target="https://github.com/elastic/elasticsearch/commit/16a046f686c26309ee0041df8987a4d2ffedd956" TargetMode="External"/><Relationship Id="rId147" Type="http://schemas.openxmlformats.org/officeDocument/2006/relationships/hyperlink" Target="https://review.opendev.org/c/openstack/nova/+/30201" TargetMode="External"/><Relationship Id="rId6" Type="http://schemas.openxmlformats.org/officeDocument/2006/relationships/hyperlink" Target="https://github.com/elastic/elasticsearch/commit/a75adaaaaaa632c036464da8fa24770796f77852" TargetMode="External"/><Relationship Id="rId146" Type="http://schemas.openxmlformats.org/officeDocument/2006/relationships/hyperlink" Target="https://opendev.org/openstack/nova/commit/fa6c2d4def22f0ddd296572d9ce5b3b6f7267e2f" TargetMode="External"/><Relationship Id="rId7" Type="http://schemas.openxmlformats.org/officeDocument/2006/relationships/hyperlink" Target="https://github.com/elastic/elasticsearch/commit/4088236cf75b793c7a2a80f5f7be5b326b607378" TargetMode="External"/><Relationship Id="rId145" Type="http://schemas.openxmlformats.org/officeDocument/2006/relationships/hyperlink" Target="https://www.mail-archive.com/openstack-dev@lists.openstack.org/" TargetMode="External"/><Relationship Id="rId8" Type="http://schemas.openxmlformats.org/officeDocument/2006/relationships/hyperlink" Target="https://github.com/elastic/elasticsearch/pull/1258" TargetMode="External"/><Relationship Id="rId144" Type="http://schemas.openxmlformats.org/officeDocument/2006/relationships/hyperlink" Target="https://bugs.launchpad.net/nova/+bug/1348288" TargetMode="External"/><Relationship Id="rId73" Type="http://schemas.openxmlformats.org/officeDocument/2006/relationships/hyperlink" Target="https://blueprints.launchpad.net/nova/+spec/assertequal" TargetMode="External"/><Relationship Id="rId72" Type="http://schemas.openxmlformats.org/officeDocument/2006/relationships/hyperlink" Target="https://review.opendev.org/c/openstack/nova/+/44239" TargetMode="External"/><Relationship Id="rId75" Type="http://schemas.openxmlformats.org/officeDocument/2006/relationships/hyperlink" Target="https://opendev.org/openstack/nova/commit/475f3624245500c5382faf5b2708a59fcec2c9ad" TargetMode="External"/><Relationship Id="rId74" Type="http://schemas.openxmlformats.org/officeDocument/2006/relationships/hyperlink" Target="https://www.mail-archive.com/openstack-dev@lists.openstack.org/" TargetMode="External"/><Relationship Id="rId77" Type="http://schemas.openxmlformats.org/officeDocument/2006/relationships/hyperlink" Target="https://bugs.launchpad.net/nova/+bug/897155" TargetMode="External"/><Relationship Id="rId76" Type="http://schemas.openxmlformats.org/officeDocument/2006/relationships/hyperlink" Target="https://review.opendev.org/c/openstack/nova/+/1934" TargetMode="External"/><Relationship Id="rId79" Type="http://schemas.openxmlformats.org/officeDocument/2006/relationships/hyperlink" Target="https://opendev.org/openstack/nova/commit/6ed6be8435284daf39ef1b8323e213c7885852c6" TargetMode="External"/><Relationship Id="rId78" Type="http://schemas.openxmlformats.org/officeDocument/2006/relationships/hyperlink" Target="https://www.mail-archive.com/openstack-dev@lists.openstack.org/" TargetMode="External"/><Relationship Id="rId71" Type="http://schemas.openxmlformats.org/officeDocument/2006/relationships/hyperlink" Target="https://opendev.org/openstack/nova/commit/90a37c069ede9d9b23ff6faef4ea6e48bbd7ebce" TargetMode="External"/><Relationship Id="rId70" Type="http://schemas.openxmlformats.org/officeDocument/2006/relationships/hyperlink" Target="https://www.mail-archive.com/openstack-dev@lists.openstack.org/" TargetMode="External"/><Relationship Id="rId139" Type="http://schemas.openxmlformats.org/officeDocument/2006/relationships/hyperlink" Target="https://review.opendev.org/c/openstack/nova/+/142282" TargetMode="External"/><Relationship Id="rId138" Type="http://schemas.openxmlformats.org/officeDocument/2006/relationships/hyperlink" Target="https://opendev.org/openstack/nova/commit/ce28166dcf25a3d589e6f020b2dfa64705d15126" TargetMode="External"/><Relationship Id="rId137" Type="http://schemas.openxmlformats.org/officeDocument/2006/relationships/hyperlink" Target="https://www.mail-archive.com/openstack-dev@lists.openstack.org/" TargetMode="External"/><Relationship Id="rId132" Type="http://schemas.openxmlformats.org/officeDocument/2006/relationships/hyperlink" Target="https://review.opendev.org/c/openstack/nova/+/150293" TargetMode="External"/><Relationship Id="rId131" Type="http://schemas.openxmlformats.org/officeDocument/2006/relationships/hyperlink" Target="https://opendev.org/openstack/nova/commit/98dcd0dc6fe19ab243556874e4f0910e78484e02" TargetMode="External"/><Relationship Id="rId130" Type="http://schemas.openxmlformats.org/officeDocument/2006/relationships/hyperlink" Target="https://www.mail-archive.com/openstack-dev@lists.openstack.org/" TargetMode="External"/><Relationship Id="rId136" Type="http://schemas.openxmlformats.org/officeDocument/2006/relationships/hyperlink" Target="https://review.opendev.org/c/openstack/nova/+/94811" TargetMode="External"/><Relationship Id="rId135" Type="http://schemas.openxmlformats.org/officeDocument/2006/relationships/hyperlink" Target="https://opendev.org/openstack/nova/commit/995ee643f3291157151d195552232d09d471d8c2" TargetMode="External"/><Relationship Id="rId134" Type="http://schemas.openxmlformats.org/officeDocument/2006/relationships/hyperlink" Target="https://www.mail-archive.com/openstack-dev@lists.openstack.org/" TargetMode="External"/><Relationship Id="rId133" Type="http://schemas.openxmlformats.org/officeDocument/2006/relationships/hyperlink" Target="https://blueprints.launchpad.net/nova/+spec/v3-api-policy" TargetMode="External"/><Relationship Id="rId62" Type="http://schemas.openxmlformats.org/officeDocument/2006/relationships/hyperlink" Target="https://www.mail-archive.com/openstack-dev@lists.openstack.org/" TargetMode="External"/><Relationship Id="rId61" Type="http://schemas.openxmlformats.org/officeDocument/2006/relationships/hyperlink" Target="https://review.opendev.org/c/openstack/nova/+/29062" TargetMode="External"/><Relationship Id="rId64" Type="http://schemas.openxmlformats.org/officeDocument/2006/relationships/hyperlink" Target="https://review.opendev.org/c/openstack/nova/+/14806" TargetMode="External"/><Relationship Id="rId63" Type="http://schemas.openxmlformats.org/officeDocument/2006/relationships/hyperlink" Target="https://opendev.org/openstack/nova/commit/27a5753dd3766b5535e0248d48c9bb555379dd12" TargetMode="External"/><Relationship Id="rId66" Type="http://schemas.openxmlformats.org/officeDocument/2006/relationships/hyperlink" Target="https://www.mail-archive.com/openstack-dev@lists.openstack.org/" TargetMode="External"/><Relationship Id="rId172" Type="http://schemas.openxmlformats.org/officeDocument/2006/relationships/hyperlink" Target="https://www.mail-archive.com/openstack-dev@lists.openstack.org/" TargetMode="External"/><Relationship Id="rId65" Type="http://schemas.openxmlformats.org/officeDocument/2006/relationships/hyperlink" Target="https://bugs.launchpad.net/nova/+bug/884842" TargetMode="External"/><Relationship Id="rId171" Type="http://schemas.openxmlformats.org/officeDocument/2006/relationships/hyperlink" Target="https://blueprints.launchpad.net/nova/+spec/scope-config-opts" TargetMode="External"/><Relationship Id="rId68" Type="http://schemas.openxmlformats.org/officeDocument/2006/relationships/hyperlink" Target="https://review.opendev.org/c/openstack/nova/+/40426" TargetMode="External"/><Relationship Id="rId170" Type="http://schemas.openxmlformats.org/officeDocument/2006/relationships/hyperlink" Target="https://review.opendev.org/c/openstack/nova/+/17839" TargetMode="External"/><Relationship Id="rId67" Type="http://schemas.openxmlformats.org/officeDocument/2006/relationships/hyperlink" Target="https://opendev.org/openstack/nova/commit/ae1040232dc681d718d940af11108322044a23be" TargetMode="External"/><Relationship Id="rId60" Type="http://schemas.openxmlformats.org/officeDocument/2006/relationships/hyperlink" Target="https://opendev.org/openstack/nova/commit/ba1ed8958b6bde0d8b9f5862a83ac7e1a33e8313" TargetMode="External"/><Relationship Id="rId165" Type="http://schemas.openxmlformats.org/officeDocument/2006/relationships/hyperlink" Target="https://review.opendev.org/c/openstack/nova/+/63612" TargetMode="External"/><Relationship Id="rId69" Type="http://schemas.openxmlformats.org/officeDocument/2006/relationships/hyperlink" Target="https://bugs.launchpad.net/nova/+bug/1208656" TargetMode="External"/><Relationship Id="rId164" Type="http://schemas.openxmlformats.org/officeDocument/2006/relationships/hyperlink" Target="https://opendev.org/openstack/nova/commit/1d551dc96658ade41c8e9fabc6d9b41a28d5ed15" TargetMode="External"/><Relationship Id="rId163" Type="http://schemas.openxmlformats.org/officeDocument/2006/relationships/hyperlink" Target="https://www.mail-archive.com/openstack-dev@lists.openstack.org/" TargetMode="External"/><Relationship Id="rId162" Type="http://schemas.openxmlformats.org/officeDocument/2006/relationships/hyperlink" Target="https://www.mail-archive.com/openstack-dev@lists.openstack.org/" TargetMode="External"/><Relationship Id="rId169" Type="http://schemas.openxmlformats.org/officeDocument/2006/relationships/hyperlink" Target="https://opendev.org/openstack/nova/commit/ac658aa7d0671fb9b5a0a2c504f4b73dff514da9" TargetMode="External"/><Relationship Id="rId168" Type="http://schemas.openxmlformats.org/officeDocument/2006/relationships/hyperlink" Target="https://www.mail-archive.com/openstack-dev@lists.openstack.org/" TargetMode="External"/><Relationship Id="rId167" Type="http://schemas.openxmlformats.org/officeDocument/2006/relationships/hyperlink" Target="https://blueprints.launchpad.net/nova/+spec/compute-manager-objects" TargetMode="External"/><Relationship Id="rId166" Type="http://schemas.openxmlformats.org/officeDocument/2006/relationships/hyperlink" Target="https://blueprints.launchpad.net/nova/+spec/compute-manager-objects" TargetMode="External"/><Relationship Id="rId51" Type="http://schemas.openxmlformats.org/officeDocument/2006/relationships/hyperlink" Target="https://github.com/elastic/elasticsearch/issue/6849" TargetMode="External"/><Relationship Id="rId50" Type="http://schemas.openxmlformats.org/officeDocument/2006/relationships/hyperlink" Target="https://github.com/elastic/elasticsearch/pull/6319" TargetMode="External"/><Relationship Id="rId53" Type="http://schemas.openxmlformats.org/officeDocument/2006/relationships/hyperlink" Target="https://github.com/elastic/elasticsearch/commit/4f131dfffbdadf5c5f9c9b7a03f9660233e04f72" TargetMode="External"/><Relationship Id="rId52" Type="http://schemas.openxmlformats.org/officeDocument/2006/relationships/hyperlink" Target="https://github.com/elastic/elasticsearch/commit/03ee0a942df39c01e5e4f4ecb392a746e3d979af" TargetMode="External"/><Relationship Id="rId55" Type="http://schemas.openxmlformats.org/officeDocument/2006/relationships/hyperlink" Target="https://github.com/elastic/elasticsearch/commit/bb49554c33b310e0e615c12befe8846a7d27c951" TargetMode="External"/><Relationship Id="rId161" Type="http://schemas.openxmlformats.org/officeDocument/2006/relationships/hyperlink" Target="https://blueprints.launchpad.net/nova/+spec/nova-no-downward-sql-migration" TargetMode="External"/><Relationship Id="rId54" Type="http://schemas.openxmlformats.org/officeDocument/2006/relationships/hyperlink" Target="https://github.com/elastic/elasticsearch/pull/6319" TargetMode="External"/><Relationship Id="rId160" Type="http://schemas.openxmlformats.org/officeDocument/2006/relationships/hyperlink" Target="https://review.opendev.org/c/openstack/nova/+/175551" TargetMode="External"/><Relationship Id="rId57" Type="http://schemas.openxmlformats.org/officeDocument/2006/relationships/hyperlink" Target="https://review.opendev.org/c/openstack/nova/+/70215" TargetMode="External"/><Relationship Id="rId56" Type="http://schemas.openxmlformats.org/officeDocument/2006/relationships/hyperlink" Target="https://opendev.org/openstack/nova/commit/8218a86dedd50301252598667171d17d874bb36d" TargetMode="External"/><Relationship Id="rId159" Type="http://schemas.openxmlformats.org/officeDocument/2006/relationships/hyperlink" Target="https://opendev.org/openstack/nova/commit/05120edf92627ff7ad20a928f8b94568031556c9" TargetMode="External"/><Relationship Id="rId59" Type="http://schemas.openxmlformats.org/officeDocument/2006/relationships/hyperlink" Target="https://www.mail-archive.com/openstack-dev@lists.openstack.org/" TargetMode="External"/><Relationship Id="rId154" Type="http://schemas.openxmlformats.org/officeDocument/2006/relationships/hyperlink" Target="https://review.opendev.org/c/openstack/nova/+/64289" TargetMode="External"/><Relationship Id="rId58" Type="http://schemas.openxmlformats.org/officeDocument/2006/relationships/hyperlink" Target="https://blueprints.launchpad.net/nova/+spec/compute-manager-objects" TargetMode="External"/><Relationship Id="rId153" Type="http://schemas.openxmlformats.org/officeDocument/2006/relationships/hyperlink" Target="https://opendev.org/openstack/nova/commit/c1dae06f1e366e7681fbffc776153b3ed3af2618" TargetMode="External"/><Relationship Id="rId152" Type="http://schemas.openxmlformats.org/officeDocument/2006/relationships/hyperlink" Target="https://www.mail-archive.com/openstack-dev@lists.openstack.org/" TargetMode="External"/><Relationship Id="rId151" Type="http://schemas.openxmlformats.org/officeDocument/2006/relationships/hyperlink" Target="https://review.opendev.org/c/openstack/nova/+/140337" TargetMode="External"/><Relationship Id="rId158" Type="http://schemas.openxmlformats.org/officeDocument/2006/relationships/hyperlink" Target="https://www.mail-archive.com/openstack-dev@lists.openstack.org/" TargetMode="External"/><Relationship Id="rId157" Type="http://schemas.openxmlformats.org/officeDocument/2006/relationships/hyperlink" Target="https://review.opendev.org/c/openstack/nova/+/113772" TargetMode="External"/><Relationship Id="rId156" Type="http://schemas.openxmlformats.org/officeDocument/2006/relationships/hyperlink" Target="https://opendev.org/openstack/nova/commit/b826fba1cd61f7ddbee091c220eaef7ea5317c1b" TargetMode="External"/><Relationship Id="rId155" Type="http://schemas.openxmlformats.org/officeDocument/2006/relationships/hyperlink" Target="https://www.mail-archive.com/openstack-dev@lists.openstack.org/" TargetMode="Externa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11.xml"/><Relationship Id="rId5"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100.5"/>
    <col customWidth="1" min="3" max="3" width="21.75"/>
  </cols>
  <sheetData>
    <row r="1">
      <c r="A1" s="1" t="s">
        <v>0</v>
      </c>
      <c r="B1" s="1"/>
      <c r="C1" s="2" t="s">
        <v>1</v>
      </c>
      <c r="D1" s="1"/>
      <c r="E1" s="1"/>
      <c r="F1" s="1"/>
      <c r="G1" s="1"/>
      <c r="H1" s="1"/>
      <c r="I1" s="1"/>
      <c r="J1" s="1"/>
      <c r="K1" s="1"/>
      <c r="L1" s="1"/>
      <c r="M1" s="1"/>
      <c r="N1" s="1"/>
      <c r="O1" s="1"/>
      <c r="P1" s="1"/>
      <c r="Q1" s="1"/>
      <c r="R1" s="1"/>
      <c r="S1" s="1"/>
      <c r="T1" s="1"/>
      <c r="U1" s="1"/>
      <c r="V1" s="1"/>
      <c r="W1" s="1"/>
      <c r="X1" s="1"/>
      <c r="Y1" s="1"/>
      <c r="Z1" s="1"/>
    </row>
    <row r="2">
      <c r="A2" s="3" t="s">
        <v>2</v>
      </c>
      <c r="B2" s="4" t="s">
        <v>3</v>
      </c>
      <c r="C2" s="5" t="s">
        <v>4</v>
      </c>
      <c r="D2" s="1"/>
      <c r="E2" s="1"/>
      <c r="F2" s="1"/>
      <c r="G2" s="1"/>
      <c r="H2" s="1"/>
      <c r="I2" s="1"/>
      <c r="J2" s="1"/>
      <c r="K2" s="1"/>
      <c r="L2" s="1"/>
      <c r="M2" s="1"/>
      <c r="N2" s="1"/>
      <c r="O2" s="1"/>
      <c r="P2" s="1"/>
      <c r="Q2" s="1"/>
      <c r="R2" s="1"/>
      <c r="S2" s="1"/>
      <c r="T2" s="1"/>
      <c r="U2" s="1"/>
      <c r="V2" s="1"/>
      <c r="W2" s="1"/>
      <c r="X2" s="1"/>
      <c r="Y2" s="1"/>
      <c r="Z2" s="1"/>
    </row>
    <row r="3">
      <c r="B3" s="4" t="s">
        <v>5</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6" t="s">
        <v>6</v>
      </c>
      <c r="B8" s="4" t="s">
        <v>7</v>
      </c>
      <c r="C8" s="1"/>
      <c r="D8" s="1"/>
      <c r="E8" s="1"/>
      <c r="F8" s="1"/>
      <c r="G8" s="1"/>
      <c r="H8" s="1"/>
      <c r="I8" s="1"/>
      <c r="J8" s="1"/>
      <c r="K8" s="1"/>
      <c r="L8" s="1"/>
      <c r="M8" s="1"/>
      <c r="N8" s="1"/>
      <c r="O8" s="1"/>
      <c r="P8" s="1"/>
      <c r="Q8" s="1"/>
      <c r="R8" s="1"/>
      <c r="S8" s="1"/>
      <c r="T8" s="1"/>
      <c r="U8" s="1"/>
      <c r="V8" s="1"/>
      <c r="W8" s="1"/>
      <c r="X8" s="1"/>
      <c r="Y8" s="1"/>
      <c r="Z8" s="1"/>
    </row>
    <row r="9">
      <c r="B9" s="7" t="s">
        <v>8</v>
      </c>
      <c r="C9" s="1"/>
      <c r="D9" s="1"/>
      <c r="E9" s="1"/>
      <c r="F9" s="1"/>
      <c r="G9" s="1"/>
      <c r="H9" s="1"/>
      <c r="I9" s="1"/>
      <c r="J9" s="1"/>
      <c r="K9" s="1"/>
      <c r="L9" s="1"/>
      <c r="M9" s="1"/>
      <c r="N9" s="1"/>
      <c r="O9" s="1"/>
      <c r="P9" s="1"/>
      <c r="Q9" s="1"/>
      <c r="R9" s="1"/>
      <c r="S9" s="1"/>
      <c r="T9" s="1"/>
      <c r="U9" s="1"/>
      <c r="V9" s="1"/>
      <c r="W9" s="1"/>
      <c r="X9" s="1"/>
      <c r="Y9" s="1"/>
      <c r="Z9" s="1"/>
    </row>
    <row r="10">
      <c r="B10" s="7" t="s">
        <v>9</v>
      </c>
      <c r="C10" s="1"/>
      <c r="D10" s="1"/>
      <c r="E10" s="1"/>
      <c r="F10" s="1"/>
      <c r="G10" s="1"/>
      <c r="H10" s="1"/>
      <c r="I10" s="1"/>
      <c r="J10" s="1"/>
      <c r="K10" s="1"/>
      <c r="L10" s="1"/>
      <c r="M10" s="1"/>
      <c r="N10" s="1"/>
      <c r="O10" s="1"/>
      <c r="P10" s="1"/>
      <c r="Q10" s="1"/>
      <c r="R10" s="1"/>
      <c r="S10" s="1"/>
      <c r="T10" s="1"/>
      <c r="U10" s="1"/>
      <c r="V10" s="1"/>
      <c r="W10" s="1"/>
      <c r="X10" s="1"/>
      <c r="Y10" s="1"/>
      <c r="Z10" s="1"/>
    </row>
    <row r="11">
      <c r="B11" s="7" t="s">
        <v>10</v>
      </c>
      <c r="C11" s="1"/>
      <c r="D11" s="1"/>
      <c r="E11" s="1"/>
      <c r="F11" s="1"/>
      <c r="G11" s="1"/>
      <c r="H11" s="1"/>
      <c r="I11" s="1"/>
      <c r="J11" s="1"/>
      <c r="K11" s="1"/>
      <c r="L11" s="1"/>
      <c r="M11" s="1"/>
      <c r="N11" s="1"/>
      <c r="O11" s="1"/>
      <c r="P11" s="1"/>
      <c r="Q11" s="1"/>
      <c r="R11" s="1"/>
      <c r="S11" s="1"/>
      <c r="T11" s="1"/>
      <c r="U11" s="1"/>
      <c r="V11" s="1"/>
      <c r="W11" s="1"/>
      <c r="X11" s="1"/>
      <c r="Y11" s="1"/>
      <c r="Z11" s="1"/>
    </row>
    <row r="12">
      <c r="B12" s="7" t="s">
        <v>11</v>
      </c>
      <c r="C12" s="1"/>
      <c r="D12" s="1"/>
      <c r="E12" s="1"/>
      <c r="F12" s="1"/>
      <c r="G12" s="1"/>
      <c r="H12" s="1"/>
      <c r="I12" s="1"/>
      <c r="J12" s="1"/>
      <c r="K12" s="1"/>
      <c r="L12" s="1"/>
      <c r="M12" s="1"/>
      <c r="N12" s="1"/>
      <c r="O12" s="1"/>
      <c r="P12" s="1"/>
      <c r="Q12" s="1"/>
      <c r="R12" s="1"/>
      <c r="S12" s="1"/>
      <c r="T12" s="1"/>
      <c r="U12" s="1"/>
      <c r="V12" s="1"/>
      <c r="W12" s="1"/>
      <c r="X12" s="1"/>
      <c r="Y12" s="1"/>
      <c r="Z12" s="1"/>
    </row>
    <row r="13">
      <c r="B13" s="7" t="s">
        <v>12</v>
      </c>
      <c r="C13" s="1"/>
      <c r="D13" s="1"/>
      <c r="E13" s="1"/>
      <c r="F13" s="1"/>
      <c r="G13" s="1"/>
      <c r="H13" s="1"/>
      <c r="I13" s="1"/>
      <c r="J13" s="1"/>
      <c r="K13" s="1"/>
      <c r="L13" s="1"/>
      <c r="M13" s="1"/>
      <c r="N13" s="1"/>
      <c r="O13" s="1"/>
      <c r="P13" s="1"/>
      <c r="Q13" s="1"/>
      <c r="R13" s="1"/>
      <c r="S13" s="1"/>
      <c r="T13" s="1"/>
      <c r="U13" s="1"/>
      <c r="V13" s="1"/>
      <c r="W13" s="1"/>
      <c r="X13" s="1"/>
      <c r="Y13" s="1"/>
      <c r="Z13" s="1"/>
    </row>
    <row r="14">
      <c r="B14" s="7" t="s">
        <v>13</v>
      </c>
      <c r="C14" s="1"/>
      <c r="D14" s="1"/>
      <c r="E14" s="1"/>
      <c r="F14" s="1"/>
      <c r="G14" s="1"/>
      <c r="H14" s="1"/>
      <c r="I14" s="1"/>
      <c r="J14" s="1"/>
      <c r="K14" s="1"/>
      <c r="L14" s="1"/>
      <c r="M14" s="1"/>
      <c r="N14" s="1"/>
      <c r="O14" s="1"/>
      <c r="P14" s="1"/>
      <c r="Q14" s="1"/>
      <c r="R14" s="1"/>
      <c r="S14" s="1"/>
      <c r="T14" s="1"/>
      <c r="U14" s="1"/>
      <c r="V14" s="1"/>
      <c r="W14" s="1"/>
      <c r="X14" s="1"/>
      <c r="Y14" s="1"/>
      <c r="Z14" s="1"/>
    </row>
    <row r="15">
      <c r="B15" s="7" t="s">
        <v>14</v>
      </c>
      <c r="C15" s="1"/>
      <c r="D15" s="1"/>
      <c r="E15" s="1"/>
      <c r="F15" s="1"/>
      <c r="G15" s="1"/>
      <c r="H15" s="1"/>
      <c r="I15" s="1"/>
      <c r="J15" s="1"/>
      <c r="K15" s="1"/>
      <c r="L15" s="1"/>
      <c r="M15" s="1"/>
      <c r="N15" s="1"/>
      <c r="O15" s="1"/>
      <c r="P15" s="1"/>
      <c r="Q15" s="1"/>
      <c r="R15" s="1"/>
      <c r="S15" s="1"/>
      <c r="T15" s="1"/>
      <c r="U15" s="1"/>
      <c r="V15" s="1"/>
      <c r="W15" s="1"/>
      <c r="X15" s="1"/>
      <c r="Y15" s="1"/>
      <c r="Z15" s="1"/>
    </row>
    <row r="16">
      <c r="B16" s="4"/>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8" t="s">
        <v>15</v>
      </c>
      <c r="B18" s="9" t="s">
        <v>16</v>
      </c>
      <c r="C18" s="1"/>
      <c r="D18" s="1"/>
      <c r="E18" s="1"/>
      <c r="F18" s="1"/>
      <c r="G18" s="1"/>
      <c r="H18" s="1"/>
      <c r="I18" s="1"/>
      <c r="J18" s="1"/>
      <c r="K18" s="1"/>
      <c r="L18" s="1"/>
      <c r="M18" s="1"/>
      <c r="N18" s="1"/>
      <c r="O18" s="1"/>
      <c r="P18" s="1"/>
      <c r="Q18" s="1"/>
      <c r="R18" s="1"/>
      <c r="S18" s="1"/>
      <c r="T18" s="1"/>
      <c r="U18" s="1"/>
      <c r="V18" s="1"/>
      <c r="W18" s="1"/>
      <c r="X18" s="1"/>
      <c r="Y18" s="1"/>
      <c r="Z18" s="1"/>
    </row>
    <row r="19">
      <c r="B19" s="9" t="s">
        <v>17</v>
      </c>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0" t="s">
        <v>18</v>
      </c>
      <c r="B21" s="11" t="s">
        <v>19</v>
      </c>
      <c r="C21" s="12" t="s">
        <v>20</v>
      </c>
      <c r="D21" s="1"/>
      <c r="E21" s="1"/>
      <c r="F21" s="1"/>
      <c r="G21" s="1"/>
      <c r="H21" s="1"/>
      <c r="I21" s="1"/>
      <c r="J21" s="1"/>
      <c r="K21" s="1"/>
      <c r="L21" s="1"/>
      <c r="M21" s="1"/>
      <c r="N21" s="1"/>
      <c r="O21" s="1"/>
      <c r="P21" s="1"/>
      <c r="Q21" s="1"/>
      <c r="R21" s="1"/>
      <c r="S21" s="1"/>
      <c r="T21" s="1"/>
      <c r="U21" s="1"/>
      <c r="V21" s="1"/>
      <c r="W21" s="1"/>
      <c r="X21" s="1"/>
      <c r="Y21" s="1"/>
      <c r="Z21" s="1"/>
    </row>
    <row r="22">
      <c r="B22" s="13" t="s">
        <v>21</v>
      </c>
      <c r="C22" s="14" t="s">
        <v>22</v>
      </c>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4">
    <mergeCell ref="A2:A3"/>
    <mergeCell ref="A8:A16"/>
    <mergeCell ref="A18:A19"/>
    <mergeCell ref="A21:A22"/>
  </mergeCells>
  <hyperlinks>
    <hyperlink r:id="rId1" ref="C2"/>
    <hyperlink r:id="rId2" ref="C21"/>
    <hyperlink r:id="rId3" location="gid=405816964" ref="C2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s>
  <sheetData>
    <row r="1">
      <c r="A1" s="15"/>
      <c r="B1" s="16" t="s">
        <v>23</v>
      </c>
      <c r="C1" s="16" t="s">
        <v>24</v>
      </c>
      <c r="D1" s="16" t="s">
        <v>25</v>
      </c>
      <c r="E1" s="16" t="s">
        <v>26</v>
      </c>
      <c r="F1" s="16" t="s">
        <v>27</v>
      </c>
      <c r="G1" s="16" t="s">
        <v>28</v>
      </c>
    </row>
    <row r="2">
      <c r="A2" s="17" t="s">
        <v>29</v>
      </c>
      <c r="B2" s="16" t="b">
        <v>1</v>
      </c>
      <c r="C2" s="16" t="b">
        <v>1</v>
      </c>
      <c r="D2" s="16" t="b">
        <v>1</v>
      </c>
      <c r="E2" s="16" t="b">
        <v>1</v>
      </c>
      <c r="F2" s="18" t="b">
        <v>1</v>
      </c>
      <c r="G2" s="18" t="b">
        <v>1</v>
      </c>
      <c r="H2" s="16" t="str">
        <f t="array" ref="H2">if(SUM(if(B2:G2=TRUE(),1,0))=6,"DONE", if(SUM(if(B2:G2=TRUE(),1,0))&gt;0,"In Progress","Not Started"))</f>
        <v>DONE</v>
      </c>
      <c r="I2" s="19">
        <f t="array" ref="I2">SUM(if(B2:G2=TRUE(),1,0))/6</f>
        <v>1</v>
      </c>
      <c r="J2" s="19"/>
      <c r="K2" s="19"/>
      <c r="L2" s="19"/>
    </row>
    <row r="3">
      <c r="A3" s="20" t="s">
        <v>30</v>
      </c>
      <c r="B3" s="16" t="b">
        <v>1</v>
      </c>
      <c r="C3" s="16" t="b">
        <v>1</v>
      </c>
      <c r="D3" s="16" t="b">
        <v>1</v>
      </c>
      <c r="E3" s="16" t="b">
        <v>1</v>
      </c>
      <c r="F3" s="18" t="b">
        <v>1</v>
      </c>
      <c r="G3" s="18" t="b">
        <v>1</v>
      </c>
      <c r="H3" s="16" t="str">
        <f t="array" ref="H3">if(SUM(if(B3:G3=TRUE(),1,0))=6,"DONE", if(SUM(if(B3:G3=TRUE(),1,0))&gt;0,"In Progress","Not Started"))</f>
        <v>DONE</v>
      </c>
      <c r="I3" s="19">
        <f t="array" ref="I3">SUM(if(B3:G3=TRUE(),1,0))/6</f>
        <v>1</v>
      </c>
      <c r="J3" s="19"/>
      <c r="K3" s="19"/>
      <c r="L3" s="19"/>
    </row>
    <row r="4">
      <c r="A4" s="20" t="s">
        <v>31</v>
      </c>
      <c r="B4" s="16" t="b">
        <v>1</v>
      </c>
      <c r="C4" s="16" t="b">
        <v>1</v>
      </c>
      <c r="D4" s="16" t="b">
        <v>1</v>
      </c>
      <c r="E4" s="16" t="b">
        <v>1</v>
      </c>
      <c r="F4" s="18" t="b">
        <v>1</v>
      </c>
      <c r="G4" s="18" t="b">
        <v>1</v>
      </c>
      <c r="H4" s="16" t="str">
        <f t="array" ref="H4">if(SUM(if(B4:G4=TRUE(),1,0))=6,"DONE", if(SUM(if(B4:G4=TRUE(),1,0))&gt;0,"In Progress","Not Started"))</f>
        <v>DONE</v>
      </c>
      <c r="I4" s="19">
        <f t="array" ref="I4">SUM(if(B4:G4=TRUE(),1,0))/6</f>
        <v>1</v>
      </c>
      <c r="J4" s="19"/>
      <c r="K4" s="19"/>
      <c r="L4" s="19"/>
    </row>
    <row r="5">
      <c r="A5" s="20" t="s">
        <v>32</v>
      </c>
      <c r="B5" s="16" t="b">
        <v>1</v>
      </c>
      <c r="C5" s="16" t="b">
        <v>1</v>
      </c>
      <c r="D5" s="16" t="b">
        <v>1</v>
      </c>
      <c r="E5" s="16" t="b">
        <v>1</v>
      </c>
      <c r="F5" s="18" t="b">
        <v>1</v>
      </c>
      <c r="G5" s="18" t="b">
        <v>1</v>
      </c>
      <c r="H5" s="16" t="str">
        <f t="array" ref="H5">if(SUM(if(B5:G5=TRUE(),1,0))=6,"DONE", if(SUM(if(B5:G5=TRUE(),1,0))&gt;0,"In Progress","Not Started"))</f>
        <v>DONE</v>
      </c>
      <c r="I5" s="19">
        <f t="array" ref="I5">SUM(if(B5:G5=TRUE(),1,0))/6</f>
        <v>1</v>
      </c>
      <c r="J5" s="19"/>
      <c r="K5" s="19"/>
      <c r="L5" s="19"/>
    </row>
    <row r="6">
      <c r="A6" s="20" t="s">
        <v>33</v>
      </c>
      <c r="B6" s="16" t="b">
        <v>1</v>
      </c>
      <c r="C6" s="16" t="b">
        <v>1</v>
      </c>
      <c r="D6" s="16" t="b">
        <v>1</v>
      </c>
      <c r="E6" s="16" t="b">
        <v>1</v>
      </c>
      <c r="F6" s="18" t="b">
        <v>1</v>
      </c>
      <c r="G6" s="18" t="b">
        <v>1</v>
      </c>
      <c r="H6" s="16" t="str">
        <f t="array" ref="H6">if(SUM(if(B6:G6=TRUE(),1,0))=6,"DONE", if(SUM(if(B6:G6=TRUE(),1,0))&gt;0,"In Progress","Not Started"))</f>
        <v>DONE</v>
      </c>
      <c r="I6" s="19">
        <f t="array" ref="I6">SUM(if(B6:G6=TRUE(),1,0))/6</f>
        <v>1</v>
      </c>
      <c r="J6" s="19"/>
      <c r="K6" s="19"/>
    </row>
    <row r="7">
      <c r="A7" s="20" t="s">
        <v>34</v>
      </c>
      <c r="B7" s="16" t="b">
        <v>1</v>
      </c>
      <c r="C7" s="16" t="b">
        <v>1</v>
      </c>
      <c r="D7" s="16" t="b">
        <v>1</v>
      </c>
      <c r="E7" s="16" t="b">
        <v>1</v>
      </c>
      <c r="F7" s="18" t="b">
        <v>1</v>
      </c>
      <c r="G7" s="18" t="b">
        <v>1</v>
      </c>
      <c r="H7" s="16" t="str">
        <f t="array" ref="H7">if(SUM(if(B7:G7=TRUE(),1,0))=6,"DONE", if(SUM(if(B7:G7=TRUE(),1,0))&gt;0,"In Progress","Not Started"))</f>
        <v>DONE</v>
      </c>
      <c r="I7" s="19">
        <f t="array" ref="I7">SUM(if(B7:G7=TRUE(),1,0))/6</f>
        <v>1</v>
      </c>
      <c r="J7" s="19"/>
      <c r="K7" s="19"/>
    </row>
    <row r="8">
      <c r="A8" s="20" t="s">
        <v>35</v>
      </c>
      <c r="B8" s="16" t="b">
        <v>1</v>
      </c>
      <c r="C8" s="16" t="b">
        <v>1</v>
      </c>
      <c r="D8" s="16" t="b">
        <v>1</v>
      </c>
      <c r="E8" s="16" t="b">
        <v>1</v>
      </c>
      <c r="F8" s="18" t="b">
        <v>1</v>
      </c>
      <c r="G8" s="18" t="b">
        <v>1</v>
      </c>
      <c r="H8" s="16" t="str">
        <f t="array" ref="H8">if(SUM(if(B8:G8=TRUE(),1,0))=6,"DONE", if(SUM(if(B8:G8=TRUE(),1,0))&gt;0,"In Progress","Not Started"))</f>
        <v>DONE</v>
      </c>
      <c r="I8" s="19">
        <f t="array" ref="I8">SUM(if(B8:G8=TRUE(),1,0))/6</f>
        <v>1</v>
      </c>
      <c r="J8" s="19"/>
      <c r="K8" s="19"/>
    </row>
    <row r="9">
      <c r="A9" s="20" t="s">
        <v>36</v>
      </c>
      <c r="B9" s="16" t="b">
        <v>1</v>
      </c>
      <c r="C9" s="16" t="b">
        <v>1</v>
      </c>
      <c r="D9" s="16" t="b">
        <v>1</v>
      </c>
      <c r="E9" s="16" t="b">
        <v>1</v>
      </c>
      <c r="F9" s="18" t="b">
        <v>1</v>
      </c>
      <c r="G9" s="18" t="b">
        <v>1</v>
      </c>
      <c r="H9" s="16" t="str">
        <f t="array" ref="H9">if(SUM(if(B9:G9=TRUE(),1,0))=6,"DONE", if(SUM(if(B9:G9=TRUE(),1,0))&gt;0,"In Progress","Not Started"))</f>
        <v>DONE</v>
      </c>
      <c r="I9" s="19">
        <f t="array" ref="I9">SUM(if(B9:G9=TRUE(),1,0))/6</f>
        <v>1</v>
      </c>
      <c r="J9" s="19"/>
      <c r="K9" s="19"/>
    </row>
    <row r="10">
      <c r="A10" s="20" t="s">
        <v>37</v>
      </c>
      <c r="B10" s="16" t="b">
        <v>1</v>
      </c>
      <c r="C10" s="16" t="b">
        <v>1</v>
      </c>
      <c r="D10" s="16" t="b">
        <v>1</v>
      </c>
      <c r="E10" s="16" t="b">
        <v>1</v>
      </c>
      <c r="F10" s="18" t="b">
        <v>1</v>
      </c>
      <c r="G10" s="18" t="b">
        <v>1</v>
      </c>
      <c r="H10" s="16" t="str">
        <f t="array" ref="H10">if(SUM(if(B10:G10=TRUE(),1,0))=6,"DONE", if(SUM(if(B10:G10=TRUE(),1,0))&gt;0,"In Progress","Not Started"))</f>
        <v>DONE</v>
      </c>
      <c r="I10" s="19">
        <f t="array" ref="I10">SUM(if(B10:G10=TRUE(),1,0))/6</f>
        <v>1</v>
      </c>
      <c r="J10" s="19"/>
      <c r="K10" s="19"/>
    </row>
    <row r="11">
      <c r="A11" s="20" t="s">
        <v>38</v>
      </c>
      <c r="B11" s="16" t="b">
        <v>1</v>
      </c>
      <c r="C11" s="16" t="b">
        <v>1</v>
      </c>
      <c r="D11" s="16" t="b">
        <v>1</v>
      </c>
      <c r="E11" s="16" t="b">
        <v>1</v>
      </c>
      <c r="F11" s="18" t="b">
        <v>1</v>
      </c>
      <c r="G11" s="18" t="b">
        <v>1</v>
      </c>
      <c r="H11" s="16" t="str">
        <f t="array" ref="H11">if(SUM(if(B11:G11=TRUE(),1,0))=6,"DONE", if(SUM(if(B11:G11=TRUE(),1,0))&gt;0,"In Progress","Not Started"))</f>
        <v>DONE</v>
      </c>
      <c r="I11" s="19">
        <f t="array" ref="I11">SUM(if(B11:G11=TRUE(),1,0))/6</f>
        <v>1</v>
      </c>
      <c r="J11" s="19"/>
      <c r="K11" s="19"/>
    </row>
    <row r="12">
      <c r="A12" s="20" t="s">
        <v>39</v>
      </c>
      <c r="B12" s="16" t="b">
        <v>1</v>
      </c>
      <c r="C12" s="16" t="b">
        <v>1</v>
      </c>
      <c r="D12" s="16" t="b">
        <v>1</v>
      </c>
      <c r="E12" s="16" t="b">
        <v>1</v>
      </c>
      <c r="F12" s="18" t="b">
        <v>1</v>
      </c>
      <c r="G12" s="18" t="b">
        <v>1</v>
      </c>
      <c r="H12" s="16" t="str">
        <f t="array" ref="H12">if(SUM(if(B12:G12=TRUE(),1,0))=6,"DONE", if(SUM(if(B12:G12=TRUE(),1,0))&gt;0,"In Progress","Not Started"))</f>
        <v>DONE</v>
      </c>
      <c r="I12" s="19">
        <f t="array" ref="I12">SUM(if(B12:G12=TRUE(),1,0))/6</f>
        <v>1</v>
      </c>
    </row>
    <row r="13">
      <c r="A13" s="20" t="s">
        <v>40</v>
      </c>
      <c r="B13" s="16" t="b">
        <v>1</v>
      </c>
      <c r="C13" s="16" t="b">
        <v>1</v>
      </c>
      <c r="D13" s="16" t="b">
        <v>1</v>
      </c>
      <c r="E13" s="16" t="b">
        <v>1</v>
      </c>
      <c r="F13" s="18" t="b">
        <v>1</v>
      </c>
      <c r="G13" s="18" t="b">
        <v>1</v>
      </c>
      <c r="H13" s="16" t="str">
        <f t="array" ref="H13">if(SUM(if(B13:G13=TRUE(),1,0))=6,"DONE", if(SUM(if(B13:G13=TRUE(),1,0))&gt;0,"In Progress","Not Started"))</f>
        <v>DONE</v>
      </c>
      <c r="I13" s="19">
        <f t="array" ref="I13">SUM(if(B13:G13=TRUE(),1,0))/6</f>
        <v>1</v>
      </c>
    </row>
    <row r="14">
      <c r="A14" s="20" t="s">
        <v>41</v>
      </c>
      <c r="B14" s="16" t="b">
        <v>1</v>
      </c>
      <c r="C14" s="16" t="b">
        <v>1</v>
      </c>
      <c r="D14" s="16" t="b">
        <v>1</v>
      </c>
      <c r="E14" s="16" t="b">
        <v>1</v>
      </c>
      <c r="F14" s="18" t="b">
        <v>1</v>
      </c>
      <c r="G14" s="18" t="b">
        <v>1</v>
      </c>
      <c r="H14" s="16" t="str">
        <f t="array" ref="H14">if(SUM(if(B14:G14=TRUE(),1,0))=6,"DONE", if(SUM(if(B14:G14=TRUE(),1,0))&gt;0,"In Progress","Not Started"))</f>
        <v>DONE</v>
      </c>
      <c r="I14" s="19">
        <f t="array" ref="I14">SUM(if(B14:G14=TRUE(),1,0))/6</f>
        <v>1</v>
      </c>
    </row>
    <row r="15">
      <c r="A15" s="20" t="s">
        <v>42</v>
      </c>
      <c r="B15" s="16" t="b">
        <v>1</v>
      </c>
      <c r="C15" s="16" t="b">
        <v>1</v>
      </c>
      <c r="D15" s="16" t="b">
        <v>1</v>
      </c>
      <c r="E15" s="16" t="b">
        <v>1</v>
      </c>
      <c r="F15" s="18" t="b">
        <v>1</v>
      </c>
      <c r="G15" s="18" t="b">
        <v>1</v>
      </c>
      <c r="H15" s="16" t="str">
        <f t="array" ref="H15">if(SUM(if(B15:G15=TRUE(),1,0))=6,"DONE", if(SUM(if(B15:G15=TRUE(),1,0))&gt;0,"In Progress","Not Started"))</f>
        <v>DONE</v>
      </c>
      <c r="I15" s="19">
        <f t="array" ref="I15">SUM(if(B15:G15=TRUE(),1,0))/6</f>
        <v>1</v>
      </c>
    </row>
    <row r="16">
      <c r="A16" s="20" t="s">
        <v>43</v>
      </c>
      <c r="B16" s="16" t="b">
        <v>1</v>
      </c>
      <c r="C16" s="16" t="b">
        <v>1</v>
      </c>
      <c r="D16" s="16" t="b">
        <v>1</v>
      </c>
      <c r="E16" s="16" t="b">
        <v>1</v>
      </c>
      <c r="F16" s="18" t="b">
        <v>1</v>
      </c>
      <c r="G16" s="18" t="b">
        <v>1</v>
      </c>
      <c r="H16" s="16" t="str">
        <f t="array" ref="H16">if(SUM(if(B16:G16=TRUE(),1,0))=6,"DONE", if(SUM(if(B16:G16=TRUE(),1,0))&gt;0,"In Progress","Not Started"))</f>
        <v>DONE</v>
      </c>
      <c r="I16" s="19">
        <f t="array" ref="I16">SUM(if(B16:G16=TRUE(),1,0))/6</f>
        <v>1</v>
      </c>
    </row>
    <row r="17">
      <c r="A17" s="20" t="s">
        <v>44</v>
      </c>
      <c r="B17" s="16" t="b">
        <v>1</v>
      </c>
      <c r="C17" s="16" t="b">
        <v>1</v>
      </c>
      <c r="D17" s="16" t="b">
        <v>1</v>
      </c>
      <c r="E17" s="16" t="b">
        <v>1</v>
      </c>
      <c r="F17" s="18" t="b">
        <v>1</v>
      </c>
      <c r="G17" s="18" t="b">
        <v>1</v>
      </c>
      <c r="H17" s="16" t="str">
        <f t="array" ref="H17">if(SUM(if(B17:G17=TRUE(),1,0))=6,"DONE", if(SUM(if(B17:G17=TRUE(),1,0))&gt;0,"In Progress","Not Started"))</f>
        <v>DONE</v>
      </c>
      <c r="I17" s="19">
        <f t="array" ref="I17">SUM(if(B17:G17=TRUE(),1,0))/6</f>
        <v>1</v>
      </c>
    </row>
    <row r="18">
      <c r="A18" s="20" t="s">
        <v>45</v>
      </c>
      <c r="B18" s="16" t="b">
        <v>1</v>
      </c>
      <c r="C18" s="16" t="b">
        <v>1</v>
      </c>
      <c r="D18" s="16" t="b">
        <v>1</v>
      </c>
      <c r="E18" s="16" t="b">
        <v>1</v>
      </c>
      <c r="F18" s="18" t="b">
        <v>1</v>
      </c>
      <c r="G18" s="18" t="b">
        <v>1</v>
      </c>
      <c r="H18" s="16" t="str">
        <f t="array" ref="H18">if(SUM(if(B18:G18=TRUE(),1,0))=6,"DONE", if(SUM(if(B18:G18=TRUE(),1,0))&gt;0,"In Progress","Not Started"))</f>
        <v>DONE</v>
      </c>
      <c r="I18" s="19">
        <f t="array" ref="I18">SUM(if(B18:G18=TRUE(),1,0))/6</f>
        <v>1</v>
      </c>
    </row>
    <row r="19">
      <c r="A19" s="20" t="s">
        <v>46</v>
      </c>
      <c r="B19" s="16" t="b">
        <v>1</v>
      </c>
      <c r="C19" s="16" t="b">
        <v>1</v>
      </c>
      <c r="D19" s="16" t="b">
        <v>1</v>
      </c>
      <c r="E19" s="16" t="b">
        <v>1</v>
      </c>
      <c r="F19" s="18" t="b">
        <v>1</v>
      </c>
      <c r="G19" s="18" t="b">
        <v>1</v>
      </c>
      <c r="H19" s="16" t="str">
        <f t="array" ref="H19">if(SUM(if(B19:G19=TRUE(),1,0))=6,"DONE", if(SUM(if(B19:G19=TRUE(),1,0))&gt;0,"In Progress","Not Started"))</f>
        <v>DONE</v>
      </c>
      <c r="I19" s="19">
        <f t="array" ref="I19">SUM(if(B19:G19=TRUE(),1,0))/6</f>
        <v>1</v>
      </c>
    </row>
    <row r="20">
      <c r="A20" s="20" t="s">
        <v>47</v>
      </c>
      <c r="B20" s="16" t="b">
        <v>1</v>
      </c>
      <c r="C20" s="16" t="b">
        <v>1</v>
      </c>
      <c r="D20" s="16" t="b">
        <v>1</v>
      </c>
      <c r="E20" s="16" t="b">
        <v>1</v>
      </c>
      <c r="F20" s="18" t="b">
        <v>1</v>
      </c>
      <c r="G20" s="18" t="b">
        <v>1</v>
      </c>
      <c r="H20" s="16" t="str">
        <f t="array" ref="H20">if(SUM(if(B20:G20=TRUE(),1,0))=6,"DONE", if(SUM(if(B20:G20=TRUE(),1,0))&gt;0,"In Progress","Not Started"))</f>
        <v>DONE</v>
      </c>
      <c r="I20" s="19">
        <f t="array" ref="I20">SUM(if(B20:G20=TRUE(),1,0))/6</f>
        <v>1</v>
      </c>
    </row>
    <row r="21">
      <c r="A21" s="20" t="s">
        <v>48</v>
      </c>
      <c r="B21" s="16" t="b">
        <v>1</v>
      </c>
      <c r="C21" s="16" t="b">
        <v>1</v>
      </c>
      <c r="D21" s="16" t="b">
        <v>1</v>
      </c>
      <c r="E21" s="16" t="b">
        <v>1</v>
      </c>
      <c r="F21" s="18" t="b">
        <v>1</v>
      </c>
      <c r="G21" s="18" t="b">
        <v>1</v>
      </c>
      <c r="H21" s="16" t="str">
        <f t="array" ref="H21">if(SUM(if(B21:G21=TRUE(),1,0))=6,"DONE", if(SUM(if(B21:G21=TRUE(),1,0))&gt;0,"In Progress","Not Started"))</f>
        <v>DONE</v>
      </c>
      <c r="I21" s="19">
        <f t="array" ref="I21">SUM(if(B21:G21=TRUE(),1,0))/6</f>
        <v>1</v>
      </c>
    </row>
    <row r="22">
      <c r="A22" s="20" t="s">
        <v>49</v>
      </c>
      <c r="B22" s="16" t="b">
        <v>1</v>
      </c>
      <c r="C22" s="16" t="b">
        <v>1</v>
      </c>
      <c r="D22" s="16" t="b">
        <v>1</v>
      </c>
      <c r="E22" s="16" t="b">
        <v>1</v>
      </c>
      <c r="F22" s="18" t="b">
        <v>1</v>
      </c>
      <c r="G22" s="18" t="b">
        <v>1</v>
      </c>
      <c r="H22" s="16" t="str">
        <f t="array" ref="H22">if(SUM(if(B22:G22=TRUE(),1,0))=6,"DONE", if(SUM(if(B22:G22=TRUE(),1,0))&gt;0,"In Progress","Not Started"))</f>
        <v>DONE</v>
      </c>
      <c r="I22" s="19">
        <f t="array" ref="I22">SUM(if(B22:G22=TRUE(),1,0))/6</f>
        <v>1</v>
      </c>
    </row>
    <row r="23">
      <c r="A23" s="20" t="s">
        <v>50</v>
      </c>
      <c r="B23" s="16" t="b">
        <v>1</v>
      </c>
      <c r="C23" s="16" t="b">
        <v>1</v>
      </c>
      <c r="D23" s="16" t="b">
        <v>1</v>
      </c>
      <c r="E23" s="16" t="b">
        <v>1</v>
      </c>
      <c r="F23" s="18" t="b">
        <v>1</v>
      </c>
      <c r="G23" s="18" t="b">
        <v>1</v>
      </c>
      <c r="H23" s="16" t="str">
        <f t="array" ref="H23">if(SUM(if(B23:G23=TRUE(),1,0))=6,"DONE", if(SUM(if(B23:G23=TRUE(),1,0))&gt;0,"In Progress","Not Started"))</f>
        <v>DONE</v>
      </c>
      <c r="I23" s="19">
        <f t="array" ref="I23">SUM(if(B23:G23=TRUE(),1,0))/6</f>
        <v>1</v>
      </c>
    </row>
    <row r="24">
      <c r="A24" s="20" t="s">
        <v>51</v>
      </c>
      <c r="B24" s="16" t="b">
        <v>1</v>
      </c>
      <c r="C24" s="16" t="b">
        <v>1</v>
      </c>
      <c r="D24" s="16" t="b">
        <v>1</v>
      </c>
      <c r="E24" s="16" t="b">
        <v>1</v>
      </c>
      <c r="F24" s="18" t="b">
        <v>1</v>
      </c>
      <c r="G24" s="18" t="b">
        <v>1</v>
      </c>
      <c r="H24" s="16" t="str">
        <f t="array" ref="H24">if(SUM(if(B24:G24=TRUE(),1,0))=6,"DONE", if(SUM(if(B24:G24=TRUE(),1,0))&gt;0,"In Progress","Not Started"))</f>
        <v>DONE</v>
      </c>
      <c r="I24" s="19">
        <f t="array" ref="I24">SUM(if(B24:G24=TRUE(),1,0))/6</f>
        <v>1</v>
      </c>
    </row>
    <row r="25">
      <c r="A25" s="20" t="s">
        <v>52</v>
      </c>
      <c r="B25" s="16" t="b">
        <v>1</v>
      </c>
      <c r="C25" s="16" t="b">
        <v>1</v>
      </c>
      <c r="D25" s="16" t="b">
        <v>1</v>
      </c>
      <c r="E25" s="16" t="b">
        <v>1</v>
      </c>
      <c r="F25" s="18" t="b">
        <v>1</v>
      </c>
      <c r="G25" s="18" t="b">
        <v>1</v>
      </c>
      <c r="H25" s="16" t="str">
        <f t="array" ref="H25">if(SUM(if(B25:G25=TRUE(),1,0))=6,"DONE", if(SUM(if(B25:G25=TRUE(),1,0))&gt;0,"In Progress","Not Started"))</f>
        <v>DONE</v>
      </c>
      <c r="I25" s="19">
        <f t="array" ref="I25">SUM(if(B25:G25=TRUE(),1,0))/6</f>
        <v>1</v>
      </c>
    </row>
    <row r="26">
      <c r="A26" s="20" t="s">
        <v>53</v>
      </c>
      <c r="B26" s="16" t="b">
        <v>1</v>
      </c>
      <c r="C26" s="16" t="b">
        <v>1</v>
      </c>
      <c r="D26" s="16" t="b">
        <v>1</v>
      </c>
      <c r="E26" s="16" t="b">
        <v>1</v>
      </c>
      <c r="F26" s="18" t="b">
        <v>1</v>
      </c>
      <c r="G26" s="18" t="b">
        <v>1</v>
      </c>
      <c r="H26" s="16" t="str">
        <f t="array" ref="H26">if(SUM(if(B26:G26=TRUE(),1,0))=6,"DONE", if(SUM(if(B26:G26=TRUE(),1,0))&gt;0,"In Progress","Not Started"))</f>
        <v>DONE</v>
      </c>
      <c r="I26" s="19">
        <f t="array" ref="I26">SUM(if(B26:G26=TRUE(),1,0))/6</f>
        <v>1</v>
      </c>
    </row>
    <row r="27">
      <c r="A27" s="20" t="s">
        <v>54</v>
      </c>
      <c r="B27" s="16" t="b">
        <v>1</v>
      </c>
      <c r="C27" s="16" t="b">
        <v>1</v>
      </c>
      <c r="D27" s="16" t="b">
        <v>1</v>
      </c>
      <c r="E27" s="16" t="b">
        <v>1</v>
      </c>
      <c r="F27" s="18" t="b">
        <v>1</v>
      </c>
      <c r="G27" s="18" t="b">
        <v>1</v>
      </c>
      <c r="H27" s="16" t="str">
        <f t="array" ref="H27">if(SUM(if(B27:G27=TRUE(),1,0))=6,"DONE", if(SUM(if(B27:G27=TRUE(),1,0))&gt;0,"In Progress","Not Started"))</f>
        <v>DONE</v>
      </c>
      <c r="I27" s="19">
        <f t="array" ref="I27">SUM(if(B27:G27=TRUE(),1,0))/6</f>
        <v>1</v>
      </c>
    </row>
    <row r="28">
      <c r="A28" s="20" t="s">
        <v>55</v>
      </c>
      <c r="B28" s="16" t="b">
        <v>1</v>
      </c>
      <c r="C28" s="16" t="b">
        <v>1</v>
      </c>
      <c r="D28" s="16" t="b">
        <v>1</v>
      </c>
      <c r="E28" s="16" t="b">
        <v>1</v>
      </c>
      <c r="F28" s="18" t="b">
        <v>1</v>
      </c>
      <c r="G28" s="18" t="b">
        <v>1</v>
      </c>
      <c r="H28" s="16" t="str">
        <f t="array" ref="H28">if(SUM(if(B28:G28=TRUE(),1,0))=6,"DONE", if(SUM(if(B28:G28=TRUE(),1,0))&gt;0,"In Progress","Not Started"))</f>
        <v>DONE</v>
      </c>
      <c r="I28" s="19">
        <f t="array" ref="I28">SUM(if(B28:G28=TRUE(),1,0))/6</f>
        <v>1</v>
      </c>
    </row>
    <row r="29">
      <c r="A29" s="20" t="s">
        <v>56</v>
      </c>
      <c r="B29" s="16" t="b">
        <v>1</v>
      </c>
      <c r="C29" s="16" t="b">
        <v>1</v>
      </c>
      <c r="D29" s="16" t="b">
        <v>1</v>
      </c>
      <c r="E29" s="16" t="b">
        <v>1</v>
      </c>
      <c r="F29" s="18" t="b">
        <v>1</v>
      </c>
      <c r="G29" s="18" t="b">
        <v>1</v>
      </c>
      <c r="H29" s="16" t="str">
        <f t="array" ref="H29">if(SUM(if(B29:G29=TRUE(),1,0))=6,"DONE", if(SUM(if(B29:G29=TRUE(),1,0))&gt;0,"In Progress","Not Started"))</f>
        <v>DONE</v>
      </c>
      <c r="I29" s="19">
        <f t="array" ref="I29">SUM(if(B29:G29=TRUE(),1,0))/6</f>
        <v>1</v>
      </c>
    </row>
    <row r="30">
      <c r="A30" s="20" t="s">
        <v>57</v>
      </c>
      <c r="B30" s="16" t="b">
        <v>1</v>
      </c>
      <c r="C30" s="16" t="b">
        <v>1</v>
      </c>
      <c r="D30" s="16" t="b">
        <v>1</v>
      </c>
      <c r="E30" s="16" t="b">
        <v>1</v>
      </c>
      <c r="F30" s="18" t="b">
        <v>1</v>
      </c>
      <c r="G30" s="18" t="b">
        <v>1</v>
      </c>
      <c r="H30" s="16" t="str">
        <f t="array" ref="H30">if(SUM(if(B30:G30=TRUE(),1,0))=6,"DONE", if(SUM(if(B30:G30=TRUE(),1,0))&gt;0,"In Progress","Not Started"))</f>
        <v>DONE</v>
      </c>
      <c r="I30" s="19">
        <f t="array" ref="I30">SUM(if(B30:G30=TRUE(),1,0))/6</f>
        <v>1</v>
      </c>
    </row>
    <row r="31">
      <c r="A31" s="20" t="s">
        <v>58</v>
      </c>
      <c r="B31" s="16" t="b">
        <v>1</v>
      </c>
      <c r="C31" s="16" t="b">
        <v>1</v>
      </c>
      <c r="D31" s="16" t="b">
        <v>1</v>
      </c>
      <c r="E31" s="16" t="b">
        <v>1</v>
      </c>
      <c r="F31" s="18" t="b">
        <v>1</v>
      </c>
      <c r="G31" s="18" t="b">
        <v>1</v>
      </c>
      <c r="H31" s="16" t="str">
        <f t="array" ref="H31">if(SUM(if(B31:G31=TRUE(),1,0))=6,"DONE", if(SUM(if(B31:G31=TRUE(),1,0))&gt;0,"In Progress","Not Started"))</f>
        <v>DONE</v>
      </c>
      <c r="I31" s="19">
        <f t="array" ref="I31">SUM(if(B31:G31=TRUE(),1,0))/6</f>
        <v>1</v>
      </c>
    </row>
    <row r="32">
      <c r="A32" s="20" t="s">
        <v>59</v>
      </c>
      <c r="B32" s="16" t="b">
        <v>1</v>
      </c>
      <c r="C32" s="16" t="b">
        <v>1</v>
      </c>
      <c r="D32" s="16" t="b">
        <v>1</v>
      </c>
      <c r="E32" s="16" t="b">
        <v>1</v>
      </c>
      <c r="F32" s="18" t="b">
        <v>1</v>
      </c>
      <c r="G32" s="18" t="b">
        <v>1</v>
      </c>
      <c r="H32" s="16" t="str">
        <f t="array" ref="H32">if(SUM(if(B32:G32=TRUE(),1,0))=6,"DONE", if(SUM(if(B32:G32=TRUE(),1,0))&gt;0,"In Progress","Not Started"))</f>
        <v>DONE</v>
      </c>
      <c r="I32" s="19">
        <f t="array" ref="I32">SUM(if(B32:G32=TRUE(),1,0))/6</f>
        <v>1</v>
      </c>
    </row>
    <row r="33">
      <c r="A33" s="20" t="s">
        <v>60</v>
      </c>
      <c r="B33" s="16" t="b">
        <v>1</v>
      </c>
      <c r="C33" s="16" t="b">
        <v>1</v>
      </c>
      <c r="D33" s="16" t="b">
        <v>1</v>
      </c>
      <c r="E33" s="16" t="b">
        <v>1</v>
      </c>
      <c r="F33" s="18" t="b">
        <v>1</v>
      </c>
      <c r="G33" s="18" t="b">
        <v>1</v>
      </c>
      <c r="H33" s="16" t="str">
        <f t="array" ref="H33">if(SUM(if(B33:G33=TRUE(),1,0))=6,"DONE", if(SUM(if(B33:G33=TRUE(),1,0))&gt;0,"In Progress","Not Started"))</f>
        <v>DONE</v>
      </c>
      <c r="I33" s="19">
        <f t="array" ref="I33">SUM(if(B33:G33=TRUE(),1,0))/6</f>
        <v>1</v>
      </c>
    </row>
    <row r="34">
      <c r="A34" s="20" t="s">
        <v>61</v>
      </c>
      <c r="B34" s="16" t="b">
        <v>1</v>
      </c>
      <c r="C34" s="16" t="b">
        <v>1</v>
      </c>
      <c r="D34" s="16" t="b">
        <v>1</v>
      </c>
      <c r="E34" s="16" t="b">
        <v>1</v>
      </c>
      <c r="F34" s="18" t="b">
        <v>1</v>
      </c>
      <c r="G34" s="18" t="b">
        <v>1</v>
      </c>
      <c r="H34" s="16" t="str">
        <f t="array" ref="H34">if(SUM(if(B34:G34=TRUE(),1,0))=6,"DONE", if(SUM(if(B34:G34=TRUE(),1,0))&gt;0,"In Progress","Not Started"))</f>
        <v>DONE</v>
      </c>
      <c r="I34" s="19">
        <f t="array" ref="I34">SUM(if(B34:G34=TRUE(),1,0))/6</f>
        <v>1</v>
      </c>
    </row>
    <row r="35">
      <c r="A35" s="20" t="s">
        <v>62</v>
      </c>
      <c r="B35" s="16" t="b">
        <v>1</v>
      </c>
      <c r="C35" s="16" t="b">
        <v>1</v>
      </c>
      <c r="D35" s="16" t="b">
        <v>1</v>
      </c>
      <c r="E35" s="16" t="b">
        <v>1</v>
      </c>
      <c r="F35" s="18" t="b">
        <v>1</v>
      </c>
      <c r="G35" s="18" t="b">
        <v>1</v>
      </c>
      <c r="H35" s="16" t="str">
        <f t="array" ref="H35">if(SUM(if(B35:G35=TRUE(),1,0))=6,"DONE", if(SUM(if(B35:G35=TRUE(),1,0))&gt;0,"In Progress","Not Started"))</f>
        <v>DONE</v>
      </c>
      <c r="I35" s="19">
        <f t="array" ref="I35">SUM(if(B35:G35=TRUE(),1,0))/6</f>
        <v>1</v>
      </c>
    </row>
    <row r="36">
      <c r="A36" s="20" t="s">
        <v>63</v>
      </c>
      <c r="B36" s="16" t="b">
        <v>1</v>
      </c>
      <c r="C36" s="16" t="b">
        <v>1</v>
      </c>
      <c r="D36" s="16" t="b">
        <v>1</v>
      </c>
      <c r="E36" s="16" t="b">
        <v>1</v>
      </c>
      <c r="F36" s="18" t="b">
        <v>1</v>
      </c>
      <c r="G36" s="18" t="b">
        <v>1</v>
      </c>
      <c r="H36" s="16" t="str">
        <f t="array" ref="H36">if(SUM(if(B36:G36=TRUE(),1,0))=6,"DONE", if(SUM(if(B36:G36=TRUE(),1,0))&gt;0,"In Progress","Not Started"))</f>
        <v>DONE</v>
      </c>
      <c r="I36" s="19">
        <f t="array" ref="I36">SUM(if(B36:G36=TRUE(),1,0))/6</f>
        <v>1</v>
      </c>
    </row>
    <row r="37">
      <c r="A37" s="20" t="s">
        <v>64</v>
      </c>
      <c r="B37" s="16" t="b">
        <v>1</v>
      </c>
      <c r="C37" s="16" t="b">
        <v>1</v>
      </c>
      <c r="D37" s="16" t="b">
        <v>1</v>
      </c>
      <c r="E37" s="16" t="b">
        <v>1</v>
      </c>
      <c r="F37" s="18" t="b">
        <v>1</v>
      </c>
      <c r="G37" s="18" t="b">
        <v>1</v>
      </c>
      <c r="H37" s="16" t="str">
        <f t="array" ref="H37">if(SUM(if(B37:G37=TRUE(),1,0))=6,"DONE", if(SUM(if(B37:G37=TRUE(),1,0))&gt;0,"In Progress","Not Started"))</f>
        <v>DONE</v>
      </c>
      <c r="I37" s="19">
        <f t="array" ref="I37">SUM(if(B37:G37=TRUE(),1,0))/6</f>
        <v>1</v>
      </c>
    </row>
    <row r="38">
      <c r="A38" s="20" t="s">
        <v>65</v>
      </c>
      <c r="B38" s="16" t="b">
        <v>1</v>
      </c>
      <c r="C38" s="16" t="b">
        <v>1</v>
      </c>
      <c r="D38" s="16" t="b">
        <v>1</v>
      </c>
      <c r="E38" s="16" t="b">
        <v>1</v>
      </c>
      <c r="F38" s="18" t="b">
        <v>1</v>
      </c>
      <c r="G38" s="18" t="b">
        <v>1</v>
      </c>
      <c r="H38" s="16" t="str">
        <f t="array" ref="H38">if(SUM(if(B38:G38=TRUE(),1,0))=6,"DONE", if(SUM(if(B38:G38=TRUE(),1,0))&gt;0,"In Progress","Not Started"))</f>
        <v>DONE</v>
      </c>
      <c r="I38" s="19">
        <f t="array" ref="I38">SUM(if(B38:G38=TRUE(),1,0))/6</f>
        <v>1</v>
      </c>
    </row>
    <row r="39">
      <c r="A39" s="20" t="s">
        <v>66</v>
      </c>
      <c r="B39" s="16" t="b">
        <v>1</v>
      </c>
      <c r="C39" s="16" t="b">
        <v>1</v>
      </c>
      <c r="D39" s="16" t="b">
        <v>1</v>
      </c>
      <c r="E39" s="16" t="b">
        <v>1</v>
      </c>
      <c r="F39" s="18" t="b">
        <v>1</v>
      </c>
      <c r="G39" s="18" t="b">
        <v>1</v>
      </c>
      <c r="H39" s="16" t="str">
        <f t="array" ref="H39">if(SUM(if(B39:G39=TRUE(),1,0))=6,"DONE", if(SUM(if(B39:G39=TRUE(),1,0))&gt;0,"In Progress","Not Started"))</f>
        <v>DONE</v>
      </c>
      <c r="I39" s="19">
        <f t="array" ref="I39">SUM(if(B39:G39=TRUE(),1,0))/6</f>
        <v>1</v>
      </c>
    </row>
    <row r="40">
      <c r="A40" s="20" t="s">
        <v>67</v>
      </c>
      <c r="B40" s="16" t="b">
        <v>1</v>
      </c>
      <c r="C40" s="16" t="b">
        <v>1</v>
      </c>
      <c r="D40" s="16" t="b">
        <v>1</v>
      </c>
      <c r="E40" s="16" t="b">
        <v>1</v>
      </c>
      <c r="F40" s="18" t="b">
        <v>1</v>
      </c>
      <c r="G40" s="18" t="b">
        <v>1</v>
      </c>
      <c r="H40" s="16" t="str">
        <f t="array" ref="H40">if(SUM(if(B40:G40=TRUE(),1,0))=6,"DONE", if(SUM(if(B40:G40=TRUE(),1,0))&gt;0,"In Progress","Not Started"))</f>
        <v>DONE</v>
      </c>
      <c r="I40" s="19">
        <f t="array" ref="I40">SUM(if(B40:G40=TRUE(),1,0))/6</f>
        <v>1</v>
      </c>
    </row>
    <row r="41">
      <c r="A41" s="20" t="s">
        <v>68</v>
      </c>
      <c r="B41" s="16" t="b">
        <v>1</v>
      </c>
      <c r="C41" s="16" t="b">
        <v>1</v>
      </c>
      <c r="D41" s="16" t="b">
        <v>1</v>
      </c>
      <c r="E41" s="16" t="b">
        <v>1</v>
      </c>
      <c r="F41" s="18" t="b">
        <v>1</v>
      </c>
      <c r="G41" s="18" t="b">
        <v>1</v>
      </c>
      <c r="H41" s="16" t="str">
        <f t="array" ref="H41">if(SUM(if(B41:G41=TRUE(),1,0))=6,"DONE", if(SUM(if(B41:G41=TRUE(),1,0))&gt;0,"In Progress","Not Started"))</f>
        <v>DONE</v>
      </c>
      <c r="I41" s="19">
        <f t="array" ref="I41">SUM(if(B41:G41=TRUE(),1,0))/6</f>
        <v>1</v>
      </c>
    </row>
    <row r="42">
      <c r="A42" s="20" t="s">
        <v>69</v>
      </c>
      <c r="B42" s="16" t="b">
        <v>1</v>
      </c>
      <c r="C42" s="16" t="b">
        <v>1</v>
      </c>
      <c r="D42" s="16" t="b">
        <v>1</v>
      </c>
      <c r="E42" s="16" t="b">
        <v>1</v>
      </c>
      <c r="F42" s="18" t="b">
        <v>1</v>
      </c>
      <c r="G42" s="18" t="b">
        <v>1</v>
      </c>
      <c r="H42" s="16" t="str">
        <f t="array" ref="H42">if(SUM(if(B42:G42=TRUE(),1,0))=6,"DONE", if(SUM(if(B42:G42=TRUE(),1,0))&gt;0,"In Progress","Not Started"))</f>
        <v>DONE</v>
      </c>
      <c r="I42" s="19">
        <f t="array" ref="I42">SUM(if(B42:G42=TRUE(),1,0))/6</f>
        <v>1</v>
      </c>
    </row>
    <row r="43">
      <c r="A43" s="20" t="s">
        <v>70</v>
      </c>
      <c r="B43" s="16" t="b">
        <v>1</v>
      </c>
      <c r="C43" s="16" t="b">
        <v>1</v>
      </c>
      <c r="D43" s="16" t="b">
        <v>1</v>
      </c>
      <c r="E43" s="16" t="b">
        <v>1</v>
      </c>
      <c r="F43" s="18" t="b">
        <v>1</v>
      </c>
      <c r="G43" s="18" t="b">
        <v>1</v>
      </c>
      <c r="H43" s="16" t="str">
        <f t="array" ref="H43">if(SUM(if(B43:G43=TRUE(),1,0))=6,"DONE", if(SUM(if(B43:G43=TRUE(),1,0))&gt;0,"In Progress","Not Started"))</f>
        <v>DONE</v>
      </c>
      <c r="I43" s="19">
        <f t="array" ref="I43">SUM(if(B43:G43=TRUE(),1,0))/6</f>
        <v>1</v>
      </c>
    </row>
    <row r="44">
      <c r="A44" s="20" t="s">
        <v>71</v>
      </c>
      <c r="B44" s="16" t="b">
        <v>1</v>
      </c>
      <c r="C44" s="16" t="b">
        <v>1</v>
      </c>
      <c r="D44" s="16" t="b">
        <v>1</v>
      </c>
      <c r="E44" s="16" t="b">
        <v>1</v>
      </c>
      <c r="F44" s="18" t="b">
        <v>1</v>
      </c>
      <c r="G44" s="18" t="b">
        <v>1</v>
      </c>
      <c r="H44" s="16" t="str">
        <f t="array" ref="H44">if(SUM(if(B44:G44=TRUE(),1,0))=6,"DONE", if(SUM(if(B44:G44=TRUE(),1,0))&gt;0,"In Progress","Not Started"))</f>
        <v>DONE</v>
      </c>
      <c r="I44" s="19">
        <f t="array" ref="I44">SUM(if(B44:G44=TRUE(),1,0))/6</f>
        <v>1</v>
      </c>
    </row>
    <row r="45">
      <c r="A45" s="20" t="s">
        <v>72</v>
      </c>
      <c r="B45" s="16" t="b">
        <v>1</v>
      </c>
      <c r="C45" s="16" t="b">
        <v>1</v>
      </c>
      <c r="D45" s="16" t="b">
        <v>1</v>
      </c>
      <c r="E45" s="16" t="b">
        <v>1</v>
      </c>
      <c r="F45" s="18" t="b">
        <v>1</v>
      </c>
      <c r="G45" s="18" t="b">
        <v>1</v>
      </c>
      <c r="H45" s="16" t="str">
        <f t="array" ref="H45">if(SUM(if(B45:G45=TRUE(),1,0))=6,"DONE", if(SUM(if(B45:G45=TRUE(),1,0))&gt;0,"In Progress","Not Started"))</f>
        <v>DONE</v>
      </c>
      <c r="I45" s="19">
        <f t="array" ref="I45">SUM(if(B45:G45=TRUE(),1,0))/6</f>
        <v>1</v>
      </c>
    </row>
    <row r="46">
      <c r="A46" s="20" t="s">
        <v>73</v>
      </c>
      <c r="B46" s="16" t="b">
        <v>1</v>
      </c>
      <c r="C46" s="16" t="b">
        <v>1</v>
      </c>
      <c r="D46" s="16" t="b">
        <v>1</v>
      </c>
      <c r="E46" s="16" t="b">
        <v>1</v>
      </c>
      <c r="F46" s="18" t="b">
        <v>1</v>
      </c>
      <c r="G46" s="18" t="b">
        <v>1</v>
      </c>
      <c r="H46" s="16" t="str">
        <f t="array" ref="H46">if(SUM(if(B46:G46=TRUE(),1,0))=6,"DONE", if(SUM(if(B46:G46=TRUE(),1,0))&gt;0,"In Progress","Not Started"))</f>
        <v>DONE</v>
      </c>
      <c r="I46" s="19">
        <f t="array" ref="I46">SUM(if(B46:G46=TRUE(),1,0))/6</f>
        <v>1</v>
      </c>
    </row>
    <row r="47">
      <c r="A47" s="20" t="s">
        <v>74</v>
      </c>
      <c r="B47" s="16" t="b">
        <v>1</v>
      </c>
      <c r="C47" s="16" t="b">
        <v>1</v>
      </c>
      <c r="D47" s="16" t="b">
        <v>1</v>
      </c>
      <c r="E47" s="16" t="b">
        <v>1</v>
      </c>
      <c r="F47" s="18" t="b">
        <v>1</v>
      </c>
      <c r="G47" s="18" t="b">
        <v>1</v>
      </c>
      <c r="H47" s="16" t="str">
        <f t="array" ref="H47">if(SUM(if(B47:G47=TRUE(),1,0))=6,"DONE", if(SUM(if(B47:G47=TRUE(),1,0))&gt;0,"In Progress","Not Started"))</f>
        <v>DONE</v>
      </c>
      <c r="I47" s="19">
        <f t="array" ref="I47">SUM(if(B47:G47=TRUE(),1,0))/6</f>
        <v>1</v>
      </c>
    </row>
    <row r="48">
      <c r="A48" s="20" t="s">
        <v>75</v>
      </c>
      <c r="B48" s="16" t="b">
        <v>1</v>
      </c>
      <c r="C48" s="16" t="b">
        <v>1</v>
      </c>
      <c r="D48" s="16" t="b">
        <v>1</v>
      </c>
      <c r="E48" s="16" t="b">
        <v>1</v>
      </c>
      <c r="F48" s="18" t="b">
        <v>1</v>
      </c>
      <c r="G48" s="18" t="b">
        <v>1</v>
      </c>
      <c r="H48" s="16" t="str">
        <f t="array" ref="H48">if(SUM(if(B48:G48=TRUE(),1,0))=6,"DONE", if(SUM(if(B48:G48=TRUE(),1,0))&gt;0,"In Progress","Not Started"))</f>
        <v>DONE</v>
      </c>
      <c r="I48" s="19">
        <f t="array" ref="I48">SUM(if(B48:G48=TRUE(),1,0))/6</f>
        <v>1</v>
      </c>
    </row>
    <row r="49">
      <c r="A49" s="20" t="s">
        <v>76</v>
      </c>
      <c r="B49" s="16" t="b">
        <v>1</v>
      </c>
      <c r="C49" s="16" t="b">
        <v>1</v>
      </c>
      <c r="D49" s="16" t="b">
        <v>1</v>
      </c>
      <c r="E49" s="16" t="b">
        <v>1</v>
      </c>
      <c r="F49" s="18" t="b">
        <v>1</v>
      </c>
      <c r="G49" s="18" t="b">
        <v>1</v>
      </c>
      <c r="H49" s="16" t="str">
        <f t="array" ref="H49">if(SUM(if(B49:G49=TRUE(),1,0))=6,"DONE", if(SUM(if(B49:G49=TRUE(),1,0))&gt;0,"In Progress","Not Started"))</f>
        <v>DONE</v>
      </c>
      <c r="I49" s="19">
        <f t="array" ref="I49">SUM(if(B49:G49=TRUE(),1,0))/6</f>
        <v>1</v>
      </c>
    </row>
    <row r="50">
      <c r="A50" s="20" t="s">
        <v>77</v>
      </c>
      <c r="B50" s="16" t="b">
        <v>1</v>
      </c>
      <c r="C50" s="16" t="b">
        <v>1</v>
      </c>
      <c r="D50" s="16" t="b">
        <v>1</v>
      </c>
      <c r="E50" s="16" t="b">
        <v>1</v>
      </c>
      <c r="F50" s="18" t="b">
        <v>1</v>
      </c>
      <c r="G50" s="18" t="b">
        <v>1</v>
      </c>
      <c r="H50" s="16" t="str">
        <f t="array" ref="H50">if(SUM(if(B50:G50=TRUE(),1,0))=6,"DONE", if(SUM(if(B50:G50=TRUE(),1,0))&gt;0,"In Progress","Not Started"))</f>
        <v>DONE</v>
      </c>
      <c r="I50" s="19">
        <f t="array" ref="I50">SUM(if(B50:G50=TRUE(),1,0))/6</f>
        <v>1</v>
      </c>
    </row>
    <row r="51">
      <c r="A51" s="20" t="s">
        <v>78</v>
      </c>
      <c r="B51" s="16" t="b">
        <v>1</v>
      </c>
      <c r="C51" s="16" t="b">
        <v>1</v>
      </c>
      <c r="D51" s="16" t="b">
        <v>1</v>
      </c>
      <c r="E51" s="16" t="b">
        <v>1</v>
      </c>
      <c r="F51" s="18" t="b">
        <v>1</v>
      </c>
      <c r="G51" s="18" t="b">
        <v>1</v>
      </c>
      <c r="H51" s="16" t="str">
        <f t="array" ref="H51">if(SUM(if(B51:G51=TRUE(),1,0))=6,"DONE", if(SUM(if(B51:G51=TRUE(),1,0))&gt;0,"In Progress","Not Started"))</f>
        <v>DONE</v>
      </c>
      <c r="I51" s="19">
        <f t="array" ref="I51">SUM(if(B51:G51=TRUE(),1,0))/6</f>
        <v>1</v>
      </c>
    </row>
    <row r="52">
      <c r="A52" s="20" t="s">
        <v>79</v>
      </c>
      <c r="B52" s="16" t="b">
        <v>1</v>
      </c>
      <c r="C52" s="16" t="b">
        <v>1</v>
      </c>
      <c r="D52" s="16" t="b">
        <v>1</v>
      </c>
      <c r="E52" s="16" t="b">
        <v>1</v>
      </c>
      <c r="F52" s="18" t="b">
        <v>1</v>
      </c>
      <c r="G52" s="18" t="b">
        <v>1</v>
      </c>
      <c r="H52" s="16" t="str">
        <f t="array" ref="H52">if(SUM(if(B52:G52=TRUE(),1,0))=6,"DONE", if(SUM(if(B52:G52=TRUE(),1,0))&gt;0,"In Progress","Not Started"))</f>
        <v>DONE</v>
      </c>
      <c r="I52" s="19">
        <f t="array" ref="I52">SUM(if(B52:G52=TRUE(),1,0))/6</f>
        <v>1</v>
      </c>
    </row>
    <row r="53">
      <c r="A53" s="20" t="s">
        <v>80</v>
      </c>
      <c r="B53" s="16" t="b">
        <v>1</v>
      </c>
      <c r="C53" s="16" t="b">
        <v>1</v>
      </c>
      <c r="D53" s="16" t="b">
        <v>1</v>
      </c>
      <c r="E53" s="16" t="b">
        <v>1</v>
      </c>
      <c r="F53" s="18" t="b">
        <v>1</v>
      </c>
      <c r="G53" s="18" t="b">
        <v>1</v>
      </c>
      <c r="H53" s="16" t="str">
        <f t="array" ref="H53">if(SUM(if(B53:G53=TRUE(),1,0))=6,"DONE", if(SUM(if(B53:G53=TRUE(),1,0))&gt;0,"In Progress","Not Started"))</f>
        <v>DONE</v>
      </c>
      <c r="I53" s="19">
        <f t="array" ref="I53">SUM(if(B53:G53=TRUE(),1,0))/6</f>
        <v>1</v>
      </c>
    </row>
    <row r="54">
      <c r="A54" s="20" t="s">
        <v>81</v>
      </c>
      <c r="B54" s="16" t="b">
        <v>1</v>
      </c>
      <c r="C54" s="16" t="b">
        <v>1</v>
      </c>
      <c r="D54" s="16" t="b">
        <v>1</v>
      </c>
      <c r="E54" s="16" t="b">
        <v>1</v>
      </c>
      <c r="F54" s="18" t="b">
        <v>1</v>
      </c>
      <c r="G54" s="18" t="b">
        <v>1</v>
      </c>
      <c r="H54" s="16" t="str">
        <f t="array" ref="H54">if(SUM(if(B54:G54=TRUE(),1,0))=6,"DONE", if(SUM(if(B54:G54=TRUE(),1,0))&gt;0,"In Progress","Not Started"))</f>
        <v>DONE</v>
      </c>
      <c r="I54" s="19">
        <f t="array" ref="I54">SUM(if(B54:G54=TRUE(),1,0))/6</f>
        <v>1</v>
      </c>
    </row>
    <row r="55">
      <c r="A55" s="20" t="s">
        <v>82</v>
      </c>
      <c r="B55" s="16" t="b">
        <v>1</v>
      </c>
      <c r="C55" s="16" t="b">
        <v>1</v>
      </c>
      <c r="D55" s="16" t="b">
        <v>1</v>
      </c>
      <c r="E55" s="16" t="b">
        <v>1</v>
      </c>
      <c r="F55" s="18" t="b">
        <v>1</v>
      </c>
      <c r="G55" s="18" t="b">
        <v>1</v>
      </c>
      <c r="H55" s="16" t="str">
        <f t="array" ref="H55">if(SUM(if(B55:G55=TRUE(),1,0))=6,"DONE", if(SUM(if(B55:G55=TRUE(),1,0))&gt;0,"In Progress","Not Started"))</f>
        <v>DONE</v>
      </c>
      <c r="I55" s="19">
        <f t="array" ref="I55">SUM(if(B55:G55=TRUE(),1,0))/6</f>
        <v>1</v>
      </c>
    </row>
    <row r="56">
      <c r="A56" s="20" t="s">
        <v>83</v>
      </c>
      <c r="B56" s="16" t="b">
        <v>1</v>
      </c>
      <c r="C56" s="16" t="b">
        <v>1</v>
      </c>
      <c r="D56" s="16" t="b">
        <v>1</v>
      </c>
      <c r="E56" s="16" t="b">
        <v>1</v>
      </c>
      <c r="F56" s="18" t="b">
        <v>1</v>
      </c>
      <c r="G56" s="18" t="b">
        <v>1</v>
      </c>
      <c r="H56" s="16" t="str">
        <f t="array" ref="H56">if(SUM(if(B56:G56=TRUE(),1,0))=6,"DONE", if(SUM(if(B56:G56=TRUE(),1,0))&gt;0,"In Progress","Not Started"))</f>
        <v>DONE</v>
      </c>
      <c r="I56" s="19">
        <f t="array" ref="I56">SUM(if(B56:G56=TRUE(),1,0))/6</f>
        <v>1</v>
      </c>
    </row>
    <row r="57">
      <c r="A57" s="20" t="s">
        <v>84</v>
      </c>
      <c r="B57" s="16" t="b">
        <v>1</v>
      </c>
      <c r="C57" s="16" t="b">
        <v>1</v>
      </c>
      <c r="D57" s="16" t="b">
        <v>1</v>
      </c>
      <c r="E57" s="16" t="b">
        <v>1</v>
      </c>
      <c r="F57" s="18" t="b">
        <v>1</v>
      </c>
      <c r="G57" s="18" t="b">
        <v>1</v>
      </c>
      <c r="H57" s="16" t="str">
        <f t="array" ref="H57">if(SUM(if(B57:G57=TRUE(),1,0))=6,"DONE", if(SUM(if(B57:G57=TRUE(),1,0))&gt;0,"In Progress","Not Started"))</f>
        <v>DONE</v>
      </c>
      <c r="I57" s="19">
        <f t="array" ref="I57">SUM(if(B57:G57=TRUE(),1,0))/6</f>
        <v>1</v>
      </c>
    </row>
    <row r="58">
      <c r="A58" s="20" t="s">
        <v>85</v>
      </c>
      <c r="B58" s="16" t="b">
        <v>1</v>
      </c>
      <c r="C58" s="16" t="b">
        <v>1</v>
      </c>
      <c r="D58" s="16" t="b">
        <v>1</v>
      </c>
      <c r="E58" s="16" t="b">
        <v>1</v>
      </c>
      <c r="F58" s="18" t="b">
        <v>1</v>
      </c>
      <c r="G58" s="18" t="b">
        <v>1</v>
      </c>
      <c r="H58" s="16" t="str">
        <f t="array" ref="H58">if(SUM(if(B58:G58=TRUE(),1,0))=6,"DONE", if(SUM(if(B58:G58=TRUE(),1,0))&gt;0,"In Progress","Not Started"))</f>
        <v>DONE</v>
      </c>
      <c r="I58" s="19">
        <f t="array" ref="I58">SUM(if(B58:G58=TRUE(),1,0))/6</f>
        <v>1</v>
      </c>
    </row>
    <row r="59">
      <c r="A59" s="20" t="s">
        <v>86</v>
      </c>
      <c r="B59" s="16" t="b">
        <v>1</v>
      </c>
      <c r="C59" s="16" t="b">
        <v>1</v>
      </c>
      <c r="D59" s="16" t="b">
        <v>1</v>
      </c>
      <c r="E59" s="16" t="b">
        <v>1</v>
      </c>
      <c r="F59" s="18" t="b">
        <v>1</v>
      </c>
      <c r="G59" s="18" t="b">
        <v>1</v>
      </c>
      <c r="H59" s="16" t="str">
        <f t="array" ref="H59">if(SUM(if(B59:G59=TRUE(),1,0))=6,"DONE", if(SUM(if(B59:G59=TRUE(),1,0))&gt;0,"In Progress","Not Started"))</f>
        <v>DONE</v>
      </c>
      <c r="I59" s="19">
        <f t="array" ref="I59">SUM(if(B59:G59=TRUE(),1,0))/6</f>
        <v>1</v>
      </c>
    </row>
    <row r="60">
      <c r="A60" s="20" t="s">
        <v>87</v>
      </c>
      <c r="B60" s="16" t="b">
        <v>1</v>
      </c>
      <c r="C60" s="16" t="b">
        <v>1</v>
      </c>
      <c r="D60" s="16" t="b">
        <v>1</v>
      </c>
      <c r="E60" s="16" t="b">
        <v>1</v>
      </c>
      <c r="F60" s="18" t="b">
        <v>1</v>
      </c>
      <c r="G60" s="18" t="b">
        <v>1</v>
      </c>
      <c r="H60" s="16" t="str">
        <f t="array" ref="H60">if(SUM(if(B60:G60=TRUE(),1,0))=6,"DONE", if(SUM(if(B60:G60=TRUE(),1,0))&gt;0,"In Progress","Not Started"))</f>
        <v>DONE</v>
      </c>
      <c r="I60" s="19">
        <f t="array" ref="I60">SUM(if(B60:G60=TRUE(),1,0))/6</f>
        <v>1</v>
      </c>
    </row>
    <row r="61">
      <c r="A61" s="20" t="s">
        <v>88</v>
      </c>
      <c r="B61" s="16" t="b">
        <v>1</v>
      </c>
      <c r="C61" s="16" t="b">
        <v>1</v>
      </c>
      <c r="D61" s="16" t="b">
        <v>1</v>
      </c>
      <c r="E61" s="16" t="b">
        <v>1</v>
      </c>
      <c r="F61" s="18" t="b">
        <v>1</v>
      </c>
      <c r="G61" s="18" t="b">
        <v>1</v>
      </c>
      <c r="H61" s="16" t="str">
        <f t="array" ref="H61">if(SUM(if(B61:G61=TRUE(),1,0))=6,"DONE", if(SUM(if(B61:G61=TRUE(),1,0))&gt;0,"In Progress","Not Started"))</f>
        <v>DONE</v>
      </c>
      <c r="I61" s="19">
        <f t="array" ref="I61">SUM(if(B61:G61=TRUE(),1,0))/6</f>
        <v>1</v>
      </c>
    </row>
    <row r="62">
      <c r="A62" s="20" t="s">
        <v>89</v>
      </c>
      <c r="B62" s="16" t="b">
        <v>1</v>
      </c>
      <c r="C62" s="16" t="b">
        <v>1</v>
      </c>
      <c r="D62" s="16" t="b">
        <v>1</v>
      </c>
      <c r="E62" s="16" t="b">
        <v>1</v>
      </c>
      <c r="F62" s="18" t="b">
        <v>1</v>
      </c>
      <c r="G62" s="18" t="b">
        <v>1</v>
      </c>
      <c r="H62" s="16" t="str">
        <f t="array" ref="H62">if(SUM(if(B62:G62=TRUE(),1,0))=6,"DONE", if(SUM(if(B62:G62=TRUE(),1,0))&gt;0,"In Progress","Not Started"))</f>
        <v>DONE</v>
      </c>
      <c r="I62" s="19">
        <f t="array" ref="I62">SUM(if(B62:G62=TRUE(),1,0))/6</f>
        <v>1</v>
      </c>
    </row>
    <row r="63">
      <c r="A63" s="20" t="s">
        <v>90</v>
      </c>
      <c r="B63" s="16" t="b">
        <v>1</v>
      </c>
      <c r="C63" s="16" t="b">
        <v>1</v>
      </c>
      <c r="D63" s="16" t="b">
        <v>1</v>
      </c>
      <c r="E63" s="16" t="b">
        <v>1</v>
      </c>
      <c r="F63" s="18" t="b">
        <v>1</v>
      </c>
      <c r="G63" s="18" t="b">
        <v>1</v>
      </c>
      <c r="H63" s="16" t="str">
        <f t="array" ref="H63">if(SUM(if(B63:G63=TRUE(),1,0))=6,"DONE", if(SUM(if(B63:G63=TRUE(),1,0))&gt;0,"In Progress","Not Started"))</f>
        <v>DONE</v>
      </c>
      <c r="I63" s="19">
        <f t="array" ref="I63">SUM(if(B63:G63=TRUE(),1,0))/6</f>
        <v>1</v>
      </c>
    </row>
    <row r="64">
      <c r="A64" s="20" t="s">
        <v>91</v>
      </c>
      <c r="B64" s="16" t="b">
        <v>1</v>
      </c>
      <c r="C64" s="16" t="b">
        <v>1</v>
      </c>
      <c r="D64" s="16" t="b">
        <v>1</v>
      </c>
      <c r="E64" s="16" t="b">
        <v>1</v>
      </c>
      <c r="F64" s="18" t="b">
        <v>1</v>
      </c>
      <c r="G64" s="18" t="b">
        <v>1</v>
      </c>
      <c r="H64" s="16" t="str">
        <f t="array" ref="H64">if(SUM(if(B64:G64=TRUE(),1,0))=6,"DONE", if(SUM(if(B64:G64=TRUE(),1,0))&gt;0,"In Progress","Not Started"))</f>
        <v>DONE</v>
      </c>
      <c r="I64" s="19">
        <f t="array" ref="I64">SUM(if(B64:G64=TRUE(),1,0))/6</f>
        <v>1</v>
      </c>
    </row>
    <row r="65">
      <c r="A65" s="20" t="s">
        <v>92</v>
      </c>
      <c r="B65" s="16" t="b">
        <v>1</v>
      </c>
      <c r="C65" s="16" t="b">
        <v>1</v>
      </c>
      <c r="D65" s="16" t="b">
        <v>1</v>
      </c>
      <c r="E65" s="16" t="b">
        <v>1</v>
      </c>
      <c r="F65" s="18" t="b">
        <v>1</v>
      </c>
      <c r="G65" s="18" t="b">
        <v>1</v>
      </c>
      <c r="H65" s="16" t="str">
        <f t="array" ref="H65">if(SUM(if(B65:G65=TRUE(),1,0))=6,"DONE", if(SUM(if(B65:G65=TRUE(),1,0))&gt;0,"In Progress","Not Started"))</f>
        <v>DONE</v>
      </c>
      <c r="I65" s="19">
        <f t="array" ref="I65">SUM(if(B65:G65=TRUE(),1,0))/6</f>
        <v>1</v>
      </c>
    </row>
    <row r="66">
      <c r="A66" s="20" t="s">
        <v>93</v>
      </c>
      <c r="B66" s="16" t="b">
        <v>1</v>
      </c>
      <c r="C66" s="16" t="b">
        <v>1</v>
      </c>
      <c r="D66" s="16" t="b">
        <v>1</v>
      </c>
      <c r="E66" s="16" t="b">
        <v>1</v>
      </c>
      <c r="F66" s="18" t="b">
        <v>1</v>
      </c>
      <c r="G66" s="18" t="b">
        <v>1</v>
      </c>
      <c r="H66" s="16" t="str">
        <f t="array" ref="H66">if(SUM(if(B66:G66=TRUE(),1,0))=6,"DONE", if(SUM(if(B66:G66=TRUE(),1,0))&gt;0,"In Progress","Not Started"))</f>
        <v>DONE</v>
      </c>
      <c r="I66" s="19">
        <f t="array" ref="I66">SUM(if(B66:G66=TRUE(),1,0))/6</f>
        <v>1</v>
      </c>
    </row>
    <row r="67">
      <c r="A67" s="20" t="s">
        <v>94</v>
      </c>
      <c r="B67" s="16" t="b">
        <v>1</v>
      </c>
      <c r="C67" s="16" t="b">
        <v>1</v>
      </c>
      <c r="D67" s="16" t="b">
        <v>1</v>
      </c>
      <c r="E67" s="16" t="b">
        <v>1</v>
      </c>
      <c r="F67" s="18" t="b">
        <v>1</v>
      </c>
      <c r="G67" s="18" t="b">
        <v>1</v>
      </c>
      <c r="H67" s="16" t="str">
        <f t="array" ref="H67">if(SUM(if(B67:G67=TRUE(),1,0))=6,"DONE", if(SUM(if(B67:G67=TRUE(),1,0))&gt;0,"In Progress","Not Started"))</f>
        <v>DONE</v>
      </c>
      <c r="I67" s="19">
        <f t="array" ref="I67">SUM(if(B67:G67=TRUE(),1,0))/6</f>
        <v>1</v>
      </c>
    </row>
    <row r="68">
      <c r="A68" s="20" t="s">
        <v>95</v>
      </c>
      <c r="B68" s="16" t="b">
        <v>1</v>
      </c>
      <c r="C68" s="16" t="b">
        <v>1</v>
      </c>
      <c r="D68" s="16" t="b">
        <v>1</v>
      </c>
      <c r="E68" s="16" t="b">
        <v>1</v>
      </c>
      <c r="F68" s="18" t="b">
        <v>1</v>
      </c>
      <c r="G68" s="18" t="b">
        <v>1</v>
      </c>
      <c r="H68" s="16" t="str">
        <f t="array" ref="H68">if(SUM(if(B68:G68=TRUE(),1,0))=6,"DONE", if(SUM(if(B68:G68=TRUE(),1,0))&gt;0,"In Progress","Not Started"))</f>
        <v>DONE</v>
      </c>
      <c r="I68" s="19">
        <f t="array" ref="I68">SUM(if(B68:G68=TRUE(),1,0))/6</f>
        <v>1</v>
      </c>
    </row>
    <row r="69">
      <c r="A69" s="20" t="s">
        <v>96</v>
      </c>
      <c r="B69" s="16" t="b">
        <v>1</v>
      </c>
      <c r="C69" s="16" t="b">
        <v>1</v>
      </c>
      <c r="D69" s="16" t="b">
        <v>1</v>
      </c>
      <c r="E69" s="16" t="b">
        <v>1</v>
      </c>
      <c r="F69" s="18" t="b">
        <v>1</v>
      </c>
      <c r="G69" s="18" t="b">
        <v>1</v>
      </c>
      <c r="H69" s="16" t="str">
        <f t="array" ref="H69">if(SUM(if(B69:G69=TRUE(),1,0))=6,"DONE", if(SUM(if(B69:G69=TRUE(),1,0))&gt;0,"In Progress","Not Started"))</f>
        <v>DONE</v>
      </c>
      <c r="I69" s="19">
        <f t="array" ref="I69">SUM(if(B69:G69=TRUE(),1,0))/6</f>
        <v>1</v>
      </c>
    </row>
    <row r="70">
      <c r="A70" s="20" t="s">
        <v>97</v>
      </c>
      <c r="B70" s="16" t="b">
        <v>1</v>
      </c>
      <c r="C70" s="16" t="b">
        <v>1</v>
      </c>
      <c r="D70" s="16" t="b">
        <v>1</v>
      </c>
      <c r="E70" s="16" t="b">
        <v>1</v>
      </c>
      <c r="F70" s="18" t="b">
        <v>1</v>
      </c>
      <c r="G70" s="18" t="b">
        <v>1</v>
      </c>
      <c r="H70" s="16" t="str">
        <f t="array" ref="H70">if(SUM(if(B70:G70=TRUE(),1,0))=6,"DONE", if(SUM(if(B70:G70=TRUE(),1,0))&gt;0,"In Progress","Not Started"))</f>
        <v>DONE</v>
      </c>
      <c r="I70" s="19">
        <f t="array" ref="I70">SUM(if(B70:G70=TRUE(),1,0))/6</f>
        <v>1</v>
      </c>
    </row>
    <row r="71">
      <c r="A71" s="20" t="s">
        <v>98</v>
      </c>
      <c r="B71" s="16" t="b">
        <v>1</v>
      </c>
      <c r="C71" s="16" t="b">
        <v>1</v>
      </c>
      <c r="D71" s="16" t="b">
        <v>1</v>
      </c>
      <c r="E71" s="16" t="b">
        <v>1</v>
      </c>
      <c r="F71" s="18" t="b">
        <v>1</v>
      </c>
      <c r="G71" s="18" t="b">
        <v>1</v>
      </c>
      <c r="H71" s="16" t="str">
        <f t="array" ref="H71">if(SUM(if(B71:G71=TRUE(),1,0))=6,"DONE", if(SUM(if(B71:G71=TRUE(),1,0))&gt;0,"In Progress","Not Started"))</f>
        <v>DONE</v>
      </c>
      <c r="I71" s="19">
        <f t="array" ref="I71">SUM(if(B71:G71=TRUE(),1,0))/6</f>
        <v>1</v>
      </c>
    </row>
    <row r="72">
      <c r="A72" s="20" t="s">
        <v>99</v>
      </c>
      <c r="B72" s="16" t="b">
        <v>1</v>
      </c>
      <c r="C72" s="16" t="b">
        <v>1</v>
      </c>
      <c r="D72" s="16" t="b">
        <v>1</v>
      </c>
      <c r="E72" s="16" t="b">
        <v>1</v>
      </c>
      <c r="F72" s="18" t="b">
        <v>1</v>
      </c>
      <c r="G72" s="18" t="b">
        <v>1</v>
      </c>
      <c r="H72" s="16" t="str">
        <f t="array" ref="H72">if(SUM(if(B72:G72=TRUE(),1,0))=6,"DONE", if(SUM(if(B72:G72=TRUE(),1,0))&gt;0,"In Progress","Not Started"))</f>
        <v>DONE</v>
      </c>
      <c r="I72" s="19">
        <f t="array" ref="I72">SUM(if(B72:G72=TRUE(),1,0))/6</f>
        <v>1</v>
      </c>
    </row>
    <row r="73">
      <c r="A73" s="20" t="s">
        <v>100</v>
      </c>
      <c r="B73" s="16" t="b">
        <v>1</v>
      </c>
      <c r="C73" s="16" t="b">
        <v>1</v>
      </c>
      <c r="D73" s="16" t="b">
        <v>1</v>
      </c>
      <c r="E73" s="16" t="b">
        <v>1</v>
      </c>
      <c r="F73" s="16" t="b">
        <v>1</v>
      </c>
      <c r="G73" s="16" t="b">
        <v>1</v>
      </c>
      <c r="H73" s="16" t="str">
        <f t="array" ref="H73">if(SUM(if(B73:G73=TRUE(),1,0))=6,"DONE", if(SUM(if(B73:G73=TRUE(),1,0))&gt;0,"In Progress","Not Started"))</f>
        <v>DONE</v>
      </c>
      <c r="I73" s="19">
        <f t="array" ref="I73">SUM(if(B73:G73=TRUE(),1,0))/6</f>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17.63"/>
    <col customWidth="1" min="2" max="2" width="39.25"/>
    <col customWidth="1" min="3" max="3" width="46.88"/>
    <col customWidth="1" min="4" max="4" width="26.75" outlineLevel="1"/>
    <col customWidth="1" min="5" max="5" width="17.38" outlineLevel="1"/>
    <col customWidth="1" min="6" max="6" width="37.88" outlineLevel="1"/>
    <col customWidth="1" min="7" max="7" width="22.0" outlineLevel="1"/>
    <col customWidth="1" min="8" max="8" width="15.5"/>
    <col customWidth="1" min="9" max="9" width="15.25"/>
  </cols>
  <sheetData>
    <row r="1">
      <c r="A1" s="21" t="s">
        <v>101</v>
      </c>
      <c r="B1" s="21" t="s">
        <v>102</v>
      </c>
      <c r="C1" s="22" t="s">
        <v>103</v>
      </c>
      <c r="D1" s="23" t="s">
        <v>104</v>
      </c>
      <c r="E1" s="24" t="s">
        <v>105</v>
      </c>
      <c r="F1" s="25" t="s">
        <v>106</v>
      </c>
      <c r="G1" s="26"/>
      <c r="H1" s="24" t="s">
        <v>107</v>
      </c>
      <c r="I1" s="27" t="s">
        <v>108</v>
      </c>
      <c r="J1" s="16"/>
      <c r="K1" s="16"/>
      <c r="L1" s="16"/>
    </row>
    <row r="2">
      <c r="A2" s="28" t="s">
        <v>109</v>
      </c>
      <c r="B2" s="29" t="s">
        <v>110</v>
      </c>
      <c r="C2" s="30" t="s">
        <v>111</v>
      </c>
      <c r="D2" s="31" t="s">
        <v>112</v>
      </c>
      <c r="E2" s="32" t="s">
        <v>113</v>
      </c>
      <c r="F2" s="33" t="s">
        <v>114</v>
      </c>
      <c r="G2" s="34" t="s">
        <v>115</v>
      </c>
      <c r="H2" s="35" t="s">
        <v>116</v>
      </c>
      <c r="I2" s="36" t="s">
        <v>117</v>
      </c>
      <c r="J2" s="37"/>
      <c r="K2" s="37"/>
      <c r="L2" s="37"/>
    </row>
    <row r="3">
      <c r="A3" s="16" t="s">
        <v>30</v>
      </c>
      <c r="B3" s="38" t="str">
        <f>IFERROR(HYPERLINK(VLOOKUP(A3,Internal_lists_bugs!$A$2:$C$73,3,FALSE()), VLOOKUP(A3,Internal_lists_bugs!$A$2:$C$73,3,FALSE())&amp;Char(10) &amp; Char(10) &amp; VLOOKUP(A3,Internal_lists_bugs!$A$2:$Z$73,26,FALSE())),"please select a BUG ID")</f>
        <v>
</v>
      </c>
      <c r="C3" s="39" t="str">
        <f>IFERROR(Hyperlink(VLOOKUP(A3,Internal_lists_bugs!$A$2:$G1014,7,FALSE()),"BIC: "&amp;VLOOKUP(A3,Internal_lists_bugs!$A$2:$G1014,7,FALSE())&amp;CHAR(10)&amp;"Intro.Issues: "&amp;VLOOKUP(A3,Internal_lists_bugs!$A$2:$P1014,16,FALSE())),"please select a BUG ID")</f>
        <v>BIC: https://opendev.org/openstack/nova/commit/fa6c2d4def22f0ddd296572d9ce5b3b6f7267e2f
Intro.Issues: 1180178</v>
      </c>
      <c r="D3" s="40">
        <v>1180178.0</v>
      </c>
      <c r="E3" s="16" t="s">
        <v>118</v>
      </c>
      <c r="F3" s="41" t="s">
        <v>119</v>
      </c>
      <c r="G3" s="42" t="s">
        <v>120</v>
      </c>
      <c r="H3" s="16" t="s">
        <v>121</v>
      </c>
      <c r="I3" s="16" t="b">
        <v>0</v>
      </c>
    </row>
    <row r="4">
      <c r="A4" s="16" t="s">
        <v>30</v>
      </c>
      <c r="B4" s="38" t="str">
        <f>IFERROR(HYPERLINK(VLOOKUP(A4,Internal_lists_bugs!$A$2:$C$73,3,FALSE()), VLOOKUP(A4,Internal_lists_bugs!$A$2:$C$73,3,FALSE())&amp;Char(10) &amp; Char(10) &amp; VLOOKUP(A4,Internal_lists_bugs!$A$2:$Z$73,26,FALSE())),"please select a BUG ID")</f>
        <v>
</v>
      </c>
      <c r="C4" s="39" t="str">
        <f>IFERROR(Hyperlink(VLOOKUP(A4,Internal_lists_bugs!$A$2:$G1014,7,FALSE()),"BIC: "&amp;VLOOKUP(A4,Internal_lists_bugs!$A$2:$G1014,7,FALSE())&amp;CHAR(10)&amp;"Intro.Issues: "&amp;VLOOKUP(A4,Internal_lists_bugs!$A$2:$P1014,16,FALSE())),"please select a BUG ID")</f>
        <v>BIC: https://opendev.org/openstack/nova/commit/fa6c2d4def22f0ddd296572d9ce5b3b6f7267e2f
Intro.Issues: 1180178</v>
      </c>
      <c r="D4" s="40">
        <v>1180178.0</v>
      </c>
      <c r="E4" s="43"/>
      <c r="F4" s="41" t="s">
        <v>122</v>
      </c>
      <c r="G4" s="42" t="s">
        <v>123</v>
      </c>
      <c r="H4" s="43"/>
    </row>
    <row r="5">
      <c r="A5" s="16" t="s">
        <v>30</v>
      </c>
      <c r="B5" s="38" t="str">
        <f>IFERROR(HYPERLINK(VLOOKUP(A5,Internal_lists_bugs!$A$2:$C$73,3,FALSE()), VLOOKUP(A5,Internal_lists_bugs!$A$2:$C$73,3,FALSE())&amp;Char(10) &amp; Char(10) &amp; VLOOKUP(A5,Internal_lists_bugs!$A$2:$Z$73,26,FALSE())),"please select a BUG ID")</f>
        <v>
</v>
      </c>
      <c r="C5" s="39" t="str">
        <f>IFERROR(Hyperlink(VLOOKUP(A5,Internal_lists_bugs!$A$2:$G1014,7,FALSE()),"BIC: "&amp;VLOOKUP(A5,Internal_lists_bugs!$A$2:$G1014,7,FALSE())&amp;CHAR(10)&amp;"Intro.Issues: "&amp;VLOOKUP(A5,Internal_lists_bugs!$A$2:$P1014,16,FALSE())),"please select a BUG ID")</f>
        <v>BIC: https://opendev.org/openstack/nova/commit/fa6c2d4def22f0ddd296572d9ce5b3b6f7267e2f
Intro.Issues: 1180178</v>
      </c>
      <c r="D5" s="40">
        <v>1180178.0</v>
      </c>
      <c r="E5" s="43"/>
      <c r="F5" s="41" t="s">
        <v>124</v>
      </c>
      <c r="G5" s="42" t="s">
        <v>123</v>
      </c>
      <c r="H5" s="43"/>
    </row>
    <row r="6">
      <c r="A6" s="16" t="s">
        <v>30</v>
      </c>
      <c r="B6" s="38" t="str">
        <f>IFERROR(HYPERLINK(VLOOKUP(A6,Internal_lists_bugs!$A$2:$C$73,3,FALSE()), VLOOKUP(A6,Internal_lists_bugs!$A$2:$C$73,3,FALSE())&amp;Char(10) &amp; Char(10) &amp; VLOOKUP(A6,Internal_lists_bugs!$A$2:$Z$73,26,FALSE())),"please select a BUG ID")</f>
        <v>
</v>
      </c>
      <c r="C6" s="39" t="str">
        <f>IFERROR(Hyperlink(VLOOKUP(A6,Internal_lists_bugs!$A$2:$G1014,7,FALSE()),"BIC: "&amp;VLOOKUP(A6,Internal_lists_bugs!$A$2:$G1014,7,FALSE())&amp;CHAR(10)&amp;"Intro.Issues: "&amp;VLOOKUP(A6,Internal_lists_bugs!$A$2:$P1014,16,FALSE())),"please select a BUG ID")</f>
        <v>BIC: https://opendev.org/openstack/nova/commit/fa6c2d4def22f0ddd296572d9ce5b3b6f7267e2f
Intro.Issues: 1180178</v>
      </c>
      <c r="D6" s="40">
        <v>1180178.0</v>
      </c>
      <c r="E6" s="43"/>
      <c r="F6" s="41" t="s">
        <v>125</v>
      </c>
      <c r="G6" s="42" t="s">
        <v>123</v>
      </c>
      <c r="H6" s="43"/>
    </row>
    <row r="7">
      <c r="A7" s="16" t="s">
        <v>30</v>
      </c>
      <c r="B7" s="38" t="str">
        <f>IFERROR(HYPERLINK(VLOOKUP(A7,Internal_lists_bugs!$A$2:$C$73,3,FALSE()), VLOOKUP(A7,Internal_lists_bugs!$A$2:$C$73,3,FALSE())&amp;Char(10) &amp; Char(10) &amp; VLOOKUP(A7,Internal_lists_bugs!$A$2:$Z$73,26,FALSE())),"please select a BUG ID")</f>
        <v>
</v>
      </c>
      <c r="C7" s="39" t="str">
        <f>IFERROR(Hyperlink(VLOOKUP(A7,Internal_lists_bugs!$A$2:$G1014,7,FALSE()),"BIC: "&amp;VLOOKUP(A7,Internal_lists_bugs!$A$2:$G1014,7,FALSE())&amp;CHAR(10)&amp;"Intro.Issues: "&amp;VLOOKUP(A7,Internal_lists_bugs!$A$2:$P1014,16,FALSE())),"please select a BUG ID")</f>
        <v>BIC: https://opendev.org/openstack/nova/commit/fa6c2d4def22f0ddd296572d9ce5b3b6f7267e2f
Intro.Issues: 1180178</v>
      </c>
      <c r="D7" s="40">
        <v>1180178.0</v>
      </c>
      <c r="E7" s="43"/>
      <c r="F7" s="41" t="s">
        <v>126</v>
      </c>
      <c r="G7" s="42" t="s">
        <v>123</v>
      </c>
      <c r="H7" s="43"/>
    </row>
    <row r="8">
      <c r="A8" s="16" t="s">
        <v>30</v>
      </c>
      <c r="B8" s="38" t="str">
        <f>IFERROR(HYPERLINK(VLOOKUP(A8,Internal_lists_bugs!$A$2:$C$73,3,FALSE()), VLOOKUP(A8,Internal_lists_bugs!$A$2:$C$73,3,FALSE())&amp;Char(10) &amp; Char(10) &amp; VLOOKUP(A8,Internal_lists_bugs!$A$2:$Z$73,26,FALSE())),"please select a BUG ID")</f>
        <v>
</v>
      </c>
      <c r="C8" s="39" t="str">
        <f>IFERROR(Hyperlink(VLOOKUP(A8,Internal_lists_bugs!$A$2:$G1014,7,FALSE()),"BIC: "&amp;VLOOKUP(A8,Internal_lists_bugs!$A$2:$G1014,7,FALSE())&amp;CHAR(10)&amp;"Intro.Issues: "&amp;VLOOKUP(A8,Internal_lists_bugs!$A$2:$P1014,16,FALSE())),"please select a BUG ID")</f>
        <v>BIC: https://opendev.org/openstack/nova/commit/fa6c2d4def22f0ddd296572d9ce5b3b6f7267e2f
Intro.Issues: 1180178</v>
      </c>
      <c r="D8" s="40">
        <v>1180178.0</v>
      </c>
      <c r="E8" s="43"/>
      <c r="F8" s="41" t="s">
        <v>127</v>
      </c>
      <c r="G8" s="42" t="s">
        <v>123</v>
      </c>
      <c r="H8" s="43"/>
    </row>
    <row r="9">
      <c r="A9" s="16" t="s">
        <v>30</v>
      </c>
      <c r="B9" s="38" t="str">
        <f>IFERROR(HYPERLINK(VLOOKUP(A9,Internal_lists_bugs!$A$2:$C$73,3,FALSE()), VLOOKUP(A9,Internal_lists_bugs!$A$2:$C$73,3,FALSE())&amp;Char(10) &amp; Char(10) &amp; VLOOKUP(A9,Internal_lists_bugs!$A$2:$Z$73,26,FALSE())),"please select a BUG ID")</f>
        <v>
</v>
      </c>
      <c r="C9" s="39" t="str">
        <f>IFERROR(Hyperlink(VLOOKUP(A9,Internal_lists_bugs!$A$2:$G1014,7,FALSE()),"BIC: "&amp;VLOOKUP(A9,Internal_lists_bugs!$A$2:$G1014,7,FALSE())&amp;CHAR(10)&amp;"Intro.Issues: "&amp;VLOOKUP(A9,Internal_lists_bugs!$A$2:$P1014,16,FALSE())),"please select a BUG ID")</f>
        <v>BIC: https://opendev.org/openstack/nova/commit/fa6c2d4def22f0ddd296572d9ce5b3b6f7267e2f
Intro.Issues: 1180178</v>
      </c>
      <c r="D9" s="40">
        <v>1180178.0</v>
      </c>
      <c r="E9" s="43"/>
      <c r="F9" s="41" t="s">
        <v>128</v>
      </c>
      <c r="G9" s="42" t="s">
        <v>129</v>
      </c>
      <c r="H9" s="43"/>
    </row>
    <row r="10">
      <c r="A10" s="16" t="s">
        <v>30</v>
      </c>
      <c r="B10" s="38" t="str">
        <f>IFERROR(HYPERLINK(VLOOKUP(A10,Internal_lists_bugs!$A$2:$C$73,3,FALSE()), VLOOKUP(A10,Internal_lists_bugs!$A$2:$C$73,3,FALSE())&amp;Char(10) &amp; Char(10) &amp; VLOOKUP(A10,Internal_lists_bugs!$A$2:$Z$73,26,FALSE())),"please select a BUG ID")</f>
        <v>
</v>
      </c>
      <c r="C10" s="39" t="str">
        <f>IFERROR(Hyperlink(VLOOKUP(A10,Internal_lists_bugs!$A$2:$G1014,7,FALSE()),"BIC: "&amp;VLOOKUP(A10,Internal_lists_bugs!$A$2:$G1014,7,FALSE())&amp;CHAR(10)&amp;"Intro.Issues: "&amp;VLOOKUP(A10,Internal_lists_bugs!$A$2:$P1014,16,FALSE())),"please select a BUG ID")</f>
        <v>BIC: https://opendev.org/openstack/nova/commit/fa6c2d4def22f0ddd296572d9ce5b3b6f7267e2f
Intro.Issues: 1180178</v>
      </c>
      <c r="D10" s="40">
        <v>1180178.0</v>
      </c>
      <c r="E10" s="43"/>
      <c r="F10" s="41" t="s">
        <v>130</v>
      </c>
      <c r="G10" s="42" t="s">
        <v>131</v>
      </c>
      <c r="H10" s="43"/>
    </row>
    <row r="11">
      <c r="A11" s="16" t="s">
        <v>31</v>
      </c>
      <c r="B11" s="38" t="str">
        <f>IFERROR(HYPERLINK(VLOOKUP(A11,Internal_lists_bugs!$A$2:$C$73,3,FALSE()), VLOOKUP(A11,Internal_lists_bugs!$A$2:$C$73,3,FALSE())&amp;Char(10) &amp; Char(10) &amp; VLOOKUP(A11,Internal_lists_bugs!$A$2:$Z$73,26,FALSE())),"please select a BUG ID")</f>
        <v>
</v>
      </c>
      <c r="C11" s="39" t="str">
        <f>IFERROR(Hyperlink(VLOOKUP(A11,Internal_lists_bugs!$A$2:$G1014,7,FALSE()),"BIC: "&amp;VLOOKUP(A11,Internal_lists_bugs!$A$2:$G1014,7,FALSE())&amp;CHAR(10)&amp;"Intro.Issues: "&amp;VLOOKUP(A11,Internal_lists_bugs!$A$2:$P1014,16,FALSE())),"please select a BUG ID")</f>
        <v>BIC: https://opendev.org/openstack/nova/commit/5876827d92bad3c408651184d9fea835639d8db8
Intro.Issues: compute-manager-objects-juno</v>
      </c>
      <c r="D11" s="40" t="s">
        <v>132</v>
      </c>
      <c r="E11" s="16" t="s">
        <v>133</v>
      </c>
      <c r="F11" s="41" t="s">
        <v>134</v>
      </c>
      <c r="G11" s="42" t="s">
        <v>123</v>
      </c>
      <c r="H11" s="16" t="s">
        <v>135</v>
      </c>
      <c r="I11" s="16" t="b">
        <v>0</v>
      </c>
      <c r="J11" s="16" t="s">
        <v>136</v>
      </c>
    </row>
    <row r="12">
      <c r="A12" s="16" t="s">
        <v>31</v>
      </c>
      <c r="B12" s="38" t="str">
        <f>IFERROR(HYPERLINK(VLOOKUP(A12,Internal_lists_bugs!$A$2:$C$73,3,FALSE()), VLOOKUP(A12,Internal_lists_bugs!$A$2:$C$73,3,FALSE())&amp;Char(10) &amp; Char(10) &amp; VLOOKUP(A12,Internal_lists_bugs!$A$2:$Z$73,26,FALSE())),"please select a BUG ID")</f>
        <v>
</v>
      </c>
      <c r="C12" s="39" t="str">
        <f>IFERROR(Hyperlink(VLOOKUP(A12,Internal_lists_bugs!$A$2:$G1014,7,FALSE()),"BIC: "&amp;VLOOKUP(A12,Internal_lists_bugs!$A$2:$G1014,7,FALSE())&amp;CHAR(10)&amp;"Intro.Issues: "&amp;VLOOKUP(A12,Internal_lists_bugs!$A$2:$P1014,16,FALSE())),"please select a BUG ID")</f>
        <v>BIC: https://opendev.org/openstack/nova/commit/5876827d92bad3c408651184d9fea835639d8db8
Intro.Issues: compute-manager-objects-juno</v>
      </c>
      <c r="D12" s="40" t="s">
        <v>132</v>
      </c>
      <c r="E12" s="43"/>
      <c r="F12" s="41" t="s">
        <v>137</v>
      </c>
      <c r="G12" s="42" t="s">
        <v>123</v>
      </c>
      <c r="H12" s="43"/>
    </row>
    <row r="13">
      <c r="A13" s="16" t="s">
        <v>31</v>
      </c>
      <c r="B13" s="38" t="str">
        <f>IFERROR(HYPERLINK(VLOOKUP(A13,Internal_lists_bugs!$A$2:$C$73,3,FALSE()), VLOOKUP(A13,Internal_lists_bugs!$A$2:$C$73,3,FALSE())&amp;Char(10) &amp; Char(10) &amp; VLOOKUP(A13,Internal_lists_bugs!$A$2:$Z$73,26,FALSE())),"please select a BUG ID")</f>
        <v>
</v>
      </c>
      <c r="C13" s="39" t="str">
        <f>IFERROR(Hyperlink(VLOOKUP(A13,Internal_lists_bugs!$A$2:$G1014,7,FALSE()),"BIC: "&amp;VLOOKUP(A13,Internal_lists_bugs!$A$2:$G1014,7,FALSE())&amp;CHAR(10)&amp;"Intro.Issues: "&amp;VLOOKUP(A13,Internal_lists_bugs!$A$2:$P1014,16,FALSE())),"please select a BUG ID")</f>
        <v>BIC: https://opendev.org/openstack/nova/commit/5876827d92bad3c408651184d9fea835639d8db8
Intro.Issues: compute-manager-objects-juno</v>
      </c>
      <c r="D13" s="40" t="s">
        <v>132</v>
      </c>
      <c r="E13" s="43"/>
      <c r="F13" s="41" t="s">
        <v>138</v>
      </c>
      <c r="G13" s="42" t="s">
        <v>139</v>
      </c>
      <c r="H13" s="43"/>
    </row>
    <row r="14">
      <c r="A14" s="16" t="s">
        <v>31</v>
      </c>
      <c r="B14" s="38" t="str">
        <f>IFERROR(HYPERLINK(VLOOKUP(A14,Internal_lists_bugs!$A$2:$C$73,3,FALSE()), VLOOKUP(A14,Internal_lists_bugs!$A$2:$C$73,3,FALSE())&amp;Char(10) &amp; Char(10) &amp; VLOOKUP(A14,Internal_lists_bugs!$A$2:$Z$73,26,FALSE())),"please select a BUG ID")</f>
        <v>
</v>
      </c>
      <c r="C14" s="39" t="str">
        <f>IFERROR(Hyperlink(VLOOKUP(A14,Internal_lists_bugs!$A$2:$G1014,7,FALSE()),"BIC: "&amp;VLOOKUP(A14,Internal_lists_bugs!$A$2:$G1014,7,FALSE())&amp;CHAR(10)&amp;"Intro.Issues: "&amp;VLOOKUP(A14,Internal_lists_bugs!$A$2:$P1014,16,FALSE())),"please select a BUG ID")</f>
        <v>BIC: https://opendev.org/openstack/nova/commit/5876827d92bad3c408651184d9fea835639d8db8
Intro.Issues: compute-manager-objects-juno</v>
      </c>
      <c r="D14" s="40" t="s">
        <v>132</v>
      </c>
      <c r="E14" s="43"/>
      <c r="F14" s="41" t="s">
        <v>140</v>
      </c>
      <c r="G14" s="42" t="s">
        <v>139</v>
      </c>
      <c r="H14" s="43"/>
    </row>
    <row r="15">
      <c r="A15" s="16" t="s">
        <v>32</v>
      </c>
      <c r="B15" s="38" t="str">
        <f>IFERROR(HYPERLINK(VLOOKUP(A15,Internal_lists_bugs!$A$2:$C$73,3,FALSE()), VLOOKUP(A15,Internal_lists_bugs!$A$2:$C$73,3,FALSE())&amp;Char(10) &amp; Char(10) &amp; VLOOKUP(A15,Internal_lists_bugs!$A$2:$Z$73,26,FALSE())),"please select a BUG ID")</f>
        <v>
</v>
      </c>
      <c r="C15" s="39" t="str">
        <f>IFERROR(Hyperlink(VLOOKUP(A15,Internal_lists_bugs!$A$2:$G1014,7,FALSE()),"BIC: "&amp;VLOOKUP(A15,Internal_lists_bugs!$A$2:$G1014,7,FALSE())&amp;CHAR(10)&amp;"Intro.Issues: "&amp;VLOOKUP(A15,Internal_lists_bugs!$A$2:$P1014,16,FALSE())),"please select a BUG ID")</f>
        <v>BIC: https://opendev.org/openstack/nova/commit/990561227d1cdadc1ae91fdcc74286a47f0ddf2c
Intro.Issues: pci-passthrough-sriov</v>
      </c>
      <c r="D15" s="40" t="s">
        <v>141</v>
      </c>
      <c r="E15" s="16" t="s">
        <v>142</v>
      </c>
      <c r="F15" s="41" t="s">
        <v>134</v>
      </c>
      <c r="G15" s="42" t="s">
        <v>120</v>
      </c>
      <c r="H15" s="16" t="s">
        <v>135</v>
      </c>
      <c r="I15" s="16" t="b">
        <v>0</v>
      </c>
    </row>
    <row r="16">
      <c r="A16" s="16" t="s">
        <v>32</v>
      </c>
      <c r="B16" s="38" t="str">
        <f>IFERROR(HYPERLINK(VLOOKUP(A16,Internal_lists_bugs!$A$2:$C$73,3,FALSE()), VLOOKUP(A16,Internal_lists_bugs!$A$2:$C$73,3,FALSE())&amp;Char(10) &amp; Char(10) &amp; VLOOKUP(A16,Internal_lists_bugs!$A$2:$Z$73,26,FALSE())),"please select a BUG ID")</f>
        <v>
</v>
      </c>
      <c r="C16" s="39" t="str">
        <f>IFERROR(Hyperlink(VLOOKUP(A16,Internal_lists_bugs!$A$2:$G1014,7,FALSE()),"BIC: "&amp;VLOOKUP(A16,Internal_lists_bugs!$A$2:$G1014,7,FALSE())&amp;CHAR(10)&amp;"Intro.Issues: "&amp;VLOOKUP(A16,Internal_lists_bugs!$A$2:$P1014,16,FALSE())),"please select a BUG ID")</f>
        <v>BIC: https://opendev.org/openstack/nova/commit/990561227d1cdadc1ae91fdcc74286a47f0ddf2c
Intro.Issues: pci-passthrough-sriov</v>
      </c>
      <c r="D16" s="40" t="s">
        <v>141</v>
      </c>
      <c r="E16" s="43"/>
      <c r="F16" s="41" t="s">
        <v>143</v>
      </c>
      <c r="G16" s="42" t="s">
        <v>123</v>
      </c>
      <c r="H16" s="43"/>
    </row>
    <row r="17">
      <c r="A17" s="16" t="s">
        <v>32</v>
      </c>
      <c r="B17" s="38" t="str">
        <f>IFERROR(HYPERLINK(VLOOKUP(A17,Internal_lists_bugs!$A$2:$C$73,3,FALSE()), VLOOKUP(A17,Internal_lists_bugs!$A$2:$C$73,3,FALSE())&amp;Char(10) &amp; Char(10) &amp; VLOOKUP(A17,Internal_lists_bugs!$A$2:$Z$73,26,FALSE())),"please select a BUG ID")</f>
        <v>
</v>
      </c>
      <c r="C17" s="39" t="str">
        <f>IFERROR(Hyperlink(VLOOKUP(A17,Internal_lists_bugs!$A$2:$G1014,7,FALSE()),"BIC: "&amp;VLOOKUP(A17,Internal_lists_bugs!$A$2:$G1014,7,FALSE())&amp;CHAR(10)&amp;"Intro.Issues: "&amp;VLOOKUP(A17,Internal_lists_bugs!$A$2:$P1014,16,FALSE())),"please select a BUG ID")</f>
        <v>BIC: https://opendev.org/openstack/nova/commit/990561227d1cdadc1ae91fdcc74286a47f0ddf2c
Intro.Issues: pci-passthrough-sriov</v>
      </c>
      <c r="D17" s="40" t="s">
        <v>141</v>
      </c>
      <c r="E17" s="43"/>
      <c r="F17" s="41" t="s">
        <v>134</v>
      </c>
      <c r="G17" s="42" t="s">
        <v>123</v>
      </c>
      <c r="H17" s="43"/>
    </row>
    <row r="18">
      <c r="A18" s="16" t="s">
        <v>32</v>
      </c>
      <c r="B18" s="38" t="str">
        <f>IFERROR(HYPERLINK(VLOOKUP(A18,Internal_lists_bugs!$A$2:$C$73,3,FALSE()), VLOOKUP(A18,Internal_lists_bugs!$A$2:$C$73,3,FALSE())&amp;Char(10) &amp; Char(10) &amp; VLOOKUP(A18,Internal_lists_bugs!$A$2:$Z$73,26,FALSE())),"please select a BUG ID")</f>
        <v>
</v>
      </c>
      <c r="C18" s="39" t="str">
        <f>IFERROR(Hyperlink(VLOOKUP(A18,Internal_lists_bugs!$A$2:$G1014,7,FALSE()),"BIC: "&amp;VLOOKUP(A18,Internal_lists_bugs!$A$2:$G1014,7,FALSE())&amp;CHAR(10)&amp;"Intro.Issues: "&amp;VLOOKUP(A18,Internal_lists_bugs!$A$2:$P1014,16,FALSE())),"please select a BUG ID")</f>
        <v>BIC: https://opendev.org/openstack/nova/commit/990561227d1cdadc1ae91fdcc74286a47f0ddf2c
Intro.Issues: pci-passthrough-sriov</v>
      </c>
      <c r="D18" s="40" t="s">
        <v>141</v>
      </c>
      <c r="E18" s="43"/>
      <c r="F18" s="41" t="s">
        <v>144</v>
      </c>
      <c r="G18" s="42" t="s">
        <v>139</v>
      </c>
      <c r="H18" s="43"/>
    </row>
    <row r="19">
      <c r="A19" s="16" t="s">
        <v>32</v>
      </c>
      <c r="B19" s="38" t="str">
        <f>IFERROR(HYPERLINK(VLOOKUP(A19,Internal_lists_bugs!$A$2:$C$73,3,FALSE()), VLOOKUP(A19,Internal_lists_bugs!$A$2:$C$73,3,FALSE())&amp;Char(10) &amp; Char(10) &amp; VLOOKUP(A19,Internal_lists_bugs!$A$2:$Z$73,26,FALSE())),"please select a BUG ID")</f>
        <v>
</v>
      </c>
      <c r="C19" s="39" t="str">
        <f>IFERROR(Hyperlink(VLOOKUP(A19,Internal_lists_bugs!$A$2:$G1014,7,FALSE()),"BIC: "&amp;VLOOKUP(A19,Internal_lists_bugs!$A$2:$G1014,7,FALSE())&amp;CHAR(10)&amp;"Intro.Issues: "&amp;VLOOKUP(A19,Internal_lists_bugs!$A$2:$P1014,16,FALSE())),"please select a BUG ID")</f>
        <v>BIC: https://opendev.org/openstack/nova/commit/990561227d1cdadc1ae91fdcc74286a47f0ddf2c
Intro.Issues: pci-passthrough-sriov</v>
      </c>
      <c r="D19" s="40" t="s">
        <v>141</v>
      </c>
      <c r="E19" s="43"/>
      <c r="F19" s="41" t="s">
        <v>145</v>
      </c>
      <c r="G19" s="42" t="s">
        <v>139</v>
      </c>
      <c r="H19" s="43"/>
    </row>
    <row r="20">
      <c r="A20" s="16" t="s">
        <v>32</v>
      </c>
      <c r="B20" s="38" t="str">
        <f>IFERROR(HYPERLINK(VLOOKUP(A20,Internal_lists_bugs!$A$2:$C$73,3,FALSE()), VLOOKUP(A20,Internal_lists_bugs!$A$2:$C$73,3,FALSE())&amp;Char(10) &amp; Char(10) &amp; VLOOKUP(A20,Internal_lists_bugs!$A$2:$Z$73,26,FALSE())),"please select a BUG ID")</f>
        <v>
</v>
      </c>
      <c r="C20" s="39" t="str">
        <f>IFERROR(Hyperlink(VLOOKUP(A20,Internal_lists_bugs!$A$2:$G1014,7,FALSE()),"BIC: "&amp;VLOOKUP(A20,Internal_lists_bugs!$A$2:$G1014,7,FALSE())&amp;CHAR(10)&amp;"Intro.Issues: "&amp;VLOOKUP(A20,Internal_lists_bugs!$A$2:$P1014,16,FALSE())),"please select a BUG ID")</f>
        <v>BIC: https://opendev.org/openstack/nova/commit/990561227d1cdadc1ae91fdcc74286a47f0ddf2c
Intro.Issues: pci-passthrough-sriov</v>
      </c>
      <c r="D20" s="40" t="s">
        <v>141</v>
      </c>
      <c r="E20" s="43"/>
      <c r="F20" s="41" t="s">
        <v>140</v>
      </c>
      <c r="G20" s="42" t="s">
        <v>139</v>
      </c>
      <c r="H20" s="43"/>
    </row>
    <row r="21">
      <c r="A21" s="16" t="s">
        <v>32</v>
      </c>
      <c r="B21" s="38" t="str">
        <f>IFERROR(HYPERLINK(VLOOKUP(A21,Internal_lists_bugs!$A$2:$C$73,3,FALSE()), VLOOKUP(A21,Internal_lists_bugs!$A$2:$C$73,3,FALSE())&amp;Char(10) &amp; Char(10) &amp; VLOOKUP(A21,Internal_lists_bugs!$A$2:$Z$73,26,FALSE())),"please select a BUG ID")</f>
        <v>
</v>
      </c>
      <c r="C21" s="39" t="str">
        <f>IFERROR(Hyperlink(VLOOKUP(A21,Internal_lists_bugs!$A$2:$G1014,7,FALSE()),"BIC: "&amp;VLOOKUP(A21,Internal_lists_bugs!$A$2:$G1014,7,FALSE())&amp;CHAR(10)&amp;"Intro.Issues: "&amp;VLOOKUP(A21,Internal_lists_bugs!$A$2:$P1014,16,FALSE())),"please select a BUG ID")</f>
        <v>BIC: https://opendev.org/openstack/nova/commit/990561227d1cdadc1ae91fdcc74286a47f0ddf2c
Intro.Issues: pci-passthrough-sriov</v>
      </c>
      <c r="D21" s="40" t="s">
        <v>141</v>
      </c>
      <c r="E21" s="43"/>
      <c r="F21" s="41" t="s">
        <v>146</v>
      </c>
      <c r="G21" s="42" t="s">
        <v>139</v>
      </c>
      <c r="H21" s="43"/>
    </row>
    <row r="22">
      <c r="A22" s="16" t="s">
        <v>33</v>
      </c>
      <c r="B22" s="38" t="str">
        <f>IFERROR(HYPERLINK(VLOOKUP(A22,Internal_lists_bugs!$A$2:$C$73,3,FALSE()), VLOOKUP(A22,Internal_lists_bugs!$A$2:$C$73,3,FALSE())&amp;Char(10) &amp; Char(10) &amp; VLOOKUP(A22,Internal_lists_bugs!$A$2:$Z$73,26,FALSE())),"please select a BUG ID")</f>
        <v>
</v>
      </c>
      <c r="C22" s="39" t="str">
        <f>IFERROR(Hyperlink(VLOOKUP(A22,Internal_lists_bugs!$A$2:$G1014,7,FALSE()),"BIC: "&amp;VLOOKUP(A22,Internal_lists_bugs!$A$2:$G1014,7,FALSE())&amp;CHAR(10)&amp;"Intro.Issues: "&amp;VLOOKUP(A22,Internal_lists_bugs!$A$2:$P1014,16,FALSE())),"please select a BUG ID")</f>
        <v>BIC: https://opendev.org/openstack/nova/commit/27a5753dd3766b5535e0248d48c9bb555379dd12
Intro.Issues: 884842</v>
      </c>
      <c r="D22" s="40">
        <v>884842.0</v>
      </c>
      <c r="E22" s="16" t="s">
        <v>118</v>
      </c>
      <c r="F22" s="41" t="s">
        <v>124</v>
      </c>
      <c r="G22" s="44" t="s">
        <v>120</v>
      </c>
      <c r="H22" s="16" t="s">
        <v>121</v>
      </c>
      <c r="I22" s="16" t="b">
        <v>0</v>
      </c>
    </row>
    <row r="23">
      <c r="A23" s="16" t="s">
        <v>33</v>
      </c>
      <c r="B23" s="38" t="str">
        <f>IFERROR(HYPERLINK(VLOOKUP(A23,Internal_lists_bugs!$A$2:$C$73,3,FALSE()), VLOOKUP(A23,Internal_lists_bugs!$A$2:$C$73,3,FALSE())&amp;Char(10) &amp; Char(10) &amp; VLOOKUP(A23,Internal_lists_bugs!$A$2:$Z$73,26,FALSE())),"please select a BUG ID")</f>
        <v>
</v>
      </c>
      <c r="C23" s="39" t="str">
        <f>IFERROR(Hyperlink(VLOOKUP(A23,Internal_lists_bugs!$A$2:$G1014,7,FALSE()),"BIC: "&amp;VLOOKUP(A23,Internal_lists_bugs!$A$2:$G1014,7,FALSE())&amp;CHAR(10)&amp;"Intro.Issues: "&amp;VLOOKUP(A23,Internal_lists_bugs!$A$2:$P1014,16,FALSE())),"please select a BUG ID")</f>
        <v>BIC: https://opendev.org/openstack/nova/commit/27a5753dd3766b5535e0248d48c9bb555379dd12
Intro.Issues: 884842</v>
      </c>
      <c r="D23" s="40">
        <v>884842.0</v>
      </c>
      <c r="E23" s="43"/>
      <c r="F23" s="41" t="s">
        <v>124</v>
      </c>
      <c r="G23" s="42" t="s">
        <v>123</v>
      </c>
      <c r="H23" s="43"/>
    </row>
    <row r="24">
      <c r="A24" s="16" t="s">
        <v>33</v>
      </c>
      <c r="B24" s="38" t="str">
        <f>IFERROR(HYPERLINK(VLOOKUP(A24,Internal_lists_bugs!$A$2:$C$73,3,FALSE()), VLOOKUP(A24,Internal_lists_bugs!$A$2:$C$73,3,FALSE())&amp;Char(10) &amp; Char(10) &amp; VLOOKUP(A24,Internal_lists_bugs!$A$2:$Z$73,26,FALSE())),"please select a BUG ID")</f>
        <v>
</v>
      </c>
      <c r="C24" s="39" t="str">
        <f>IFERROR(Hyperlink(VLOOKUP(A24,Internal_lists_bugs!$A$2:$G1014,7,FALSE()),"BIC: "&amp;VLOOKUP(A24,Internal_lists_bugs!$A$2:$G1014,7,FALSE())&amp;CHAR(10)&amp;"Intro.Issues: "&amp;VLOOKUP(A24,Internal_lists_bugs!$A$2:$P1014,16,FALSE())),"please select a BUG ID")</f>
        <v>BIC: https://opendev.org/openstack/nova/commit/27a5753dd3766b5535e0248d48c9bb555379dd12
Intro.Issues: 884842</v>
      </c>
      <c r="D24" s="40">
        <v>884842.0</v>
      </c>
      <c r="E24" s="43"/>
      <c r="F24" s="41" t="s">
        <v>122</v>
      </c>
      <c r="G24" s="42" t="s">
        <v>123</v>
      </c>
      <c r="H24" s="43"/>
    </row>
    <row r="25">
      <c r="A25" s="16" t="s">
        <v>33</v>
      </c>
      <c r="B25" s="38" t="str">
        <f>IFERROR(HYPERLINK(VLOOKUP(A25,Internal_lists_bugs!$A$2:$C$73,3,FALSE()), VLOOKUP(A25,Internal_lists_bugs!$A$2:$C$73,3,FALSE())&amp;Char(10) &amp; Char(10) &amp; VLOOKUP(A25,Internal_lists_bugs!$A$2:$Z$73,26,FALSE())),"please select a BUG ID")</f>
        <v>
</v>
      </c>
      <c r="C25" s="39" t="str">
        <f>IFERROR(Hyperlink(VLOOKUP(A25,Internal_lists_bugs!$A$2:$G1014,7,FALSE()),"BIC: "&amp;VLOOKUP(A25,Internal_lists_bugs!$A$2:$G1014,7,FALSE())&amp;CHAR(10)&amp;"Intro.Issues: "&amp;VLOOKUP(A25,Internal_lists_bugs!$A$2:$P1014,16,FALSE())),"please select a BUG ID")</f>
        <v>BIC: https://opendev.org/openstack/nova/commit/27a5753dd3766b5535e0248d48c9bb555379dd12
Intro.Issues: 884842</v>
      </c>
      <c r="D25" s="40">
        <v>884842.0</v>
      </c>
      <c r="E25" s="43"/>
      <c r="F25" s="41" t="s">
        <v>147</v>
      </c>
      <c r="G25" s="42" t="s">
        <v>123</v>
      </c>
      <c r="H25" s="43"/>
    </row>
    <row r="26">
      <c r="A26" s="16" t="s">
        <v>33</v>
      </c>
      <c r="B26" s="38" t="str">
        <f>IFERROR(HYPERLINK(VLOOKUP(A26,Internal_lists_bugs!$A$2:$C$73,3,FALSE()), VLOOKUP(A26,Internal_lists_bugs!$A$2:$C$73,3,FALSE())&amp;Char(10) &amp; Char(10) &amp; VLOOKUP(A26,Internal_lists_bugs!$A$2:$Z$73,26,FALSE())),"please select a BUG ID")</f>
        <v>
</v>
      </c>
      <c r="C26" s="39" t="str">
        <f>IFERROR(Hyperlink(VLOOKUP(A26,Internal_lists_bugs!$A$2:$G1014,7,FALSE()),"BIC: "&amp;VLOOKUP(A26,Internal_lists_bugs!$A$2:$G1014,7,FALSE())&amp;CHAR(10)&amp;"Intro.Issues: "&amp;VLOOKUP(A26,Internal_lists_bugs!$A$2:$P1014,16,FALSE())),"please select a BUG ID")</f>
        <v>BIC: https://opendev.org/openstack/nova/commit/27a5753dd3766b5535e0248d48c9bb555379dd12
Intro.Issues: 884842</v>
      </c>
      <c r="D26" s="40">
        <v>884842.0</v>
      </c>
      <c r="E26" s="43"/>
      <c r="F26" s="41" t="s">
        <v>147</v>
      </c>
      <c r="G26" s="42" t="s">
        <v>129</v>
      </c>
      <c r="H26" s="43"/>
    </row>
    <row r="27">
      <c r="A27" s="16" t="s">
        <v>33</v>
      </c>
      <c r="B27" s="38" t="str">
        <f>IFERROR(HYPERLINK(VLOOKUP(A27,Internal_lists_bugs!$A$2:$C$73,3,FALSE()), VLOOKUP(A27,Internal_lists_bugs!$A$2:$C$73,3,FALSE())&amp;Char(10) &amp; Char(10) &amp; VLOOKUP(A27,Internal_lists_bugs!$A$2:$Z$73,26,FALSE())),"please select a BUG ID")</f>
        <v>
</v>
      </c>
      <c r="C27" s="39" t="str">
        <f>IFERROR(Hyperlink(VLOOKUP(A27,Internal_lists_bugs!$A$2:$G1014,7,FALSE()),"BIC: "&amp;VLOOKUP(A27,Internal_lists_bugs!$A$2:$G1014,7,FALSE())&amp;CHAR(10)&amp;"Intro.Issues: "&amp;VLOOKUP(A27,Internal_lists_bugs!$A$2:$P1014,16,FALSE())),"please select a BUG ID")</f>
        <v>BIC: https://opendev.org/openstack/nova/commit/27a5753dd3766b5535e0248d48c9bb555379dd12
Intro.Issues: 884842</v>
      </c>
      <c r="D27" s="40">
        <v>884842.0</v>
      </c>
      <c r="E27" s="43"/>
      <c r="F27" s="41" t="s">
        <v>130</v>
      </c>
      <c r="G27" s="42" t="s">
        <v>131</v>
      </c>
      <c r="H27" s="43"/>
    </row>
    <row r="28">
      <c r="A28" s="16" t="s">
        <v>33</v>
      </c>
      <c r="B28" s="38" t="str">
        <f>IFERROR(HYPERLINK(VLOOKUP(A28,Internal_lists_bugs!$A$2:$C$73,3,FALSE()), VLOOKUP(A28,Internal_lists_bugs!$A$2:$C$73,3,FALSE())&amp;Char(10) &amp; Char(10) &amp; VLOOKUP(A28,Internal_lists_bugs!$A$2:$Z$73,26,FALSE())),"please select a BUG ID")</f>
        <v>
</v>
      </c>
      <c r="C28" s="39" t="str">
        <f>IFERROR(Hyperlink(VLOOKUP(A28,Internal_lists_bugs!$A$2:$G1014,7,FALSE()),"BIC: "&amp;VLOOKUP(A28,Internal_lists_bugs!$A$2:$G1014,7,FALSE())&amp;CHAR(10)&amp;"Intro.Issues: "&amp;VLOOKUP(A28,Internal_lists_bugs!$A$2:$P1014,16,FALSE())),"please select a BUG ID")</f>
        <v>BIC: https://opendev.org/openstack/nova/commit/27a5753dd3766b5535e0248d48c9bb555379dd12
Intro.Issues: 884842</v>
      </c>
      <c r="D28" s="40">
        <v>884842.0</v>
      </c>
      <c r="E28" s="43"/>
      <c r="F28" s="41" t="s">
        <v>148</v>
      </c>
      <c r="G28" s="42" t="s">
        <v>149</v>
      </c>
      <c r="H28" s="43"/>
    </row>
    <row r="29">
      <c r="A29" s="16" t="s">
        <v>34</v>
      </c>
      <c r="B29" s="38" t="str">
        <f>IFERROR(HYPERLINK(VLOOKUP(A29,Internal_lists_bugs!$A$2:$C$73,3,FALSE()), VLOOKUP(A29,Internal_lists_bugs!$A$2:$C$73,3,FALSE())&amp;Char(10) &amp; Char(10) &amp; VLOOKUP(A29,Internal_lists_bugs!$A$2:$Z$73,26,FALSE())),"please select a BUG ID")</f>
        <v>
</v>
      </c>
      <c r="C29" s="39" t="str">
        <f>IFERROR(Hyperlink(VLOOKUP(A29,Internal_lists_bugs!$A$2:$G1014,7,FALSE()),"BIC: "&amp;VLOOKUP(A29,Internal_lists_bugs!$A$2:$G1014,7,FALSE())&amp;CHAR(10)&amp;"Intro.Issues: "&amp;VLOOKUP(A29,Internal_lists_bugs!$A$2:$P1014,16,FALSE())),"please select a BUG ID")</f>
        <v>BIC: https://opendev.org/openstack/nova/commit/05120edf92627ff7ad20a928f8b94568031556c9
Intro.Issues: nova-no-downward-sql-migration</v>
      </c>
      <c r="D29" s="40" t="s">
        <v>150</v>
      </c>
      <c r="E29" s="16" t="s">
        <v>133</v>
      </c>
      <c r="F29" s="41" t="s">
        <v>134</v>
      </c>
      <c r="G29" s="42" t="s">
        <v>123</v>
      </c>
      <c r="H29" s="16" t="s">
        <v>135</v>
      </c>
      <c r="I29" s="16" t="b">
        <v>0</v>
      </c>
      <c r="J29" s="16" t="s">
        <v>136</v>
      </c>
    </row>
    <row r="30">
      <c r="A30" s="16" t="s">
        <v>34</v>
      </c>
      <c r="B30" s="38" t="str">
        <f>IFERROR(HYPERLINK(VLOOKUP(A30,Internal_lists_bugs!$A$2:$C$73,3,FALSE()), VLOOKUP(A30,Internal_lists_bugs!$A$2:$C$73,3,FALSE())&amp;Char(10) &amp; Char(10) &amp; VLOOKUP(A30,Internal_lists_bugs!$A$2:$Z$73,26,FALSE())),"please select a BUG ID")</f>
        <v>
</v>
      </c>
      <c r="C30" s="39" t="str">
        <f>IFERROR(Hyperlink(VLOOKUP(A30,Internal_lists_bugs!$A$2:$G1014,7,FALSE()),"BIC: "&amp;VLOOKUP(A30,Internal_lists_bugs!$A$2:$G1014,7,FALSE())&amp;CHAR(10)&amp;"Intro.Issues: "&amp;VLOOKUP(A30,Internal_lists_bugs!$A$2:$P1014,16,FALSE())),"please select a BUG ID")</f>
        <v>BIC: https://opendev.org/openstack/nova/commit/05120edf92627ff7ad20a928f8b94568031556c9
Intro.Issues: nova-no-downward-sql-migration</v>
      </c>
      <c r="D30" s="40" t="s">
        <v>150</v>
      </c>
      <c r="E30" s="43"/>
      <c r="F30" s="41" t="s">
        <v>151</v>
      </c>
      <c r="G30" s="42" t="s">
        <v>139</v>
      </c>
      <c r="H30" s="43"/>
    </row>
    <row r="31">
      <c r="A31" s="16" t="s">
        <v>35</v>
      </c>
      <c r="B31" s="38" t="str">
        <f>IFERROR(HYPERLINK(VLOOKUP(A31,Internal_lists_bugs!$A$2:$C$73,3,FALSE()), VLOOKUP(A31,Internal_lists_bugs!$A$2:$C$73,3,FALSE())&amp;Char(10) &amp; Char(10) &amp; VLOOKUP(A31,Internal_lists_bugs!$A$2:$Z$73,26,FALSE())),"please select a BUG ID")</f>
        <v>
</v>
      </c>
      <c r="C31" s="39" t="str">
        <f>IFERROR(Hyperlink(VLOOKUP(A31,Internal_lists_bugs!$A$2:$G1014,7,FALSE()),"BIC: "&amp;VLOOKUP(A31,Internal_lists_bugs!$A$2:$G1014,7,FALSE())&amp;CHAR(10)&amp;"Intro.Issues: "&amp;VLOOKUP(A31,Internal_lists_bugs!$A$2:$P1014,16,FALSE())),"please select a BUG ID")</f>
        <v>BIC: https://opendev.org/openstack/nova/commit/6982d8534d78d9732fc8d6e05c8f3bb432d62264
Intro.Issues: aggregate-api-policy</v>
      </c>
      <c r="D31" s="40" t="s">
        <v>152</v>
      </c>
      <c r="E31" s="16" t="s">
        <v>142</v>
      </c>
      <c r="F31" s="41" t="s">
        <v>134</v>
      </c>
      <c r="G31" s="42" t="s">
        <v>120</v>
      </c>
      <c r="H31" s="16" t="s">
        <v>121</v>
      </c>
      <c r="I31" s="16" t="b">
        <v>0</v>
      </c>
    </row>
    <row r="32">
      <c r="A32" s="16" t="s">
        <v>35</v>
      </c>
      <c r="B32" s="38" t="str">
        <f>IFERROR(HYPERLINK(VLOOKUP(A32,Internal_lists_bugs!$A$2:$C$73,3,FALSE()), VLOOKUP(A32,Internal_lists_bugs!$A$2:$C$73,3,FALSE())&amp;Char(10) &amp; Char(10) &amp; VLOOKUP(A32,Internal_lists_bugs!$A$2:$Z$73,26,FALSE())),"please select a BUG ID")</f>
        <v>
</v>
      </c>
      <c r="C32" s="39" t="str">
        <f>IFERROR(Hyperlink(VLOOKUP(A32,Internal_lists_bugs!$A$2:$G1014,7,FALSE()),"BIC: "&amp;VLOOKUP(A32,Internal_lists_bugs!$A$2:$G1014,7,FALSE())&amp;CHAR(10)&amp;"Intro.Issues: "&amp;VLOOKUP(A32,Internal_lists_bugs!$A$2:$P1014,16,FALSE())),"please select a BUG ID")</f>
        <v>BIC: https://opendev.org/openstack/nova/commit/6982d8534d78d9732fc8d6e05c8f3bb432d62264
Intro.Issues: aggregate-api-policy</v>
      </c>
      <c r="D32" s="40" t="s">
        <v>152</v>
      </c>
      <c r="E32" s="43"/>
      <c r="F32" s="41" t="s">
        <v>134</v>
      </c>
      <c r="G32" s="42" t="s">
        <v>123</v>
      </c>
      <c r="H32" s="43"/>
    </row>
    <row r="33">
      <c r="A33" s="16" t="s">
        <v>35</v>
      </c>
      <c r="B33" s="38" t="str">
        <f>IFERROR(HYPERLINK(VLOOKUP(A33,Internal_lists_bugs!$A$2:$C$73,3,FALSE()), VLOOKUP(A33,Internal_lists_bugs!$A$2:$C$73,3,FALSE())&amp;Char(10) &amp; Char(10) &amp; VLOOKUP(A33,Internal_lists_bugs!$A$2:$Z$73,26,FALSE())),"please select a BUG ID")</f>
        <v>
</v>
      </c>
      <c r="C33" s="39" t="str">
        <f>IFERROR(Hyperlink(VLOOKUP(A33,Internal_lists_bugs!$A$2:$G1014,7,FALSE()),"BIC: "&amp;VLOOKUP(A33,Internal_lists_bugs!$A$2:$G1014,7,FALSE())&amp;CHAR(10)&amp;"Intro.Issues: "&amp;VLOOKUP(A33,Internal_lists_bugs!$A$2:$P1014,16,FALSE())),"please select a BUG ID")</f>
        <v>BIC: https://opendev.org/openstack/nova/commit/6982d8534d78d9732fc8d6e05c8f3bb432d62264
Intro.Issues: aggregate-api-policy</v>
      </c>
      <c r="D33" s="40" t="s">
        <v>152</v>
      </c>
      <c r="E33" s="43"/>
      <c r="F33" s="41" t="s">
        <v>153</v>
      </c>
      <c r="G33" s="42" t="s">
        <v>123</v>
      </c>
      <c r="H33" s="43"/>
    </row>
    <row r="34">
      <c r="A34" s="16" t="s">
        <v>35</v>
      </c>
      <c r="B34" s="38" t="str">
        <f>IFERROR(HYPERLINK(VLOOKUP(A34,Internal_lists_bugs!$A$2:$C$73,3,FALSE()), VLOOKUP(A34,Internal_lists_bugs!$A$2:$C$73,3,FALSE())&amp;Char(10) &amp; Char(10) &amp; VLOOKUP(A34,Internal_lists_bugs!$A$2:$Z$73,26,FALSE())),"please select a BUG ID")</f>
        <v>
</v>
      </c>
      <c r="C34" s="39" t="str">
        <f>IFERROR(Hyperlink(VLOOKUP(A34,Internal_lists_bugs!$A$2:$G1014,7,FALSE()),"BIC: "&amp;VLOOKUP(A34,Internal_lists_bugs!$A$2:$G1014,7,FALSE())&amp;CHAR(10)&amp;"Intro.Issues: "&amp;VLOOKUP(A34,Internal_lists_bugs!$A$2:$P1014,16,FALSE())),"please select a BUG ID")</f>
        <v>BIC: https://opendev.org/openstack/nova/commit/6982d8534d78d9732fc8d6e05c8f3bb432d62264
Intro.Issues: aggregate-api-policy</v>
      </c>
      <c r="D34" s="40" t="s">
        <v>152</v>
      </c>
      <c r="E34" s="43"/>
      <c r="F34" s="41" t="s">
        <v>154</v>
      </c>
      <c r="G34" s="42" t="s">
        <v>123</v>
      </c>
      <c r="H34" s="43"/>
    </row>
    <row r="35">
      <c r="A35" s="16" t="s">
        <v>36</v>
      </c>
      <c r="B35" s="38" t="str">
        <f>IFERROR(HYPERLINK(VLOOKUP(A35,Internal_lists_bugs!$A$2:$C$73,3,FALSE()), VLOOKUP(A35,Internal_lists_bugs!$A$2:$C$73,3,FALSE())&amp;Char(10) &amp; Char(10) &amp; VLOOKUP(A35,Internal_lists_bugs!$A$2:$Z$73,26,FALSE())),"please select a BUG ID")</f>
        <v>
</v>
      </c>
      <c r="C35" s="39" t="str">
        <f>IFERROR(Hyperlink(VLOOKUP(A35,Internal_lists_bugs!$A$2:$G1014,7,FALSE()),"BIC: "&amp;VLOOKUP(A35,Internal_lists_bugs!$A$2:$G1014,7,FALSE())&amp;CHAR(10)&amp;"Intro.Issues: "&amp;VLOOKUP(A35,Internal_lists_bugs!$A$2:$P1014,16,FALSE())),"please select a BUG ID")</f>
        <v>BIC: https://opendev.org/openstack/nova/commit/995ee643f3291157151d195552232d09d471d8c2
Intro.Issues: </v>
      </c>
      <c r="D35" s="40"/>
      <c r="E35" s="43"/>
      <c r="F35" s="41"/>
      <c r="G35" s="42"/>
      <c r="H35" s="43"/>
    </row>
    <row r="36">
      <c r="A36" s="16" t="s">
        <v>37</v>
      </c>
      <c r="B36" s="38" t="str">
        <f>IFERROR(HYPERLINK(VLOOKUP(A36,Internal_lists_bugs!$A$2:$C$73,3,FALSE()), VLOOKUP(A36,Internal_lists_bugs!$A$2:$C$73,3,FALSE())&amp;Char(10) &amp; Char(10) &amp; VLOOKUP(A36,Internal_lists_bugs!$A$2:$Z$73,26,FALSE())),"please select a BUG ID")</f>
        <v>
</v>
      </c>
      <c r="C36" s="39" t="str">
        <f>IFERROR(Hyperlink(VLOOKUP(A36,Internal_lists_bugs!$A$2:$G1014,7,FALSE()),"BIC: "&amp;VLOOKUP(A36,Internal_lists_bugs!$A$2:$G1014,7,FALSE())&amp;CHAR(10)&amp;"Intro.Issues: "&amp;VLOOKUP(A36,Internal_lists_bugs!$A$2:$P1014,16,FALSE())),"please select a BUG ID")</f>
        <v>BIC: https://opendev.org/openstack/nova/commit/8218a86dedd50301252598667171d17d874bb36d
Intro.Issues: compute-manager-objects</v>
      </c>
      <c r="D36" s="40" t="s">
        <v>155</v>
      </c>
      <c r="E36" s="16" t="s">
        <v>133</v>
      </c>
      <c r="F36" s="41" t="s">
        <v>156</v>
      </c>
      <c r="G36" s="42" t="s">
        <v>120</v>
      </c>
      <c r="H36" s="16" t="s">
        <v>121</v>
      </c>
      <c r="I36" s="16" t="b">
        <v>0</v>
      </c>
    </row>
    <row r="37">
      <c r="A37" s="16" t="s">
        <v>37</v>
      </c>
      <c r="B37" s="38" t="str">
        <f>IFERROR(HYPERLINK(VLOOKUP(A37,Internal_lists_bugs!$A$2:$C$73,3,FALSE()), VLOOKUP(A37,Internal_lists_bugs!$A$2:$C$73,3,FALSE())&amp;Char(10) &amp; Char(10) &amp; VLOOKUP(A37,Internal_lists_bugs!$A$2:$Z$73,26,FALSE())),"please select a BUG ID")</f>
        <v>
</v>
      </c>
      <c r="C37" s="39" t="str">
        <f>IFERROR(Hyperlink(VLOOKUP(A37,Internal_lists_bugs!$A$2:$G1014,7,FALSE()),"BIC: "&amp;VLOOKUP(A37,Internal_lists_bugs!$A$2:$G1014,7,FALSE())&amp;CHAR(10)&amp;"Intro.Issues: "&amp;VLOOKUP(A37,Internal_lists_bugs!$A$2:$P1014,16,FALSE())),"please select a BUG ID")</f>
        <v>BIC: https://opendev.org/openstack/nova/commit/8218a86dedd50301252598667171d17d874bb36d
Intro.Issues: compute-manager-objects</v>
      </c>
      <c r="D37" s="40" t="s">
        <v>155</v>
      </c>
      <c r="E37" s="43"/>
      <c r="F37" s="41" t="s">
        <v>156</v>
      </c>
      <c r="G37" s="42" t="s">
        <v>123</v>
      </c>
      <c r="H37" s="43"/>
    </row>
    <row r="38">
      <c r="A38" s="16" t="s">
        <v>37</v>
      </c>
      <c r="B38" s="38" t="str">
        <f>IFERROR(HYPERLINK(VLOOKUP(A38,Internal_lists_bugs!$A$2:$C$73,3,FALSE()), VLOOKUP(A38,Internal_lists_bugs!$A$2:$C$73,3,FALSE())&amp;Char(10) &amp; Char(10) &amp; VLOOKUP(A38,Internal_lists_bugs!$A$2:$Z$73,26,FALSE())),"please select a BUG ID")</f>
        <v>
</v>
      </c>
      <c r="C38" s="39" t="str">
        <f>IFERROR(Hyperlink(VLOOKUP(A38,Internal_lists_bugs!$A$2:$G1014,7,FALSE()),"BIC: "&amp;VLOOKUP(A38,Internal_lists_bugs!$A$2:$G1014,7,FALSE())&amp;CHAR(10)&amp;"Intro.Issues: "&amp;VLOOKUP(A38,Internal_lists_bugs!$A$2:$P1014,16,FALSE())),"please select a BUG ID")</f>
        <v>BIC: https://opendev.org/openstack/nova/commit/8218a86dedd50301252598667171d17d874bb36d
Intro.Issues: compute-manager-objects</v>
      </c>
      <c r="D38" s="40" t="s">
        <v>155</v>
      </c>
      <c r="E38" s="43"/>
      <c r="F38" s="41" t="s">
        <v>157</v>
      </c>
      <c r="G38" s="42" t="s">
        <v>158</v>
      </c>
      <c r="H38" s="43"/>
    </row>
    <row r="39">
      <c r="A39" s="16" t="s">
        <v>38</v>
      </c>
      <c r="B39" s="38" t="str">
        <f>IFERROR(HYPERLINK(VLOOKUP(A39,Internal_lists_bugs!$A$2:$C$73,3,FALSE()), VLOOKUP(A39,Internal_lists_bugs!$A$2:$C$73,3,FALSE())&amp;Char(10) &amp; Char(10) &amp; VLOOKUP(A39,Internal_lists_bugs!$A$2:$Z$73,26,FALSE())),"please select a BUG ID")</f>
        <v>
</v>
      </c>
      <c r="C39" s="39" t="str">
        <f>IFERROR(Hyperlink(VLOOKUP(A39,Internal_lists_bugs!$A$2:$G1014,7,FALSE()),"BIC: "&amp;VLOOKUP(A39,Internal_lists_bugs!$A$2:$G1014,7,FALSE())&amp;CHAR(10)&amp;"Intro.Issues: "&amp;VLOOKUP(A39,Internal_lists_bugs!$A$2:$P1014,16,FALSE())),"please select a BUG ID")</f>
        <v>BIC: https://opendev.org/openstack/nova/commit/90a37c069ede9d9b23ff6faef4ea6e48bbd7ebce
Intro.Issues: assertequal</v>
      </c>
      <c r="D39" s="40" t="s">
        <v>159</v>
      </c>
      <c r="E39" s="16" t="s">
        <v>160</v>
      </c>
      <c r="F39" s="41" t="s">
        <v>161</v>
      </c>
      <c r="G39" s="42" t="s">
        <v>120</v>
      </c>
      <c r="H39" s="16" t="s">
        <v>121</v>
      </c>
      <c r="I39" s="16" t="b">
        <v>0</v>
      </c>
    </row>
    <row r="40">
      <c r="A40" s="16" t="s">
        <v>38</v>
      </c>
      <c r="B40" s="38" t="str">
        <f>IFERROR(HYPERLINK(VLOOKUP(A40,Internal_lists_bugs!$A$2:$C$73,3,FALSE()), VLOOKUP(A40,Internal_lists_bugs!$A$2:$C$73,3,FALSE())&amp;Char(10) &amp; Char(10) &amp; VLOOKUP(A40,Internal_lists_bugs!$A$2:$Z$73,26,FALSE())),"please select a BUG ID")</f>
        <v>
</v>
      </c>
      <c r="C40" s="39" t="str">
        <f>IFERROR(Hyperlink(VLOOKUP(A40,Internal_lists_bugs!$A$2:$G1014,7,FALSE()),"BIC: "&amp;VLOOKUP(A40,Internal_lists_bugs!$A$2:$G1014,7,FALSE())&amp;CHAR(10)&amp;"Intro.Issues: "&amp;VLOOKUP(A40,Internal_lists_bugs!$A$2:$P1014,16,FALSE())),"please select a BUG ID")</f>
        <v>BIC: https://opendev.org/openstack/nova/commit/90a37c069ede9d9b23ff6faef4ea6e48bbd7ebce
Intro.Issues: assertequal</v>
      </c>
      <c r="D40" s="40" t="s">
        <v>159</v>
      </c>
      <c r="E40" s="43"/>
      <c r="F40" s="41" t="s">
        <v>162</v>
      </c>
      <c r="G40" s="42" t="s">
        <v>123</v>
      </c>
      <c r="H40" s="43"/>
    </row>
    <row r="41">
      <c r="A41" s="16" t="s">
        <v>38</v>
      </c>
      <c r="B41" s="38" t="str">
        <f>IFERROR(HYPERLINK(VLOOKUP(A41,Internal_lists_bugs!$A$2:$C$73,3,FALSE()), VLOOKUP(A41,Internal_lists_bugs!$A$2:$C$73,3,FALSE())&amp;Char(10) &amp; Char(10) &amp; VLOOKUP(A41,Internal_lists_bugs!$A$2:$Z$73,26,FALSE())),"please select a BUG ID")</f>
        <v>
</v>
      </c>
      <c r="C41" s="39" t="str">
        <f>IFERROR(Hyperlink(VLOOKUP(A41,Internal_lists_bugs!$A$2:$G1014,7,FALSE()),"BIC: "&amp;VLOOKUP(A41,Internal_lists_bugs!$A$2:$G1014,7,FALSE())&amp;CHAR(10)&amp;"Intro.Issues: "&amp;VLOOKUP(A41,Internal_lists_bugs!$A$2:$P1014,16,FALSE())),"please select a BUG ID")</f>
        <v>BIC: https://opendev.org/openstack/nova/commit/90a37c069ede9d9b23ff6faef4ea6e48bbd7ebce
Intro.Issues: assertequal</v>
      </c>
      <c r="D41" s="40" t="s">
        <v>159</v>
      </c>
      <c r="E41" s="43"/>
      <c r="F41" s="41" t="s">
        <v>161</v>
      </c>
      <c r="G41" s="42" t="s">
        <v>123</v>
      </c>
      <c r="H41" s="43"/>
    </row>
    <row r="42">
      <c r="A42" s="16" t="s">
        <v>38</v>
      </c>
      <c r="B42" s="38" t="str">
        <f>IFERROR(HYPERLINK(VLOOKUP(A42,Internal_lists_bugs!$A$2:$C$73,3,FALSE()), VLOOKUP(A42,Internal_lists_bugs!$A$2:$C$73,3,FALSE())&amp;Char(10) &amp; Char(10) &amp; VLOOKUP(A42,Internal_lists_bugs!$A$2:$Z$73,26,FALSE())),"please select a BUG ID")</f>
        <v>
</v>
      </c>
      <c r="C42" s="39" t="str">
        <f>IFERROR(Hyperlink(VLOOKUP(A42,Internal_lists_bugs!$A$2:$G1014,7,FALSE()),"BIC: "&amp;VLOOKUP(A42,Internal_lists_bugs!$A$2:$G1014,7,FALSE())&amp;CHAR(10)&amp;"Intro.Issues: "&amp;VLOOKUP(A42,Internal_lists_bugs!$A$2:$P1014,16,FALSE())),"please select a BUG ID")</f>
        <v>BIC: https://opendev.org/openstack/nova/commit/90a37c069ede9d9b23ff6faef4ea6e48bbd7ebce
Intro.Issues: assertequal</v>
      </c>
      <c r="D42" s="40" t="s">
        <v>159</v>
      </c>
      <c r="E42" s="43"/>
      <c r="F42" s="41" t="s">
        <v>163</v>
      </c>
      <c r="G42" s="42" t="s">
        <v>139</v>
      </c>
      <c r="H42" s="43"/>
    </row>
    <row r="43">
      <c r="A43" s="16" t="s">
        <v>39</v>
      </c>
      <c r="B43" s="38" t="str">
        <f>IFERROR(HYPERLINK(VLOOKUP(A43,Internal_lists_bugs!$A$2:$C$73,3,FALSE()), VLOOKUP(A43,Internal_lists_bugs!$A$2:$C$73,3,FALSE())&amp;Char(10) &amp; Char(10) &amp; VLOOKUP(A43,Internal_lists_bugs!$A$2:$Z$73,26,FALSE())),"please select a BUG ID")</f>
        <v>
</v>
      </c>
      <c r="C43" s="39" t="str">
        <f>IFERROR(Hyperlink(VLOOKUP(A43,Internal_lists_bugs!$A$2:$G1014,7,FALSE()),"BIC: "&amp;VLOOKUP(A43,Internal_lists_bugs!$A$2:$G1014,7,FALSE())&amp;CHAR(10)&amp;"Intro.Issues: "&amp;VLOOKUP(A43,Internal_lists_bugs!$A$2:$P1014,16,FALSE())),"please select a BUG ID")</f>
        <v>BIC: https://opendev.org/openstack/nova/commit/1e4024b72218a07d1e535878337547cf16406dd8
Intro.Issues: </v>
      </c>
      <c r="D43" s="40"/>
      <c r="E43" s="43"/>
      <c r="F43" s="41"/>
      <c r="G43" s="42"/>
      <c r="H43" s="43"/>
    </row>
    <row r="44">
      <c r="A44" s="16" t="s">
        <v>40</v>
      </c>
      <c r="B44" s="38" t="str">
        <f>IFERROR(HYPERLINK(VLOOKUP(A44,Internal_lists_bugs!$A$2:$C$73,3,FALSE()), VLOOKUP(A44,Internal_lists_bugs!$A$2:$C$73,3,FALSE())&amp;Char(10) &amp; Char(10) &amp; VLOOKUP(A44,Internal_lists_bugs!$A$2:$Z$73,26,FALSE())),"please select a BUG ID")</f>
        <v>
</v>
      </c>
      <c r="C44" s="39" t="str">
        <f>IFERROR(Hyperlink(VLOOKUP(A44,Internal_lists_bugs!$A$2:$G1014,7,FALSE()),"BIC: "&amp;VLOOKUP(A44,Internal_lists_bugs!$A$2:$G1014,7,FALSE())&amp;CHAR(10)&amp;"Intro.Issues: "&amp;VLOOKUP(A44,Internal_lists_bugs!$A$2:$P1014,16,FALSE())),"please select a BUG ID")</f>
        <v>BIC: https://opendev.org/openstack/nova/commit/f90885bacba3728dc9a35e99eecef37a37b881e2
Intro.Issues: </v>
      </c>
      <c r="D44" s="40"/>
      <c r="E44" s="43"/>
      <c r="F44" s="41"/>
      <c r="G44" s="42"/>
      <c r="H44" s="43"/>
    </row>
    <row r="45">
      <c r="A45" s="16" t="s">
        <v>41</v>
      </c>
      <c r="B45" s="38" t="str">
        <f>IFERROR(HYPERLINK(VLOOKUP(A45,Internal_lists_bugs!$A$2:$C$73,3,FALSE()), VLOOKUP(A45,Internal_lists_bugs!$A$2:$C$73,3,FALSE())&amp;Char(10) &amp; Char(10) &amp; VLOOKUP(A45,Internal_lists_bugs!$A$2:$Z$73,26,FALSE())),"please select a BUG ID")</f>
        <v>
</v>
      </c>
      <c r="C45" s="39" t="str">
        <f>IFERROR(Hyperlink(VLOOKUP(A45,Internal_lists_bugs!$A$2:$G1014,7,FALSE()),"BIC: "&amp;VLOOKUP(A45,Internal_lists_bugs!$A$2:$G1014,7,FALSE())&amp;CHAR(10)&amp;"Intro.Issues: "&amp;VLOOKUP(A45,Internal_lists_bugs!$A$2:$P1014,16,FALSE())),"please select a BUG ID")</f>
        <v>BIC: https://opendev.org/openstack/nova/commit/b826fba1cd61f7ddbee091c220eaef7ea5317c1b
Intro.Issues: </v>
      </c>
      <c r="D45" s="40"/>
      <c r="E45" s="43"/>
      <c r="F45" s="41"/>
      <c r="G45" s="42"/>
      <c r="H45" s="43"/>
    </row>
    <row r="46">
      <c r="A46" s="16" t="s">
        <v>42</v>
      </c>
      <c r="B46" s="38" t="str">
        <f>IFERROR(HYPERLINK(VLOOKUP(A46,Internal_lists_bugs!$A$2:$C$73,3,FALSE()), VLOOKUP(A46,Internal_lists_bugs!$A$2:$C$73,3,FALSE())&amp;Char(10) &amp; Char(10) &amp; VLOOKUP(A46,Internal_lists_bugs!$A$2:$Z$73,26,FALSE())),"please select a BUG ID")</f>
        <v>
</v>
      </c>
      <c r="C46" s="39" t="str">
        <f>IFERROR(Hyperlink(VLOOKUP(A46,Internal_lists_bugs!$A$2:$G1014,7,FALSE()),"BIC: "&amp;VLOOKUP(A46,Internal_lists_bugs!$A$2:$G1014,7,FALSE())&amp;CHAR(10)&amp;"Intro.Issues: "&amp;VLOOKUP(A46,Internal_lists_bugs!$A$2:$P1014,16,FALSE())),"please select a BUG ID")</f>
        <v>BIC: https://opendev.org/openstack/nova/commit/2d0578c539d000981e50ba0c143385974d10e2e2
Intro.Issues: 1148734</v>
      </c>
      <c r="D46" s="40">
        <v>1148734.0</v>
      </c>
      <c r="E46" s="16" t="s">
        <v>164</v>
      </c>
      <c r="F46" s="41" t="s">
        <v>124</v>
      </c>
      <c r="G46" s="42" t="s">
        <v>120</v>
      </c>
      <c r="H46" s="16" t="s">
        <v>121</v>
      </c>
      <c r="I46" s="16" t="b">
        <v>0</v>
      </c>
    </row>
    <row r="47">
      <c r="A47" s="16" t="s">
        <v>42</v>
      </c>
      <c r="B47" s="38" t="str">
        <f>IFERROR(HYPERLINK(VLOOKUP(A47,Internal_lists_bugs!$A$2:$C$73,3,FALSE()), VLOOKUP(A47,Internal_lists_bugs!$A$2:$C$73,3,FALSE())&amp;Char(10) &amp; Char(10) &amp; VLOOKUP(A47,Internal_lists_bugs!$A$2:$Z$73,26,FALSE())),"please select a BUG ID")</f>
        <v>
</v>
      </c>
      <c r="C47" s="39" t="str">
        <f>IFERROR(Hyperlink(VLOOKUP(A47,Internal_lists_bugs!$A$2:$G1014,7,FALSE()),"BIC: "&amp;VLOOKUP(A47,Internal_lists_bugs!$A$2:$G1014,7,FALSE())&amp;CHAR(10)&amp;"Intro.Issues: "&amp;VLOOKUP(A47,Internal_lists_bugs!$A$2:$P1014,16,FALSE())),"please select a BUG ID")</f>
        <v>BIC: https://opendev.org/openstack/nova/commit/2d0578c539d000981e50ba0c143385974d10e2e2
Intro.Issues: 1148734</v>
      </c>
      <c r="D47" s="40">
        <v>1148734.0</v>
      </c>
      <c r="E47" s="43"/>
      <c r="F47" s="41" t="s">
        <v>122</v>
      </c>
      <c r="G47" s="42" t="s">
        <v>123</v>
      </c>
      <c r="H47" s="43"/>
    </row>
    <row r="48">
      <c r="A48" s="16" t="s">
        <v>42</v>
      </c>
      <c r="B48" s="38" t="str">
        <f>IFERROR(HYPERLINK(VLOOKUP(A48,Internal_lists_bugs!$A$2:$C$73,3,FALSE()), VLOOKUP(A48,Internal_lists_bugs!$A$2:$C$73,3,FALSE())&amp;Char(10) &amp; Char(10) &amp; VLOOKUP(A48,Internal_lists_bugs!$A$2:$Z$73,26,FALSE())),"please select a BUG ID")</f>
        <v>
</v>
      </c>
      <c r="C48" s="39" t="str">
        <f>IFERROR(Hyperlink(VLOOKUP(A48,Internal_lists_bugs!$A$2:$G1014,7,FALSE()),"BIC: "&amp;VLOOKUP(A48,Internal_lists_bugs!$A$2:$G1014,7,FALSE())&amp;CHAR(10)&amp;"Intro.Issues: "&amp;VLOOKUP(A48,Internal_lists_bugs!$A$2:$P1014,16,FALSE())),"please select a BUG ID")</f>
        <v>BIC: https://opendev.org/openstack/nova/commit/2d0578c539d000981e50ba0c143385974d10e2e2
Intro.Issues: 1148734</v>
      </c>
      <c r="D48" s="40">
        <v>1148734.0</v>
      </c>
      <c r="E48" s="43"/>
      <c r="F48" s="41" t="s">
        <v>124</v>
      </c>
      <c r="G48" s="42" t="s">
        <v>123</v>
      </c>
      <c r="H48" s="43"/>
    </row>
    <row r="49">
      <c r="A49" s="16" t="s">
        <v>42</v>
      </c>
      <c r="B49" s="38" t="str">
        <f>IFERROR(HYPERLINK(VLOOKUP(A49,Internal_lists_bugs!$A$2:$C$73,3,FALSE()), VLOOKUP(A49,Internal_lists_bugs!$A$2:$C$73,3,FALSE())&amp;Char(10) &amp; Char(10) &amp; VLOOKUP(A49,Internal_lists_bugs!$A$2:$Z$73,26,FALSE())),"please select a BUG ID")</f>
        <v>
</v>
      </c>
      <c r="C49" s="39" t="str">
        <f>IFERROR(Hyperlink(VLOOKUP(A49,Internal_lists_bugs!$A$2:$G1014,7,FALSE()),"BIC: "&amp;VLOOKUP(A49,Internal_lists_bugs!$A$2:$G1014,7,FALSE())&amp;CHAR(10)&amp;"Intro.Issues: "&amp;VLOOKUP(A49,Internal_lists_bugs!$A$2:$P1014,16,FALSE())),"please select a BUG ID")</f>
        <v>BIC: https://opendev.org/openstack/nova/commit/2d0578c539d000981e50ba0c143385974d10e2e2
Intro.Issues: 1148734</v>
      </c>
      <c r="D49" s="40">
        <v>1148734.0</v>
      </c>
      <c r="E49" s="43"/>
      <c r="F49" s="41" t="s">
        <v>130</v>
      </c>
      <c r="G49" s="42" t="s">
        <v>129</v>
      </c>
      <c r="H49" s="43"/>
    </row>
    <row r="50">
      <c r="A50" s="16" t="s">
        <v>42</v>
      </c>
      <c r="B50" s="38" t="str">
        <f>IFERROR(HYPERLINK(VLOOKUP(A50,Internal_lists_bugs!$A$2:$C$73,3,FALSE()), VLOOKUP(A50,Internal_lists_bugs!$A$2:$C$73,3,FALSE())&amp;Char(10) &amp; Char(10) &amp; VLOOKUP(A50,Internal_lists_bugs!$A$2:$Z$73,26,FALSE())),"please select a BUG ID")</f>
        <v>
</v>
      </c>
      <c r="C50" s="39" t="str">
        <f>IFERROR(Hyperlink(VLOOKUP(A50,Internal_lists_bugs!$A$2:$G1014,7,FALSE()),"BIC: "&amp;VLOOKUP(A50,Internal_lists_bugs!$A$2:$G1014,7,FALSE())&amp;CHAR(10)&amp;"Intro.Issues: "&amp;VLOOKUP(A50,Internal_lists_bugs!$A$2:$P1014,16,FALSE())),"please select a BUG ID")</f>
        <v>BIC: https://opendev.org/openstack/nova/commit/2d0578c539d000981e50ba0c143385974d10e2e2
Intro.Issues: 1148734</v>
      </c>
      <c r="D50" s="40">
        <v>1148734.0</v>
      </c>
      <c r="E50" s="43"/>
      <c r="F50" s="41" t="s">
        <v>165</v>
      </c>
      <c r="G50" s="42" t="s">
        <v>131</v>
      </c>
      <c r="H50" s="43"/>
    </row>
    <row r="51">
      <c r="A51" s="16" t="s">
        <v>42</v>
      </c>
      <c r="B51" s="38" t="str">
        <f>IFERROR(HYPERLINK(VLOOKUP(A51,Internal_lists_bugs!$A$2:$C$73,3,FALSE()), VLOOKUP(A51,Internal_lists_bugs!$A$2:$C$73,3,FALSE())&amp;Char(10) &amp; Char(10) &amp; VLOOKUP(A51,Internal_lists_bugs!$A$2:$Z$73,26,FALSE())),"please select a BUG ID")</f>
        <v>
</v>
      </c>
      <c r="C51" s="39" t="str">
        <f>IFERROR(Hyperlink(VLOOKUP(A51,Internal_lists_bugs!$A$2:$G1014,7,FALSE()),"BIC: "&amp;VLOOKUP(A51,Internal_lists_bugs!$A$2:$G1014,7,FALSE())&amp;CHAR(10)&amp;"Intro.Issues: "&amp;VLOOKUP(A51,Internal_lists_bugs!$A$2:$P1014,16,FALSE())),"please select a BUG ID")</f>
        <v>BIC: https://opendev.org/openstack/nova/commit/2d0578c539d000981e50ba0c143385974d10e2e2
Intro.Issues: 1148734</v>
      </c>
      <c r="D51" s="40">
        <v>1148734.0</v>
      </c>
      <c r="E51" s="43"/>
      <c r="F51" s="41" t="s">
        <v>148</v>
      </c>
      <c r="G51" s="42" t="s">
        <v>149</v>
      </c>
      <c r="H51" s="43"/>
    </row>
    <row r="52">
      <c r="A52" s="16" t="s">
        <v>43</v>
      </c>
      <c r="B52" s="38" t="str">
        <f>IFERROR(HYPERLINK(VLOOKUP(A52,Internal_lists_bugs!$A$2:$C$73,3,FALSE()), VLOOKUP(A52,Internal_lists_bugs!$A$2:$C$73,3,FALSE())&amp;Char(10) &amp; Char(10) &amp; VLOOKUP(A52,Internal_lists_bugs!$A$2:$Z$73,26,FALSE())),"please select a BUG ID")</f>
        <v>
</v>
      </c>
      <c r="C52" s="39" t="str">
        <f>IFERROR(Hyperlink(VLOOKUP(A52,Internal_lists_bugs!$A$2:$G1014,7,FALSE()),"BIC: "&amp;VLOOKUP(A52,Internal_lists_bugs!$A$2:$G1014,7,FALSE())&amp;CHAR(10)&amp;"Intro.Issues: "&amp;VLOOKUP(A52,Internal_lists_bugs!$A$2:$P1014,16,FALSE())),"please select a BUG ID")</f>
        <v>BIC: https://opendev.org/openstack/nova/commit/e65a43837e9ccad8ca34da4d29824df591c685fe
Intro.Issues: </v>
      </c>
      <c r="D52" s="40"/>
      <c r="E52" s="43"/>
      <c r="F52" s="41"/>
      <c r="G52" s="44"/>
      <c r="H52" s="43"/>
    </row>
    <row r="53">
      <c r="A53" s="16" t="s">
        <v>44</v>
      </c>
      <c r="B53" s="38" t="str">
        <f>IFERROR(HYPERLINK(VLOOKUP(A53,Internal_lists_bugs!$A$2:$C$73,3,FALSE()), VLOOKUP(A53,Internal_lists_bugs!$A$2:$C$73,3,FALSE())&amp;Char(10) &amp; Char(10) &amp; VLOOKUP(A53,Internal_lists_bugs!$A$2:$Z$73,26,FALSE())),"please select a BUG ID")</f>
        <v>
</v>
      </c>
      <c r="C53" s="39" t="str">
        <f>IFERROR(Hyperlink(VLOOKUP(A53,Internal_lists_bugs!$A$2:$G1014,7,FALSE()),"BIC: "&amp;VLOOKUP(A53,Internal_lists_bugs!$A$2:$G1014,7,FALSE())&amp;CHAR(10)&amp;"Intro.Issues: "&amp;VLOOKUP(A53,Internal_lists_bugs!$A$2:$P1014,16,FALSE())),"please select a BUG ID")</f>
        <v>BIC: https://opendev.org/openstack/nova/commit/ba1ed8958b6bde0d8b9f5862a83ac7e1a33e8313
Intro.Issues: </v>
      </c>
      <c r="D53" s="40"/>
      <c r="E53" s="43"/>
      <c r="F53" s="41"/>
      <c r="G53" s="44"/>
      <c r="H53" s="43"/>
    </row>
    <row r="54">
      <c r="A54" s="16" t="s">
        <v>45</v>
      </c>
      <c r="B54" s="38" t="str">
        <f>IFERROR(HYPERLINK(VLOOKUP(A54,Internal_lists_bugs!$A$2:$C$73,3,FALSE()), VLOOKUP(A54,Internal_lists_bugs!$A$2:$C$73,3,FALSE())&amp;Char(10) &amp; Char(10) &amp; VLOOKUP(A54,Internal_lists_bugs!$A$2:$Z$73,26,FALSE())),"please select a BUG ID")</f>
        <v>
</v>
      </c>
      <c r="C54" s="39" t="str">
        <f>IFERROR(Hyperlink(VLOOKUP(A54,Internal_lists_bugs!$A$2:$G1014,7,FALSE()),"BIC: "&amp;VLOOKUP(A54,Internal_lists_bugs!$A$2:$G1014,7,FALSE())&amp;CHAR(10)&amp;"Intro.Issues: "&amp;VLOOKUP(A54,Internal_lists_bugs!$A$2:$P1014,16,FALSE())),"please select a BUG ID")</f>
        <v>BIC: https://opendev.org/openstack/nova/commit/6ed6be8435284daf39ef1b8323e213c7885852c6
Intro.Issues: icehouse-objects</v>
      </c>
      <c r="D54" s="45" t="s">
        <v>166</v>
      </c>
      <c r="E54" s="46" t="s">
        <v>142</v>
      </c>
      <c r="F54" s="45" t="s">
        <v>167</v>
      </c>
      <c r="G54" s="47" t="s">
        <v>120</v>
      </c>
      <c r="H54" s="16" t="s">
        <v>121</v>
      </c>
      <c r="I54" s="16" t="b">
        <v>0</v>
      </c>
    </row>
    <row r="55">
      <c r="A55" s="16" t="s">
        <v>45</v>
      </c>
      <c r="B55" s="38" t="str">
        <f>IFERROR(HYPERLINK(VLOOKUP(A55,Internal_lists_bugs!$A$2:$C$73,3,FALSE()), VLOOKUP(A55,Internal_lists_bugs!$A$2:$C$73,3,FALSE())&amp;Char(10) &amp; Char(10) &amp; VLOOKUP(A55,Internal_lists_bugs!$A$2:$Z$73,26,FALSE())),"please select a BUG ID")</f>
        <v>
</v>
      </c>
      <c r="C55" s="39" t="str">
        <f>IFERROR(Hyperlink(VLOOKUP(A55,Internal_lists_bugs!$A$2:$G1014,7,FALSE()),"BIC: "&amp;VLOOKUP(A55,Internal_lists_bugs!$A$2:$G1014,7,FALSE())&amp;CHAR(10)&amp;"Intro.Issues: "&amp;VLOOKUP(A55,Internal_lists_bugs!$A$2:$P1014,16,FALSE())),"please select a BUG ID")</f>
        <v>BIC: https://opendev.org/openstack/nova/commit/6ed6be8435284daf39ef1b8323e213c7885852c6
Intro.Issues: icehouse-objects</v>
      </c>
      <c r="D55" s="45" t="s">
        <v>166</v>
      </c>
      <c r="E55" s="46"/>
      <c r="F55" s="45" t="s">
        <v>168</v>
      </c>
      <c r="G55" s="47" t="s">
        <v>123</v>
      </c>
      <c r="H55" s="43"/>
    </row>
    <row r="56">
      <c r="A56" s="16" t="s">
        <v>45</v>
      </c>
      <c r="B56" s="38" t="str">
        <f>IFERROR(HYPERLINK(VLOOKUP(A56,Internal_lists_bugs!$A$2:$C$73,3,FALSE()), VLOOKUP(A56,Internal_lists_bugs!$A$2:$C$73,3,FALSE())&amp;Char(10) &amp; Char(10) &amp; VLOOKUP(A56,Internal_lists_bugs!$A$2:$Z$73,26,FALSE())),"please select a BUG ID")</f>
        <v>
</v>
      </c>
      <c r="C56" s="39" t="str">
        <f>IFERROR(Hyperlink(VLOOKUP(A56,Internal_lists_bugs!$A$2:$G1014,7,FALSE()),"BIC: "&amp;VLOOKUP(A56,Internal_lists_bugs!$A$2:$G1014,7,FALSE())&amp;CHAR(10)&amp;"Intro.Issues: "&amp;VLOOKUP(A56,Internal_lists_bugs!$A$2:$P1014,16,FALSE())),"please select a BUG ID")</f>
        <v>BIC: https://opendev.org/openstack/nova/commit/6ed6be8435284daf39ef1b8323e213c7885852c6
Intro.Issues: icehouse-objects</v>
      </c>
      <c r="D56" s="45" t="s">
        <v>166</v>
      </c>
      <c r="E56" s="46"/>
      <c r="F56" s="45" t="s">
        <v>167</v>
      </c>
      <c r="G56" s="47" t="s">
        <v>123</v>
      </c>
      <c r="H56" s="43"/>
    </row>
    <row r="57">
      <c r="A57" s="16" t="s">
        <v>45</v>
      </c>
      <c r="B57" s="38" t="str">
        <f>IFERROR(HYPERLINK(VLOOKUP(A57,Internal_lists_bugs!$A$2:$C$73,3,FALSE()), VLOOKUP(A57,Internal_lists_bugs!$A$2:$C$73,3,FALSE())&amp;Char(10) &amp; Char(10) &amp; VLOOKUP(A57,Internal_lists_bugs!$A$2:$Z$73,26,FALSE())),"please select a BUG ID")</f>
        <v>
</v>
      </c>
      <c r="C57" s="39" t="str">
        <f>IFERROR(Hyperlink(VLOOKUP(A57,Internal_lists_bugs!$A$2:$G1014,7,FALSE()),"BIC: "&amp;VLOOKUP(A57,Internal_lists_bugs!$A$2:$G1014,7,FALSE())&amp;CHAR(10)&amp;"Intro.Issues: "&amp;VLOOKUP(A57,Internal_lists_bugs!$A$2:$P1014,16,FALSE())),"please select a BUG ID")</f>
        <v>BIC: https://opendev.org/openstack/nova/commit/6ed6be8435284daf39ef1b8323e213c7885852c6
Intro.Issues: icehouse-objects</v>
      </c>
      <c r="D57" s="45" t="s">
        <v>166</v>
      </c>
      <c r="E57" s="46"/>
      <c r="F57" s="45" t="s">
        <v>169</v>
      </c>
      <c r="G57" s="47" t="s">
        <v>139</v>
      </c>
      <c r="H57" s="43"/>
    </row>
    <row r="58">
      <c r="A58" s="16" t="s">
        <v>45</v>
      </c>
      <c r="B58" s="38" t="str">
        <f>IFERROR(HYPERLINK(VLOOKUP(A58,Internal_lists_bugs!$A$2:$C$73,3,FALSE()), VLOOKUP(A58,Internal_lists_bugs!$A$2:$C$73,3,FALSE())&amp;Char(10) &amp; Char(10) &amp; VLOOKUP(A58,Internal_lists_bugs!$A$2:$Z$73,26,FALSE())),"please select a BUG ID")</f>
        <v>
</v>
      </c>
      <c r="C58" s="39" t="str">
        <f>IFERROR(Hyperlink(VLOOKUP(A58,Internal_lists_bugs!$A$2:$G1014,7,FALSE()),"BIC: "&amp;VLOOKUP(A58,Internal_lists_bugs!$A$2:$G1014,7,FALSE())&amp;CHAR(10)&amp;"Intro.Issues: "&amp;VLOOKUP(A58,Internal_lists_bugs!$A$2:$P1014,16,FALSE())),"please select a BUG ID")</f>
        <v>BIC: https://opendev.org/openstack/nova/commit/6ed6be8435284daf39ef1b8323e213c7885852c6
Intro.Issues: icehouse-objects</v>
      </c>
      <c r="D58" s="45" t="s">
        <v>166</v>
      </c>
      <c r="E58" s="46"/>
      <c r="F58" s="45" t="s">
        <v>170</v>
      </c>
      <c r="G58" s="47" t="s">
        <v>139</v>
      </c>
      <c r="H58" s="43"/>
    </row>
    <row r="59">
      <c r="A59" s="16" t="s">
        <v>45</v>
      </c>
      <c r="B59" s="38" t="str">
        <f>IFERROR(HYPERLINK(VLOOKUP(A59,Internal_lists_bugs!$A$2:$C$73,3,FALSE()), VLOOKUP(A59,Internal_lists_bugs!$A$2:$C$73,3,FALSE())&amp;Char(10) &amp; Char(10) &amp; VLOOKUP(A59,Internal_lists_bugs!$A$2:$Z$73,26,FALSE())),"please select a BUG ID")</f>
        <v>
</v>
      </c>
      <c r="C59" s="39" t="str">
        <f>IFERROR(Hyperlink(VLOOKUP(A59,Internal_lists_bugs!$A$2:$G1014,7,FALSE()),"BIC: "&amp;VLOOKUP(A59,Internal_lists_bugs!$A$2:$G1014,7,FALSE())&amp;CHAR(10)&amp;"Intro.Issues: "&amp;VLOOKUP(A59,Internal_lists_bugs!$A$2:$P1014,16,FALSE())),"please select a BUG ID")</f>
        <v>BIC: https://opendev.org/openstack/nova/commit/6ed6be8435284daf39ef1b8323e213c7885852c6
Intro.Issues: icehouse-objects</v>
      </c>
      <c r="D59" s="45" t="s">
        <v>166</v>
      </c>
      <c r="E59" s="46"/>
      <c r="F59" s="45" t="s">
        <v>171</v>
      </c>
      <c r="G59" s="47" t="s">
        <v>139</v>
      </c>
      <c r="H59" s="43"/>
    </row>
    <row r="60">
      <c r="A60" s="16" t="s">
        <v>46</v>
      </c>
      <c r="B60" s="38" t="str">
        <f>IFERROR(HYPERLINK(VLOOKUP(A60,Internal_lists_bugs!$A$2:$C$73,3,FALSE()), VLOOKUP(A60,Internal_lists_bugs!$A$2:$C$73,3,FALSE())&amp;Char(10) &amp; Char(10) &amp; VLOOKUP(A60,Internal_lists_bugs!$A$2:$Z$73,26,FALSE())),"please select a BUG ID")</f>
        <v>
</v>
      </c>
      <c r="C60" s="39" t="str">
        <f>IFERROR(Hyperlink(VLOOKUP(A60,Internal_lists_bugs!$A$2:$G1014,7,FALSE()),"BIC: "&amp;VLOOKUP(A60,Internal_lists_bugs!$A$2:$G1014,7,FALSE())&amp;CHAR(10)&amp;"Intro.Issues: "&amp;VLOOKUP(A60,Internal_lists_bugs!$A$2:$P1014,16,FALSE())),"please select a BUG ID")</f>
        <v>BIC: https://opendev.org/openstack/nova/commit/1b32ed31425a0332ab16f5b5f6c08a20eafe7963
Intro.Issues: </v>
      </c>
      <c r="D60" s="40"/>
      <c r="E60" s="43"/>
      <c r="F60" s="41"/>
      <c r="G60" s="42"/>
      <c r="H60" s="43"/>
    </row>
    <row r="61">
      <c r="A61" s="20" t="s">
        <v>47</v>
      </c>
      <c r="B61" s="38" t="str">
        <f>IFERROR(HYPERLINK(VLOOKUP(A61,Internal_lists_bugs!$A$2:$C$73,3,FALSE()), VLOOKUP(A61,Internal_lists_bugs!$A$2:$C$73,3,FALSE())&amp;Char(10) &amp; Char(10) &amp; VLOOKUP(A61,Internal_lists_bugs!$A$2:$Z$73,26,FALSE())),"please select a BUG ID")</f>
        <v>
</v>
      </c>
      <c r="C61" s="39" t="str">
        <f>IFERROR(Hyperlink(VLOOKUP(A61,Internal_lists_bugs!$A$2:$G1014,7,FALSE()),"BIC: "&amp;VLOOKUP(A61,Internal_lists_bugs!$A$2:$G1014,7,FALSE())&amp;CHAR(10)&amp;"Intro.Issues: "&amp;VLOOKUP(A61,Internal_lists_bugs!$A$2:$P1014,16,FALSE())),"please select a BUG ID")</f>
        <v>BIC: https://opendev.org/openstack/nova/commit/27d89c2d425aefcd32549b08e3cff8b132d3e75b
Intro.Issues: </v>
      </c>
      <c r="D61" s="40"/>
      <c r="E61" s="43"/>
      <c r="F61" s="41"/>
      <c r="G61" s="42"/>
      <c r="H61" s="43"/>
    </row>
    <row r="62">
      <c r="A62" s="16" t="s">
        <v>48</v>
      </c>
      <c r="B62" s="38" t="str">
        <f>IFERROR(HYPERLINK(VLOOKUP(A62,Internal_lists_bugs!$A$2:$C$73,3,FALSE()), VLOOKUP(A62,Internal_lists_bugs!$A$2:$C$73,3,FALSE())&amp;Char(10) &amp; Char(10) &amp; VLOOKUP(A62,Internal_lists_bugs!$A$2:$Z$73,26,FALSE())),"please select a BUG ID")</f>
        <v>
</v>
      </c>
      <c r="C62" s="39" t="str">
        <f>IFERROR(Hyperlink(VLOOKUP(A62,Internal_lists_bugs!$A$2:$G1014,7,FALSE()),"BIC: "&amp;VLOOKUP(A62,Internal_lists_bugs!$A$2:$G1014,7,FALSE())&amp;CHAR(10)&amp;"Intro.Issues: "&amp;VLOOKUP(A62,Internal_lists_bugs!$A$2:$P1014,16,FALSE())),"please select a BUG ID")</f>
        <v>BIC: https://opendev.org/openstack/nova/commit/583d12f4fae620719b893cb7f9fbfc461ec8a124
Intro.Issues: </v>
      </c>
      <c r="D62" s="40"/>
      <c r="E62" s="43"/>
      <c r="F62" s="41"/>
      <c r="G62" s="42"/>
      <c r="H62" s="43"/>
    </row>
    <row r="63">
      <c r="A63" s="16" t="s">
        <v>49</v>
      </c>
      <c r="B63" s="38" t="str">
        <f>IFERROR(HYPERLINK(VLOOKUP(A63,Internal_lists_bugs!$A$2:$C$73,3,FALSE()), VLOOKUP(A63,Internal_lists_bugs!$A$2:$C$73,3,FALSE())&amp;Char(10) &amp; Char(10) &amp; VLOOKUP(A63,Internal_lists_bugs!$A$2:$Z$73,26,FALSE())),"please select a BUG ID")</f>
        <v>
</v>
      </c>
      <c r="C63" s="39" t="str">
        <f>IFERROR(Hyperlink(VLOOKUP(A63,Internal_lists_bugs!$A$2:$G1014,7,FALSE()),"BIC: "&amp;VLOOKUP(A63,Internal_lists_bugs!$A$2:$G1014,7,FALSE())&amp;CHAR(10)&amp;"Intro.Issues: "&amp;VLOOKUP(A63,Internal_lists_bugs!$A$2:$P1014,16,FALSE())),"please select a BUG ID")</f>
        <v>BIC: https://opendev.org/openstack/nova/commit/c1dae06f1e366e7681fbffc776153b3ed3af2618
Intro.Issues: </v>
      </c>
      <c r="D63" s="40"/>
      <c r="E63" s="43"/>
      <c r="F63" s="41"/>
      <c r="G63" s="42"/>
      <c r="H63" s="43"/>
    </row>
    <row r="64">
      <c r="A64" s="16" t="s">
        <v>50</v>
      </c>
      <c r="B64" s="38" t="str">
        <f>IFERROR(HYPERLINK(VLOOKUP(A64,Internal_lists_bugs!$A$2:$C$73,3,FALSE()), VLOOKUP(A64,Internal_lists_bugs!$A$2:$C$73,3,FALSE())&amp;Char(10) &amp; Char(10) &amp; VLOOKUP(A64,Internal_lists_bugs!$A$2:$Z$73,26,FALSE())),"please select a BUG ID")</f>
        <v>
</v>
      </c>
      <c r="C64" s="39" t="str">
        <f>IFERROR(Hyperlink(VLOOKUP(A64,Internal_lists_bugs!$A$2:$G1014,7,FALSE()),"BIC: "&amp;VLOOKUP(A64,Internal_lists_bugs!$A$2:$G1014,7,FALSE())&amp;CHAR(10)&amp;"Intro.Issues: "&amp;VLOOKUP(A64,Internal_lists_bugs!$A$2:$P1014,16,FALSE())),"please select a BUG ID")</f>
        <v>BIC: https://opendev.org/openstack/nova/commit/73515209cf09821a2fc922e1ae2c97650802fab4
Intro.Issues: v3-api-policy</v>
      </c>
      <c r="D64" s="40" t="s">
        <v>172</v>
      </c>
      <c r="E64" s="16" t="s">
        <v>173</v>
      </c>
      <c r="F64" s="41" t="s">
        <v>122</v>
      </c>
      <c r="G64" s="42" t="s">
        <v>120</v>
      </c>
      <c r="H64" s="16" t="s">
        <v>135</v>
      </c>
      <c r="I64" s="16" t="b">
        <v>0</v>
      </c>
    </row>
    <row r="65">
      <c r="A65" s="16" t="s">
        <v>50</v>
      </c>
      <c r="B65" s="38" t="str">
        <f>IFERROR(HYPERLINK(VLOOKUP(A65,Internal_lists_bugs!$A$2:$C$73,3,FALSE()), VLOOKUP(A65,Internal_lists_bugs!$A$2:$C$73,3,FALSE())&amp;Char(10) &amp; Char(10) &amp; VLOOKUP(A65,Internal_lists_bugs!$A$2:$Z$73,26,FALSE())),"please select a BUG ID")</f>
        <v>
</v>
      </c>
      <c r="C65" s="39" t="str">
        <f>IFERROR(Hyperlink(VLOOKUP(A65,Internal_lists_bugs!$A$2:$G1014,7,FALSE()),"BIC: "&amp;VLOOKUP(A65,Internal_lists_bugs!$A$2:$G1014,7,FALSE())&amp;CHAR(10)&amp;"Intro.Issues: "&amp;VLOOKUP(A65,Internal_lists_bugs!$A$2:$P1014,16,FALSE())),"please select a BUG ID")</f>
        <v>BIC: https://opendev.org/openstack/nova/commit/73515209cf09821a2fc922e1ae2c97650802fab4
Intro.Issues: v3-api-policy</v>
      </c>
      <c r="D65" s="40" t="s">
        <v>172</v>
      </c>
      <c r="E65" s="43"/>
      <c r="F65" s="41" t="s">
        <v>174</v>
      </c>
      <c r="G65" s="42" t="s">
        <v>120</v>
      </c>
      <c r="H65" s="43"/>
    </row>
    <row r="66">
      <c r="A66" s="16" t="s">
        <v>50</v>
      </c>
      <c r="B66" s="38" t="str">
        <f>IFERROR(HYPERLINK(VLOOKUP(A66,Internal_lists_bugs!$A$2:$C$73,3,FALSE()), VLOOKUP(A66,Internal_lists_bugs!$A$2:$C$73,3,FALSE())&amp;Char(10) &amp; Char(10) &amp; VLOOKUP(A66,Internal_lists_bugs!$A$2:$Z$73,26,FALSE())),"please select a BUG ID")</f>
        <v>
</v>
      </c>
      <c r="C66" s="39" t="str">
        <f>IFERROR(Hyperlink(VLOOKUP(A66,Internal_lists_bugs!$A$2:$G1014,7,FALSE()),"BIC: "&amp;VLOOKUP(A66,Internal_lists_bugs!$A$2:$G1014,7,FALSE())&amp;CHAR(10)&amp;"Intro.Issues: "&amp;VLOOKUP(A66,Internal_lists_bugs!$A$2:$P1014,16,FALSE())),"please select a BUG ID")</f>
        <v>BIC: https://opendev.org/openstack/nova/commit/73515209cf09821a2fc922e1ae2c97650802fab4
Intro.Issues: v3-api-policy</v>
      </c>
      <c r="D66" s="40" t="s">
        <v>172</v>
      </c>
      <c r="E66" s="43"/>
      <c r="F66" s="41" t="s">
        <v>122</v>
      </c>
      <c r="G66" s="42" t="s">
        <v>123</v>
      </c>
      <c r="H66" s="43"/>
    </row>
    <row r="67">
      <c r="A67" s="16" t="s">
        <v>50</v>
      </c>
      <c r="B67" s="38" t="str">
        <f>IFERROR(HYPERLINK(VLOOKUP(A67,Internal_lists_bugs!$A$2:$C$73,3,FALSE()), VLOOKUP(A67,Internal_lists_bugs!$A$2:$C$73,3,FALSE())&amp;Char(10) &amp; Char(10) &amp; VLOOKUP(A67,Internal_lists_bugs!$A$2:$Z$73,26,FALSE())),"please select a BUG ID")</f>
        <v>
</v>
      </c>
      <c r="C67" s="39" t="str">
        <f>IFERROR(Hyperlink(VLOOKUP(A67,Internal_lists_bugs!$A$2:$G1014,7,FALSE()),"BIC: "&amp;VLOOKUP(A67,Internal_lists_bugs!$A$2:$G1014,7,FALSE())&amp;CHAR(10)&amp;"Intro.Issues: "&amp;VLOOKUP(A67,Internal_lists_bugs!$A$2:$P1014,16,FALSE())),"please select a BUG ID")</f>
        <v>BIC: https://opendev.org/openstack/nova/commit/73515209cf09821a2fc922e1ae2c97650802fab4
Intro.Issues: v3-api-policy</v>
      </c>
      <c r="D67" s="40" t="s">
        <v>172</v>
      </c>
      <c r="E67" s="43"/>
      <c r="F67" s="41" t="s">
        <v>153</v>
      </c>
      <c r="G67" s="42" t="s">
        <v>139</v>
      </c>
      <c r="H67" s="43"/>
    </row>
    <row r="68">
      <c r="A68" s="16" t="s">
        <v>50</v>
      </c>
      <c r="B68" s="38" t="str">
        <f>IFERROR(HYPERLINK(VLOOKUP(A68,Internal_lists_bugs!$A$2:$C$73,3,FALSE()), VLOOKUP(A68,Internal_lists_bugs!$A$2:$C$73,3,FALSE())&amp;Char(10) &amp; Char(10) &amp; VLOOKUP(A68,Internal_lists_bugs!$A$2:$Z$73,26,FALSE())),"please select a BUG ID")</f>
        <v>
</v>
      </c>
      <c r="C68" s="39" t="str">
        <f>IFERROR(Hyperlink(VLOOKUP(A68,Internal_lists_bugs!$A$2:$G1014,7,FALSE()),"BIC: "&amp;VLOOKUP(A68,Internal_lists_bugs!$A$2:$G1014,7,FALSE())&amp;CHAR(10)&amp;"Intro.Issues: "&amp;VLOOKUP(A68,Internal_lists_bugs!$A$2:$P1014,16,FALSE())),"please select a BUG ID")</f>
        <v>BIC: https://opendev.org/openstack/nova/commit/73515209cf09821a2fc922e1ae2c97650802fab4
Intro.Issues: v3-api-policy</v>
      </c>
      <c r="D68" s="40" t="s">
        <v>172</v>
      </c>
      <c r="E68" s="43"/>
      <c r="F68" s="41" t="s">
        <v>119</v>
      </c>
      <c r="G68" s="42" t="s">
        <v>139</v>
      </c>
      <c r="H68" s="43"/>
    </row>
    <row r="69">
      <c r="A69" s="16" t="s">
        <v>50</v>
      </c>
      <c r="B69" s="38" t="str">
        <f>IFERROR(HYPERLINK(VLOOKUP(A69,Internal_lists_bugs!$A$2:$C$73,3,FALSE()), VLOOKUP(A69,Internal_lists_bugs!$A$2:$C$73,3,FALSE())&amp;Char(10) &amp; Char(10) &amp; VLOOKUP(A69,Internal_lists_bugs!$A$2:$Z$73,26,FALSE())),"please select a BUG ID")</f>
        <v>
</v>
      </c>
      <c r="C69" s="39" t="str">
        <f>IFERROR(Hyperlink(VLOOKUP(A69,Internal_lists_bugs!$A$2:$G1014,7,FALSE()),"BIC: "&amp;VLOOKUP(A69,Internal_lists_bugs!$A$2:$G1014,7,FALSE())&amp;CHAR(10)&amp;"Intro.Issues: "&amp;VLOOKUP(A69,Internal_lists_bugs!$A$2:$P1014,16,FALSE())),"please select a BUG ID")</f>
        <v>BIC: https://opendev.org/openstack/nova/commit/73515209cf09821a2fc922e1ae2c97650802fab4
Intro.Issues: v3-api-policy</v>
      </c>
      <c r="D69" s="40" t="s">
        <v>172</v>
      </c>
      <c r="E69" s="43"/>
      <c r="F69" s="41" t="s">
        <v>175</v>
      </c>
      <c r="G69" s="42" t="s">
        <v>139</v>
      </c>
      <c r="H69" s="43"/>
    </row>
    <row r="70">
      <c r="A70" s="16" t="s">
        <v>50</v>
      </c>
      <c r="B70" s="38" t="str">
        <f>IFERROR(HYPERLINK(VLOOKUP(A70,Internal_lists_bugs!$A$2:$C$73,3,FALSE()), VLOOKUP(A70,Internal_lists_bugs!$A$2:$C$73,3,FALSE())&amp;Char(10) &amp; Char(10) &amp; VLOOKUP(A70,Internal_lists_bugs!$A$2:$Z$73,26,FALSE())),"please select a BUG ID")</f>
        <v>
</v>
      </c>
      <c r="C70" s="39" t="str">
        <f>IFERROR(Hyperlink(VLOOKUP(A70,Internal_lists_bugs!$A$2:$G1014,7,FALSE()),"BIC: "&amp;VLOOKUP(A70,Internal_lists_bugs!$A$2:$G1014,7,FALSE())&amp;CHAR(10)&amp;"Intro.Issues: "&amp;VLOOKUP(A70,Internal_lists_bugs!$A$2:$P1014,16,FALSE())),"please select a BUG ID")</f>
        <v>BIC: https://opendev.org/openstack/nova/commit/73515209cf09821a2fc922e1ae2c97650802fab4
Intro.Issues: v3-api-policy</v>
      </c>
      <c r="D70" s="40" t="s">
        <v>172</v>
      </c>
      <c r="E70" s="43"/>
      <c r="F70" s="41" t="s">
        <v>176</v>
      </c>
      <c r="G70" s="42" t="s">
        <v>139</v>
      </c>
      <c r="H70" s="43"/>
    </row>
    <row r="71">
      <c r="A71" s="16" t="s">
        <v>50</v>
      </c>
      <c r="B71" s="38" t="str">
        <f>IFERROR(HYPERLINK(VLOOKUP(A71,Internal_lists_bugs!$A$2:$C$73,3,FALSE()), VLOOKUP(A71,Internal_lists_bugs!$A$2:$C$73,3,FALSE())&amp;Char(10) &amp; Char(10) &amp; VLOOKUP(A71,Internal_lists_bugs!$A$2:$Z$73,26,FALSE())),"please select a BUG ID")</f>
        <v>
</v>
      </c>
      <c r="C71" s="39" t="str">
        <f>IFERROR(Hyperlink(VLOOKUP(A71,Internal_lists_bugs!$A$2:$G1014,7,FALSE()),"BIC: "&amp;VLOOKUP(A71,Internal_lists_bugs!$A$2:$G1014,7,FALSE())&amp;CHAR(10)&amp;"Intro.Issues: "&amp;VLOOKUP(A71,Internal_lists_bugs!$A$2:$P1014,16,FALSE())),"please select a BUG ID")</f>
        <v>BIC: https://opendev.org/openstack/nova/commit/73515209cf09821a2fc922e1ae2c97650802fab4
Intro.Issues: v3-api-policy</v>
      </c>
      <c r="D71" s="40" t="s">
        <v>172</v>
      </c>
      <c r="E71" s="43"/>
      <c r="F71" s="41" t="s">
        <v>177</v>
      </c>
      <c r="G71" s="42" t="s">
        <v>139</v>
      </c>
      <c r="H71" s="43"/>
    </row>
    <row r="72">
      <c r="A72" s="16" t="s">
        <v>50</v>
      </c>
      <c r="B72" s="38" t="str">
        <f>IFERROR(HYPERLINK(VLOOKUP(A72,Internal_lists_bugs!$A$2:$C$73,3,FALSE()), VLOOKUP(A72,Internal_lists_bugs!$A$2:$C$73,3,FALSE())&amp;Char(10) &amp; Char(10) &amp; VLOOKUP(A72,Internal_lists_bugs!$A$2:$Z$73,26,FALSE())),"please select a BUG ID")</f>
        <v>
</v>
      </c>
      <c r="C72" s="39" t="str">
        <f>IFERROR(Hyperlink(VLOOKUP(A72,Internal_lists_bugs!$A$2:$G1014,7,FALSE()),"BIC: "&amp;VLOOKUP(A72,Internal_lists_bugs!$A$2:$G1014,7,FALSE())&amp;CHAR(10)&amp;"Intro.Issues: "&amp;VLOOKUP(A72,Internal_lists_bugs!$A$2:$P1014,16,FALSE())),"please select a BUG ID")</f>
        <v>BIC: https://opendev.org/openstack/nova/commit/73515209cf09821a2fc922e1ae2c97650802fab4
Intro.Issues: v3-api-policy</v>
      </c>
      <c r="D72" s="40" t="s">
        <v>172</v>
      </c>
      <c r="E72" s="43"/>
      <c r="F72" s="41" t="s">
        <v>178</v>
      </c>
      <c r="G72" s="42" t="s">
        <v>139</v>
      </c>
      <c r="H72" s="43"/>
    </row>
    <row r="73">
      <c r="A73" s="16" t="s">
        <v>50</v>
      </c>
      <c r="B73" s="38" t="str">
        <f>IFERROR(HYPERLINK(VLOOKUP(A73,Internal_lists_bugs!$A$2:$C$73,3,FALSE()), VLOOKUP(A73,Internal_lists_bugs!$A$2:$C$73,3,FALSE())&amp;Char(10) &amp; Char(10) &amp; VLOOKUP(A73,Internal_lists_bugs!$A$2:$Z$73,26,FALSE())),"please select a BUG ID")</f>
        <v>
</v>
      </c>
      <c r="C73" s="39" t="str">
        <f>IFERROR(Hyperlink(VLOOKUP(A73,Internal_lists_bugs!$A$2:$G1014,7,FALSE()),"BIC: "&amp;VLOOKUP(A73,Internal_lists_bugs!$A$2:$G1014,7,FALSE())&amp;CHAR(10)&amp;"Intro.Issues: "&amp;VLOOKUP(A73,Internal_lists_bugs!$A$2:$P1014,16,FALSE())),"please select a BUG ID")</f>
        <v>BIC: https://opendev.org/openstack/nova/commit/73515209cf09821a2fc922e1ae2c97650802fab4
Intro.Issues: v3-api-policy</v>
      </c>
      <c r="D73" s="40" t="s">
        <v>172</v>
      </c>
      <c r="E73" s="43"/>
      <c r="F73" s="41" t="s">
        <v>179</v>
      </c>
      <c r="G73" s="42" t="s">
        <v>139</v>
      </c>
      <c r="H73" s="43"/>
    </row>
    <row r="74">
      <c r="A74" s="16" t="s">
        <v>50</v>
      </c>
      <c r="B74" s="38" t="str">
        <f>IFERROR(HYPERLINK(VLOOKUP(A74,Internal_lists_bugs!$A$2:$C$73,3,FALSE()), VLOOKUP(A74,Internal_lists_bugs!$A$2:$C$73,3,FALSE())&amp;Char(10) &amp; Char(10) &amp; VLOOKUP(A74,Internal_lists_bugs!$A$2:$Z$73,26,FALSE())),"please select a BUG ID")</f>
        <v>
</v>
      </c>
      <c r="C74" s="39" t="str">
        <f>IFERROR(Hyperlink(VLOOKUP(A74,Internal_lists_bugs!$A$2:$G1014,7,FALSE()),"BIC: "&amp;VLOOKUP(A74,Internal_lists_bugs!$A$2:$G1014,7,FALSE())&amp;CHAR(10)&amp;"Intro.Issues: "&amp;VLOOKUP(A74,Internal_lists_bugs!$A$2:$P1014,16,FALSE())),"please select a BUG ID")</f>
        <v>BIC: https://opendev.org/openstack/nova/commit/73515209cf09821a2fc922e1ae2c97650802fab4
Intro.Issues: v3-api-policy</v>
      </c>
      <c r="D74" s="40" t="s">
        <v>172</v>
      </c>
      <c r="E74" s="43"/>
      <c r="F74" s="41" t="s">
        <v>180</v>
      </c>
      <c r="G74" s="42" t="s">
        <v>139</v>
      </c>
      <c r="H74" s="43"/>
    </row>
    <row r="75">
      <c r="A75" s="16" t="s">
        <v>50</v>
      </c>
      <c r="B75" s="38" t="str">
        <f>IFERROR(HYPERLINK(VLOOKUP(A75,Internal_lists_bugs!$A$2:$C$73,3,FALSE()), VLOOKUP(A75,Internal_lists_bugs!$A$2:$C$73,3,FALSE())&amp;Char(10) &amp; Char(10) &amp; VLOOKUP(A75,Internal_lists_bugs!$A$2:$Z$73,26,FALSE())),"please select a BUG ID")</f>
        <v>
</v>
      </c>
      <c r="C75" s="39" t="str">
        <f>IFERROR(Hyperlink(VLOOKUP(A75,Internal_lists_bugs!$A$2:$G1014,7,FALSE()),"BIC: "&amp;VLOOKUP(A75,Internal_lists_bugs!$A$2:$G1014,7,FALSE())&amp;CHAR(10)&amp;"Intro.Issues: "&amp;VLOOKUP(A75,Internal_lists_bugs!$A$2:$P1014,16,FALSE())),"please select a BUG ID")</f>
        <v>BIC: https://opendev.org/openstack/nova/commit/73515209cf09821a2fc922e1ae2c97650802fab4
Intro.Issues: v3-api-policy</v>
      </c>
      <c r="D75" s="40" t="s">
        <v>172</v>
      </c>
      <c r="E75" s="43"/>
      <c r="F75" s="41" t="s">
        <v>181</v>
      </c>
      <c r="G75" s="42" t="s">
        <v>139</v>
      </c>
      <c r="H75" s="43"/>
    </row>
    <row r="76">
      <c r="A76" s="16" t="s">
        <v>50</v>
      </c>
      <c r="B76" s="38" t="str">
        <f>IFERROR(HYPERLINK(VLOOKUP(A76,Internal_lists_bugs!$A$2:$C$73,3,FALSE()), VLOOKUP(A76,Internal_lists_bugs!$A$2:$C$73,3,FALSE())&amp;Char(10) &amp; Char(10) &amp; VLOOKUP(A76,Internal_lists_bugs!$A$2:$Z$73,26,FALSE())),"please select a BUG ID")</f>
        <v>
</v>
      </c>
      <c r="C76" s="39" t="str">
        <f>IFERROR(Hyperlink(VLOOKUP(A76,Internal_lists_bugs!$A$2:$G1014,7,FALSE()),"BIC: "&amp;VLOOKUP(A76,Internal_lists_bugs!$A$2:$G1014,7,FALSE())&amp;CHAR(10)&amp;"Intro.Issues: "&amp;VLOOKUP(A76,Internal_lists_bugs!$A$2:$P1014,16,FALSE())),"please select a BUG ID")</f>
        <v>BIC: https://opendev.org/openstack/nova/commit/73515209cf09821a2fc922e1ae2c97650802fab4
Intro.Issues: v3-api-policy</v>
      </c>
      <c r="D76" s="40" t="s">
        <v>172</v>
      </c>
      <c r="E76" s="43"/>
      <c r="F76" s="41" t="s">
        <v>182</v>
      </c>
      <c r="G76" s="42" t="s">
        <v>139</v>
      </c>
      <c r="H76" s="43"/>
    </row>
    <row r="77">
      <c r="A77" s="16" t="s">
        <v>50</v>
      </c>
      <c r="B77" s="38" t="str">
        <f>IFERROR(HYPERLINK(VLOOKUP(A77,Internal_lists_bugs!$A$2:$C$73,3,FALSE()), VLOOKUP(A77,Internal_lists_bugs!$A$2:$C$73,3,FALSE())&amp;Char(10) &amp; Char(10) &amp; VLOOKUP(A77,Internal_lists_bugs!$A$2:$Z$73,26,FALSE())),"please select a BUG ID")</f>
        <v>
</v>
      </c>
      <c r="C77" s="39" t="str">
        <f>IFERROR(Hyperlink(VLOOKUP(A77,Internal_lists_bugs!$A$2:$G1014,7,FALSE()),"BIC: "&amp;VLOOKUP(A77,Internal_lists_bugs!$A$2:$G1014,7,FALSE())&amp;CHAR(10)&amp;"Intro.Issues: "&amp;VLOOKUP(A77,Internal_lists_bugs!$A$2:$P1014,16,FALSE())),"please select a BUG ID")</f>
        <v>BIC: https://opendev.org/openstack/nova/commit/73515209cf09821a2fc922e1ae2c97650802fab4
Intro.Issues: v3-api-policy</v>
      </c>
      <c r="D77" s="40" t="s">
        <v>172</v>
      </c>
      <c r="E77" s="43"/>
      <c r="F77" s="41" t="s">
        <v>174</v>
      </c>
      <c r="G77" s="42" t="s">
        <v>139</v>
      </c>
      <c r="H77" s="43"/>
    </row>
    <row r="78">
      <c r="A78" s="16" t="s">
        <v>50</v>
      </c>
      <c r="B78" s="38" t="str">
        <f>IFERROR(HYPERLINK(VLOOKUP(A78,Internal_lists_bugs!$A$2:$C$73,3,FALSE()), VLOOKUP(A78,Internal_lists_bugs!$A$2:$C$73,3,FALSE())&amp;Char(10) &amp; Char(10) &amp; VLOOKUP(A78,Internal_lists_bugs!$A$2:$Z$73,26,FALSE())),"please select a BUG ID")</f>
        <v>
</v>
      </c>
      <c r="C78" s="39" t="str">
        <f>IFERROR(Hyperlink(VLOOKUP(A78,Internal_lists_bugs!$A$2:$G1014,7,FALSE()),"BIC: "&amp;VLOOKUP(A78,Internal_lists_bugs!$A$2:$G1014,7,FALSE())&amp;CHAR(10)&amp;"Intro.Issues: "&amp;VLOOKUP(A78,Internal_lists_bugs!$A$2:$P1014,16,FALSE())),"please select a BUG ID")</f>
        <v>BIC: https://opendev.org/openstack/nova/commit/73515209cf09821a2fc922e1ae2c97650802fab4
Intro.Issues: v3-api-policy</v>
      </c>
      <c r="D78" s="40" t="s">
        <v>172</v>
      </c>
      <c r="E78" s="43"/>
      <c r="F78" s="41" t="s">
        <v>183</v>
      </c>
      <c r="G78" s="42" t="s">
        <v>139</v>
      </c>
      <c r="H78" s="43"/>
    </row>
    <row r="79">
      <c r="A79" s="16" t="s">
        <v>50</v>
      </c>
      <c r="B79" s="38" t="str">
        <f>IFERROR(HYPERLINK(VLOOKUP(A79,Internal_lists_bugs!$A$2:$C$73,3,FALSE()), VLOOKUP(A79,Internal_lists_bugs!$A$2:$C$73,3,FALSE())&amp;Char(10) &amp; Char(10) &amp; VLOOKUP(A79,Internal_lists_bugs!$A$2:$Z$73,26,FALSE())),"please select a BUG ID")</f>
        <v>
</v>
      </c>
      <c r="C79" s="39" t="str">
        <f>IFERROR(Hyperlink(VLOOKUP(A79,Internal_lists_bugs!$A$2:$G1014,7,FALSE()),"BIC: "&amp;VLOOKUP(A79,Internal_lists_bugs!$A$2:$G1014,7,FALSE())&amp;CHAR(10)&amp;"Intro.Issues: "&amp;VLOOKUP(A79,Internal_lists_bugs!$A$2:$P1014,16,FALSE())),"please select a BUG ID")</f>
        <v>BIC: https://opendev.org/openstack/nova/commit/73515209cf09821a2fc922e1ae2c97650802fab4
Intro.Issues: v3-api-policy</v>
      </c>
      <c r="D79" s="40" t="s">
        <v>172</v>
      </c>
      <c r="E79" s="43"/>
      <c r="F79" s="41" t="s">
        <v>184</v>
      </c>
      <c r="G79" s="42" t="s">
        <v>139</v>
      </c>
      <c r="H79" s="43"/>
    </row>
    <row r="80">
      <c r="A80" s="16" t="s">
        <v>51</v>
      </c>
      <c r="B80" s="38" t="str">
        <f>IFERROR(HYPERLINK(VLOOKUP(A80,Internal_lists_bugs!$A$2:$C$73,3,FALSE()), VLOOKUP(A80,Internal_lists_bugs!$A$2:$C$73,3,FALSE())&amp;Char(10) &amp; Char(10) &amp; VLOOKUP(A80,Internal_lists_bugs!$A$2:$Z$73,26,FALSE())),"please select a BUG ID")</f>
        <v>
</v>
      </c>
      <c r="C80" s="39" t="str">
        <f>IFERROR(Hyperlink(VLOOKUP(A80,Internal_lists_bugs!$A$2:$G1014,7,FALSE()),"BIC: "&amp;VLOOKUP(A80,Internal_lists_bugs!$A$2:$G1014,7,FALSE())&amp;CHAR(10)&amp;"Intro.Issues: "&amp;VLOOKUP(A80,Internal_lists_bugs!$A$2:$P1014,16,FALSE())),"please select a BUG ID")</f>
        <v>BIC: https://opendev.org/openstack/nova/commit/98dcd0dc6fe19ab243556874e4f0910e78484e02
Intro.Issues: v3-api-policy</v>
      </c>
      <c r="D80" s="40" t="s">
        <v>172</v>
      </c>
      <c r="E80" s="16" t="s">
        <v>173</v>
      </c>
      <c r="F80" s="41" t="s">
        <v>122</v>
      </c>
      <c r="G80" s="42" t="s">
        <v>120</v>
      </c>
      <c r="H80" s="16" t="s">
        <v>135</v>
      </c>
      <c r="I80" s="16" t="b">
        <v>0</v>
      </c>
    </row>
    <row r="81">
      <c r="A81" s="16" t="s">
        <v>51</v>
      </c>
      <c r="B81" s="38" t="str">
        <f>IFERROR(HYPERLINK(VLOOKUP(A81,Internal_lists_bugs!$A$2:$C$73,3,FALSE()), VLOOKUP(A81,Internal_lists_bugs!$A$2:$C$73,3,FALSE())&amp;Char(10) &amp; Char(10) &amp; VLOOKUP(A81,Internal_lists_bugs!$A$2:$Z$73,26,FALSE())),"please select a BUG ID")</f>
        <v>
</v>
      </c>
      <c r="C81" s="39" t="str">
        <f>IFERROR(Hyperlink(VLOOKUP(A81,Internal_lists_bugs!$A$2:$G1014,7,FALSE()),"BIC: "&amp;VLOOKUP(A81,Internal_lists_bugs!$A$2:$G1014,7,FALSE())&amp;CHAR(10)&amp;"Intro.Issues: "&amp;VLOOKUP(A81,Internal_lists_bugs!$A$2:$P1014,16,FALSE())),"please select a BUG ID")</f>
        <v>BIC: https://opendev.org/openstack/nova/commit/98dcd0dc6fe19ab243556874e4f0910e78484e02
Intro.Issues: v3-api-policy</v>
      </c>
      <c r="D81" s="40" t="s">
        <v>172</v>
      </c>
      <c r="E81" s="43"/>
      <c r="F81" s="41" t="s">
        <v>174</v>
      </c>
      <c r="G81" s="42" t="s">
        <v>120</v>
      </c>
      <c r="H81" s="43"/>
    </row>
    <row r="82">
      <c r="A82" s="16" t="s">
        <v>51</v>
      </c>
      <c r="B82" s="38" t="str">
        <f>IFERROR(HYPERLINK(VLOOKUP(A82,Internal_lists_bugs!$A$2:$C$73,3,FALSE()), VLOOKUP(A82,Internal_lists_bugs!$A$2:$C$73,3,FALSE())&amp;Char(10) &amp; Char(10) &amp; VLOOKUP(A82,Internal_lists_bugs!$A$2:$Z$73,26,FALSE())),"please select a BUG ID")</f>
        <v>
</v>
      </c>
      <c r="C82" s="39" t="str">
        <f>IFERROR(Hyperlink(VLOOKUP(A82,Internal_lists_bugs!$A$2:$G1014,7,FALSE()),"BIC: "&amp;VLOOKUP(A82,Internal_lists_bugs!$A$2:$G1014,7,FALSE())&amp;CHAR(10)&amp;"Intro.Issues: "&amp;VLOOKUP(A82,Internal_lists_bugs!$A$2:$P1014,16,FALSE())),"please select a BUG ID")</f>
        <v>BIC: https://opendev.org/openstack/nova/commit/98dcd0dc6fe19ab243556874e4f0910e78484e02
Intro.Issues: v3-api-policy</v>
      </c>
      <c r="D82" s="40" t="s">
        <v>172</v>
      </c>
      <c r="E82" s="43"/>
      <c r="F82" s="41" t="s">
        <v>122</v>
      </c>
      <c r="G82" s="42" t="s">
        <v>123</v>
      </c>
      <c r="H82" s="43"/>
    </row>
    <row r="83">
      <c r="A83" s="16" t="s">
        <v>51</v>
      </c>
      <c r="B83" s="38" t="str">
        <f>IFERROR(HYPERLINK(VLOOKUP(A83,Internal_lists_bugs!$A$2:$C$73,3,FALSE()), VLOOKUP(A83,Internal_lists_bugs!$A$2:$C$73,3,FALSE())&amp;Char(10) &amp; Char(10) &amp; VLOOKUP(A83,Internal_lists_bugs!$A$2:$Z$73,26,FALSE())),"please select a BUG ID")</f>
        <v>
</v>
      </c>
      <c r="C83" s="39" t="str">
        <f>IFERROR(Hyperlink(VLOOKUP(A83,Internal_lists_bugs!$A$2:$G1014,7,FALSE()),"BIC: "&amp;VLOOKUP(A83,Internal_lists_bugs!$A$2:$G1014,7,FALSE())&amp;CHAR(10)&amp;"Intro.Issues: "&amp;VLOOKUP(A83,Internal_lists_bugs!$A$2:$P1014,16,FALSE())),"please select a BUG ID")</f>
        <v>BIC: https://opendev.org/openstack/nova/commit/98dcd0dc6fe19ab243556874e4f0910e78484e02
Intro.Issues: v3-api-policy</v>
      </c>
      <c r="D83" s="40" t="s">
        <v>172</v>
      </c>
      <c r="E83" s="43"/>
      <c r="F83" s="41" t="s">
        <v>153</v>
      </c>
      <c r="G83" s="42" t="s">
        <v>139</v>
      </c>
      <c r="H83" s="43"/>
    </row>
    <row r="84">
      <c r="A84" s="16" t="s">
        <v>51</v>
      </c>
      <c r="B84" s="38" t="str">
        <f>IFERROR(HYPERLINK(VLOOKUP(A84,Internal_lists_bugs!$A$2:$C$73,3,FALSE()), VLOOKUP(A84,Internal_lists_bugs!$A$2:$C$73,3,FALSE())&amp;Char(10) &amp; Char(10) &amp; VLOOKUP(A84,Internal_lists_bugs!$A$2:$Z$73,26,FALSE())),"please select a BUG ID")</f>
        <v>
</v>
      </c>
      <c r="C84" s="39" t="str">
        <f>IFERROR(Hyperlink(VLOOKUP(A84,Internal_lists_bugs!$A$2:$G1014,7,FALSE()),"BIC: "&amp;VLOOKUP(A84,Internal_lists_bugs!$A$2:$G1014,7,FALSE())&amp;CHAR(10)&amp;"Intro.Issues: "&amp;VLOOKUP(A84,Internal_lists_bugs!$A$2:$P1014,16,FALSE())),"please select a BUG ID")</f>
        <v>BIC: https://opendev.org/openstack/nova/commit/98dcd0dc6fe19ab243556874e4f0910e78484e02
Intro.Issues: v3-api-policy</v>
      </c>
      <c r="D84" s="40" t="s">
        <v>172</v>
      </c>
      <c r="E84" s="43"/>
      <c r="F84" s="41" t="s">
        <v>119</v>
      </c>
      <c r="G84" s="42" t="s">
        <v>139</v>
      </c>
      <c r="H84" s="43"/>
    </row>
    <row r="85">
      <c r="A85" s="16" t="s">
        <v>51</v>
      </c>
      <c r="B85" s="38" t="str">
        <f>IFERROR(HYPERLINK(VLOOKUP(A85,Internal_lists_bugs!$A$2:$C$73,3,FALSE()), VLOOKUP(A85,Internal_lists_bugs!$A$2:$C$73,3,FALSE())&amp;Char(10) &amp; Char(10) &amp; VLOOKUP(A85,Internal_lists_bugs!$A$2:$Z$73,26,FALSE())),"please select a BUG ID")</f>
        <v>
</v>
      </c>
      <c r="C85" s="39" t="str">
        <f>IFERROR(Hyperlink(VLOOKUP(A85,Internal_lists_bugs!$A$2:$G1014,7,FALSE()),"BIC: "&amp;VLOOKUP(A85,Internal_lists_bugs!$A$2:$G1014,7,FALSE())&amp;CHAR(10)&amp;"Intro.Issues: "&amp;VLOOKUP(A85,Internal_lists_bugs!$A$2:$P1014,16,FALSE())),"please select a BUG ID")</f>
        <v>BIC: https://opendev.org/openstack/nova/commit/98dcd0dc6fe19ab243556874e4f0910e78484e02
Intro.Issues: v3-api-policy</v>
      </c>
      <c r="D85" s="40" t="s">
        <v>172</v>
      </c>
      <c r="E85" s="43"/>
      <c r="F85" s="41" t="s">
        <v>175</v>
      </c>
      <c r="G85" s="42" t="s">
        <v>139</v>
      </c>
      <c r="H85" s="43"/>
    </row>
    <row r="86">
      <c r="A86" s="16" t="s">
        <v>51</v>
      </c>
      <c r="B86" s="38" t="str">
        <f>IFERROR(HYPERLINK(VLOOKUP(A86,Internal_lists_bugs!$A$2:$C$73,3,FALSE()), VLOOKUP(A86,Internal_lists_bugs!$A$2:$C$73,3,FALSE())&amp;Char(10) &amp; Char(10) &amp; VLOOKUP(A86,Internal_lists_bugs!$A$2:$Z$73,26,FALSE())),"please select a BUG ID")</f>
        <v>
</v>
      </c>
      <c r="C86" s="39" t="str">
        <f>IFERROR(Hyperlink(VLOOKUP(A86,Internal_lists_bugs!$A$2:$G1014,7,FALSE()),"BIC: "&amp;VLOOKUP(A86,Internal_lists_bugs!$A$2:$G1014,7,FALSE())&amp;CHAR(10)&amp;"Intro.Issues: "&amp;VLOOKUP(A86,Internal_lists_bugs!$A$2:$P1014,16,FALSE())),"please select a BUG ID")</f>
        <v>BIC: https://opendev.org/openstack/nova/commit/98dcd0dc6fe19ab243556874e4f0910e78484e02
Intro.Issues: v3-api-policy</v>
      </c>
      <c r="D86" s="40" t="s">
        <v>172</v>
      </c>
      <c r="E86" s="43"/>
      <c r="F86" s="41" t="s">
        <v>176</v>
      </c>
      <c r="G86" s="42" t="s">
        <v>139</v>
      </c>
      <c r="H86" s="43"/>
    </row>
    <row r="87">
      <c r="A87" s="16" t="s">
        <v>51</v>
      </c>
      <c r="B87" s="38" t="str">
        <f>IFERROR(HYPERLINK(VLOOKUP(A87,Internal_lists_bugs!$A$2:$C$73,3,FALSE()), VLOOKUP(A87,Internal_lists_bugs!$A$2:$C$73,3,FALSE())&amp;Char(10) &amp; Char(10) &amp; VLOOKUP(A87,Internal_lists_bugs!$A$2:$Z$73,26,FALSE())),"please select a BUG ID")</f>
        <v>
</v>
      </c>
      <c r="C87" s="39" t="str">
        <f>IFERROR(Hyperlink(VLOOKUP(A87,Internal_lists_bugs!$A$2:$G1014,7,FALSE()),"BIC: "&amp;VLOOKUP(A87,Internal_lists_bugs!$A$2:$G1014,7,FALSE())&amp;CHAR(10)&amp;"Intro.Issues: "&amp;VLOOKUP(A87,Internal_lists_bugs!$A$2:$P1014,16,FALSE())),"please select a BUG ID")</f>
        <v>BIC: https://opendev.org/openstack/nova/commit/98dcd0dc6fe19ab243556874e4f0910e78484e02
Intro.Issues: v3-api-policy</v>
      </c>
      <c r="D87" s="40" t="s">
        <v>172</v>
      </c>
      <c r="E87" s="43"/>
      <c r="F87" s="41" t="s">
        <v>177</v>
      </c>
      <c r="G87" s="42" t="s">
        <v>139</v>
      </c>
      <c r="H87" s="43"/>
    </row>
    <row r="88">
      <c r="A88" s="16" t="s">
        <v>51</v>
      </c>
      <c r="B88" s="38" t="str">
        <f>IFERROR(HYPERLINK(VLOOKUP(A88,Internal_lists_bugs!$A$2:$C$73,3,FALSE()), VLOOKUP(A88,Internal_lists_bugs!$A$2:$C$73,3,FALSE())&amp;Char(10) &amp; Char(10) &amp; VLOOKUP(A88,Internal_lists_bugs!$A$2:$Z$73,26,FALSE())),"please select a BUG ID")</f>
        <v>
</v>
      </c>
      <c r="C88" s="39" t="str">
        <f>IFERROR(Hyperlink(VLOOKUP(A88,Internal_lists_bugs!$A$2:$G1014,7,FALSE()),"BIC: "&amp;VLOOKUP(A88,Internal_lists_bugs!$A$2:$G1014,7,FALSE())&amp;CHAR(10)&amp;"Intro.Issues: "&amp;VLOOKUP(A88,Internal_lists_bugs!$A$2:$P1014,16,FALSE())),"please select a BUG ID")</f>
        <v>BIC: https://opendev.org/openstack/nova/commit/98dcd0dc6fe19ab243556874e4f0910e78484e02
Intro.Issues: v3-api-policy</v>
      </c>
      <c r="D88" s="40" t="s">
        <v>172</v>
      </c>
      <c r="E88" s="43"/>
      <c r="F88" s="41" t="s">
        <v>178</v>
      </c>
      <c r="G88" s="42" t="s">
        <v>139</v>
      </c>
      <c r="H88" s="43"/>
    </row>
    <row r="89">
      <c r="A89" s="16" t="s">
        <v>51</v>
      </c>
      <c r="B89" s="38" t="str">
        <f>IFERROR(HYPERLINK(VLOOKUP(A89,Internal_lists_bugs!$A$2:$C$73,3,FALSE()), VLOOKUP(A89,Internal_lists_bugs!$A$2:$C$73,3,FALSE())&amp;Char(10) &amp; Char(10) &amp; VLOOKUP(A89,Internal_lists_bugs!$A$2:$Z$73,26,FALSE())),"please select a BUG ID")</f>
        <v>
</v>
      </c>
      <c r="C89" s="39" t="str">
        <f>IFERROR(Hyperlink(VLOOKUP(A89,Internal_lists_bugs!$A$2:$G1014,7,FALSE()),"BIC: "&amp;VLOOKUP(A89,Internal_lists_bugs!$A$2:$G1014,7,FALSE())&amp;CHAR(10)&amp;"Intro.Issues: "&amp;VLOOKUP(A89,Internal_lists_bugs!$A$2:$P1014,16,FALSE())),"please select a BUG ID")</f>
        <v>BIC: https://opendev.org/openstack/nova/commit/98dcd0dc6fe19ab243556874e4f0910e78484e02
Intro.Issues: v3-api-policy</v>
      </c>
      <c r="D89" s="40" t="s">
        <v>172</v>
      </c>
      <c r="E89" s="43"/>
      <c r="F89" s="41" t="s">
        <v>179</v>
      </c>
      <c r="G89" s="42" t="s">
        <v>139</v>
      </c>
      <c r="H89" s="43"/>
    </row>
    <row r="90">
      <c r="A90" s="16" t="s">
        <v>51</v>
      </c>
      <c r="B90" s="38" t="str">
        <f>IFERROR(HYPERLINK(VLOOKUP(A90,Internal_lists_bugs!$A$2:$C$73,3,FALSE()), VLOOKUP(A90,Internal_lists_bugs!$A$2:$C$73,3,FALSE())&amp;Char(10) &amp; Char(10) &amp; VLOOKUP(A90,Internal_lists_bugs!$A$2:$Z$73,26,FALSE())),"please select a BUG ID")</f>
        <v>
</v>
      </c>
      <c r="C90" s="39" t="str">
        <f>IFERROR(Hyperlink(VLOOKUP(A90,Internal_lists_bugs!$A$2:$G1014,7,FALSE()),"BIC: "&amp;VLOOKUP(A90,Internal_lists_bugs!$A$2:$G1014,7,FALSE())&amp;CHAR(10)&amp;"Intro.Issues: "&amp;VLOOKUP(A90,Internal_lists_bugs!$A$2:$P1014,16,FALSE())),"please select a BUG ID")</f>
        <v>BIC: https://opendev.org/openstack/nova/commit/98dcd0dc6fe19ab243556874e4f0910e78484e02
Intro.Issues: v3-api-policy</v>
      </c>
      <c r="D90" s="40" t="s">
        <v>172</v>
      </c>
      <c r="E90" s="43"/>
      <c r="F90" s="41" t="s">
        <v>180</v>
      </c>
      <c r="G90" s="42" t="s">
        <v>139</v>
      </c>
      <c r="H90" s="43"/>
    </row>
    <row r="91">
      <c r="A91" s="16" t="s">
        <v>51</v>
      </c>
      <c r="B91" s="38" t="str">
        <f>IFERROR(HYPERLINK(VLOOKUP(A91,Internal_lists_bugs!$A$2:$C$73,3,FALSE()), VLOOKUP(A91,Internal_lists_bugs!$A$2:$C$73,3,FALSE())&amp;Char(10) &amp; Char(10) &amp; VLOOKUP(A91,Internal_lists_bugs!$A$2:$Z$73,26,FALSE())),"please select a BUG ID")</f>
        <v>
</v>
      </c>
      <c r="C91" s="39" t="str">
        <f>IFERROR(Hyperlink(VLOOKUP(A91,Internal_lists_bugs!$A$2:$G1014,7,FALSE()),"BIC: "&amp;VLOOKUP(A91,Internal_lists_bugs!$A$2:$G1014,7,FALSE())&amp;CHAR(10)&amp;"Intro.Issues: "&amp;VLOOKUP(A91,Internal_lists_bugs!$A$2:$P1014,16,FALSE())),"please select a BUG ID")</f>
        <v>BIC: https://opendev.org/openstack/nova/commit/98dcd0dc6fe19ab243556874e4f0910e78484e02
Intro.Issues: v3-api-policy</v>
      </c>
      <c r="D91" s="40" t="s">
        <v>172</v>
      </c>
      <c r="E91" s="43"/>
      <c r="F91" s="41" t="s">
        <v>181</v>
      </c>
      <c r="G91" s="42" t="s">
        <v>139</v>
      </c>
      <c r="H91" s="43"/>
    </row>
    <row r="92">
      <c r="A92" s="16" t="s">
        <v>51</v>
      </c>
      <c r="B92" s="38" t="str">
        <f>IFERROR(HYPERLINK(VLOOKUP(A92,Internal_lists_bugs!$A$2:$C$73,3,FALSE()), VLOOKUP(A92,Internal_lists_bugs!$A$2:$C$73,3,FALSE())&amp;Char(10) &amp; Char(10) &amp; VLOOKUP(A92,Internal_lists_bugs!$A$2:$Z$73,26,FALSE())),"please select a BUG ID")</f>
        <v>
</v>
      </c>
      <c r="C92" s="39" t="str">
        <f>IFERROR(Hyperlink(VLOOKUP(A92,Internal_lists_bugs!$A$2:$G1014,7,FALSE()),"BIC: "&amp;VLOOKUP(A92,Internal_lists_bugs!$A$2:$G1014,7,FALSE())&amp;CHAR(10)&amp;"Intro.Issues: "&amp;VLOOKUP(A92,Internal_lists_bugs!$A$2:$P1014,16,FALSE())),"please select a BUG ID")</f>
        <v>BIC: https://opendev.org/openstack/nova/commit/98dcd0dc6fe19ab243556874e4f0910e78484e02
Intro.Issues: v3-api-policy</v>
      </c>
      <c r="D92" s="40" t="s">
        <v>172</v>
      </c>
      <c r="E92" s="43"/>
      <c r="F92" s="41" t="s">
        <v>182</v>
      </c>
      <c r="G92" s="42" t="s">
        <v>139</v>
      </c>
      <c r="H92" s="43"/>
    </row>
    <row r="93">
      <c r="A93" s="16" t="s">
        <v>51</v>
      </c>
      <c r="B93" s="38" t="str">
        <f>IFERROR(HYPERLINK(VLOOKUP(A93,Internal_lists_bugs!$A$2:$C$73,3,FALSE()), VLOOKUP(A93,Internal_lists_bugs!$A$2:$C$73,3,FALSE())&amp;Char(10) &amp; Char(10) &amp; VLOOKUP(A93,Internal_lists_bugs!$A$2:$Z$73,26,FALSE())),"please select a BUG ID")</f>
        <v>
</v>
      </c>
      <c r="C93" s="39" t="str">
        <f>IFERROR(Hyperlink(VLOOKUP(A93,Internal_lists_bugs!$A$2:$G1014,7,FALSE()),"BIC: "&amp;VLOOKUP(A93,Internal_lists_bugs!$A$2:$G1014,7,FALSE())&amp;CHAR(10)&amp;"Intro.Issues: "&amp;VLOOKUP(A93,Internal_lists_bugs!$A$2:$P1014,16,FALSE())),"please select a BUG ID")</f>
        <v>BIC: https://opendev.org/openstack/nova/commit/98dcd0dc6fe19ab243556874e4f0910e78484e02
Intro.Issues: v3-api-policy</v>
      </c>
      <c r="D93" s="40" t="s">
        <v>172</v>
      </c>
      <c r="E93" s="43"/>
      <c r="F93" s="41" t="s">
        <v>174</v>
      </c>
      <c r="G93" s="42" t="s">
        <v>139</v>
      </c>
      <c r="H93" s="43"/>
    </row>
    <row r="94">
      <c r="A94" s="16" t="s">
        <v>51</v>
      </c>
      <c r="B94" s="38" t="str">
        <f>IFERROR(HYPERLINK(VLOOKUP(A94,Internal_lists_bugs!$A$2:$C$73,3,FALSE()), VLOOKUP(A94,Internal_lists_bugs!$A$2:$C$73,3,FALSE())&amp;Char(10) &amp; Char(10) &amp; VLOOKUP(A94,Internal_lists_bugs!$A$2:$Z$73,26,FALSE())),"please select a BUG ID")</f>
        <v>
</v>
      </c>
      <c r="C94" s="39" t="str">
        <f>IFERROR(Hyperlink(VLOOKUP(A94,Internal_lists_bugs!$A$2:$G1014,7,FALSE()),"BIC: "&amp;VLOOKUP(A94,Internal_lists_bugs!$A$2:$G1014,7,FALSE())&amp;CHAR(10)&amp;"Intro.Issues: "&amp;VLOOKUP(A94,Internal_lists_bugs!$A$2:$P1014,16,FALSE())),"please select a BUG ID")</f>
        <v>BIC: https://opendev.org/openstack/nova/commit/98dcd0dc6fe19ab243556874e4f0910e78484e02
Intro.Issues: v3-api-policy</v>
      </c>
      <c r="D94" s="40" t="s">
        <v>172</v>
      </c>
      <c r="E94" s="43"/>
      <c r="F94" s="41" t="s">
        <v>183</v>
      </c>
      <c r="G94" s="42" t="s">
        <v>139</v>
      </c>
      <c r="H94" s="43"/>
      <c r="K94" s="43"/>
    </row>
    <row r="95">
      <c r="A95" s="16" t="s">
        <v>51</v>
      </c>
      <c r="B95" s="38" t="str">
        <f>IFERROR(HYPERLINK(VLOOKUP(A95,Internal_lists_bugs!$A$2:$C$73,3,FALSE()), VLOOKUP(A95,Internal_lists_bugs!$A$2:$C$73,3,FALSE())&amp;Char(10) &amp; Char(10) &amp; VLOOKUP(A95,Internal_lists_bugs!$A$2:$Z$73,26,FALSE())),"please select a BUG ID")</f>
        <v>
</v>
      </c>
      <c r="C95" s="39" t="str">
        <f>IFERROR(Hyperlink(VLOOKUP(A95,Internal_lists_bugs!$A$2:$G1014,7,FALSE()),"BIC: "&amp;VLOOKUP(A95,Internal_lists_bugs!$A$2:$G1014,7,FALSE())&amp;CHAR(10)&amp;"Intro.Issues: "&amp;VLOOKUP(A95,Internal_lists_bugs!$A$2:$P1014,16,FALSE())),"please select a BUG ID")</f>
        <v>BIC: https://opendev.org/openstack/nova/commit/98dcd0dc6fe19ab243556874e4f0910e78484e02
Intro.Issues: v3-api-policy</v>
      </c>
      <c r="D95" s="40" t="s">
        <v>172</v>
      </c>
      <c r="E95" s="43"/>
      <c r="F95" s="41" t="s">
        <v>184</v>
      </c>
      <c r="G95" s="42" t="s">
        <v>139</v>
      </c>
      <c r="H95" s="43"/>
      <c r="K95" s="43"/>
    </row>
    <row r="96">
      <c r="A96" s="16" t="s">
        <v>52</v>
      </c>
      <c r="B96" s="38" t="str">
        <f>IFERROR(HYPERLINK(VLOOKUP(A96,Internal_lists_bugs!$A$2:$C$73,3,FALSE()), VLOOKUP(A96,Internal_lists_bugs!$A$2:$C$73,3,FALSE())&amp;Char(10) &amp; Char(10) &amp; VLOOKUP(A96,Internal_lists_bugs!$A$2:$Z$73,26,FALSE())),"please select a BUG ID")</f>
        <v>
</v>
      </c>
      <c r="C96" s="39" t="str">
        <f>IFERROR(Hyperlink(VLOOKUP(A96,Internal_lists_bugs!$A$2:$G1014,7,FALSE()),"BIC: "&amp;VLOOKUP(A96,Internal_lists_bugs!$A$2:$G1014,7,FALSE())&amp;CHAR(10)&amp;"Intro.Issues: "&amp;VLOOKUP(A96,Internal_lists_bugs!$A$2:$P1014,16,FALSE())),"please select a BUG ID")</f>
        <v>BIC: https://opendev.org/openstack/nova/commit/c6088d94bfd11114c94b2bdf7bd51cb4b1989720
Intro.Issues: </v>
      </c>
      <c r="D96" s="40"/>
      <c r="E96" s="43"/>
      <c r="F96" s="41"/>
      <c r="G96" s="42"/>
      <c r="H96" s="43"/>
      <c r="K96" s="43"/>
    </row>
    <row r="97">
      <c r="A97" s="16" t="s">
        <v>53</v>
      </c>
      <c r="B97" s="38" t="str">
        <f>IFERROR(HYPERLINK(VLOOKUP(A97,Internal_lists_bugs!$A$2:$C$73,3,FALSE()), VLOOKUP(A97,Internal_lists_bugs!$A$2:$C$73,3,FALSE())&amp;Char(10) &amp; Char(10) &amp; VLOOKUP(A97,Internal_lists_bugs!$A$2:$Z$73,26,FALSE())),"please select a BUG ID")</f>
        <v>
</v>
      </c>
      <c r="C97" s="39" t="str">
        <f>IFERROR(Hyperlink(VLOOKUP(A97,Internal_lists_bugs!$A$2:$G1014,7,FALSE()),"BIC: "&amp;VLOOKUP(A97,Internal_lists_bugs!$A$2:$G1014,7,FALSE())&amp;CHAR(10)&amp;"Intro.Issues: "&amp;VLOOKUP(A97,Internal_lists_bugs!$A$2:$P1014,16,FALSE())),"please select a BUG ID")</f>
        <v>BIC: https://opendev.org/openstack/nova/commit/c363dae6a2b878db6801b502cced1fcc6aad2d0c
Intro.Issues: 1348288</v>
      </c>
      <c r="D97" s="40">
        <v>1348288.0</v>
      </c>
      <c r="E97" s="16" t="s">
        <v>164</v>
      </c>
      <c r="F97" s="41" t="s">
        <v>122</v>
      </c>
      <c r="G97" s="42" t="s">
        <v>120</v>
      </c>
      <c r="H97" s="16" t="s">
        <v>121</v>
      </c>
      <c r="I97" s="16" t="b">
        <v>0</v>
      </c>
      <c r="K97" s="43"/>
    </row>
    <row r="98">
      <c r="A98" s="16" t="s">
        <v>53</v>
      </c>
      <c r="B98" s="38" t="str">
        <f>IFERROR(HYPERLINK(VLOOKUP(A98,Internal_lists_bugs!$A$2:$C$73,3,FALSE()), VLOOKUP(A98,Internal_lists_bugs!$A$2:$C$73,3,FALSE())&amp;Char(10) &amp; Char(10) &amp; VLOOKUP(A98,Internal_lists_bugs!$A$2:$Z$73,26,FALSE())),"please select a BUG ID")</f>
        <v>
</v>
      </c>
      <c r="C98" s="39" t="str">
        <f>IFERROR(Hyperlink(VLOOKUP(A98,Internal_lists_bugs!$A$2:$G1014,7,FALSE()),"BIC: "&amp;VLOOKUP(A98,Internal_lists_bugs!$A$2:$G1014,7,FALSE())&amp;CHAR(10)&amp;"Intro.Issues: "&amp;VLOOKUP(A98,Internal_lists_bugs!$A$2:$P1014,16,FALSE())),"please select a BUG ID")</f>
        <v>BIC: https://opendev.org/openstack/nova/commit/c363dae6a2b878db6801b502cced1fcc6aad2d0c
Intro.Issues: 1348288</v>
      </c>
      <c r="D98" s="40">
        <v>1348288.0</v>
      </c>
      <c r="E98" s="43"/>
      <c r="F98" s="41" t="s">
        <v>119</v>
      </c>
      <c r="G98" s="42" t="s">
        <v>123</v>
      </c>
      <c r="H98" s="43"/>
      <c r="K98" s="43"/>
    </row>
    <row r="99">
      <c r="A99" s="16" t="s">
        <v>53</v>
      </c>
      <c r="B99" s="38" t="str">
        <f>IFERROR(HYPERLINK(VLOOKUP(A99,Internal_lists_bugs!$A$2:$C$73,3,FALSE()), VLOOKUP(A99,Internal_lists_bugs!$A$2:$C$73,3,FALSE())&amp;Char(10) &amp; Char(10) &amp; VLOOKUP(A99,Internal_lists_bugs!$A$2:$Z$73,26,FALSE())),"please select a BUG ID")</f>
        <v>
</v>
      </c>
      <c r="C99" s="39" t="str">
        <f>IFERROR(Hyperlink(VLOOKUP(A99,Internal_lists_bugs!$A$2:$G1014,7,FALSE()),"BIC: "&amp;VLOOKUP(A99,Internal_lists_bugs!$A$2:$G1014,7,FALSE())&amp;CHAR(10)&amp;"Intro.Issues: "&amp;VLOOKUP(A99,Internal_lists_bugs!$A$2:$P1014,16,FALSE())),"please select a BUG ID")</f>
        <v>BIC: https://opendev.org/openstack/nova/commit/c363dae6a2b878db6801b502cced1fcc6aad2d0c
Intro.Issues: 1348288</v>
      </c>
      <c r="D99" s="40">
        <v>1348288.0</v>
      </c>
      <c r="E99" s="43"/>
      <c r="F99" s="41" t="s">
        <v>185</v>
      </c>
      <c r="G99" s="42" t="s">
        <v>123</v>
      </c>
      <c r="H99" s="43"/>
      <c r="K99" s="43"/>
    </row>
    <row r="100">
      <c r="A100" s="16" t="s">
        <v>53</v>
      </c>
      <c r="B100" s="38" t="str">
        <f>IFERROR(HYPERLINK(VLOOKUP(A100,Internal_lists_bugs!$A$2:$C$73,3,FALSE()), VLOOKUP(A100,Internal_lists_bugs!$A$2:$C$73,3,FALSE())&amp;Char(10) &amp; Char(10) &amp; VLOOKUP(A100,Internal_lists_bugs!$A$2:$Z$73,26,FALSE())),"please select a BUG ID")</f>
        <v>
</v>
      </c>
      <c r="C100" s="39" t="str">
        <f>IFERROR(Hyperlink(VLOOKUP(A100,Internal_lists_bugs!$A$2:$G1014,7,FALSE()),"BIC: "&amp;VLOOKUP(A100,Internal_lists_bugs!$A$2:$G1014,7,FALSE())&amp;CHAR(10)&amp;"Intro.Issues: "&amp;VLOOKUP(A100,Internal_lists_bugs!$A$2:$P1014,16,FALSE())),"please select a BUG ID")</f>
        <v>BIC: https://opendev.org/openstack/nova/commit/c363dae6a2b878db6801b502cced1fcc6aad2d0c
Intro.Issues: 1348288</v>
      </c>
      <c r="D100" s="40">
        <v>1348288.0</v>
      </c>
      <c r="E100" s="43"/>
      <c r="F100" s="41" t="s">
        <v>186</v>
      </c>
      <c r="G100" s="42" t="s">
        <v>123</v>
      </c>
      <c r="H100" s="43"/>
      <c r="K100" s="43"/>
    </row>
    <row r="101">
      <c r="A101" s="16" t="s">
        <v>53</v>
      </c>
      <c r="B101" s="38" t="str">
        <f>IFERROR(HYPERLINK(VLOOKUP(A101,Internal_lists_bugs!$A$2:$C$73,3,FALSE()), VLOOKUP(A101,Internal_lists_bugs!$A$2:$C$73,3,FALSE())&amp;Char(10) &amp; Char(10) &amp; VLOOKUP(A101,Internal_lists_bugs!$A$2:$Z$73,26,FALSE())),"please select a BUG ID")</f>
        <v>
</v>
      </c>
      <c r="C101" s="39" t="str">
        <f>IFERROR(Hyperlink(VLOOKUP(A101,Internal_lists_bugs!$A$2:$G1014,7,FALSE()),"BIC: "&amp;VLOOKUP(A101,Internal_lists_bugs!$A$2:$G1014,7,FALSE())&amp;CHAR(10)&amp;"Intro.Issues: "&amp;VLOOKUP(A101,Internal_lists_bugs!$A$2:$P1014,16,FALSE())),"please select a BUG ID")</f>
        <v>BIC: https://opendev.org/openstack/nova/commit/c363dae6a2b878db6801b502cced1fcc6aad2d0c
Intro.Issues: 1348288</v>
      </c>
      <c r="D101" s="40">
        <v>1348288.0</v>
      </c>
      <c r="E101" s="43"/>
      <c r="F101" s="41" t="s">
        <v>165</v>
      </c>
      <c r="G101" s="42" t="s">
        <v>129</v>
      </c>
      <c r="H101" s="43"/>
      <c r="K101" s="43"/>
    </row>
    <row r="102">
      <c r="A102" s="16" t="s">
        <v>53</v>
      </c>
      <c r="B102" s="38" t="str">
        <f>IFERROR(HYPERLINK(VLOOKUP(A102,Internal_lists_bugs!$A$2:$C$73,3,FALSE()), VLOOKUP(A102,Internal_lists_bugs!$A$2:$C$73,3,FALSE())&amp;Char(10) &amp; Char(10) &amp; VLOOKUP(A102,Internal_lists_bugs!$A$2:$Z$73,26,FALSE())),"please select a BUG ID")</f>
        <v>
</v>
      </c>
      <c r="C102" s="39" t="str">
        <f>IFERROR(Hyperlink(VLOOKUP(A102,Internal_lists_bugs!$A$2:$G1014,7,FALSE()),"BIC: "&amp;VLOOKUP(A102,Internal_lists_bugs!$A$2:$G1014,7,FALSE())&amp;CHAR(10)&amp;"Intro.Issues: "&amp;VLOOKUP(A102,Internal_lists_bugs!$A$2:$P1014,16,FALSE())),"please select a BUG ID")</f>
        <v>BIC: https://opendev.org/openstack/nova/commit/c363dae6a2b878db6801b502cced1fcc6aad2d0c
Intro.Issues: 1348288</v>
      </c>
      <c r="D102" s="40">
        <v>1348288.0</v>
      </c>
      <c r="E102" s="43"/>
      <c r="F102" s="41" t="s">
        <v>187</v>
      </c>
      <c r="G102" s="42" t="s">
        <v>131</v>
      </c>
      <c r="H102" s="43"/>
      <c r="K102" s="43"/>
    </row>
    <row r="103">
      <c r="A103" s="16" t="s">
        <v>53</v>
      </c>
      <c r="B103" s="38" t="str">
        <f>IFERROR(HYPERLINK(VLOOKUP(A103,Internal_lists_bugs!$A$2:$C$73,3,FALSE()), VLOOKUP(A103,Internal_lists_bugs!$A$2:$C$73,3,FALSE())&amp;Char(10) &amp; Char(10) &amp; VLOOKUP(A103,Internal_lists_bugs!$A$2:$Z$73,26,FALSE())),"please select a BUG ID")</f>
        <v>
</v>
      </c>
      <c r="C103" s="39" t="str">
        <f>IFERROR(Hyperlink(VLOOKUP(A103,Internal_lists_bugs!$A$2:$G1014,7,FALSE()),"BIC: "&amp;VLOOKUP(A103,Internal_lists_bugs!$A$2:$G1014,7,FALSE())&amp;CHAR(10)&amp;"Intro.Issues: "&amp;VLOOKUP(A103,Internal_lists_bugs!$A$2:$P1014,16,FALSE())),"please select a BUG ID")</f>
        <v>BIC: https://opendev.org/openstack/nova/commit/c363dae6a2b878db6801b502cced1fcc6aad2d0c
Intro.Issues: 1348288</v>
      </c>
      <c r="D103" s="40">
        <v>1348288.0</v>
      </c>
      <c r="E103" s="43"/>
      <c r="F103" s="41" t="s">
        <v>188</v>
      </c>
      <c r="G103" s="42" t="s">
        <v>131</v>
      </c>
      <c r="H103" s="43"/>
      <c r="K103" s="43"/>
    </row>
    <row r="104">
      <c r="A104" s="16" t="s">
        <v>53</v>
      </c>
      <c r="B104" s="38" t="str">
        <f>IFERROR(HYPERLINK(VLOOKUP(A104,Internal_lists_bugs!$A$2:$C$73,3,FALSE()), VLOOKUP(A104,Internal_lists_bugs!$A$2:$C$73,3,FALSE())&amp;Char(10) &amp; Char(10) &amp; VLOOKUP(A104,Internal_lists_bugs!$A$2:$Z$73,26,FALSE())),"please select a BUG ID")</f>
        <v>
</v>
      </c>
      <c r="C104" s="39" t="str">
        <f>IFERROR(Hyperlink(VLOOKUP(A104,Internal_lists_bugs!$A$2:$G1014,7,FALSE()),"BIC: "&amp;VLOOKUP(A104,Internal_lists_bugs!$A$2:$G1014,7,FALSE())&amp;CHAR(10)&amp;"Intro.Issues: "&amp;VLOOKUP(A104,Internal_lists_bugs!$A$2:$P1014,16,FALSE())),"please select a BUG ID")</f>
        <v>BIC: https://opendev.org/openstack/nova/commit/c363dae6a2b878db6801b502cced1fcc6aad2d0c
Intro.Issues: 1348288</v>
      </c>
      <c r="D104" s="40">
        <v>1348288.0</v>
      </c>
      <c r="E104" s="43"/>
      <c r="F104" s="41" t="s">
        <v>189</v>
      </c>
      <c r="G104" s="42" t="s">
        <v>149</v>
      </c>
      <c r="H104" s="43"/>
    </row>
    <row r="105">
      <c r="A105" s="16" t="s">
        <v>53</v>
      </c>
      <c r="B105" s="38" t="str">
        <f>IFERROR(HYPERLINK(VLOOKUP(A105,Internal_lists_bugs!$A$2:$C$73,3,FALSE()), VLOOKUP(A105,Internal_lists_bugs!$A$2:$C$73,3,FALSE())&amp;Char(10) &amp; Char(10) &amp; VLOOKUP(A105,Internal_lists_bugs!$A$2:$Z$73,26,FALSE())),"please select a BUG ID")</f>
        <v>
</v>
      </c>
      <c r="C105" s="39" t="str">
        <f>IFERROR(Hyperlink(VLOOKUP(A105,Internal_lists_bugs!$A$2:$G1014,7,FALSE()),"BIC: "&amp;VLOOKUP(A105,Internal_lists_bugs!$A$2:$G1014,7,FALSE())&amp;CHAR(10)&amp;"Intro.Issues: "&amp;VLOOKUP(A105,Internal_lists_bugs!$A$2:$P1014,16,FALSE())),"please select a BUG ID")</f>
        <v>BIC: https://opendev.org/openstack/nova/commit/c363dae6a2b878db6801b502cced1fcc6aad2d0c
Intro.Issues: 1348288</v>
      </c>
      <c r="D105" s="40">
        <v>1348288.0</v>
      </c>
      <c r="E105" s="43"/>
      <c r="F105" s="41" t="s">
        <v>188</v>
      </c>
      <c r="G105" s="42" t="s">
        <v>190</v>
      </c>
      <c r="H105" s="43"/>
    </row>
    <row r="106">
      <c r="A106" s="16" t="s">
        <v>53</v>
      </c>
      <c r="B106" s="38" t="str">
        <f>IFERROR(HYPERLINK(VLOOKUP(A106,Internal_lists_bugs!$A$2:$C$73,3,FALSE()), VLOOKUP(A106,Internal_lists_bugs!$A$2:$C$73,3,FALSE())&amp;Char(10) &amp; Char(10) &amp; VLOOKUP(A106,Internal_lists_bugs!$A$2:$Z$73,26,FALSE())),"please select a BUG ID")</f>
        <v>
</v>
      </c>
      <c r="C106" s="39" t="str">
        <f>IFERROR(Hyperlink(VLOOKUP(A106,Internal_lists_bugs!$A$2:$G1014,7,FALSE()),"BIC: "&amp;VLOOKUP(A106,Internal_lists_bugs!$A$2:$G1014,7,FALSE())&amp;CHAR(10)&amp;"Intro.Issues: "&amp;VLOOKUP(A106,Internal_lists_bugs!$A$2:$P1014,16,FALSE())),"please select a BUG ID")</f>
        <v>BIC: https://opendev.org/openstack/nova/commit/c363dae6a2b878db6801b502cced1fcc6aad2d0c
Intro.Issues: 1348288</v>
      </c>
      <c r="D106" s="40">
        <v>1348288.0</v>
      </c>
      <c r="E106" s="43"/>
      <c r="F106" s="41" t="s">
        <v>130</v>
      </c>
      <c r="G106" s="42" t="s">
        <v>191</v>
      </c>
      <c r="H106" s="43"/>
    </row>
    <row r="107">
      <c r="A107" s="16" t="s">
        <v>53</v>
      </c>
      <c r="B107" s="38" t="str">
        <f>IFERROR(HYPERLINK(VLOOKUP(A107,Internal_lists_bugs!$A$2:$C$73,3,FALSE()), VLOOKUP(A107,Internal_lists_bugs!$A$2:$C$73,3,FALSE())&amp;Char(10) &amp; Char(10) &amp; VLOOKUP(A107,Internal_lists_bugs!$A$2:$Z$73,26,FALSE())),"please select a BUG ID")</f>
        <v>
</v>
      </c>
      <c r="C107" s="39" t="str">
        <f>IFERROR(Hyperlink(VLOOKUP(A107,Internal_lists_bugs!$A$2:$G1014,7,FALSE()),"BIC: "&amp;VLOOKUP(A107,Internal_lists_bugs!$A$2:$G1014,7,FALSE())&amp;CHAR(10)&amp;"Intro.Issues: "&amp;VLOOKUP(A107,Internal_lists_bugs!$A$2:$P1014,16,FALSE())),"please select a BUG ID")</f>
        <v>BIC: https://opendev.org/openstack/nova/commit/c363dae6a2b878db6801b502cced1fcc6aad2d0c
Intro.Issues: 1348288</v>
      </c>
      <c r="D107" s="40">
        <v>1348288.0</v>
      </c>
      <c r="E107" s="43"/>
      <c r="F107" s="41" t="s">
        <v>148</v>
      </c>
      <c r="G107" s="42" t="s">
        <v>192</v>
      </c>
      <c r="H107" s="43"/>
    </row>
    <row r="108">
      <c r="A108" s="16" t="s">
        <v>54</v>
      </c>
      <c r="B108" s="38" t="str">
        <f>IFERROR(HYPERLINK(VLOOKUP(A108,Internal_lists_bugs!$A$2:$C$73,3,FALSE()), VLOOKUP(A108,Internal_lists_bugs!$A$2:$C$73,3,FALSE())&amp;Char(10) &amp; Char(10) &amp; VLOOKUP(A108,Internal_lists_bugs!$A$2:$Z$73,26,FALSE())),"please select a BUG ID")</f>
        <v>
</v>
      </c>
      <c r="C108" s="39" t="str">
        <f>IFERROR(Hyperlink(VLOOKUP(A108,Internal_lists_bugs!$A$2:$G1014,7,FALSE()),"BIC: "&amp;VLOOKUP(A108,Internal_lists_bugs!$A$2:$G1014,7,FALSE())&amp;CHAR(10)&amp;"Intro.Issues: "&amp;VLOOKUP(A108,Internal_lists_bugs!$A$2:$P1014,16,FALSE())),"please select a BUG ID")</f>
        <v>BIC: https://opendev.org/openstack/nova/commit/9340f6db7961824aabdf73cecf5e19892ce01c03
Intro.Issues: </v>
      </c>
      <c r="D108" s="40"/>
      <c r="E108" s="43"/>
      <c r="F108" s="41"/>
      <c r="G108" s="42"/>
      <c r="H108" s="43"/>
    </row>
    <row r="109">
      <c r="A109" s="16" t="s">
        <v>55</v>
      </c>
      <c r="B109" s="38" t="str">
        <f>IFERROR(HYPERLINK(VLOOKUP(A109,Internal_lists_bugs!$A$2:$C$73,3,FALSE()), VLOOKUP(A109,Internal_lists_bugs!$A$2:$C$73,3,FALSE())&amp;Char(10) &amp; Char(10) &amp; VLOOKUP(A109,Internal_lists_bugs!$A$2:$Z$73,26,FALSE())),"please select a BUG ID")</f>
        <v>
</v>
      </c>
      <c r="C109" s="39" t="str">
        <f>IFERROR(Hyperlink(VLOOKUP(A109,Internal_lists_bugs!$A$2:$G1014,7,FALSE()),"BIC: "&amp;VLOOKUP(A109,Internal_lists_bugs!$A$2:$G1014,7,FALSE())&amp;CHAR(10)&amp;"Intro.Issues: "&amp;VLOOKUP(A109,Internal_lists_bugs!$A$2:$P1014,16,FALSE())),"please select a BUG ID")</f>
        <v>BIC: https://opendev.org/openstack/nova/commit/475f3624245500c5382faf5b2708a59fcec2c9ad
Intro.Issues: 897155</v>
      </c>
      <c r="D109" s="40">
        <v>897155.0</v>
      </c>
      <c r="E109" s="16" t="s">
        <v>118</v>
      </c>
      <c r="F109" s="41" t="s">
        <v>124</v>
      </c>
      <c r="G109" s="44" t="s">
        <v>120</v>
      </c>
      <c r="H109" s="16" t="s">
        <v>121</v>
      </c>
      <c r="I109" s="16" t="b">
        <v>0</v>
      </c>
    </row>
    <row r="110">
      <c r="A110" s="16" t="s">
        <v>55</v>
      </c>
      <c r="B110" s="38" t="str">
        <f>IFERROR(HYPERLINK(VLOOKUP(A110,Internal_lists_bugs!$A$2:$C$73,3,FALSE()), VLOOKUP(A110,Internal_lists_bugs!$A$2:$C$73,3,FALSE())&amp;Char(10) &amp; Char(10) &amp; VLOOKUP(A110,Internal_lists_bugs!$A$2:$Z$73,26,FALSE())),"please select a BUG ID")</f>
        <v>
</v>
      </c>
      <c r="C110" s="39" t="str">
        <f>IFERROR(Hyperlink(VLOOKUP(A110,Internal_lists_bugs!$A$2:$G1014,7,FALSE()),"BIC: "&amp;VLOOKUP(A110,Internal_lists_bugs!$A$2:$G1014,7,FALSE())&amp;CHAR(10)&amp;"Intro.Issues: "&amp;VLOOKUP(A110,Internal_lists_bugs!$A$2:$P1014,16,FALSE())),"please select a BUG ID")</f>
        <v>BIC: https://opendev.org/openstack/nova/commit/475f3624245500c5382faf5b2708a59fcec2c9ad
Intro.Issues: 897155</v>
      </c>
      <c r="D110" s="40">
        <v>897155.0</v>
      </c>
      <c r="E110" s="43"/>
      <c r="F110" s="41" t="s">
        <v>119</v>
      </c>
      <c r="G110" s="42" t="s">
        <v>123</v>
      </c>
      <c r="H110" s="43"/>
    </row>
    <row r="111">
      <c r="A111" s="16" t="s">
        <v>55</v>
      </c>
      <c r="B111" s="38" t="str">
        <f>IFERROR(HYPERLINK(VLOOKUP(A111,Internal_lists_bugs!$A$2:$C$73,3,FALSE()), VLOOKUP(A111,Internal_lists_bugs!$A$2:$C$73,3,FALSE())&amp;Char(10) &amp; Char(10) &amp; VLOOKUP(A111,Internal_lists_bugs!$A$2:$Z$73,26,FALSE())),"please select a BUG ID")</f>
        <v>
</v>
      </c>
      <c r="C111" s="39" t="str">
        <f>IFERROR(Hyperlink(VLOOKUP(A111,Internal_lists_bugs!$A$2:$G1014,7,FALSE()),"BIC: "&amp;VLOOKUP(A111,Internal_lists_bugs!$A$2:$G1014,7,FALSE())&amp;CHAR(10)&amp;"Intro.Issues: "&amp;VLOOKUP(A111,Internal_lists_bugs!$A$2:$P1014,16,FALSE())),"please select a BUG ID")</f>
        <v>BIC: https://opendev.org/openstack/nova/commit/475f3624245500c5382faf5b2708a59fcec2c9ad
Intro.Issues: 897155</v>
      </c>
      <c r="D111" s="40">
        <v>897155.0</v>
      </c>
      <c r="E111" s="43"/>
      <c r="F111" s="41" t="s">
        <v>124</v>
      </c>
      <c r="G111" s="42" t="s">
        <v>123</v>
      </c>
      <c r="H111" s="43"/>
    </row>
    <row r="112">
      <c r="A112" s="16" t="s">
        <v>55</v>
      </c>
      <c r="B112" s="38" t="str">
        <f>IFERROR(HYPERLINK(VLOOKUP(A112,Internal_lists_bugs!$A$2:$C$73,3,FALSE()), VLOOKUP(A112,Internal_lists_bugs!$A$2:$C$73,3,FALSE())&amp;Char(10) &amp; Char(10) &amp; VLOOKUP(A112,Internal_lists_bugs!$A$2:$Z$73,26,FALSE())),"please select a BUG ID")</f>
        <v>
</v>
      </c>
      <c r="C112" s="39" t="str">
        <f>IFERROR(Hyperlink(VLOOKUP(A112,Internal_lists_bugs!$A$2:$G1014,7,FALSE()),"BIC: "&amp;VLOOKUP(A112,Internal_lists_bugs!$A$2:$G1014,7,FALSE())&amp;CHAR(10)&amp;"Intro.Issues: "&amp;VLOOKUP(A112,Internal_lists_bugs!$A$2:$P1014,16,FALSE())),"please select a BUG ID")</f>
        <v>BIC: https://opendev.org/openstack/nova/commit/475f3624245500c5382faf5b2708a59fcec2c9ad
Intro.Issues: 897155</v>
      </c>
      <c r="D112" s="40">
        <v>897155.0</v>
      </c>
      <c r="E112" s="43"/>
      <c r="F112" s="41" t="s">
        <v>165</v>
      </c>
      <c r="G112" s="42" t="s">
        <v>123</v>
      </c>
      <c r="H112" s="43"/>
    </row>
    <row r="113">
      <c r="A113" s="16" t="s">
        <v>55</v>
      </c>
      <c r="B113" s="38" t="str">
        <f>IFERROR(HYPERLINK(VLOOKUP(A113,Internal_lists_bugs!$A$2:$C$73,3,FALSE()), VLOOKUP(A113,Internal_lists_bugs!$A$2:$C$73,3,FALSE())&amp;Char(10) &amp; Char(10) &amp; VLOOKUP(A113,Internal_lists_bugs!$A$2:$Z$73,26,FALSE())),"please select a BUG ID")</f>
        <v>
</v>
      </c>
      <c r="C113" s="39" t="str">
        <f>IFERROR(Hyperlink(VLOOKUP(A113,Internal_lists_bugs!$A$2:$G1014,7,FALSE()),"BIC: "&amp;VLOOKUP(A113,Internal_lists_bugs!$A$2:$G1014,7,FALSE())&amp;CHAR(10)&amp;"Intro.Issues: "&amp;VLOOKUP(A113,Internal_lists_bugs!$A$2:$P1014,16,FALSE())),"please select a BUG ID")</f>
        <v>BIC: https://opendev.org/openstack/nova/commit/475f3624245500c5382faf5b2708a59fcec2c9ad
Intro.Issues: 897155</v>
      </c>
      <c r="D113" s="40">
        <v>897155.0</v>
      </c>
      <c r="E113" s="43"/>
      <c r="F113" s="41" t="s">
        <v>193</v>
      </c>
      <c r="G113" s="42" t="s">
        <v>123</v>
      </c>
      <c r="H113" s="43"/>
    </row>
    <row r="114">
      <c r="A114" s="16" t="s">
        <v>55</v>
      </c>
      <c r="B114" s="38" t="str">
        <f>IFERROR(HYPERLINK(VLOOKUP(A114,Internal_lists_bugs!$A$2:$C$73,3,FALSE()), VLOOKUP(A114,Internal_lists_bugs!$A$2:$C$73,3,FALSE())&amp;Char(10) &amp; Char(10) &amp; VLOOKUP(A114,Internal_lists_bugs!$A$2:$Z$73,26,FALSE())),"please select a BUG ID")</f>
        <v>
</v>
      </c>
      <c r="C114" s="39" t="str">
        <f>IFERROR(Hyperlink(VLOOKUP(A114,Internal_lists_bugs!$A$2:$G1014,7,FALSE()),"BIC: "&amp;VLOOKUP(A114,Internal_lists_bugs!$A$2:$G1014,7,FALSE())&amp;CHAR(10)&amp;"Intro.Issues: "&amp;VLOOKUP(A114,Internal_lists_bugs!$A$2:$P1014,16,FALSE())),"please select a BUG ID")</f>
        <v>BIC: https://opendev.org/openstack/nova/commit/475f3624245500c5382faf5b2708a59fcec2c9ad
Intro.Issues: 897155</v>
      </c>
      <c r="D114" s="40">
        <v>897155.0</v>
      </c>
      <c r="E114" s="43"/>
      <c r="F114" s="41" t="s">
        <v>194</v>
      </c>
      <c r="G114" s="42" t="s">
        <v>129</v>
      </c>
      <c r="H114" s="43"/>
    </row>
    <row r="115">
      <c r="A115" s="16" t="s">
        <v>55</v>
      </c>
      <c r="B115" s="38" t="str">
        <f>IFERROR(HYPERLINK(VLOOKUP(A115,Internal_lists_bugs!$A$2:$C$73,3,FALSE()), VLOOKUP(A115,Internal_lists_bugs!$A$2:$C$73,3,FALSE())&amp;Char(10) &amp; Char(10) &amp; VLOOKUP(A115,Internal_lists_bugs!$A$2:$Z$73,26,FALSE())),"please select a BUG ID")</f>
        <v>
</v>
      </c>
      <c r="C115" s="39" t="str">
        <f>IFERROR(Hyperlink(VLOOKUP(A115,Internal_lists_bugs!$A$2:$G1014,7,FALSE()),"BIC: "&amp;VLOOKUP(A115,Internal_lists_bugs!$A$2:$G1014,7,FALSE())&amp;CHAR(10)&amp;"Intro.Issues: "&amp;VLOOKUP(A115,Internal_lists_bugs!$A$2:$P1014,16,FALSE())),"please select a BUG ID")</f>
        <v>BIC: https://opendev.org/openstack/nova/commit/475f3624245500c5382faf5b2708a59fcec2c9ad
Intro.Issues: 897155</v>
      </c>
      <c r="D115" s="40">
        <v>897155.0</v>
      </c>
      <c r="E115" s="43"/>
      <c r="F115" s="41" t="s">
        <v>148</v>
      </c>
      <c r="G115" s="42" t="s">
        <v>131</v>
      </c>
      <c r="H115" s="43"/>
    </row>
    <row r="116">
      <c r="A116" s="16" t="s">
        <v>55</v>
      </c>
      <c r="B116" s="38" t="str">
        <f>IFERROR(HYPERLINK(VLOOKUP(A116,Internal_lists_bugs!$A$2:$C$73,3,FALSE()), VLOOKUP(A116,Internal_lists_bugs!$A$2:$C$73,3,FALSE())&amp;Char(10) &amp; Char(10) &amp; VLOOKUP(A116,Internal_lists_bugs!$A$2:$Z$73,26,FALSE())),"please select a BUG ID")</f>
        <v>
</v>
      </c>
      <c r="C116" s="39" t="str">
        <f>IFERROR(Hyperlink(VLOOKUP(A116,Internal_lists_bugs!$A$2:$G1014,7,FALSE()),"BIC: "&amp;VLOOKUP(A116,Internal_lists_bugs!$A$2:$G1014,7,FALSE())&amp;CHAR(10)&amp;"Intro.Issues: "&amp;VLOOKUP(A116,Internal_lists_bugs!$A$2:$P1014,16,FALSE())),"please select a BUG ID")</f>
        <v>BIC: https://opendev.org/openstack/nova/commit/475f3624245500c5382faf5b2708a59fcec2c9ad
Intro.Issues: 897155</v>
      </c>
      <c r="D116" s="40">
        <v>897155.0</v>
      </c>
      <c r="E116" s="43"/>
      <c r="F116" s="41" t="s">
        <v>195</v>
      </c>
      <c r="G116" s="42" t="s">
        <v>149</v>
      </c>
      <c r="H116" s="43"/>
    </row>
    <row r="117">
      <c r="A117" s="16" t="s">
        <v>55</v>
      </c>
      <c r="B117" s="38" t="str">
        <f>IFERROR(HYPERLINK(VLOOKUP(A117,Internal_lists_bugs!$A$2:$C$73,3,FALSE()), VLOOKUP(A117,Internal_lists_bugs!$A$2:$C$73,3,FALSE())&amp;Char(10) &amp; Char(10) &amp; VLOOKUP(A117,Internal_lists_bugs!$A$2:$Z$73,26,FALSE())),"please select a BUG ID")</f>
        <v>
</v>
      </c>
      <c r="C117" s="39" t="str">
        <f>IFERROR(Hyperlink(VLOOKUP(A117,Internal_lists_bugs!$A$2:$G1014,7,FALSE()),"BIC: "&amp;VLOOKUP(A117,Internal_lists_bugs!$A$2:$G1014,7,FALSE())&amp;CHAR(10)&amp;"Intro.Issues: "&amp;VLOOKUP(A117,Internal_lists_bugs!$A$2:$P1014,16,FALSE())),"please select a BUG ID")</f>
        <v>BIC: https://opendev.org/openstack/nova/commit/475f3624245500c5382faf5b2708a59fcec2c9ad
Intro.Issues: 897155</v>
      </c>
      <c r="D117" s="40">
        <v>897155.0</v>
      </c>
      <c r="E117" s="43"/>
      <c r="F117" s="41" t="s">
        <v>165</v>
      </c>
      <c r="G117" s="42" t="s">
        <v>190</v>
      </c>
      <c r="H117" s="43"/>
    </row>
    <row r="118">
      <c r="A118" s="16" t="s">
        <v>55</v>
      </c>
      <c r="B118" s="38" t="str">
        <f>IFERROR(HYPERLINK(VLOOKUP(A118,Internal_lists_bugs!$A$2:$C$73,3,FALSE()), VLOOKUP(A118,Internal_lists_bugs!$A$2:$C$73,3,FALSE())&amp;Char(10) &amp; Char(10) &amp; VLOOKUP(A118,Internal_lists_bugs!$A$2:$Z$73,26,FALSE())),"please select a BUG ID")</f>
        <v>
</v>
      </c>
      <c r="C118" s="39" t="str">
        <f>IFERROR(Hyperlink(VLOOKUP(A118,Internal_lists_bugs!$A$2:$G1014,7,FALSE()),"BIC: "&amp;VLOOKUP(A118,Internal_lists_bugs!$A$2:$G1014,7,FALSE())&amp;CHAR(10)&amp;"Intro.Issues: "&amp;VLOOKUP(A118,Internal_lists_bugs!$A$2:$P1014,16,FALSE())),"please select a BUG ID")</f>
        <v>BIC: https://opendev.org/openstack/nova/commit/475f3624245500c5382faf5b2708a59fcec2c9ad
Intro.Issues: 897155</v>
      </c>
      <c r="D118" s="40">
        <v>897155.0</v>
      </c>
      <c r="E118" s="43"/>
      <c r="F118" s="41" t="s">
        <v>196</v>
      </c>
      <c r="G118" s="42" t="s">
        <v>190</v>
      </c>
      <c r="H118" s="43"/>
    </row>
    <row r="119">
      <c r="A119" s="16" t="s">
        <v>55</v>
      </c>
      <c r="B119" s="38" t="str">
        <f>IFERROR(HYPERLINK(VLOOKUP(A119,Internal_lists_bugs!$A$2:$C$73,3,FALSE()), VLOOKUP(A119,Internal_lists_bugs!$A$2:$C$73,3,FALSE())&amp;Char(10) &amp; Char(10) &amp; VLOOKUP(A119,Internal_lists_bugs!$A$2:$Z$73,26,FALSE())),"please select a BUG ID")</f>
        <v>
</v>
      </c>
      <c r="C119" s="39" t="str">
        <f>IFERROR(Hyperlink(VLOOKUP(A119,Internal_lists_bugs!$A$2:$G1014,7,FALSE()),"BIC: "&amp;VLOOKUP(A119,Internal_lists_bugs!$A$2:$G1014,7,FALSE())&amp;CHAR(10)&amp;"Intro.Issues: "&amp;VLOOKUP(A119,Internal_lists_bugs!$A$2:$P1014,16,FALSE())),"please select a BUG ID")</f>
        <v>BIC: https://opendev.org/openstack/nova/commit/475f3624245500c5382faf5b2708a59fcec2c9ad
Intro.Issues: 897155</v>
      </c>
      <c r="D119" s="40">
        <v>897155.0</v>
      </c>
      <c r="E119" s="43"/>
      <c r="F119" s="41" t="s">
        <v>197</v>
      </c>
      <c r="G119" s="42" t="s">
        <v>191</v>
      </c>
      <c r="H119" s="43"/>
    </row>
    <row r="120">
      <c r="A120" s="16" t="s">
        <v>56</v>
      </c>
      <c r="B120" s="38" t="str">
        <f>IFERROR(HYPERLINK(VLOOKUP(A120,Internal_lists_bugs!$A$2:$C$73,3,FALSE()), VLOOKUP(A120,Internal_lists_bugs!$A$2:$C$73,3,FALSE())&amp;Char(10) &amp; Char(10) &amp; VLOOKUP(A120,Internal_lists_bugs!$A$2:$Z$73,26,FALSE())),"please select a BUG ID")</f>
        <v>
</v>
      </c>
      <c r="C120" s="39" t="str">
        <f>IFERROR(Hyperlink(VLOOKUP(A120,Internal_lists_bugs!$A$2:$G1014,7,FALSE()),"BIC: "&amp;VLOOKUP(A120,Internal_lists_bugs!$A$2:$G1014,7,FALSE())&amp;CHAR(10)&amp;"Intro.Issues: "&amp;VLOOKUP(A120,Internal_lists_bugs!$A$2:$P1014,16,FALSE())),"please select a BUG ID")</f>
        <v>BIC: https://opendev.org/openstack/nova/commit/f2baacd4e634b815fe011ced0d6e46f6c06b7fdd
Intro.Issues: </v>
      </c>
      <c r="D120" s="40"/>
      <c r="E120" s="43"/>
      <c r="F120" s="41"/>
      <c r="G120" s="42"/>
      <c r="H120" s="43"/>
    </row>
    <row r="121">
      <c r="A121" s="16" t="s">
        <v>57</v>
      </c>
      <c r="B121" s="38" t="str">
        <f>IFERROR(HYPERLINK(VLOOKUP(A121,Internal_lists_bugs!$A$2:$C$73,3,FALSE()), VLOOKUP(A121,Internal_lists_bugs!$A$2:$C$73,3,FALSE())&amp;Char(10) &amp; Char(10) &amp; VLOOKUP(A121,Internal_lists_bugs!$A$2:$Z$73,26,FALSE())),"please select a BUG ID")</f>
        <v>
</v>
      </c>
      <c r="C121" s="39" t="str">
        <f>IFERROR(Hyperlink(VLOOKUP(A121,Internal_lists_bugs!$A$2:$G1014,7,FALSE()),"BIC: "&amp;VLOOKUP(A121,Internal_lists_bugs!$A$2:$G1014,7,FALSE())&amp;CHAR(10)&amp;"Intro.Issues: "&amp;VLOOKUP(A121,Internal_lists_bugs!$A$2:$P1014,16,FALSE())),"please select a BUG ID")</f>
        <v>BIC: https://opendev.org/openstack/nova/commit/ae1040232dc681d718d940af11108322044a23be
Intro.Issues: 1208656</v>
      </c>
      <c r="D121" s="40">
        <v>1208656.0</v>
      </c>
      <c r="E121" s="16" t="s">
        <v>118</v>
      </c>
      <c r="F121" s="41" t="s">
        <v>124</v>
      </c>
      <c r="G121" s="42" t="s">
        <v>120</v>
      </c>
      <c r="H121" s="16" t="s">
        <v>121</v>
      </c>
      <c r="I121" s="16" t="b">
        <v>0</v>
      </c>
    </row>
    <row r="122">
      <c r="A122" s="16" t="s">
        <v>57</v>
      </c>
      <c r="B122" s="38" t="str">
        <f>IFERROR(HYPERLINK(VLOOKUP(A122,Internal_lists_bugs!$A$2:$C$73,3,FALSE()), VLOOKUP(A122,Internal_lists_bugs!$A$2:$C$73,3,FALSE())&amp;Char(10) &amp; Char(10) &amp; VLOOKUP(A122,Internal_lists_bugs!$A$2:$Z$73,26,FALSE())),"please select a BUG ID")</f>
        <v>
</v>
      </c>
      <c r="C122" s="39" t="str">
        <f>IFERROR(Hyperlink(VLOOKUP(A122,Internal_lists_bugs!$A$2:$G1014,7,FALSE()),"BIC: "&amp;VLOOKUP(A122,Internal_lists_bugs!$A$2:$G1014,7,FALSE())&amp;CHAR(10)&amp;"Intro.Issues: "&amp;VLOOKUP(A122,Internal_lists_bugs!$A$2:$P1014,16,FALSE())),"please select a BUG ID")</f>
        <v>BIC: https://opendev.org/openstack/nova/commit/ae1040232dc681d718d940af11108322044a23be
Intro.Issues: 1208656</v>
      </c>
      <c r="D122" s="40">
        <v>1208656.0</v>
      </c>
      <c r="E122" s="43"/>
      <c r="F122" s="41" t="s">
        <v>198</v>
      </c>
      <c r="G122" s="42" t="s">
        <v>120</v>
      </c>
      <c r="H122" s="43"/>
    </row>
    <row r="123">
      <c r="A123" s="16" t="s">
        <v>57</v>
      </c>
      <c r="B123" s="38" t="str">
        <f>IFERROR(HYPERLINK(VLOOKUP(A123,Internal_lists_bugs!$A$2:$C$73,3,FALSE()), VLOOKUP(A123,Internal_lists_bugs!$A$2:$C$73,3,FALSE())&amp;Char(10) &amp; Char(10) &amp; VLOOKUP(A123,Internal_lists_bugs!$A$2:$Z$73,26,FALSE())),"please select a BUG ID")</f>
        <v>
</v>
      </c>
      <c r="C123" s="39" t="str">
        <f>IFERROR(Hyperlink(VLOOKUP(A123,Internal_lists_bugs!$A$2:$G1014,7,FALSE()),"BIC: "&amp;VLOOKUP(A123,Internal_lists_bugs!$A$2:$G1014,7,FALSE())&amp;CHAR(10)&amp;"Intro.Issues: "&amp;VLOOKUP(A123,Internal_lists_bugs!$A$2:$P1014,16,FALSE())),"please select a BUG ID")</f>
        <v>BIC: https://opendev.org/openstack/nova/commit/ae1040232dc681d718d940af11108322044a23be
Intro.Issues: 1208656</v>
      </c>
      <c r="D123" s="40">
        <v>1208656.0</v>
      </c>
      <c r="E123" s="43"/>
      <c r="F123" s="41" t="s">
        <v>198</v>
      </c>
      <c r="G123" s="42" t="s">
        <v>123</v>
      </c>
      <c r="H123" s="43"/>
    </row>
    <row r="124">
      <c r="A124" s="16" t="s">
        <v>57</v>
      </c>
      <c r="B124" s="38" t="str">
        <f>IFERROR(HYPERLINK(VLOOKUP(A124,Internal_lists_bugs!$A$2:$C$73,3,FALSE()), VLOOKUP(A124,Internal_lists_bugs!$A$2:$C$73,3,FALSE())&amp;Char(10) &amp; Char(10) &amp; VLOOKUP(A124,Internal_lists_bugs!$A$2:$Z$73,26,FALSE())),"please select a BUG ID")</f>
        <v>
</v>
      </c>
      <c r="C124" s="39" t="str">
        <f>IFERROR(Hyperlink(VLOOKUP(A124,Internal_lists_bugs!$A$2:$G1014,7,FALSE()),"BIC: "&amp;VLOOKUP(A124,Internal_lists_bugs!$A$2:$G1014,7,FALSE())&amp;CHAR(10)&amp;"Intro.Issues: "&amp;VLOOKUP(A124,Internal_lists_bugs!$A$2:$P1014,16,FALSE())),"please select a BUG ID")</f>
        <v>BIC: https://opendev.org/openstack/nova/commit/ae1040232dc681d718d940af11108322044a23be
Intro.Issues: 1208656</v>
      </c>
      <c r="D124" s="40">
        <v>1208656.0</v>
      </c>
      <c r="E124" s="43"/>
      <c r="F124" s="41" t="s">
        <v>199</v>
      </c>
      <c r="G124" s="42" t="s">
        <v>123</v>
      </c>
      <c r="H124" s="43"/>
    </row>
    <row r="125">
      <c r="A125" s="16" t="s">
        <v>57</v>
      </c>
      <c r="B125" s="38" t="str">
        <f>IFERROR(HYPERLINK(VLOOKUP(A125,Internal_lists_bugs!$A$2:$C$73,3,FALSE()), VLOOKUP(A125,Internal_lists_bugs!$A$2:$C$73,3,FALSE())&amp;Char(10) &amp; Char(10) &amp; VLOOKUP(A125,Internal_lists_bugs!$A$2:$Z$73,26,FALSE())),"please select a BUG ID")</f>
        <v>
</v>
      </c>
      <c r="C125" s="39" t="str">
        <f>IFERROR(Hyperlink(VLOOKUP(A125,Internal_lists_bugs!$A$2:$G1014,7,FALSE()),"BIC: "&amp;VLOOKUP(A125,Internal_lists_bugs!$A$2:$G1014,7,FALSE())&amp;CHAR(10)&amp;"Intro.Issues: "&amp;VLOOKUP(A125,Internal_lists_bugs!$A$2:$P1014,16,FALSE())),"please select a BUG ID")</f>
        <v>BIC: https://opendev.org/openstack/nova/commit/ae1040232dc681d718d940af11108322044a23be
Intro.Issues: 1208656</v>
      </c>
      <c r="D125" s="40">
        <v>1208656.0</v>
      </c>
      <c r="E125" s="43"/>
      <c r="F125" s="41" t="s">
        <v>127</v>
      </c>
      <c r="G125" s="42" t="s">
        <v>123</v>
      </c>
      <c r="H125" s="43"/>
    </row>
    <row r="126">
      <c r="A126" s="16" t="s">
        <v>57</v>
      </c>
      <c r="B126" s="38" t="str">
        <f>IFERROR(HYPERLINK(VLOOKUP(A126,Internal_lists_bugs!$A$2:$C$73,3,FALSE()), VLOOKUP(A126,Internal_lists_bugs!$A$2:$C$73,3,FALSE())&amp;Char(10) &amp; Char(10) &amp; VLOOKUP(A126,Internal_lists_bugs!$A$2:$Z$73,26,FALSE())),"please select a BUG ID")</f>
        <v>
</v>
      </c>
      <c r="C126" s="39" t="str">
        <f>IFERROR(Hyperlink(VLOOKUP(A126,Internal_lists_bugs!$A$2:$G1014,7,FALSE()),"BIC: "&amp;VLOOKUP(A126,Internal_lists_bugs!$A$2:$G1014,7,FALSE())&amp;CHAR(10)&amp;"Intro.Issues: "&amp;VLOOKUP(A126,Internal_lists_bugs!$A$2:$P1014,16,FALSE())),"please select a BUG ID")</f>
        <v>BIC: https://opendev.org/openstack/nova/commit/ae1040232dc681d718d940af11108322044a23be
Intro.Issues: 1208656</v>
      </c>
      <c r="D126" s="40">
        <v>1208656.0</v>
      </c>
      <c r="E126" s="43"/>
      <c r="F126" s="41" t="s">
        <v>130</v>
      </c>
      <c r="G126" s="42" t="s">
        <v>129</v>
      </c>
      <c r="H126" s="43"/>
    </row>
    <row r="127">
      <c r="A127" s="16" t="s">
        <v>57</v>
      </c>
      <c r="B127" s="38" t="str">
        <f>IFERROR(HYPERLINK(VLOOKUP(A127,Internal_lists_bugs!$A$2:$C$73,3,FALSE()), VLOOKUP(A127,Internal_lists_bugs!$A$2:$C$73,3,FALSE())&amp;Char(10) &amp; Char(10) &amp; VLOOKUP(A127,Internal_lists_bugs!$A$2:$Z$73,26,FALSE())),"please select a BUG ID")</f>
        <v>
</v>
      </c>
      <c r="C127" s="39" t="str">
        <f>IFERROR(Hyperlink(VLOOKUP(A127,Internal_lists_bugs!$A$2:$G1014,7,FALSE()),"BIC: "&amp;VLOOKUP(A127,Internal_lists_bugs!$A$2:$G1014,7,FALSE())&amp;CHAR(10)&amp;"Intro.Issues: "&amp;VLOOKUP(A127,Internal_lists_bugs!$A$2:$P1014,16,FALSE())),"please select a BUG ID")</f>
        <v>BIC: https://opendev.org/openstack/nova/commit/ae1040232dc681d718d940af11108322044a23be
Intro.Issues: 1208656</v>
      </c>
      <c r="D127" s="40">
        <v>1208656.0</v>
      </c>
      <c r="E127" s="43"/>
      <c r="F127" s="41" t="s">
        <v>148</v>
      </c>
      <c r="G127" s="42" t="s">
        <v>131</v>
      </c>
      <c r="H127" s="43"/>
    </row>
    <row r="128">
      <c r="A128" s="16" t="s">
        <v>57</v>
      </c>
      <c r="B128" s="38" t="str">
        <f>IFERROR(HYPERLINK(VLOOKUP(A128,Internal_lists_bugs!$A$2:$C$73,3,FALSE()), VLOOKUP(A128,Internal_lists_bugs!$A$2:$C$73,3,FALSE())&amp;Char(10) &amp; Char(10) &amp; VLOOKUP(A128,Internal_lists_bugs!$A$2:$Z$73,26,FALSE())),"please select a BUG ID")</f>
        <v>
</v>
      </c>
      <c r="C128" s="39" t="str">
        <f>IFERROR(Hyperlink(VLOOKUP(A128,Internal_lists_bugs!$A$2:$G1014,7,FALSE()),"BIC: "&amp;VLOOKUP(A128,Internal_lists_bugs!$A$2:$G1014,7,FALSE())&amp;CHAR(10)&amp;"Intro.Issues: "&amp;VLOOKUP(A128,Internal_lists_bugs!$A$2:$P1014,16,FALSE())),"please select a BUG ID")</f>
        <v>BIC: https://opendev.org/openstack/nova/commit/ae1040232dc681d718d940af11108322044a23be
Intro.Issues: 1208656</v>
      </c>
      <c r="D128" s="40">
        <v>1208656.0</v>
      </c>
      <c r="E128" s="43"/>
      <c r="F128" s="41" t="s">
        <v>165</v>
      </c>
      <c r="G128" s="42" t="s">
        <v>149</v>
      </c>
      <c r="H128" s="43"/>
    </row>
    <row r="129">
      <c r="A129" s="16" t="s">
        <v>58</v>
      </c>
      <c r="B129" s="38" t="str">
        <f>IFERROR(HYPERLINK(VLOOKUP(A129,Internal_lists_bugs!$A$2:$C$73,3,FALSE()), VLOOKUP(A129,Internal_lists_bugs!$A$2:$C$73,3,FALSE())&amp;Char(10) &amp; Char(10) &amp; VLOOKUP(A129,Internal_lists_bugs!$A$2:$Z$73,26,FALSE())),"please select a BUG ID")</f>
        <v>
</v>
      </c>
      <c r="C129" s="39" t="str">
        <f>IFERROR(Hyperlink(VLOOKUP(A129,Internal_lists_bugs!$A$2:$G1014,7,FALSE()),"BIC: "&amp;VLOOKUP(A129,Internal_lists_bugs!$A$2:$G1014,7,FALSE())&amp;CHAR(10)&amp;"Intro.Issues: "&amp;VLOOKUP(A129,Internal_lists_bugs!$A$2:$P1014,16,FALSE())),"please select a BUG ID")</f>
        <v>BIC: https://opendev.org/openstack/nova/commit/1d551dc96658ade41c8e9fabc6d9b41a28d5ed15
Intro.Issues: compute-manager-objects, icehouse-objects</v>
      </c>
      <c r="D129" s="45" t="s">
        <v>166</v>
      </c>
      <c r="E129" s="46" t="s">
        <v>142</v>
      </c>
      <c r="F129" s="45" t="s">
        <v>167</v>
      </c>
      <c r="G129" s="47" t="s">
        <v>120</v>
      </c>
      <c r="H129" s="16" t="s">
        <v>121</v>
      </c>
      <c r="I129" s="16" t="b">
        <v>0</v>
      </c>
    </row>
    <row r="130">
      <c r="A130" s="16" t="s">
        <v>58</v>
      </c>
      <c r="B130" s="38" t="str">
        <f>IFERROR(HYPERLINK(VLOOKUP(A130,Internal_lists_bugs!$A$2:$C$73,3,FALSE()), VLOOKUP(A130,Internal_lists_bugs!$A$2:$C$73,3,FALSE())&amp;Char(10) &amp; Char(10) &amp; VLOOKUP(A130,Internal_lists_bugs!$A$2:$Z$73,26,FALSE())),"please select a BUG ID")</f>
        <v>
</v>
      </c>
      <c r="C130" s="39" t="str">
        <f>IFERROR(Hyperlink(VLOOKUP(A130,Internal_lists_bugs!$A$2:$G1014,7,FALSE()),"BIC: "&amp;VLOOKUP(A130,Internal_lists_bugs!$A$2:$G1014,7,FALSE())&amp;CHAR(10)&amp;"Intro.Issues: "&amp;VLOOKUP(A130,Internal_lists_bugs!$A$2:$P1014,16,FALSE())),"please select a BUG ID")</f>
        <v>BIC: https://opendev.org/openstack/nova/commit/1d551dc96658ade41c8e9fabc6d9b41a28d5ed15
Intro.Issues: compute-manager-objects, icehouse-objects</v>
      </c>
      <c r="D130" s="45" t="s">
        <v>166</v>
      </c>
      <c r="E130" s="46"/>
      <c r="F130" s="45" t="s">
        <v>168</v>
      </c>
      <c r="G130" s="47" t="s">
        <v>123</v>
      </c>
      <c r="H130" s="43"/>
    </row>
    <row r="131">
      <c r="A131" s="16" t="s">
        <v>58</v>
      </c>
      <c r="B131" s="38" t="str">
        <f>IFERROR(HYPERLINK(VLOOKUP(A131,Internal_lists_bugs!$A$2:$C$73,3,FALSE()), VLOOKUP(A131,Internal_lists_bugs!$A$2:$C$73,3,FALSE())&amp;Char(10) &amp; Char(10) &amp; VLOOKUP(A131,Internal_lists_bugs!$A$2:$Z$73,26,FALSE())),"please select a BUG ID")</f>
        <v>
</v>
      </c>
      <c r="C131" s="39" t="str">
        <f>IFERROR(Hyperlink(VLOOKUP(A131,Internal_lists_bugs!$A$2:$G1014,7,FALSE()),"BIC: "&amp;VLOOKUP(A131,Internal_lists_bugs!$A$2:$G1014,7,FALSE())&amp;CHAR(10)&amp;"Intro.Issues: "&amp;VLOOKUP(A131,Internal_lists_bugs!$A$2:$P1014,16,FALSE())),"please select a BUG ID")</f>
        <v>BIC: https://opendev.org/openstack/nova/commit/1d551dc96658ade41c8e9fabc6d9b41a28d5ed15
Intro.Issues: compute-manager-objects, icehouse-objects</v>
      </c>
      <c r="D131" s="45" t="s">
        <v>166</v>
      </c>
      <c r="E131" s="46"/>
      <c r="F131" s="45" t="s">
        <v>167</v>
      </c>
      <c r="G131" s="47" t="s">
        <v>123</v>
      </c>
      <c r="H131" s="43"/>
    </row>
    <row r="132">
      <c r="A132" s="16" t="s">
        <v>58</v>
      </c>
      <c r="B132" s="38" t="str">
        <f>IFERROR(HYPERLINK(VLOOKUP(A132,Internal_lists_bugs!$A$2:$C$73,3,FALSE()), VLOOKUP(A132,Internal_lists_bugs!$A$2:$C$73,3,FALSE())&amp;Char(10) &amp; Char(10) &amp; VLOOKUP(A132,Internal_lists_bugs!$A$2:$Z$73,26,FALSE())),"please select a BUG ID")</f>
        <v>
</v>
      </c>
      <c r="C132" s="39" t="str">
        <f>IFERROR(Hyperlink(VLOOKUP(A132,Internal_lists_bugs!$A$2:$G1014,7,FALSE()),"BIC: "&amp;VLOOKUP(A132,Internal_lists_bugs!$A$2:$G1014,7,FALSE())&amp;CHAR(10)&amp;"Intro.Issues: "&amp;VLOOKUP(A132,Internal_lists_bugs!$A$2:$P1014,16,FALSE())),"please select a BUG ID")</f>
        <v>BIC: https://opendev.org/openstack/nova/commit/1d551dc96658ade41c8e9fabc6d9b41a28d5ed15
Intro.Issues: compute-manager-objects, icehouse-objects</v>
      </c>
      <c r="D132" s="45" t="s">
        <v>166</v>
      </c>
      <c r="E132" s="46"/>
      <c r="F132" s="45" t="s">
        <v>169</v>
      </c>
      <c r="G132" s="47" t="s">
        <v>139</v>
      </c>
      <c r="H132" s="43"/>
    </row>
    <row r="133">
      <c r="A133" s="16" t="s">
        <v>58</v>
      </c>
      <c r="B133" s="38" t="str">
        <f>IFERROR(HYPERLINK(VLOOKUP(A133,Internal_lists_bugs!$A$2:$C$73,3,FALSE()), VLOOKUP(A133,Internal_lists_bugs!$A$2:$C$73,3,FALSE())&amp;Char(10) &amp; Char(10) &amp; VLOOKUP(A133,Internal_lists_bugs!$A$2:$Z$73,26,FALSE())),"please select a BUG ID")</f>
        <v>
</v>
      </c>
      <c r="C133" s="39" t="str">
        <f>IFERROR(Hyperlink(VLOOKUP(A133,Internal_lists_bugs!$A$2:$G1014,7,FALSE()),"BIC: "&amp;VLOOKUP(A133,Internal_lists_bugs!$A$2:$G1014,7,FALSE())&amp;CHAR(10)&amp;"Intro.Issues: "&amp;VLOOKUP(A133,Internal_lists_bugs!$A$2:$P1014,16,FALSE())),"please select a BUG ID")</f>
        <v>BIC: https://opendev.org/openstack/nova/commit/1d551dc96658ade41c8e9fabc6d9b41a28d5ed15
Intro.Issues: compute-manager-objects, icehouse-objects</v>
      </c>
      <c r="D133" s="45" t="s">
        <v>166</v>
      </c>
      <c r="E133" s="46"/>
      <c r="F133" s="45" t="s">
        <v>170</v>
      </c>
      <c r="G133" s="47" t="s">
        <v>139</v>
      </c>
      <c r="H133" s="43"/>
    </row>
    <row r="134">
      <c r="A134" s="16" t="s">
        <v>58</v>
      </c>
      <c r="B134" s="38" t="str">
        <f>IFERROR(HYPERLINK(VLOOKUP(A134,Internal_lists_bugs!$A$2:$C$73,3,FALSE()), VLOOKUP(A134,Internal_lists_bugs!$A$2:$C$73,3,FALSE())&amp;Char(10) &amp; Char(10) &amp; VLOOKUP(A134,Internal_lists_bugs!$A$2:$Z$73,26,FALSE())),"please select a BUG ID")</f>
        <v>
</v>
      </c>
      <c r="C134" s="39" t="str">
        <f>IFERROR(Hyperlink(VLOOKUP(A134,Internal_lists_bugs!$A$2:$G1014,7,FALSE()),"BIC: "&amp;VLOOKUP(A134,Internal_lists_bugs!$A$2:$G1014,7,FALSE())&amp;CHAR(10)&amp;"Intro.Issues: "&amp;VLOOKUP(A134,Internal_lists_bugs!$A$2:$P1014,16,FALSE())),"please select a BUG ID")</f>
        <v>BIC: https://opendev.org/openstack/nova/commit/1d551dc96658ade41c8e9fabc6d9b41a28d5ed15
Intro.Issues: compute-manager-objects, icehouse-objects</v>
      </c>
      <c r="D134" s="45" t="s">
        <v>166</v>
      </c>
      <c r="E134" s="46"/>
      <c r="F134" s="45" t="s">
        <v>171</v>
      </c>
      <c r="G134" s="47" t="s">
        <v>139</v>
      </c>
      <c r="H134" s="43"/>
    </row>
    <row r="135">
      <c r="A135" s="16" t="s">
        <v>58</v>
      </c>
      <c r="B135" s="38" t="str">
        <f>IFERROR(HYPERLINK(VLOOKUP(A135,Internal_lists_bugs!$A$2:$C$73,3,FALSE()), VLOOKUP(A135,Internal_lists_bugs!$A$2:$C$73,3,FALSE())&amp;Char(10) &amp; Char(10) &amp; VLOOKUP(A135,Internal_lists_bugs!$A$2:$Z$73,26,FALSE())),"please select a BUG ID")</f>
        <v>
</v>
      </c>
      <c r="C135" s="39" t="str">
        <f>IFERROR(Hyperlink(VLOOKUP(A135,Internal_lists_bugs!$A$2:$G1014,7,FALSE()),"BIC: "&amp;VLOOKUP(A135,Internal_lists_bugs!$A$2:$G1014,7,FALSE())&amp;CHAR(10)&amp;"Intro.Issues: "&amp;VLOOKUP(A135,Internal_lists_bugs!$A$2:$P1014,16,FALSE())),"please select a BUG ID")</f>
        <v>BIC: https://opendev.org/openstack/nova/commit/1d551dc96658ade41c8e9fabc6d9b41a28d5ed15
Intro.Issues: compute-manager-objects, icehouse-objects</v>
      </c>
      <c r="D135" s="40" t="s">
        <v>155</v>
      </c>
      <c r="E135" s="16" t="s">
        <v>133</v>
      </c>
      <c r="F135" s="41" t="s">
        <v>156</v>
      </c>
      <c r="G135" s="42" t="s">
        <v>120</v>
      </c>
      <c r="H135" s="16" t="s">
        <v>121</v>
      </c>
      <c r="I135" s="16" t="b">
        <v>0</v>
      </c>
    </row>
    <row r="136">
      <c r="A136" s="16" t="s">
        <v>58</v>
      </c>
      <c r="B136" s="38" t="str">
        <f>IFERROR(HYPERLINK(VLOOKUP(A136,Internal_lists_bugs!$A$2:$C$73,3,FALSE()), VLOOKUP(A136,Internal_lists_bugs!$A$2:$C$73,3,FALSE())&amp;Char(10) &amp; Char(10) &amp; VLOOKUP(A136,Internal_lists_bugs!$A$2:$Z$73,26,FALSE())),"please select a BUG ID")</f>
        <v>
</v>
      </c>
      <c r="C136" s="39" t="str">
        <f>IFERROR(Hyperlink(VLOOKUP(A136,Internal_lists_bugs!$A$2:$G1014,7,FALSE()),"BIC: "&amp;VLOOKUP(A136,Internal_lists_bugs!$A$2:$G1014,7,FALSE())&amp;CHAR(10)&amp;"Intro.Issues: "&amp;VLOOKUP(A136,Internal_lists_bugs!$A$2:$P1014,16,FALSE())),"please select a BUG ID")</f>
        <v>BIC: https://opendev.org/openstack/nova/commit/1d551dc96658ade41c8e9fabc6d9b41a28d5ed15
Intro.Issues: compute-manager-objects, icehouse-objects</v>
      </c>
      <c r="D136" s="40" t="s">
        <v>155</v>
      </c>
      <c r="E136" s="43"/>
      <c r="F136" s="41" t="s">
        <v>156</v>
      </c>
      <c r="G136" s="42" t="s">
        <v>123</v>
      </c>
      <c r="H136" s="43"/>
    </row>
    <row r="137">
      <c r="A137" s="16" t="s">
        <v>58</v>
      </c>
      <c r="B137" s="38" t="str">
        <f>IFERROR(HYPERLINK(VLOOKUP(A137,Internal_lists_bugs!$A$2:$C$73,3,FALSE()), VLOOKUP(A137,Internal_lists_bugs!$A$2:$C$73,3,FALSE())&amp;Char(10) &amp; Char(10) &amp; VLOOKUP(A137,Internal_lists_bugs!$A$2:$Z$73,26,FALSE())),"please select a BUG ID")</f>
        <v>
</v>
      </c>
      <c r="C137" s="39" t="str">
        <f>IFERROR(Hyperlink(VLOOKUP(A137,Internal_lists_bugs!$A$2:$G1014,7,FALSE()),"BIC: "&amp;VLOOKUP(A137,Internal_lists_bugs!$A$2:$G1014,7,FALSE())&amp;CHAR(10)&amp;"Intro.Issues: "&amp;VLOOKUP(A137,Internal_lists_bugs!$A$2:$P1014,16,FALSE())),"please select a BUG ID")</f>
        <v>BIC: https://opendev.org/openstack/nova/commit/1d551dc96658ade41c8e9fabc6d9b41a28d5ed15
Intro.Issues: compute-manager-objects, icehouse-objects</v>
      </c>
      <c r="D137" s="40" t="s">
        <v>155</v>
      </c>
      <c r="E137" s="43"/>
      <c r="F137" s="41" t="s">
        <v>157</v>
      </c>
      <c r="G137" s="42" t="s">
        <v>158</v>
      </c>
      <c r="H137" s="43"/>
    </row>
    <row r="138">
      <c r="A138" s="16" t="s">
        <v>59</v>
      </c>
      <c r="B138" s="38" t="str">
        <f>IFERROR(HYPERLINK(VLOOKUP(A138,Internal_lists_bugs!$A$2:$C$73,3,FALSE()), VLOOKUP(A138,Internal_lists_bugs!$A$2:$C$73,3,FALSE())&amp;Char(10) &amp; Char(10) &amp; VLOOKUP(A138,Internal_lists_bugs!$A$2:$Z$73,26,FALSE())),"please select a BUG ID")</f>
        <v>
</v>
      </c>
      <c r="C138" s="39" t="str">
        <f>IFERROR(Hyperlink(VLOOKUP(A138,Internal_lists_bugs!$A$2:$G1014,7,FALSE()),"BIC: "&amp;VLOOKUP(A138,Internal_lists_bugs!$A$2:$G1014,7,FALSE())&amp;CHAR(10)&amp;"Intro.Issues: "&amp;VLOOKUP(A138,Internal_lists_bugs!$A$2:$P1014,16,FALSE())),"please select a BUG ID")</f>
        <v>BIC: https://opendev.org/openstack/nova/commit/5ee83244f40f3d3c29bf47c5d86952bf53de1684
Intro.Issues: </v>
      </c>
      <c r="D138" s="40"/>
      <c r="E138" s="43"/>
      <c r="F138" s="41"/>
      <c r="G138" s="42"/>
      <c r="H138" s="43"/>
    </row>
    <row r="139">
      <c r="A139" s="16" t="s">
        <v>60</v>
      </c>
      <c r="B139" s="38" t="str">
        <f>IFERROR(HYPERLINK(VLOOKUP(A139,Internal_lists_bugs!$A$2:$C$73,3,FALSE()), VLOOKUP(A139,Internal_lists_bugs!$A$2:$C$73,3,FALSE())&amp;Char(10) &amp; Char(10) &amp; VLOOKUP(A139,Internal_lists_bugs!$A$2:$Z$73,26,FALSE())),"please select a BUG ID")</f>
        <v>
</v>
      </c>
      <c r="C139" s="39" t="str">
        <f>IFERROR(Hyperlink(VLOOKUP(A139,Internal_lists_bugs!$A$2:$G1014,7,FALSE()),"BIC: "&amp;VLOOKUP(A139,Internal_lists_bugs!$A$2:$G1014,7,FALSE())&amp;CHAR(10)&amp;"Intro.Issues: "&amp;VLOOKUP(A139,Internal_lists_bugs!$A$2:$P1014,16,FALSE())),"please select a BUG ID")</f>
        <v>BIC: https://opendev.org/openstack/nova/commit/ce28166dcf25a3d589e6f020b2dfa64705d15126
Intro.Issues: kilo-objects</v>
      </c>
      <c r="D139" s="40" t="s">
        <v>200</v>
      </c>
      <c r="E139" s="16" t="s">
        <v>201</v>
      </c>
      <c r="F139" s="41" t="s">
        <v>161</v>
      </c>
      <c r="G139" s="42" t="s">
        <v>123</v>
      </c>
      <c r="H139" s="16" t="s">
        <v>121</v>
      </c>
      <c r="I139" s="16" t="b">
        <v>0</v>
      </c>
    </row>
    <row r="140">
      <c r="A140" s="16" t="s">
        <v>60</v>
      </c>
      <c r="B140" s="38" t="str">
        <f>IFERROR(HYPERLINK(VLOOKUP(A140,Internal_lists_bugs!$A$2:$C$73,3,FALSE()), VLOOKUP(A140,Internal_lists_bugs!$A$2:$C$73,3,FALSE())&amp;Char(10) &amp; Char(10) &amp; VLOOKUP(A140,Internal_lists_bugs!$A$2:$Z$73,26,FALSE())),"please select a BUG ID")</f>
        <v>
</v>
      </c>
      <c r="C140" s="39" t="str">
        <f>IFERROR(Hyperlink(VLOOKUP(A140,Internal_lists_bugs!$A$2:$G1014,7,FALSE()),"BIC: "&amp;VLOOKUP(A140,Internal_lists_bugs!$A$2:$G1014,7,FALSE())&amp;CHAR(10)&amp;"Intro.Issues: "&amp;VLOOKUP(A140,Internal_lists_bugs!$A$2:$P1014,16,FALSE())),"please select a BUG ID")</f>
        <v>BIC: https://opendev.org/openstack/nova/commit/ce28166dcf25a3d589e6f020b2dfa64705d15126
Intro.Issues: kilo-objects</v>
      </c>
      <c r="D140" s="40" t="s">
        <v>200</v>
      </c>
      <c r="E140" s="43"/>
      <c r="F140" s="41" t="s">
        <v>202</v>
      </c>
      <c r="G140" s="42" t="s">
        <v>139</v>
      </c>
      <c r="H140" s="43"/>
    </row>
    <row r="141">
      <c r="A141" s="16" t="s">
        <v>60</v>
      </c>
      <c r="B141" s="38" t="str">
        <f>IFERROR(HYPERLINK(VLOOKUP(A141,Internal_lists_bugs!$A$2:$C$73,3,FALSE()), VLOOKUP(A141,Internal_lists_bugs!$A$2:$C$73,3,FALSE())&amp;Char(10) &amp; Char(10) &amp; VLOOKUP(A141,Internal_lists_bugs!$A$2:$Z$73,26,FALSE())),"please select a BUG ID")</f>
        <v>
</v>
      </c>
      <c r="C141" s="39" t="str">
        <f>IFERROR(Hyperlink(VLOOKUP(A141,Internal_lists_bugs!$A$2:$G1014,7,FALSE()),"BIC: "&amp;VLOOKUP(A141,Internal_lists_bugs!$A$2:$G1014,7,FALSE())&amp;CHAR(10)&amp;"Intro.Issues: "&amp;VLOOKUP(A141,Internal_lists_bugs!$A$2:$P1014,16,FALSE())),"please select a BUG ID")</f>
        <v>BIC: https://opendev.org/openstack/nova/commit/ce28166dcf25a3d589e6f020b2dfa64705d15126
Intro.Issues: kilo-objects</v>
      </c>
      <c r="D141" s="40" t="s">
        <v>200</v>
      </c>
      <c r="E141" s="43"/>
      <c r="F141" s="41" t="s">
        <v>174</v>
      </c>
      <c r="G141" s="42" t="s">
        <v>139</v>
      </c>
      <c r="H141" s="43"/>
    </row>
    <row r="142">
      <c r="A142" s="16" t="s">
        <v>61</v>
      </c>
      <c r="B142" s="38" t="str">
        <f>IFERROR(HYPERLINK(VLOOKUP(A142,Internal_lists_bugs!$A$2:$C$73,3,FALSE()), VLOOKUP(A142,Internal_lists_bugs!$A$2:$C$73,3,FALSE())&amp;Char(10) &amp; Char(10) &amp; VLOOKUP(A142,Internal_lists_bugs!$A$2:$Z$73,26,FALSE())),"please select a BUG ID")</f>
        <v>
</v>
      </c>
      <c r="C142" s="39" t="str">
        <f>IFERROR(Hyperlink(VLOOKUP(A142,Internal_lists_bugs!$A$2:$G1014,7,FALSE()),"BIC: "&amp;VLOOKUP(A142,Internal_lists_bugs!$A$2:$G1014,7,FALSE())&amp;CHAR(10)&amp;"Intro.Issues: "&amp;VLOOKUP(A142,Internal_lists_bugs!$A$2:$P1014,16,FALSE())),"please select a BUG ID")</f>
        <v>BIC: https://opendev.org/openstack/nova/commit/7cef50ad800274cad3d07240cc468d038ce4031b
Intro.Issues: </v>
      </c>
      <c r="D142" s="40"/>
      <c r="E142" s="43"/>
      <c r="F142" s="41"/>
      <c r="G142" s="42"/>
      <c r="H142" s="43"/>
    </row>
    <row r="143">
      <c r="A143" s="16" t="s">
        <v>62</v>
      </c>
      <c r="B143" s="38" t="str">
        <f>IFERROR(HYPERLINK(VLOOKUP(A143,Internal_lists_bugs!$A$2:$C$73,3,FALSE()), VLOOKUP(A143,Internal_lists_bugs!$A$2:$C$73,3,FALSE())&amp;Char(10) &amp; Char(10) &amp; VLOOKUP(A143,Internal_lists_bugs!$A$2:$Z$73,26,FALSE())),"please select a BUG ID")</f>
        <v>
</v>
      </c>
      <c r="C143" s="39" t="str">
        <f>IFERROR(Hyperlink(VLOOKUP(A143,Internal_lists_bugs!$A$2:$G1014,7,FALSE()),"BIC: "&amp;VLOOKUP(A143,Internal_lists_bugs!$A$2:$G1014,7,FALSE())&amp;CHAR(10)&amp;"Intro.Issues: "&amp;VLOOKUP(A143,Internal_lists_bugs!$A$2:$P1014,16,FALSE())),"please select a BUG ID")</f>
        <v>BIC: https://opendev.org/openstack/nova/commit/ac658aa7d0671fb9b5a0a2c504f4b73dff514da9
Intro.Issues: scope-config-opts</v>
      </c>
      <c r="D143" s="40" t="s">
        <v>203</v>
      </c>
      <c r="E143" s="16" t="s">
        <v>204</v>
      </c>
      <c r="F143" s="41" t="s">
        <v>205</v>
      </c>
      <c r="G143" s="42" t="s">
        <v>120</v>
      </c>
      <c r="H143" s="16" t="s">
        <v>121</v>
      </c>
      <c r="I143" s="16" t="b">
        <v>0</v>
      </c>
    </row>
    <row r="144">
      <c r="A144" s="16" t="s">
        <v>62</v>
      </c>
      <c r="B144" s="38" t="str">
        <f>IFERROR(HYPERLINK(VLOOKUP(A144,Internal_lists_bugs!$A$2:$C$73,3,FALSE()), VLOOKUP(A144,Internal_lists_bugs!$A$2:$C$73,3,FALSE())&amp;Char(10) &amp; Char(10) &amp; VLOOKUP(A144,Internal_lists_bugs!$A$2:$Z$73,26,FALSE())),"please select a BUG ID")</f>
        <v>
</v>
      </c>
      <c r="C144" s="39" t="str">
        <f>IFERROR(Hyperlink(VLOOKUP(A144,Internal_lists_bugs!$A$2:$G1014,7,FALSE()),"BIC: "&amp;VLOOKUP(A144,Internal_lists_bugs!$A$2:$G1014,7,FALSE())&amp;CHAR(10)&amp;"Intro.Issues: "&amp;VLOOKUP(A144,Internal_lists_bugs!$A$2:$P1014,16,FALSE())),"please select a BUG ID")</f>
        <v>BIC: https://opendev.org/openstack/nova/commit/ac658aa7d0671fb9b5a0a2c504f4b73dff514da9
Intro.Issues: scope-config-opts</v>
      </c>
      <c r="D144" s="40" t="s">
        <v>203</v>
      </c>
      <c r="E144" s="43"/>
      <c r="F144" s="41" t="s">
        <v>153</v>
      </c>
      <c r="G144" s="42" t="s">
        <v>123</v>
      </c>
      <c r="H144" s="43"/>
    </row>
    <row r="145">
      <c r="A145" s="16" t="s">
        <v>62</v>
      </c>
      <c r="B145" s="38" t="str">
        <f>IFERROR(HYPERLINK(VLOOKUP(A145,Internal_lists_bugs!$A$2:$C$73,3,FALSE()), VLOOKUP(A145,Internal_lists_bugs!$A$2:$C$73,3,FALSE())&amp;Char(10) &amp; Char(10) &amp; VLOOKUP(A145,Internal_lists_bugs!$A$2:$Z$73,26,FALSE())),"please select a BUG ID")</f>
        <v>
</v>
      </c>
      <c r="C145" s="39" t="str">
        <f>IFERROR(Hyperlink(VLOOKUP(A145,Internal_lists_bugs!$A$2:$G1014,7,FALSE()),"BIC: "&amp;VLOOKUP(A145,Internal_lists_bugs!$A$2:$G1014,7,FALSE())&amp;CHAR(10)&amp;"Intro.Issues: "&amp;VLOOKUP(A145,Internal_lists_bugs!$A$2:$P1014,16,FALSE())),"please select a BUG ID")</f>
        <v>BIC: https://opendev.org/openstack/nova/commit/ac658aa7d0671fb9b5a0a2c504f4b73dff514da9
Intro.Issues: scope-config-opts</v>
      </c>
      <c r="D145" s="40" t="s">
        <v>203</v>
      </c>
      <c r="E145" s="43"/>
      <c r="F145" s="41" t="s">
        <v>205</v>
      </c>
      <c r="G145" s="42" t="s">
        <v>123</v>
      </c>
      <c r="H145" s="43"/>
    </row>
    <row r="146">
      <c r="A146" s="16" t="s">
        <v>62</v>
      </c>
      <c r="B146" s="38" t="str">
        <f>IFERROR(HYPERLINK(VLOOKUP(A146,Internal_lists_bugs!$A$2:$C$73,3,FALSE()), VLOOKUP(A146,Internal_lists_bugs!$A$2:$C$73,3,FALSE())&amp;Char(10) &amp; Char(10) &amp; VLOOKUP(A146,Internal_lists_bugs!$A$2:$Z$73,26,FALSE())),"please select a BUG ID")</f>
        <v>
</v>
      </c>
      <c r="C146" s="39" t="str">
        <f>IFERROR(Hyperlink(VLOOKUP(A146,Internal_lists_bugs!$A$2:$G1014,7,FALSE()),"BIC: "&amp;VLOOKUP(A146,Internal_lists_bugs!$A$2:$G1014,7,FALSE())&amp;CHAR(10)&amp;"Intro.Issues: "&amp;VLOOKUP(A146,Internal_lists_bugs!$A$2:$P1014,16,FALSE())),"please select a BUG ID")</f>
        <v>BIC: https://opendev.org/openstack/nova/commit/ac658aa7d0671fb9b5a0a2c504f4b73dff514da9
Intro.Issues: scope-config-opts</v>
      </c>
      <c r="D146" s="40" t="s">
        <v>203</v>
      </c>
      <c r="E146" s="43"/>
      <c r="F146" s="41" t="s">
        <v>206</v>
      </c>
      <c r="G146" s="42" t="s">
        <v>123</v>
      </c>
      <c r="H146" s="43"/>
    </row>
    <row r="147">
      <c r="A147" s="16" t="s">
        <v>62</v>
      </c>
      <c r="B147" s="38" t="str">
        <f>IFERROR(HYPERLINK(VLOOKUP(A147,Internal_lists_bugs!$A$2:$C$73,3,FALSE()), VLOOKUP(A147,Internal_lists_bugs!$A$2:$C$73,3,FALSE())&amp;Char(10) &amp; Char(10) &amp; VLOOKUP(A147,Internal_lists_bugs!$A$2:$Z$73,26,FALSE())),"please select a BUG ID")</f>
        <v>
</v>
      </c>
      <c r="C147" s="39" t="str">
        <f>IFERROR(Hyperlink(VLOOKUP(A147,Internal_lists_bugs!$A$2:$G1014,7,FALSE()),"BIC: "&amp;VLOOKUP(A147,Internal_lists_bugs!$A$2:$G1014,7,FALSE())&amp;CHAR(10)&amp;"Intro.Issues: "&amp;VLOOKUP(A147,Internal_lists_bugs!$A$2:$P1014,16,FALSE())),"please select a BUG ID")</f>
        <v>BIC: https://opendev.org/openstack/nova/commit/ac658aa7d0671fb9b5a0a2c504f4b73dff514da9
Intro.Issues: scope-config-opts</v>
      </c>
      <c r="D147" s="40" t="s">
        <v>203</v>
      </c>
      <c r="E147" s="43"/>
      <c r="F147" s="41" t="s">
        <v>140</v>
      </c>
      <c r="G147" s="42" t="s">
        <v>139</v>
      </c>
      <c r="H147" s="43"/>
    </row>
    <row r="148">
      <c r="A148" s="20" t="s">
        <v>63</v>
      </c>
      <c r="B148" s="38" t="str">
        <f>IFERROR(HYPERLINK(VLOOKUP(A148,Internal_lists_bugs!$A$2:$C$73,3,FALSE()), VLOOKUP(A148,Internal_lists_bugs!$A$2:$C$73,3,FALSE())&amp;Char(10) &amp; Char(10) &amp; VLOOKUP(A148,Internal_lists_bugs!$A$2:$Z$73,26,FALSE())),"please select a BUG ID")</f>
        <v>
</v>
      </c>
      <c r="C148" s="39" t="str">
        <f>IFERROR(Hyperlink(VLOOKUP(A148,Internal_lists_bugs!$A$2:$G1014,7,FALSE()),"BIC: "&amp;VLOOKUP(A148,Internal_lists_bugs!$A$2:$G1014,7,FALSE())&amp;CHAR(10)&amp;"Intro.Issues: "&amp;VLOOKUP(A148,Internal_lists_bugs!$A$2:$P1014,16,FALSE())),"please select a BUG ID")</f>
        <v>BIC: https://github.com/elastic/elasticsearch/commit/e5b041c8efd408fdc71fd2f2c84439e5a4985244
Intro.Issues: </v>
      </c>
      <c r="D148" s="40"/>
      <c r="E148" s="43"/>
      <c r="F148" s="41"/>
      <c r="G148" s="42"/>
      <c r="H148" s="43"/>
    </row>
    <row r="149">
      <c r="A149" s="20" t="s">
        <v>64</v>
      </c>
      <c r="B149" s="38" t="str">
        <f>IFERROR(HYPERLINK(VLOOKUP(A149,Internal_lists_bugs!$A$2:$C$73,3,FALSE()), VLOOKUP(A149,Internal_lists_bugs!$A$2:$C$73,3,FALSE())&amp;Char(10) &amp; Char(10) &amp; VLOOKUP(A149,Internal_lists_bugs!$A$2:$Z$73,26,FALSE())),"please select a BUG ID")</f>
        <v>
</v>
      </c>
      <c r="C149" s="39" t="str">
        <f>IFERROR(Hyperlink(VLOOKUP(A149,Internal_lists_bugs!$A$2:$G1014,7,FALSE()),"BIC: "&amp;VLOOKUP(A149,Internal_lists_bugs!$A$2:$G1014,7,FALSE())&amp;CHAR(10)&amp;"Intro.Issues: "&amp;VLOOKUP(A149,Internal_lists_bugs!$A$2:$P1014,16,FALSE())),"please select a BUG ID")</f>
        <v>BIC: https://github.com/elastic/elasticsearch/commit/7180636df6dfe6b18bf738ee2285549ea95a8cb9
Intro.Issues: </v>
      </c>
      <c r="D149" s="40"/>
      <c r="E149" s="43"/>
      <c r="F149" s="41"/>
      <c r="G149" s="42"/>
      <c r="H149" s="43"/>
    </row>
    <row r="150">
      <c r="A150" s="15" t="s">
        <v>65</v>
      </c>
      <c r="B150" s="38" t="str">
        <f>IFERROR(HYPERLINK(VLOOKUP(A150,Internal_lists_bugs!$A$2:$C$73,3,FALSE()), VLOOKUP(A150,Internal_lists_bugs!$A$2:$C$73,3,FALSE())&amp;Char(10) &amp; Char(10) &amp; VLOOKUP(A150,Internal_lists_bugs!$A$2:$Z$73,26,FALSE())),"please select a BUG ID")</f>
        <v>
</v>
      </c>
      <c r="C150" s="39" t="str">
        <f>IFERROR(Hyperlink(VLOOKUP(A150,Internal_lists_bugs!$A$2:$G1014,7,FALSE()),"BIC: "&amp;VLOOKUP(A150,Internal_lists_bugs!$A$2:$G1014,7,FALSE())&amp;CHAR(10)&amp;"Intro.Issues: "&amp;VLOOKUP(A150,Internal_lists_bugs!$A$2:$P1014,16,FALSE())),"please select a BUG ID")</f>
        <v>BIC: https://github.com/elastic/elasticsearch/commit/90a339ad5e4a61e750d0342be6326de46f45bedc
Intro.Issues: 831</v>
      </c>
      <c r="D150" s="40">
        <v>831.0</v>
      </c>
      <c r="E150" s="16" t="s">
        <v>207</v>
      </c>
      <c r="F150" s="41" t="s">
        <v>208</v>
      </c>
      <c r="G150" s="42" t="s">
        <v>120</v>
      </c>
      <c r="H150" s="16" t="s">
        <v>121</v>
      </c>
      <c r="I150" s="16" t="b">
        <v>0</v>
      </c>
    </row>
    <row r="151">
      <c r="A151" s="15" t="s">
        <v>65</v>
      </c>
      <c r="B151" s="38" t="str">
        <f>IFERROR(HYPERLINK(VLOOKUP(A151,Internal_lists_bugs!$A$2:$C$73,3,FALSE()), VLOOKUP(A151,Internal_lists_bugs!$A$2:$C$73,3,FALSE())&amp;Char(10) &amp; Char(10) &amp; VLOOKUP(A151,Internal_lists_bugs!$A$2:$Z$73,26,FALSE())),"please select a BUG ID")</f>
        <v>
</v>
      </c>
      <c r="C151" s="39" t="str">
        <f>IFERROR(Hyperlink(VLOOKUP(A151,Internal_lists_bugs!$A$2:$G1014,7,FALSE()),"BIC: "&amp;VLOOKUP(A151,Internal_lists_bugs!$A$2:$G1014,7,FALSE())&amp;CHAR(10)&amp;"Intro.Issues: "&amp;VLOOKUP(A151,Internal_lists_bugs!$A$2:$P1014,16,FALSE())),"please select a BUG ID")</f>
        <v>BIC: https://github.com/elastic/elasticsearch/commit/90a339ad5e4a61e750d0342be6326de46f45bedc
Intro.Issues: 831</v>
      </c>
      <c r="D151" s="40">
        <v>831.0</v>
      </c>
      <c r="E151" s="43"/>
      <c r="F151" s="41" t="s">
        <v>208</v>
      </c>
      <c r="G151" s="42" t="s">
        <v>129</v>
      </c>
      <c r="H151" s="43"/>
    </row>
    <row r="152">
      <c r="A152" s="15" t="s">
        <v>65</v>
      </c>
      <c r="B152" s="38" t="str">
        <f>IFERROR(HYPERLINK(VLOOKUP(A152,Internal_lists_bugs!$A$2:$C$73,3,FALSE()), VLOOKUP(A152,Internal_lists_bugs!$A$2:$C$73,3,FALSE())&amp;Char(10) &amp; Char(10) &amp; VLOOKUP(A152,Internal_lists_bugs!$A$2:$Z$73,26,FALSE())),"please select a BUG ID")</f>
        <v>
</v>
      </c>
      <c r="C152" s="39" t="str">
        <f>IFERROR(Hyperlink(VLOOKUP(A152,Internal_lists_bugs!$A$2:$G1014,7,FALSE()),"BIC: "&amp;VLOOKUP(A152,Internal_lists_bugs!$A$2:$G1014,7,FALSE())&amp;CHAR(10)&amp;"Intro.Issues: "&amp;VLOOKUP(A152,Internal_lists_bugs!$A$2:$P1014,16,FALSE())),"please select a BUG ID")</f>
        <v>BIC: https://github.com/elastic/elasticsearch/commit/90a339ad5e4a61e750d0342be6326de46f45bedc
Intro.Issues: 831</v>
      </c>
      <c r="D152" s="40">
        <v>831.0</v>
      </c>
      <c r="E152" s="43"/>
      <c r="F152" s="41" t="s">
        <v>208</v>
      </c>
      <c r="G152" s="42" t="s">
        <v>131</v>
      </c>
      <c r="H152" s="43"/>
    </row>
    <row r="153">
      <c r="A153" s="15" t="s">
        <v>65</v>
      </c>
      <c r="B153" s="38" t="str">
        <f>IFERROR(HYPERLINK(VLOOKUP(A153,Internal_lists_bugs!$A$2:$C$73,3,FALSE()), VLOOKUP(A153,Internal_lists_bugs!$A$2:$C$73,3,FALSE())&amp;Char(10) &amp; Char(10) &amp; VLOOKUP(A153,Internal_lists_bugs!$A$2:$Z$73,26,FALSE())),"please select a BUG ID")</f>
        <v>
</v>
      </c>
      <c r="C153" s="39" t="str">
        <f>IFERROR(Hyperlink(VLOOKUP(A153,Internal_lists_bugs!$A$2:$G1014,7,FALSE()),"BIC: "&amp;VLOOKUP(A153,Internal_lists_bugs!$A$2:$G1014,7,FALSE())&amp;CHAR(10)&amp;"Intro.Issues: "&amp;VLOOKUP(A153,Internal_lists_bugs!$A$2:$P1014,16,FALSE())),"please select a BUG ID")</f>
        <v>BIC: https://github.com/elastic/elasticsearch/commit/90a339ad5e4a61e750d0342be6326de46f45bedc
Intro.Issues: 831</v>
      </c>
      <c r="D153" s="40">
        <v>831.0</v>
      </c>
      <c r="E153" s="43"/>
      <c r="F153" s="41" t="s">
        <v>209</v>
      </c>
      <c r="G153" s="42" t="s">
        <v>131</v>
      </c>
      <c r="H153" s="43"/>
    </row>
    <row r="154">
      <c r="A154" s="15" t="s">
        <v>66</v>
      </c>
      <c r="B154" s="38" t="str">
        <f>IFERROR(HYPERLINK(VLOOKUP(A154,Internal_lists_bugs!$A$2:$C$73,3,FALSE()), VLOOKUP(A154,Internal_lists_bugs!$A$2:$C$73,3,FALSE())&amp;Char(10) &amp; Char(10) &amp; VLOOKUP(A154,Internal_lists_bugs!$A$2:$Z$73,26,FALSE())),"please select a BUG ID")</f>
        <v>
</v>
      </c>
      <c r="C154" s="39" t="str">
        <f>IFERROR(Hyperlink(VLOOKUP(A154,Internal_lists_bugs!$A$2:$G1014,7,FALSE()),"BIC: "&amp;VLOOKUP(A154,Internal_lists_bugs!$A$2:$G1014,7,FALSE())&amp;CHAR(10)&amp;"Intro.Issues: "&amp;VLOOKUP(A154,Internal_lists_bugs!$A$2:$P1014,16,FALSE())),"please select a BUG ID")</f>
        <v>BIC: https://github.com/elastic/elasticsearch/commit/8561f897a984807958a543e378ab01349935a739
Intro.Issues: </v>
      </c>
      <c r="D154" s="40"/>
      <c r="E154" s="43"/>
      <c r="F154" s="41"/>
      <c r="G154" s="42"/>
      <c r="H154" s="43"/>
    </row>
    <row r="155">
      <c r="A155" s="15" t="s">
        <v>67</v>
      </c>
      <c r="B155" s="38" t="str">
        <f>IFERROR(HYPERLINK(VLOOKUP(A155,Internal_lists_bugs!$A$2:$C$73,3,FALSE()), VLOOKUP(A155,Internal_lists_bugs!$A$2:$C$73,3,FALSE())&amp;Char(10) &amp; Char(10) &amp; VLOOKUP(A155,Internal_lists_bugs!$A$2:$Z$73,26,FALSE())),"please select a BUG ID")</f>
        <v>
</v>
      </c>
      <c r="C155" s="39" t="str">
        <f>IFERROR(Hyperlink(VLOOKUP(A155,Internal_lists_bugs!$A$2:$G1014,7,FALSE()),"BIC: "&amp;VLOOKUP(A155,Internal_lists_bugs!$A$2:$G1014,7,FALSE())&amp;CHAR(10)&amp;"Intro.Issues: "&amp;VLOOKUP(A155,Internal_lists_bugs!$A$2:$P1014,16,FALSE())),"please select a BUG ID")</f>
        <v>BIC: https://github.com/elastic/elasticsearch/commit/03ee0a942df39c01e5e4f4ecb392a746e3d979af
Intro.Issues: </v>
      </c>
      <c r="D155" s="40"/>
      <c r="E155" s="43"/>
      <c r="F155" s="41"/>
      <c r="G155" s="42"/>
      <c r="H155" s="43"/>
    </row>
    <row r="156">
      <c r="A156" s="15" t="s">
        <v>68</v>
      </c>
      <c r="B156" s="38" t="str">
        <f>IFERROR(HYPERLINK(VLOOKUP(A156,Internal_lists_bugs!$A$2:$C$73,3,FALSE()), VLOOKUP(A156,Internal_lists_bugs!$A$2:$C$73,3,FALSE())&amp;Char(10) &amp; Char(10) &amp; VLOOKUP(A156,Internal_lists_bugs!$A$2:$Z$73,26,FALSE())),"please select a BUG ID")</f>
        <v>
</v>
      </c>
      <c r="C156" s="39" t="str">
        <f>IFERROR(Hyperlink(VLOOKUP(A156,Internal_lists_bugs!$A$2:$G1014,7,FALSE()),"BIC: "&amp;VLOOKUP(A156,Internal_lists_bugs!$A$2:$G1014,7,FALSE())&amp;CHAR(10)&amp;"Intro.Issues: "&amp;VLOOKUP(A156,Internal_lists_bugs!$A$2:$P1014,16,FALSE())),"please select a BUG ID")</f>
        <v>BIC: https://github.com/elastic/elasticsearch/commit/91c4824a0f768f2d3e3651958656384d0735a85e
Intro.Issues: 7067</v>
      </c>
      <c r="D156" s="40">
        <v>7067.0</v>
      </c>
      <c r="E156" s="16" t="s">
        <v>207</v>
      </c>
      <c r="F156" s="41" t="s">
        <v>210</v>
      </c>
      <c r="G156" s="42" t="s">
        <v>120</v>
      </c>
      <c r="H156" s="16" t="s">
        <v>121</v>
      </c>
      <c r="I156" s="16" t="b">
        <v>1</v>
      </c>
    </row>
    <row r="157">
      <c r="A157" s="15" t="s">
        <v>68</v>
      </c>
      <c r="B157" s="38" t="str">
        <f>IFERROR(HYPERLINK(VLOOKUP(A157,Internal_lists_bugs!$A$2:$C$73,3,FALSE()), VLOOKUP(A157,Internal_lists_bugs!$A$2:$C$73,3,FALSE())&amp;Char(10) &amp; Char(10) &amp; VLOOKUP(A157,Internal_lists_bugs!$A$2:$Z$73,26,FALSE())),"please select a BUG ID")</f>
        <v>
</v>
      </c>
      <c r="C157" s="39" t="str">
        <f>IFERROR(Hyperlink(VLOOKUP(A157,Internal_lists_bugs!$A$2:$G1014,7,FALSE()),"BIC: "&amp;VLOOKUP(A157,Internal_lists_bugs!$A$2:$G1014,7,FALSE())&amp;CHAR(10)&amp;"Intro.Issues: "&amp;VLOOKUP(A157,Internal_lists_bugs!$A$2:$P1014,16,FALSE())),"please select a BUG ID")</f>
        <v>BIC: https://github.com/elastic/elasticsearch/commit/91c4824a0f768f2d3e3651958656384d0735a85e
Intro.Issues: 7067</v>
      </c>
      <c r="D157" s="40">
        <v>7067.0</v>
      </c>
      <c r="E157" s="43"/>
      <c r="F157" s="41" t="s">
        <v>210</v>
      </c>
      <c r="G157" s="42" t="s">
        <v>129</v>
      </c>
      <c r="H157" s="43"/>
    </row>
    <row r="158">
      <c r="A158" s="15" t="s">
        <v>68</v>
      </c>
      <c r="B158" s="38" t="str">
        <f>IFERROR(HYPERLINK(VLOOKUP(A158,Internal_lists_bugs!$A$2:$C$73,3,FALSE()), VLOOKUP(A158,Internal_lists_bugs!$A$2:$C$73,3,FALSE())&amp;Char(10) &amp; Char(10) &amp; VLOOKUP(A158,Internal_lists_bugs!$A$2:$Z$73,26,FALSE())),"please select a BUG ID")</f>
        <v>
</v>
      </c>
      <c r="C158" s="39" t="str">
        <f>IFERROR(Hyperlink(VLOOKUP(A158,Internal_lists_bugs!$A$2:$G1014,7,FALSE()),"BIC: "&amp;VLOOKUP(A158,Internal_lists_bugs!$A$2:$G1014,7,FALSE())&amp;CHAR(10)&amp;"Intro.Issues: "&amp;VLOOKUP(A158,Internal_lists_bugs!$A$2:$P1014,16,FALSE())),"please select a BUG ID")</f>
        <v>BIC: https://github.com/elastic/elasticsearch/commit/91c4824a0f768f2d3e3651958656384d0735a85e
Intro.Issues: 7067</v>
      </c>
      <c r="D158" s="40">
        <v>7067.0</v>
      </c>
      <c r="E158" s="43"/>
      <c r="F158" s="41" t="s">
        <v>206</v>
      </c>
      <c r="G158" s="42" t="s">
        <v>129</v>
      </c>
      <c r="H158" s="43"/>
    </row>
    <row r="159">
      <c r="A159" s="15" t="s">
        <v>68</v>
      </c>
      <c r="B159" s="38" t="str">
        <f>IFERROR(HYPERLINK(VLOOKUP(A159,Internal_lists_bugs!$A$2:$C$73,3,FALSE()), VLOOKUP(A159,Internal_lists_bugs!$A$2:$C$73,3,FALSE())&amp;Char(10) &amp; Char(10) &amp; VLOOKUP(A159,Internal_lists_bugs!$A$2:$Z$73,26,FALSE())),"please select a BUG ID")</f>
        <v>
</v>
      </c>
      <c r="C159" s="39" t="str">
        <f>IFERROR(Hyperlink(VLOOKUP(A159,Internal_lists_bugs!$A$2:$G1014,7,FALSE()),"BIC: "&amp;VLOOKUP(A159,Internal_lists_bugs!$A$2:$G1014,7,FALSE())&amp;CHAR(10)&amp;"Intro.Issues: "&amp;VLOOKUP(A159,Internal_lists_bugs!$A$2:$P1014,16,FALSE())),"please select a BUG ID")</f>
        <v>BIC: https://github.com/elastic/elasticsearch/commit/91c4824a0f768f2d3e3651958656384d0735a85e
Intro.Issues: 7067</v>
      </c>
      <c r="D159" s="40">
        <v>7067.0</v>
      </c>
      <c r="E159" s="43"/>
      <c r="F159" s="41" t="s">
        <v>211</v>
      </c>
      <c r="G159" s="42" t="s">
        <v>129</v>
      </c>
      <c r="H159" s="43"/>
    </row>
    <row r="160">
      <c r="A160" s="15" t="s">
        <v>69</v>
      </c>
      <c r="B160" s="38" t="str">
        <f>IFERROR(HYPERLINK(VLOOKUP(A160,Internal_lists_bugs!$A$2:$C$73,3,FALSE()), VLOOKUP(A160,Internal_lists_bugs!$A$2:$C$73,3,FALSE())&amp;Char(10) &amp; Char(10) &amp; VLOOKUP(A160,Internal_lists_bugs!$A$2:$Z$73,26,FALSE())),"please select a BUG ID")</f>
        <v>
</v>
      </c>
      <c r="C160" s="39" t="str">
        <f>IFERROR(Hyperlink(VLOOKUP(A160,Internal_lists_bugs!$A$2:$G1014,7,FALSE()),"BIC: "&amp;VLOOKUP(A160,Internal_lists_bugs!$A$2:$G1014,7,FALSE())&amp;CHAR(10)&amp;"Intro.Issues: "&amp;VLOOKUP(A160,Internal_lists_bugs!$A$2:$P1014,16,FALSE())),"please select a BUG ID")</f>
        <v>BIC: https://github.com/elastic/elasticsearch/commit/a75adaaaaaa632c036464da8fa24770796f77852
Intro.Issues: </v>
      </c>
      <c r="D160" s="40"/>
      <c r="E160" s="43"/>
      <c r="F160" s="41"/>
      <c r="G160" s="42"/>
      <c r="H160" s="43"/>
    </row>
    <row r="161">
      <c r="A161" s="15" t="s">
        <v>70</v>
      </c>
      <c r="B161" s="38" t="str">
        <f>IFERROR(HYPERLINK(VLOOKUP(A161,Internal_lists_bugs!$A$2:$C$73,3,FALSE()), VLOOKUP(A161,Internal_lists_bugs!$A$2:$C$73,3,FALSE())&amp;Char(10) &amp; Char(10) &amp; VLOOKUP(A161,Internal_lists_bugs!$A$2:$Z$73,26,FALSE())),"please select a BUG ID")</f>
        <v>
</v>
      </c>
      <c r="C161" s="39" t="str">
        <f>IFERROR(Hyperlink(VLOOKUP(A161,Internal_lists_bugs!$A$2:$G1014,7,FALSE()),"BIC: "&amp;VLOOKUP(A161,Internal_lists_bugs!$A$2:$G1014,7,FALSE())&amp;CHAR(10)&amp;"Intro.Issues: "&amp;VLOOKUP(A161,Internal_lists_bugs!$A$2:$P1014,16,FALSE())),"please select a BUG ID")</f>
        <v>BIC: https://github.com/elastic/elasticsearch/commit/976448e3395609276446e2b8dbeddb046823aa2e
Intro.Issues: 21</v>
      </c>
      <c r="D161" s="40">
        <v>21.0</v>
      </c>
      <c r="E161" s="16" t="s">
        <v>212</v>
      </c>
      <c r="F161" s="41" t="s">
        <v>134</v>
      </c>
      <c r="G161" s="42" t="s">
        <v>120</v>
      </c>
      <c r="H161" s="16" t="s">
        <v>121</v>
      </c>
      <c r="I161" s="16" t="b">
        <v>0</v>
      </c>
    </row>
    <row r="162">
      <c r="A162" s="15" t="s">
        <v>70</v>
      </c>
      <c r="B162" s="38" t="str">
        <f>IFERROR(HYPERLINK(VLOOKUP(A162,Internal_lists_bugs!$A$2:$C$73,3,FALSE()), VLOOKUP(A162,Internal_lists_bugs!$A$2:$C$73,3,FALSE())&amp;Char(10) &amp; Char(10) &amp; VLOOKUP(A162,Internal_lists_bugs!$A$2:$Z$73,26,FALSE())),"please select a BUG ID")</f>
        <v>
</v>
      </c>
      <c r="C162" s="39" t="str">
        <f>IFERROR(Hyperlink(VLOOKUP(A162,Internal_lists_bugs!$A$2:$G1014,7,FALSE()),"BIC: "&amp;VLOOKUP(A162,Internal_lists_bugs!$A$2:$G1014,7,FALSE())&amp;CHAR(10)&amp;"Intro.Issues: "&amp;VLOOKUP(A162,Internal_lists_bugs!$A$2:$P1014,16,FALSE())),"please select a BUG ID")</f>
        <v>BIC: https://github.com/elastic/elasticsearch/commit/976448e3395609276446e2b8dbeddb046823aa2e
Intro.Issues: 21</v>
      </c>
      <c r="D162" s="40">
        <v>21.0</v>
      </c>
      <c r="E162" s="43"/>
      <c r="F162" s="41" t="s">
        <v>134</v>
      </c>
      <c r="G162" s="42" t="s">
        <v>129</v>
      </c>
      <c r="H162" s="43"/>
    </row>
    <row r="163">
      <c r="A163" s="15" t="s">
        <v>70</v>
      </c>
      <c r="B163" s="38" t="str">
        <f>IFERROR(HYPERLINK(VLOOKUP(A163,Internal_lists_bugs!$A$2:$C$73,3,FALSE()), VLOOKUP(A163,Internal_lists_bugs!$A$2:$C$73,3,FALSE())&amp;Char(10) &amp; Char(10) &amp; VLOOKUP(A163,Internal_lists_bugs!$A$2:$Z$73,26,FALSE())),"please select a BUG ID")</f>
        <v>
</v>
      </c>
      <c r="C163" s="39" t="str">
        <f>IFERROR(Hyperlink(VLOOKUP(A163,Internal_lists_bugs!$A$2:$G1014,7,FALSE()),"BIC: "&amp;VLOOKUP(A163,Internal_lists_bugs!$A$2:$G1014,7,FALSE())&amp;CHAR(10)&amp;"Intro.Issues: "&amp;VLOOKUP(A163,Internal_lists_bugs!$A$2:$P1014,16,FALSE())),"please select a BUG ID")</f>
        <v>BIC: https://github.com/elastic/elasticsearch/commit/976448e3395609276446e2b8dbeddb046823aa2e
Intro.Issues: 21</v>
      </c>
      <c r="D163" s="40">
        <v>21.0</v>
      </c>
      <c r="E163" s="43"/>
      <c r="F163" s="41" t="s">
        <v>213</v>
      </c>
      <c r="G163" s="42" t="s">
        <v>129</v>
      </c>
      <c r="H163" s="43"/>
    </row>
    <row r="164">
      <c r="A164" s="15" t="s">
        <v>70</v>
      </c>
      <c r="B164" s="38" t="str">
        <f>IFERROR(HYPERLINK(VLOOKUP(A164,Internal_lists_bugs!$A$2:$C$73,3,FALSE()), VLOOKUP(A164,Internal_lists_bugs!$A$2:$C$73,3,FALSE())&amp;Char(10) &amp; Char(10) &amp; VLOOKUP(A164,Internal_lists_bugs!$A$2:$Z$73,26,FALSE())),"please select a BUG ID")</f>
        <v>
</v>
      </c>
      <c r="C164" s="39" t="str">
        <f>IFERROR(Hyperlink(VLOOKUP(A164,Internal_lists_bugs!$A$2:$G1014,7,FALSE()),"BIC: "&amp;VLOOKUP(A164,Internal_lists_bugs!$A$2:$G1014,7,FALSE())&amp;CHAR(10)&amp;"Intro.Issues: "&amp;VLOOKUP(A164,Internal_lists_bugs!$A$2:$P1014,16,FALSE())),"please select a BUG ID")</f>
        <v>BIC: https://github.com/elastic/elasticsearch/commit/976448e3395609276446e2b8dbeddb046823aa2e
Intro.Issues: 21</v>
      </c>
      <c r="D164" s="40">
        <v>21.0</v>
      </c>
      <c r="E164" s="43"/>
      <c r="F164" s="41" t="s">
        <v>209</v>
      </c>
      <c r="G164" s="42" t="s">
        <v>131</v>
      </c>
      <c r="H164" s="43"/>
    </row>
    <row r="165">
      <c r="A165" s="15" t="s">
        <v>70</v>
      </c>
      <c r="B165" s="38" t="str">
        <f>IFERROR(HYPERLINK(VLOOKUP(A165,Internal_lists_bugs!$A$2:$C$73,3,FALSE()), VLOOKUP(A165,Internal_lists_bugs!$A$2:$C$73,3,FALSE())&amp;Char(10) &amp; Char(10) &amp; VLOOKUP(A165,Internal_lists_bugs!$A$2:$Z$73,26,FALSE())),"please select a BUG ID")</f>
        <v>
</v>
      </c>
      <c r="C165" s="39" t="str">
        <f>IFERROR(Hyperlink(VLOOKUP(A165,Internal_lists_bugs!$A$2:$G1014,7,FALSE()),"BIC: "&amp;VLOOKUP(A165,Internal_lists_bugs!$A$2:$G1014,7,FALSE())&amp;CHAR(10)&amp;"Intro.Issues: "&amp;VLOOKUP(A165,Internal_lists_bugs!$A$2:$P1014,16,FALSE())),"please select a BUG ID")</f>
        <v>BIC: https://github.com/elastic/elasticsearch/commit/976448e3395609276446e2b8dbeddb046823aa2e
Intro.Issues: 21</v>
      </c>
      <c r="D165" s="40">
        <v>21.0</v>
      </c>
      <c r="E165" s="43"/>
      <c r="F165" s="41" t="s">
        <v>214</v>
      </c>
      <c r="G165" s="42" t="s">
        <v>149</v>
      </c>
      <c r="H165" s="43"/>
    </row>
    <row r="166">
      <c r="A166" s="15" t="s">
        <v>70</v>
      </c>
      <c r="B166" s="38" t="str">
        <f>IFERROR(HYPERLINK(VLOOKUP(A166,Internal_lists_bugs!$A$2:$C$73,3,FALSE()), VLOOKUP(A166,Internal_lists_bugs!$A$2:$C$73,3,FALSE())&amp;Char(10) &amp; Char(10) &amp; VLOOKUP(A166,Internal_lists_bugs!$A$2:$Z$73,26,FALSE())),"please select a BUG ID")</f>
        <v>
</v>
      </c>
      <c r="C166" s="39" t="str">
        <f>IFERROR(Hyperlink(VLOOKUP(A166,Internal_lists_bugs!$A$2:$G1014,7,FALSE()),"BIC: "&amp;VLOOKUP(A166,Internal_lists_bugs!$A$2:$G1014,7,FALSE())&amp;CHAR(10)&amp;"Intro.Issues: "&amp;VLOOKUP(A166,Internal_lists_bugs!$A$2:$P1014,16,FALSE())),"please select a BUG ID")</f>
        <v>BIC: https://github.com/elastic/elasticsearch/commit/976448e3395609276446e2b8dbeddb046823aa2e
Intro.Issues: 21</v>
      </c>
      <c r="D166" s="40">
        <v>21.0</v>
      </c>
      <c r="E166" s="43"/>
      <c r="F166" s="41" t="s">
        <v>215</v>
      </c>
      <c r="G166" s="42" t="s">
        <v>190</v>
      </c>
      <c r="H166" s="43"/>
    </row>
    <row r="167">
      <c r="A167" s="15" t="s">
        <v>70</v>
      </c>
      <c r="B167" s="38" t="str">
        <f>IFERROR(HYPERLINK(VLOOKUP(A167,Internal_lists_bugs!$A$2:$C$73,3,FALSE()), VLOOKUP(A167,Internal_lists_bugs!$A$2:$C$73,3,FALSE())&amp;Char(10) &amp; Char(10) &amp; VLOOKUP(A167,Internal_lists_bugs!$A$2:$Z$73,26,FALSE())),"please select a BUG ID")</f>
        <v>
</v>
      </c>
      <c r="C167" s="39" t="str">
        <f>IFERROR(Hyperlink(VLOOKUP(A167,Internal_lists_bugs!$A$2:$G1014,7,FALSE()),"BIC: "&amp;VLOOKUP(A167,Internal_lists_bugs!$A$2:$G1014,7,FALSE())&amp;CHAR(10)&amp;"Intro.Issues: "&amp;VLOOKUP(A167,Internal_lists_bugs!$A$2:$P1014,16,FALSE())),"please select a BUG ID")</f>
        <v>BIC: https://github.com/elastic/elasticsearch/commit/976448e3395609276446e2b8dbeddb046823aa2e
Intro.Issues: 21</v>
      </c>
      <c r="D167" s="40">
        <v>21.0</v>
      </c>
      <c r="E167" s="43"/>
      <c r="F167" s="41" t="s">
        <v>216</v>
      </c>
      <c r="G167" s="42" t="s">
        <v>190</v>
      </c>
      <c r="H167" s="43"/>
    </row>
    <row r="168">
      <c r="A168" s="15" t="s">
        <v>70</v>
      </c>
      <c r="B168" s="38" t="str">
        <f>IFERROR(HYPERLINK(VLOOKUP(A168,Internal_lists_bugs!$A$2:$C$73,3,FALSE()), VLOOKUP(A168,Internal_lists_bugs!$A$2:$C$73,3,FALSE())&amp;Char(10) &amp; Char(10) &amp; VLOOKUP(A168,Internal_lists_bugs!$A$2:$Z$73,26,FALSE())),"please select a BUG ID")</f>
        <v>
</v>
      </c>
      <c r="C168" s="39" t="str">
        <f>IFERROR(Hyperlink(VLOOKUP(A168,Internal_lists_bugs!$A$2:$G1014,7,FALSE()),"BIC: "&amp;VLOOKUP(A168,Internal_lists_bugs!$A$2:$G1014,7,FALSE())&amp;CHAR(10)&amp;"Intro.Issues: "&amp;VLOOKUP(A168,Internal_lists_bugs!$A$2:$P1014,16,FALSE())),"please select a BUG ID")</f>
        <v>BIC: https://github.com/elastic/elasticsearch/commit/976448e3395609276446e2b8dbeddb046823aa2e
Intro.Issues: 21</v>
      </c>
      <c r="D168" s="40">
        <v>21.0</v>
      </c>
      <c r="E168" s="43"/>
      <c r="F168" s="41" t="s">
        <v>217</v>
      </c>
      <c r="G168" s="42" t="s">
        <v>191</v>
      </c>
      <c r="H168" s="43"/>
    </row>
    <row r="169">
      <c r="A169" s="15" t="s">
        <v>70</v>
      </c>
      <c r="B169" s="38" t="str">
        <f>IFERROR(HYPERLINK(VLOOKUP(A169,Internal_lists_bugs!$A$2:$C$73,3,FALSE()), VLOOKUP(A169,Internal_lists_bugs!$A$2:$C$73,3,FALSE())&amp;Char(10) &amp; Char(10) &amp; VLOOKUP(A169,Internal_lists_bugs!$A$2:$Z$73,26,FALSE())),"please select a BUG ID")</f>
        <v>
</v>
      </c>
      <c r="C169" s="39" t="str">
        <f>IFERROR(Hyperlink(VLOOKUP(A169,Internal_lists_bugs!$A$2:$G1014,7,FALSE()),"BIC: "&amp;VLOOKUP(A169,Internal_lists_bugs!$A$2:$G1014,7,FALSE())&amp;CHAR(10)&amp;"Intro.Issues: "&amp;VLOOKUP(A169,Internal_lists_bugs!$A$2:$P1014,16,FALSE())),"please select a BUG ID")</f>
        <v>BIC: https://github.com/elastic/elasticsearch/commit/976448e3395609276446e2b8dbeddb046823aa2e
Intro.Issues: 21</v>
      </c>
      <c r="D169" s="40">
        <v>21.0</v>
      </c>
      <c r="E169" s="43"/>
      <c r="F169" s="41" t="s">
        <v>216</v>
      </c>
      <c r="G169" s="42" t="s">
        <v>192</v>
      </c>
      <c r="H169" s="43"/>
    </row>
    <row r="170">
      <c r="A170" s="15" t="s">
        <v>70</v>
      </c>
      <c r="B170" s="38" t="str">
        <f>IFERROR(HYPERLINK(VLOOKUP(A170,Internal_lists_bugs!$A$2:$C$73,3,FALSE()), VLOOKUP(A170,Internal_lists_bugs!$A$2:$C$73,3,FALSE())&amp;Char(10) &amp; Char(10) &amp; VLOOKUP(A170,Internal_lists_bugs!$A$2:$Z$73,26,FALSE())),"please select a BUG ID")</f>
        <v>
</v>
      </c>
      <c r="C170" s="39" t="str">
        <f>IFERROR(Hyperlink(VLOOKUP(A170,Internal_lists_bugs!$A$2:$G1014,7,FALSE()),"BIC: "&amp;VLOOKUP(A170,Internal_lists_bugs!$A$2:$G1014,7,FALSE())&amp;CHAR(10)&amp;"Intro.Issues: "&amp;VLOOKUP(A170,Internal_lists_bugs!$A$2:$P1014,16,FALSE())),"please select a BUG ID")</f>
        <v>BIC: https://github.com/elastic/elasticsearch/commit/976448e3395609276446e2b8dbeddb046823aa2e
Intro.Issues: 21</v>
      </c>
      <c r="D170" s="40">
        <v>21.0</v>
      </c>
      <c r="E170" s="43"/>
      <c r="F170" s="41" t="s">
        <v>216</v>
      </c>
      <c r="G170" s="42" t="s">
        <v>218</v>
      </c>
      <c r="H170" s="43"/>
    </row>
    <row r="171">
      <c r="A171" s="15" t="s">
        <v>70</v>
      </c>
      <c r="B171" s="38" t="str">
        <f>IFERROR(HYPERLINK(VLOOKUP(A171,Internal_lists_bugs!$A$2:$C$73,3,FALSE()), VLOOKUP(A171,Internal_lists_bugs!$A$2:$C$73,3,FALSE())&amp;Char(10) &amp; Char(10) &amp; VLOOKUP(A171,Internal_lists_bugs!$A$2:$Z$73,26,FALSE())),"please select a BUG ID")</f>
        <v>
</v>
      </c>
      <c r="C171" s="39" t="str">
        <f>IFERROR(Hyperlink(VLOOKUP(A171,Internal_lists_bugs!$A$2:$G1014,7,FALSE()),"BIC: "&amp;VLOOKUP(A171,Internal_lists_bugs!$A$2:$G1014,7,FALSE())&amp;CHAR(10)&amp;"Intro.Issues: "&amp;VLOOKUP(A171,Internal_lists_bugs!$A$2:$P1014,16,FALSE())),"please select a BUG ID")</f>
        <v>BIC: https://github.com/elastic/elasticsearch/commit/976448e3395609276446e2b8dbeddb046823aa2e
Intro.Issues: 21</v>
      </c>
      <c r="D171" s="40">
        <v>21.0</v>
      </c>
      <c r="E171" s="43"/>
      <c r="F171" s="41" t="s">
        <v>216</v>
      </c>
      <c r="G171" s="42" t="s">
        <v>219</v>
      </c>
      <c r="H171" s="43"/>
    </row>
    <row r="172">
      <c r="A172" s="15" t="s">
        <v>70</v>
      </c>
      <c r="B172" s="38" t="str">
        <f>IFERROR(HYPERLINK(VLOOKUP(A172,Internal_lists_bugs!$A$2:$C$73,3,FALSE()), VLOOKUP(A172,Internal_lists_bugs!$A$2:$C$73,3,FALSE())&amp;Char(10) &amp; Char(10) &amp; VLOOKUP(A172,Internal_lists_bugs!$A$2:$Z$73,26,FALSE())),"please select a BUG ID")</f>
        <v>
</v>
      </c>
      <c r="C172" s="39" t="str">
        <f>IFERROR(Hyperlink(VLOOKUP(A172,Internal_lists_bugs!$A$2:$G1014,7,FALSE()),"BIC: "&amp;VLOOKUP(A172,Internal_lists_bugs!$A$2:$G1014,7,FALSE())&amp;CHAR(10)&amp;"Intro.Issues: "&amp;VLOOKUP(A172,Internal_lists_bugs!$A$2:$P1014,16,FALSE())),"please select a BUG ID")</f>
        <v>BIC: https://github.com/elastic/elasticsearch/commit/976448e3395609276446e2b8dbeddb046823aa2e
Intro.Issues: 21</v>
      </c>
      <c r="D172" s="40">
        <v>21.0</v>
      </c>
      <c r="E172" s="43"/>
      <c r="F172" s="41" t="s">
        <v>217</v>
      </c>
      <c r="G172" s="42" t="s">
        <v>220</v>
      </c>
      <c r="H172" s="43"/>
    </row>
    <row r="173">
      <c r="A173" s="15" t="s">
        <v>70</v>
      </c>
      <c r="B173" s="38" t="str">
        <f>IFERROR(HYPERLINK(VLOOKUP(A173,Internal_lists_bugs!$A$2:$C$73,3,FALSE()), VLOOKUP(A173,Internal_lists_bugs!$A$2:$C$73,3,FALSE())&amp;Char(10) &amp; Char(10) &amp; VLOOKUP(A173,Internal_lists_bugs!$A$2:$Z$73,26,FALSE())),"please select a BUG ID")</f>
        <v>
</v>
      </c>
      <c r="C173" s="39" t="str">
        <f>IFERROR(Hyperlink(VLOOKUP(A173,Internal_lists_bugs!$A$2:$G1014,7,FALSE()),"BIC: "&amp;VLOOKUP(A173,Internal_lists_bugs!$A$2:$G1014,7,FALSE())&amp;CHAR(10)&amp;"Intro.Issues: "&amp;VLOOKUP(A173,Internal_lists_bugs!$A$2:$P1014,16,FALSE())),"please select a BUG ID")</f>
        <v>BIC: https://github.com/elastic/elasticsearch/commit/976448e3395609276446e2b8dbeddb046823aa2e
Intro.Issues: 21</v>
      </c>
      <c r="D173" s="40">
        <v>21.0</v>
      </c>
      <c r="E173" s="43"/>
      <c r="F173" s="41" t="s">
        <v>221</v>
      </c>
      <c r="G173" s="42" t="s">
        <v>222</v>
      </c>
      <c r="H173" s="43"/>
    </row>
    <row r="174">
      <c r="A174" s="15" t="s">
        <v>70</v>
      </c>
      <c r="B174" s="38" t="str">
        <f>IFERROR(HYPERLINK(VLOOKUP(A174,Internal_lists_bugs!$A$2:$C$73,3,FALSE()), VLOOKUP(A174,Internal_lists_bugs!$A$2:$C$73,3,FALSE())&amp;Char(10) &amp; Char(10) &amp; VLOOKUP(A174,Internal_lists_bugs!$A$2:$Z$73,26,FALSE())),"please select a BUG ID")</f>
        <v>
</v>
      </c>
      <c r="C174" s="39" t="str">
        <f>IFERROR(Hyperlink(VLOOKUP(A174,Internal_lists_bugs!$A$2:$G1014,7,FALSE()),"BIC: "&amp;VLOOKUP(A174,Internal_lists_bugs!$A$2:$G1014,7,FALSE())&amp;CHAR(10)&amp;"Intro.Issues: "&amp;VLOOKUP(A174,Internal_lists_bugs!$A$2:$P1014,16,FALSE())),"please select a BUG ID")</f>
        <v>BIC: https://github.com/elastic/elasticsearch/commit/976448e3395609276446e2b8dbeddb046823aa2e
Intro.Issues: 21</v>
      </c>
      <c r="D174" s="40">
        <v>21.0</v>
      </c>
      <c r="E174" s="43"/>
      <c r="F174" s="41" t="s">
        <v>223</v>
      </c>
      <c r="G174" s="42" t="s">
        <v>224</v>
      </c>
      <c r="H174" s="43"/>
    </row>
    <row r="175">
      <c r="A175" s="15" t="s">
        <v>71</v>
      </c>
      <c r="B175" s="38" t="str">
        <f>IFERROR(HYPERLINK(VLOOKUP(A175,Internal_lists_bugs!$A$2:$C$73,3,FALSE()), VLOOKUP(A175,Internal_lists_bugs!$A$2:$C$73,3,FALSE())&amp;Char(10) &amp; Char(10) &amp; VLOOKUP(A175,Internal_lists_bugs!$A$2:$Z$73,26,FALSE())),"please select a BUG ID")</f>
        <v>
</v>
      </c>
      <c r="C175" s="39" t="str">
        <f>IFERROR(Hyperlink(VLOOKUP(A175,Internal_lists_bugs!$A$2:$G1014,7,FALSE()),"BIC: "&amp;VLOOKUP(A175,Internal_lists_bugs!$A$2:$G1014,7,FALSE())&amp;CHAR(10)&amp;"Intro.Issues: "&amp;VLOOKUP(A175,Internal_lists_bugs!$A$2:$P1014,16,FALSE())),"please select a BUG ID")</f>
        <v>BIC: https://github.com/elastic/elasticsearch/commit/10660d390d760cde78fb115107c04e1cf104a4da
Intro.Issues: </v>
      </c>
      <c r="D175" s="40"/>
      <c r="E175" s="43"/>
      <c r="F175" s="41"/>
      <c r="G175" s="42"/>
      <c r="H175" s="43"/>
    </row>
    <row r="176">
      <c r="A176" s="15" t="s">
        <v>72</v>
      </c>
      <c r="B176" s="38" t="str">
        <f>IFERROR(HYPERLINK(VLOOKUP(A176,Internal_lists_bugs!$A$2:$C$73,3,FALSE()), VLOOKUP(A176,Internal_lists_bugs!$A$2:$C$73,3,FALSE())&amp;Char(10) &amp; Char(10) &amp; VLOOKUP(A176,Internal_lists_bugs!$A$2:$Z$73,26,FALSE())),"please select a BUG ID")</f>
        <v>
</v>
      </c>
      <c r="C176" s="39" t="str">
        <f>IFERROR(Hyperlink(VLOOKUP(A176,Internal_lists_bugs!$A$2:$G1014,7,FALSE()),"BIC: "&amp;VLOOKUP(A176,Internal_lists_bugs!$A$2:$G1014,7,FALSE())&amp;CHAR(10)&amp;"Intro.Issues: "&amp;VLOOKUP(A176,Internal_lists_bugs!$A$2:$P1014,16,FALSE())),"please select a BUG ID")</f>
        <v>BIC: https://github.com/elastic/elasticsearch/commit/8865e60e936b57feb1a31d23b29ba0b212492766
Intro.Issues: 6849</v>
      </c>
      <c r="D176" s="40">
        <v>6849.0</v>
      </c>
      <c r="E176" s="16" t="s">
        <v>118</v>
      </c>
      <c r="F176" s="41" t="s">
        <v>210</v>
      </c>
      <c r="G176" s="42" t="s">
        <v>120</v>
      </c>
      <c r="H176" s="16" t="s">
        <v>121</v>
      </c>
      <c r="I176" s="16" t="b">
        <v>1</v>
      </c>
    </row>
    <row r="177">
      <c r="A177" s="15" t="s">
        <v>73</v>
      </c>
      <c r="B177" s="38" t="str">
        <f>IFERROR(HYPERLINK(VLOOKUP(A177,Internal_lists_bugs!$A$2:$C$73,3,FALSE()), VLOOKUP(A177,Internal_lists_bugs!$A$2:$C$73,3,FALSE())&amp;Char(10) &amp; Char(10) &amp; VLOOKUP(A177,Internal_lists_bugs!$A$2:$Z$73,26,FALSE())),"please select a BUG ID")</f>
        <v>
</v>
      </c>
      <c r="C177" s="39" t="str">
        <f>IFERROR(Hyperlink(VLOOKUP(A177,Internal_lists_bugs!$A$2:$G1014,7,FALSE()),"BIC: "&amp;VLOOKUP(A177,Internal_lists_bugs!$A$2:$G1014,7,FALSE())&amp;CHAR(10)&amp;"Intro.Issues: "&amp;VLOOKUP(A177,Internal_lists_bugs!$A$2:$P1014,16,FALSE())),"please select a BUG ID")</f>
        <v>BIC: https://github.com/elastic/elasticsearch/commit/4f5e62e9882b36271280ad4e47e61aba2d7669f1
Intro.Issues: </v>
      </c>
      <c r="D177" s="40"/>
      <c r="E177" s="43"/>
      <c r="F177" s="41"/>
      <c r="G177" s="42"/>
      <c r="H177" s="43"/>
    </row>
    <row r="178">
      <c r="A178" s="15" t="s">
        <v>74</v>
      </c>
      <c r="B178" s="38" t="str">
        <f>IFERROR(HYPERLINK(VLOOKUP(A178,Internal_lists_bugs!$A$2:$C$73,3,FALSE()), VLOOKUP(A178,Internal_lists_bugs!$A$2:$C$73,3,FALSE())&amp;Char(10) &amp; Char(10) &amp; VLOOKUP(A178,Internal_lists_bugs!$A$2:$Z$73,26,FALSE())),"please select a BUG ID")</f>
        <v>
</v>
      </c>
      <c r="C178" s="39" t="str">
        <f>IFERROR(Hyperlink(VLOOKUP(A178,Internal_lists_bugs!$A$2:$G1014,7,FALSE()),"BIC: "&amp;VLOOKUP(A178,Internal_lists_bugs!$A$2:$G1014,7,FALSE())&amp;CHAR(10)&amp;"Intro.Issues: "&amp;VLOOKUP(A178,Internal_lists_bugs!$A$2:$P1014,16,FALSE())),"please select a BUG ID")</f>
        <v>BIC: https://github.com/elastic/elasticsearch/commit/b31b0e979c616251ed75b18a87193bd76b75eff3
Intro.Issues: 362</v>
      </c>
      <c r="D178" s="40">
        <v>362.0</v>
      </c>
      <c r="E178" s="16" t="s">
        <v>118</v>
      </c>
      <c r="F178" s="41" t="s">
        <v>125</v>
      </c>
      <c r="G178" s="42" t="s">
        <v>120</v>
      </c>
      <c r="H178" s="16" t="s">
        <v>121</v>
      </c>
      <c r="I178" s="16" t="b">
        <v>0</v>
      </c>
    </row>
    <row r="179">
      <c r="A179" s="15" t="s">
        <v>74</v>
      </c>
      <c r="B179" s="38" t="str">
        <f>IFERROR(HYPERLINK(VLOOKUP(A179,Internal_lists_bugs!$A$2:$C$73,3,FALSE()), VLOOKUP(A179,Internal_lists_bugs!$A$2:$C$73,3,FALSE())&amp;Char(10) &amp; Char(10) &amp; VLOOKUP(A179,Internal_lists_bugs!$A$2:$Z$73,26,FALSE())),"please select a BUG ID")</f>
        <v>
</v>
      </c>
      <c r="C179" s="39" t="str">
        <f>IFERROR(Hyperlink(VLOOKUP(A179,Internal_lists_bugs!$A$2:$G1014,7,FALSE()),"BIC: "&amp;VLOOKUP(A179,Internal_lists_bugs!$A$2:$G1014,7,FALSE())&amp;CHAR(10)&amp;"Intro.Issues: "&amp;VLOOKUP(A179,Internal_lists_bugs!$A$2:$P1014,16,FALSE())),"please select a BUG ID")</f>
        <v>BIC: https://github.com/elastic/elasticsearch/commit/b31b0e979c616251ed75b18a87193bd76b75eff3
Intro.Issues: 362</v>
      </c>
      <c r="D179" s="40">
        <v>362.0</v>
      </c>
      <c r="E179" s="43"/>
      <c r="F179" s="41" t="s">
        <v>225</v>
      </c>
      <c r="G179" s="42" t="s">
        <v>129</v>
      </c>
      <c r="H179" s="43"/>
    </row>
    <row r="180">
      <c r="A180" s="15" t="s">
        <v>74</v>
      </c>
      <c r="B180" s="38" t="str">
        <f>IFERROR(HYPERLINK(VLOOKUP(A180,Internal_lists_bugs!$A$2:$C$73,3,FALSE()), VLOOKUP(A180,Internal_lists_bugs!$A$2:$C$73,3,FALSE())&amp;Char(10) &amp; Char(10) &amp; VLOOKUP(A180,Internal_lists_bugs!$A$2:$Z$73,26,FALSE())),"please select a BUG ID")</f>
        <v>
</v>
      </c>
      <c r="C180" s="39" t="str">
        <f>IFERROR(Hyperlink(VLOOKUP(A180,Internal_lists_bugs!$A$2:$G1014,7,FALSE()),"BIC: "&amp;VLOOKUP(A180,Internal_lists_bugs!$A$2:$G1014,7,FALSE())&amp;CHAR(10)&amp;"Intro.Issues: "&amp;VLOOKUP(A180,Internal_lists_bugs!$A$2:$P1014,16,FALSE())),"please select a BUG ID")</f>
        <v>BIC: https://github.com/elastic/elasticsearch/commit/b31b0e979c616251ed75b18a87193bd76b75eff3
Intro.Issues: 362</v>
      </c>
      <c r="D180" s="40">
        <v>362.0</v>
      </c>
      <c r="E180" s="43"/>
      <c r="F180" s="41" t="s">
        <v>126</v>
      </c>
      <c r="G180" s="42" t="s">
        <v>129</v>
      </c>
      <c r="H180" s="43"/>
    </row>
    <row r="181">
      <c r="A181" s="15" t="s">
        <v>74</v>
      </c>
      <c r="B181" s="38" t="str">
        <f>IFERROR(HYPERLINK(VLOOKUP(A181,Internal_lists_bugs!$A$2:$C$73,3,FALSE()), VLOOKUP(A181,Internal_lists_bugs!$A$2:$C$73,3,FALSE())&amp;Char(10) &amp; Char(10) &amp; VLOOKUP(A181,Internal_lists_bugs!$A$2:$Z$73,26,FALSE())),"please select a BUG ID")</f>
        <v>
</v>
      </c>
      <c r="C181" s="39" t="str">
        <f>IFERROR(Hyperlink(VLOOKUP(A181,Internal_lists_bugs!$A$2:$G1014,7,FALSE()),"BIC: "&amp;VLOOKUP(A181,Internal_lists_bugs!$A$2:$G1014,7,FALSE())&amp;CHAR(10)&amp;"Intro.Issues: "&amp;VLOOKUP(A181,Internal_lists_bugs!$A$2:$P1014,16,FALSE())),"please select a BUG ID")</f>
        <v>BIC: https://github.com/elastic/elasticsearch/commit/b31b0e979c616251ed75b18a87193bd76b75eff3
Intro.Issues: 362</v>
      </c>
      <c r="D181" s="40">
        <v>362.0</v>
      </c>
      <c r="E181" s="43"/>
      <c r="F181" s="41" t="s">
        <v>185</v>
      </c>
      <c r="G181" s="42" t="s">
        <v>129</v>
      </c>
      <c r="H181" s="43"/>
    </row>
    <row r="182">
      <c r="A182" s="15" t="s">
        <v>74</v>
      </c>
      <c r="B182" s="38" t="str">
        <f>IFERROR(HYPERLINK(VLOOKUP(A182,Internal_lists_bugs!$A$2:$C$73,3,FALSE()), VLOOKUP(A182,Internal_lists_bugs!$A$2:$C$73,3,FALSE())&amp;Char(10) &amp; Char(10) &amp; VLOOKUP(A182,Internal_lists_bugs!$A$2:$Z$73,26,FALSE())),"please select a BUG ID")</f>
        <v>
</v>
      </c>
      <c r="C182" s="39" t="str">
        <f>IFERROR(Hyperlink(VLOOKUP(A182,Internal_lists_bugs!$A$2:$G1014,7,FALSE()),"BIC: "&amp;VLOOKUP(A182,Internal_lists_bugs!$A$2:$G1014,7,FALSE())&amp;CHAR(10)&amp;"Intro.Issues: "&amp;VLOOKUP(A182,Internal_lists_bugs!$A$2:$P1014,16,FALSE())),"please select a BUG ID")</f>
        <v>BIC: https://github.com/elastic/elasticsearch/commit/b31b0e979c616251ed75b18a87193bd76b75eff3
Intro.Issues: 362</v>
      </c>
      <c r="D182" s="40">
        <v>362.0</v>
      </c>
      <c r="E182" s="43"/>
      <c r="F182" s="41" t="s">
        <v>127</v>
      </c>
      <c r="G182" s="42" t="s">
        <v>129</v>
      </c>
      <c r="H182" s="43"/>
    </row>
    <row r="183">
      <c r="A183" s="15" t="s">
        <v>74</v>
      </c>
      <c r="B183" s="38" t="str">
        <f>IFERROR(HYPERLINK(VLOOKUP(A183,Internal_lists_bugs!$A$2:$C$73,3,FALSE()), VLOOKUP(A183,Internal_lists_bugs!$A$2:$C$73,3,FALSE())&amp;Char(10) &amp; Char(10) &amp; VLOOKUP(A183,Internal_lists_bugs!$A$2:$Z$73,26,FALSE())),"please select a BUG ID")</f>
        <v>
</v>
      </c>
      <c r="C183" s="39" t="str">
        <f>IFERROR(Hyperlink(VLOOKUP(A183,Internal_lists_bugs!$A$2:$G1014,7,FALSE()),"BIC: "&amp;VLOOKUP(A183,Internal_lists_bugs!$A$2:$G1014,7,FALSE())&amp;CHAR(10)&amp;"Intro.Issues: "&amp;VLOOKUP(A183,Internal_lists_bugs!$A$2:$P1014,16,FALSE())),"please select a BUG ID")</f>
        <v>BIC: https://github.com/elastic/elasticsearch/commit/b31b0e979c616251ed75b18a87193bd76b75eff3
Intro.Issues: 362</v>
      </c>
      <c r="D183" s="40">
        <v>362.0</v>
      </c>
      <c r="E183" s="43"/>
      <c r="F183" s="41" t="s">
        <v>209</v>
      </c>
      <c r="G183" s="42" t="s">
        <v>131</v>
      </c>
      <c r="H183" s="43"/>
    </row>
    <row r="184">
      <c r="A184" s="15" t="s">
        <v>75</v>
      </c>
      <c r="B184" s="38" t="str">
        <f>IFERROR(HYPERLINK(VLOOKUP(A184,Internal_lists_bugs!$A$2:$C$73,3,FALSE()), VLOOKUP(A184,Internal_lists_bugs!$A$2:$C$73,3,FALSE())&amp;Char(10) &amp; Char(10) &amp; VLOOKUP(A184,Internal_lists_bugs!$A$2:$Z$73,26,FALSE())),"please select a BUG ID")</f>
        <v>
</v>
      </c>
      <c r="C184" s="39" t="str">
        <f>IFERROR(Hyperlink(VLOOKUP(A184,Internal_lists_bugs!$A$2:$G1014,7,FALSE()),"BIC: "&amp;VLOOKUP(A184,Internal_lists_bugs!$A$2:$G1014,7,FALSE())&amp;CHAR(10)&amp;"Intro.Issues: "&amp;VLOOKUP(A184,Internal_lists_bugs!$A$2:$P1014,16,FALSE())),"please select a BUG ID")</f>
        <v>BIC: https://github.com/elastic/elasticsearch/commit/4f131dfffbdadf5c5f9c9b7a03f9660233e04f72
Intro.Issues: </v>
      </c>
      <c r="D184" s="40"/>
      <c r="E184" s="43"/>
      <c r="F184" s="41"/>
      <c r="G184" s="42"/>
      <c r="H184" s="43"/>
    </row>
    <row r="185">
      <c r="A185" s="15" t="s">
        <v>76</v>
      </c>
      <c r="B185" s="38" t="str">
        <f>IFERROR(HYPERLINK(VLOOKUP(A185,Internal_lists_bugs!$A$2:$C$73,3,FALSE()), VLOOKUP(A185,Internal_lists_bugs!$A$2:$C$73,3,FALSE())&amp;Char(10) &amp; Char(10) &amp; VLOOKUP(A185,Internal_lists_bugs!$A$2:$Z$73,26,FALSE())),"please select a BUG ID")</f>
        <v>
</v>
      </c>
      <c r="C185" s="39" t="str">
        <f>IFERROR(Hyperlink(VLOOKUP(A185,Internal_lists_bugs!$A$2:$G1014,7,FALSE()),"BIC: "&amp;VLOOKUP(A185,Internal_lists_bugs!$A$2:$G1014,7,FALSE())&amp;CHAR(10)&amp;"Intro.Issues: "&amp;VLOOKUP(A185,Internal_lists_bugs!$A$2:$P1014,16,FALSE())),"please select a BUG ID")</f>
        <v>BIC: https://github.com/elastic/elasticsearch/commit/3d310406b71973e82f94f60b8dab0c90729a579a
Intro.Issues: </v>
      </c>
      <c r="D185" s="40"/>
      <c r="E185" s="43"/>
      <c r="F185" s="41"/>
      <c r="G185" s="42"/>
      <c r="H185" s="43"/>
    </row>
    <row r="186">
      <c r="A186" s="15" t="s">
        <v>77</v>
      </c>
      <c r="B186" s="38" t="str">
        <f>IFERROR(HYPERLINK(VLOOKUP(A186,Internal_lists_bugs!$A$2:$C$73,3,FALSE()), VLOOKUP(A186,Internal_lists_bugs!$A$2:$C$73,3,FALSE())&amp;Char(10) &amp; Char(10) &amp; VLOOKUP(A186,Internal_lists_bugs!$A$2:$Z$73,26,FALSE())),"please select a BUG ID")</f>
        <v>
</v>
      </c>
      <c r="C186" s="39" t="str">
        <f>IFERROR(Hyperlink(VLOOKUP(A186,Internal_lists_bugs!$A$2:$G1014,7,FALSE()),"BIC: "&amp;VLOOKUP(A186,Internal_lists_bugs!$A$2:$G1014,7,FALSE())&amp;CHAR(10)&amp;"Intro.Issues: "&amp;VLOOKUP(A186,Internal_lists_bugs!$A$2:$P1014,16,FALSE())),"please select a BUG ID")</f>
        <v>BIC: https://github.com/elastic/elasticsearch/commit/3f1472505723866794d875c00bde575d988e120d
Intro.Issues: 4782</v>
      </c>
      <c r="D186" s="40">
        <v>4782.0</v>
      </c>
      <c r="E186" s="16" t="s">
        <v>118</v>
      </c>
      <c r="F186" s="41" t="s">
        <v>210</v>
      </c>
      <c r="G186" s="42" t="s">
        <v>120</v>
      </c>
      <c r="H186" s="16" t="s">
        <v>121</v>
      </c>
      <c r="I186" s="16" t="b">
        <v>0</v>
      </c>
    </row>
    <row r="187">
      <c r="A187" s="15" t="s">
        <v>77</v>
      </c>
      <c r="B187" s="38" t="str">
        <f>IFERROR(HYPERLINK(VLOOKUP(A187,Internal_lists_bugs!$A$2:$C$73,3,FALSE()), VLOOKUP(A187,Internal_lists_bugs!$A$2:$C$73,3,FALSE())&amp;Char(10) &amp; Char(10) &amp; VLOOKUP(A187,Internal_lists_bugs!$A$2:$Z$73,26,FALSE())),"please select a BUG ID")</f>
        <v>
</v>
      </c>
      <c r="C187" s="39" t="str">
        <f>IFERROR(Hyperlink(VLOOKUP(A187,Internal_lists_bugs!$A$2:$G1014,7,FALSE()),"BIC: "&amp;VLOOKUP(A187,Internal_lists_bugs!$A$2:$G1014,7,FALSE())&amp;CHAR(10)&amp;"Intro.Issues: "&amp;VLOOKUP(A187,Internal_lists_bugs!$A$2:$P1014,16,FALSE())),"please select a BUG ID")</f>
        <v>BIC: https://github.com/elastic/elasticsearch/commit/3f1472505723866794d875c00bde575d988e120d
Intro.Issues: 4782</v>
      </c>
      <c r="D187" s="40">
        <v>4782.0</v>
      </c>
      <c r="E187" s="43"/>
      <c r="F187" s="41" t="s">
        <v>210</v>
      </c>
      <c r="G187" s="42" t="s">
        <v>129</v>
      </c>
      <c r="H187" s="43"/>
    </row>
    <row r="188">
      <c r="A188" s="15" t="s">
        <v>77</v>
      </c>
      <c r="B188" s="38" t="str">
        <f>IFERROR(HYPERLINK(VLOOKUP(A188,Internal_lists_bugs!$A$2:$C$73,3,FALSE()), VLOOKUP(A188,Internal_lists_bugs!$A$2:$C$73,3,FALSE())&amp;Char(10) &amp; Char(10) &amp; VLOOKUP(A188,Internal_lists_bugs!$A$2:$Z$73,26,FALSE())),"please select a BUG ID")</f>
        <v>
</v>
      </c>
      <c r="C188" s="39" t="str">
        <f>IFERROR(Hyperlink(VLOOKUP(A188,Internal_lists_bugs!$A$2:$G1014,7,FALSE()),"BIC: "&amp;VLOOKUP(A188,Internal_lists_bugs!$A$2:$G1014,7,FALSE())&amp;CHAR(10)&amp;"Intro.Issues: "&amp;VLOOKUP(A188,Internal_lists_bugs!$A$2:$P1014,16,FALSE())),"please select a BUG ID")</f>
        <v>BIC: https://github.com/elastic/elasticsearch/commit/3f1472505723866794d875c00bde575d988e120d
Intro.Issues: 4782</v>
      </c>
      <c r="D188" s="40">
        <v>4782.0</v>
      </c>
      <c r="E188" s="43"/>
      <c r="F188" s="41" t="s">
        <v>226</v>
      </c>
      <c r="G188" s="42" t="s">
        <v>129</v>
      </c>
      <c r="H188" s="43"/>
    </row>
    <row r="189">
      <c r="A189" s="15" t="s">
        <v>77</v>
      </c>
      <c r="B189" s="38" t="str">
        <f>IFERROR(HYPERLINK(VLOOKUP(A189,Internal_lists_bugs!$A$2:$C$73,3,FALSE()), VLOOKUP(A189,Internal_lists_bugs!$A$2:$C$73,3,FALSE())&amp;Char(10) &amp; Char(10) &amp; VLOOKUP(A189,Internal_lists_bugs!$A$2:$Z$73,26,FALSE())),"please select a BUG ID")</f>
        <v>
</v>
      </c>
      <c r="C189" s="39" t="str">
        <f>IFERROR(Hyperlink(VLOOKUP(A189,Internal_lists_bugs!$A$2:$G1014,7,FALSE()),"BIC: "&amp;VLOOKUP(A189,Internal_lists_bugs!$A$2:$G1014,7,FALSE())&amp;CHAR(10)&amp;"Intro.Issues: "&amp;VLOOKUP(A189,Internal_lists_bugs!$A$2:$P1014,16,FALSE())),"please select a BUG ID")</f>
        <v>BIC: https://github.com/elastic/elasticsearch/commit/3f1472505723866794d875c00bde575d988e120d
Intro.Issues: 4782</v>
      </c>
      <c r="D189" s="40">
        <v>4782.0</v>
      </c>
      <c r="E189" s="43"/>
      <c r="F189" s="41" t="s">
        <v>227</v>
      </c>
      <c r="G189" s="42" t="s">
        <v>131</v>
      </c>
      <c r="H189" s="43"/>
    </row>
    <row r="190">
      <c r="A190" s="48" t="s">
        <v>78</v>
      </c>
      <c r="B190" s="38" t="str">
        <f>IFERROR(HYPERLINK(VLOOKUP(A190,Internal_lists_bugs!$A$2:$C$73,3,FALSE()), VLOOKUP(A190,Internal_lists_bugs!$A$2:$C$73,3,FALSE())&amp;Char(10) &amp; Char(10) &amp; VLOOKUP(A190,Internal_lists_bugs!$A$2:$Z$73,26,FALSE())),"please select a BUG ID")</f>
        <v>
</v>
      </c>
      <c r="C190" s="39" t="str">
        <f>IFERROR(Hyperlink(VLOOKUP(A190,Internal_lists_bugs!$A$2:$G1014,7,FALSE()),"BIC: "&amp;VLOOKUP(A190,Internal_lists_bugs!$A$2:$G1014,7,FALSE())&amp;CHAR(10)&amp;"Intro.Issues: "&amp;VLOOKUP(A190,Internal_lists_bugs!$A$2:$P1014,16,FALSE())),"please select a BUG ID")</f>
        <v>BIC: https://github.com/elastic/elasticsearch/commit/e7e1667a26de5472e3419c586682b92c37c6e7d3
Intro.Issues: 4508</v>
      </c>
      <c r="D190" s="40">
        <v>4508.0</v>
      </c>
      <c r="E190" s="16" t="s">
        <v>228</v>
      </c>
      <c r="F190" s="41" t="s">
        <v>134</v>
      </c>
      <c r="G190" s="42" t="s">
        <v>120</v>
      </c>
      <c r="H190" s="16" t="s">
        <v>121</v>
      </c>
      <c r="I190" s="16" t="b">
        <v>0</v>
      </c>
    </row>
    <row r="191">
      <c r="A191" s="48" t="s">
        <v>78</v>
      </c>
      <c r="B191" s="38" t="str">
        <f>IFERROR(HYPERLINK(VLOOKUP(A191,Internal_lists_bugs!$A$2:$C$73,3,FALSE()), VLOOKUP(A191,Internal_lists_bugs!$A$2:$C$73,3,FALSE())&amp;Char(10) &amp; Char(10) &amp; VLOOKUP(A191,Internal_lists_bugs!$A$2:$Z$73,26,FALSE())),"please select a BUG ID")</f>
        <v>
</v>
      </c>
      <c r="C191" s="39" t="str">
        <f>IFERROR(Hyperlink(VLOOKUP(A191,Internal_lists_bugs!$A$2:$G1014,7,FALSE()),"BIC: "&amp;VLOOKUP(A191,Internal_lists_bugs!$A$2:$G1014,7,FALSE())&amp;CHAR(10)&amp;"Intro.Issues: "&amp;VLOOKUP(A191,Internal_lists_bugs!$A$2:$P1014,16,FALSE())),"please select a BUG ID")</f>
        <v>BIC: https://github.com/elastic/elasticsearch/commit/e7e1667a26de5472e3419c586682b92c37c6e7d3
Intro.Issues: 4508</v>
      </c>
      <c r="D191" s="40">
        <v>4508.0</v>
      </c>
      <c r="E191" s="43"/>
      <c r="F191" s="41" t="s">
        <v>213</v>
      </c>
      <c r="G191" s="42" t="s">
        <v>129</v>
      </c>
      <c r="H191" s="43"/>
    </row>
    <row r="192">
      <c r="A192" s="48" t="s">
        <v>78</v>
      </c>
      <c r="B192" s="38" t="str">
        <f>IFERROR(HYPERLINK(VLOOKUP(A192,Internal_lists_bugs!$A$2:$C$73,3,FALSE()), VLOOKUP(A192,Internal_lists_bugs!$A$2:$C$73,3,FALSE())&amp;Char(10) &amp; Char(10) &amp; VLOOKUP(A192,Internal_lists_bugs!$A$2:$Z$73,26,FALSE())),"please select a BUG ID")</f>
        <v>
</v>
      </c>
      <c r="C192" s="39" t="str">
        <f>IFERROR(Hyperlink(VLOOKUP(A192,Internal_lists_bugs!$A$2:$G1014,7,FALSE()),"BIC: "&amp;VLOOKUP(A192,Internal_lists_bugs!$A$2:$G1014,7,FALSE())&amp;CHAR(10)&amp;"Intro.Issues: "&amp;VLOOKUP(A192,Internal_lists_bugs!$A$2:$P1014,16,FALSE())),"please select a BUG ID")</f>
        <v>BIC: https://github.com/elastic/elasticsearch/commit/e7e1667a26de5472e3419c586682b92c37c6e7d3
Intro.Issues: 4508</v>
      </c>
      <c r="D192" s="40">
        <v>4508.0</v>
      </c>
      <c r="E192" s="43"/>
      <c r="F192" s="41" t="s">
        <v>134</v>
      </c>
      <c r="G192" s="42" t="s">
        <v>129</v>
      </c>
      <c r="H192" s="43"/>
    </row>
    <row r="193">
      <c r="A193" s="20" t="s">
        <v>79</v>
      </c>
      <c r="B193" s="38" t="str">
        <f>IFERROR(HYPERLINK(VLOOKUP(A193,Internal_lists_bugs!$A$2:$C$73,3,FALSE()), VLOOKUP(A193,Internal_lists_bugs!$A$2:$C$73,3,FALSE())&amp;Char(10) &amp; Char(10) &amp; VLOOKUP(A193,Internal_lists_bugs!$A$2:$Z$73,26,FALSE())),"please select a BUG ID")</f>
        <v>
</v>
      </c>
      <c r="C193" s="39" t="str">
        <f>IFERROR(Hyperlink(VLOOKUP(A193,Internal_lists_bugs!$A$2:$G1014,7,FALSE()),"BIC: "&amp;VLOOKUP(A193,Internal_lists_bugs!$A$2:$G1014,7,FALSE())&amp;CHAR(10)&amp;"Intro.Issues: "&amp;VLOOKUP(A193,Internal_lists_bugs!$A$2:$P1014,16,FALSE())),"please select a BUG ID")</f>
        <v>BIC: https://github.com/elastic/elasticsearch/commit/e88535a67e9594f3135465b5021ba9b502fef950
Intro.Issues: </v>
      </c>
      <c r="D193" s="40"/>
      <c r="E193" s="43"/>
      <c r="F193" s="41"/>
      <c r="G193" s="42"/>
      <c r="H193" s="43"/>
    </row>
    <row r="194">
      <c r="A194" s="15" t="s">
        <v>80</v>
      </c>
      <c r="B194" s="38" t="str">
        <f>IFERROR(HYPERLINK(VLOOKUP(A194,Internal_lists_bugs!$A$2:$C$73,3,FALSE()), VLOOKUP(A194,Internal_lists_bugs!$A$2:$C$73,3,FALSE())&amp;Char(10) &amp; Char(10) &amp; VLOOKUP(A194,Internal_lists_bugs!$A$2:$Z$73,26,FALSE())),"please select a BUG ID")</f>
        <v>
</v>
      </c>
      <c r="C194" s="39" t="str">
        <f>IFERROR(Hyperlink(VLOOKUP(A194,Internal_lists_bugs!$A$2:$G1014,7,FALSE()),"BIC: "&amp;VLOOKUP(A194,Internal_lists_bugs!$A$2:$G1014,7,FALSE())&amp;CHAR(10)&amp;"Intro.Issues: "&amp;VLOOKUP(A194,Internal_lists_bugs!$A$2:$P1014,16,FALSE())),"please select a BUG ID")</f>
        <v>BIC: https://github.com/elastic/elasticsearch/commit/bc20f068c9c62b69260f3b24adaaf9fb3ff3d371
Intro.Issues: 2604</v>
      </c>
      <c r="D194" s="40">
        <v>2604.0</v>
      </c>
      <c r="E194" s="16" t="s">
        <v>228</v>
      </c>
      <c r="F194" s="41" t="s">
        <v>134</v>
      </c>
      <c r="G194" s="42" t="s">
        <v>120</v>
      </c>
      <c r="H194" s="16" t="s">
        <v>121</v>
      </c>
      <c r="I194" s="16" t="b">
        <v>0</v>
      </c>
    </row>
    <row r="195">
      <c r="A195" s="15" t="s">
        <v>80</v>
      </c>
      <c r="B195" s="38" t="str">
        <f>IFERROR(HYPERLINK(VLOOKUP(A195,Internal_lists_bugs!$A$2:$C$73,3,FALSE()), VLOOKUP(A195,Internal_lists_bugs!$A$2:$C$73,3,FALSE())&amp;Char(10) &amp; Char(10) &amp; VLOOKUP(A195,Internal_lists_bugs!$A$2:$Z$73,26,FALSE())),"please select a BUG ID")</f>
        <v>
</v>
      </c>
      <c r="C195" s="39" t="str">
        <f>IFERROR(Hyperlink(VLOOKUP(A195,Internal_lists_bugs!$A$2:$G1014,7,FALSE()),"BIC: "&amp;VLOOKUP(A195,Internal_lists_bugs!$A$2:$G1014,7,FALSE())&amp;CHAR(10)&amp;"Intro.Issues: "&amp;VLOOKUP(A195,Internal_lists_bugs!$A$2:$P1014,16,FALSE())),"please select a BUG ID")</f>
        <v>BIC: https://github.com/elastic/elasticsearch/commit/bc20f068c9c62b69260f3b24adaaf9fb3ff3d371
Intro.Issues: 2604</v>
      </c>
      <c r="D195" s="40">
        <v>2604.0</v>
      </c>
      <c r="E195" s="43"/>
      <c r="F195" s="41" t="s">
        <v>134</v>
      </c>
      <c r="G195" s="42" t="s">
        <v>129</v>
      </c>
      <c r="H195" s="43"/>
    </row>
    <row r="196">
      <c r="A196" s="15" t="s">
        <v>81</v>
      </c>
      <c r="B196" s="38" t="str">
        <f>IFERROR(HYPERLINK(VLOOKUP(A196,Internal_lists_bugs!$A$2:$C$73,3,FALSE()), VLOOKUP(A196,Internal_lists_bugs!$A$2:$C$73,3,FALSE())&amp;Char(10) &amp; Char(10) &amp; VLOOKUP(A196,Internal_lists_bugs!$A$2:$Z$73,26,FALSE())),"please select a BUG ID")</f>
        <v>
</v>
      </c>
      <c r="C196" s="39" t="str">
        <f>IFERROR(Hyperlink(VLOOKUP(A196,Internal_lists_bugs!$A$2:$G1014,7,FALSE()),"BIC: "&amp;VLOOKUP(A196,Internal_lists_bugs!$A$2:$G1014,7,FALSE())&amp;CHAR(10)&amp;"Intro.Issues: "&amp;VLOOKUP(A196,Internal_lists_bugs!$A$2:$P1014,16,FALSE())),"please select a BUG ID")</f>
        <v>BIC: https://github.com/elastic/elasticsearch/commit/459d59a04ad4eb1671bac50a6faf3a7ad372d0e4
Intro.Issues: </v>
      </c>
      <c r="D196" s="40"/>
      <c r="E196" s="43"/>
      <c r="F196" s="41"/>
      <c r="G196" s="42"/>
      <c r="H196" s="43"/>
    </row>
    <row r="197">
      <c r="A197" s="15" t="s">
        <v>82</v>
      </c>
      <c r="B197" s="38" t="str">
        <f>IFERROR(HYPERLINK(VLOOKUP(A197,Internal_lists_bugs!$A$2:$C$73,3,FALSE()), VLOOKUP(A197,Internal_lists_bugs!$A$2:$C$73,3,FALSE())&amp;Char(10) &amp; Char(10) &amp; VLOOKUP(A197,Internal_lists_bugs!$A$2:$Z$73,26,FALSE())),"please select a BUG ID")</f>
        <v>
</v>
      </c>
      <c r="C197" s="39" t="str">
        <f>IFERROR(Hyperlink(VLOOKUP(A197,Internal_lists_bugs!$A$2:$G1014,7,FALSE()),"BIC: "&amp;VLOOKUP(A197,Internal_lists_bugs!$A$2:$G1014,7,FALSE())&amp;CHAR(10)&amp;"Intro.Issues: "&amp;VLOOKUP(A197,Internal_lists_bugs!$A$2:$P1014,16,FALSE())),"please select a BUG ID")</f>
        <v>BIC: https://github.com/elastic/elasticsearch/commit/2ea7423f3ac68578a81d92f50b6484cf1db2203d
Intro.Issues: </v>
      </c>
      <c r="D197" s="40"/>
      <c r="E197" s="43"/>
      <c r="F197" s="41"/>
      <c r="G197" s="42"/>
      <c r="H197" s="43"/>
    </row>
    <row r="198">
      <c r="A198" s="15" t="s">
        <v>83</v>
      </c>
      <c r="B198" s="38" t="str">
        <f>IFERROR(HYPERLINK(VLOOKUP(A198,Internal_lists_bugs!$A$2:$C$73,3,FALSE()), VLOOKUP(A198,Internal_lists_bugs!$A$2:$C$73,3,FALSE())&amp;Char(10) &amp; Char(10) &amp; VLOOKUP(A198,Internal_lists_bugs!$A$2:$Z$73,26,FALSE())),"please select a BUG ID")</f>
        <v>
</v>
      </c>
      <c r="C198" s="39" t="str">
        <f>IFERROR(Hyperlink(VLOOKUP(A198,Internal_lists_bugs!$A$2:$G1014,7,FALSE()),"BIC: "&amp;VLOOKUP(A198,Internal_lists_bugs!$A$2:$G1014,7,FALSE())&amp;CHAR(10)&amp;"Intro.Issues: "&amp;VLOOKUP(A198,Internal_lists_bugs!$A$2:$P1014,16,FALSE())),"please select a BUG ID")</f>
        <v>BIC: https://github.com/elastic/elasticsearch/commit/aa68667d636d61b0cc67810e1e2489d1246e9af6
Intro.Issues: </v>
      </c>
      <c r="D198" s="40"/>
      <c r="E198" s="43"/>
      <c r="F198" s="41"/>
      <c r="G198" s="42"/>
      <c r="H198" s="43"/>
    </row>
    <row r="199">
      <c r="A199" s="15" t="s">
        <v>84</v>
      </c>
      <c r="B199" s="38" t="str">
        <f>IFERROR(HYPERLINK(VLOOKUP(A199,Internal_lists_bugs!$A$2:$C$73,3,FALSE()), VLOOKUP(A199,Internal_lists_bugs!$A$2:$C$73,3,FALSE())&amp;Char(10) &amp; Char(10) &amp; VLOOKUP(A199,Internal_lists_bugs!$A$2:$Z$73,26,FALSE())),"please select a BUG ID")</f>
        <v>
</v>
      </c>
      <c r="C199" s="39" t="str">
        <f>IFERROR(Hyperlink(VLOOKUP(A199,Internal_lists_bugs!$A$2:$G1014,7,FALSE()),"BIC: "&amp;VLOOKUP(A199,Internal_lists_bugs!$A$2:$G1014,7,FALSE())&amp;CHAR(10)&amp;"Intro.Issues: "&amp;VLOOKUP(A199,Internal_lists_bugs!$A$2:$P1014,16,FALSE())),"please select a BUG ID")</f>
        <v>BIC: https://github.com/elastic/elasticsearch/commit/567cf6b5c3bbc4486b0472c8abe588ab6215637c
Intro.Issues: </v>
      </c>
      <c r="D199" s="40"/>
      <c r="E199" s="43"/>
      <c r="F199" s="41"/>
      <c r="G199" s="42"/>
      <c r="H199" s="43"/>
    </row>
    <row r="200">
      <c r="A200" s="15" t="s">
        <v>85</v>
      </c>
      <c r="B200" s="38" t="str">
        <f>IFERROR(HYPERLINK(VLOOKUP(A200,Internal_lists_bugs!$A$2:$C$73,3,FALSE()), VLOOKUP(A200,Internal_lists_bugs!$A$2:$C$73,3,FALSE())&amp;Char(10) &amp; Char(10) &amp; VLOOKUP(A200,Internal_lists_bugs!$A$2:$Z$73,26,FALSE())),"please select a BUG ID")</f>
        <v>
</v>
      </c>
      <c r="C200" s="39" t="str">
        <f>IFERROR(Hyperlink(VLOOKUP(A200,Internal_lists_bugs!$A$2:$G1014,7,FALSE()),"BIC: "&amp;VLOOKUP(A200,Internal_lists_bugs!$A$2:$G1014,7,FALSE())&amp;CHAR(10)&amp;"Intro.Issues: "&amp;VLOOKUP(A200,Internal_lists_bugs!$A$2:$P1014,16,FALSE())),"please select a BUG ID")</f>
        <v>BIC: https://github.com/elastic/elasticsearch/commit/8587f1611912c6633b72909939e91d226575dd90
Intro.Issues: </v>
      </c>
      <c r="D200" s="40"/>
      <c r="E200" s="43"/>
      <c r="F200" s="41"/>
      <c r="G200" s="44"/>
      <c r="H200" s="43"/>
    </row>
    <row r="201">
      <c r="A201" s="15" t="s">
        <v>86</v>
      </c>
      <c r="B201" s="38" t="str">
        <f>IFERROR(HYPERLINK(VLOOKUP(A201,Internal_lists_bugs!$A$2:$C$73,3,FALSE()), VLOOKUP(A201,Internal_lists_bugs!$A$2:$C$73,3,FALSE())&amp;Char(10) &amp; Char(10) &amp; VLOOKUP(A201,Internal_lists_bugs!$A$2:$Z$73,26,FALSE())),"please select a BUG ID")</f>
        <v>
</v>
      </c>
      <c r="C201" s="39" t="str">
        <f>IFERROR(Hyperlink(VLOOKUP(A201,Internal_lists_bugs!$A$2:$G1014,7,FALSE()),"BIC: "&amp;VLOOKUP(A201,Internal_lists_bugs!$A$2:$G1014,7,FALSE())&amp;CHAR(10)&amp;"Intro.Issues: "&amp;VLOOKUP(A201,Internal_lists_bugs!$A$2:$P1014,16,FALSE())),"please select a BUG ID")</f>
        <v>BIC: https://github.com/elastic/elasticsearch/commit/c55341bf515fec6d4135cee8a6e9a7a9764da17f
Intro.Issues: </v>
      </c>
      <c r="D201" s="40"/>
      <c r="E201" s="43"/>
      <c r="F201" s="49"/>
      <c r="G201" s="50"/>
      <c r="H201" s="43"/>
    </row>
    <row r="202">
      <c r="A202" s="15" t="s">
        <v>87</v>
      </c>
      <c r="B202" s="38" t="str">
        <f>IFERROR(HYPERLINK(VLOOKUP(A202,Internal_lists_bugs!$A$2:$C$73,3,FALSE()), VLOOKUP(A202,Internal_lists_bugs!$A$2:$C$73,3,FALSE())&amp;Char(10) &amp; Char(10) &amp; VLOOKUP(A202,Internal_lists_bugs!$A$2:$Z$73,26,FALSE())),"please select a BUG ID")</f>
        <v>
</v>
      </c>
      <c r="C202" s="39" t="str">
        <f>IFERROR(Hyperlink(VLOOKUP(A202,Internal_lists_bugs!$A$2:$G1014,7,FALSE()),"BIC: "&amp;VLOOKUP(A202,Internal_lists_bugs!$A$2:$G1014,7,FALSE())&amp;CHAR(10)&amp;"Intro.Issues: "&amp;VLOOKUP(A202,Internal_lists_bugs!$A$2:$P1014,16,FALSE())),"please select a BUG ID")</f>
        <v>BIC: https://github.com/elastic/elasticsearch/commit/7a38e384c9ff783f17e9db92a730bdf654dbda6b
Intro.Issues: </v>
      </c>
      <c r="D202" s="40"/>
      <c r="E202" s="43"/>
      <c r="F202" s="41"/>
      <c r="G202" s="42"/>
      <c r="H202" s="43"/>
    </row>
    <row r="203">
      <c r="A203" s="15" t="s">
        <v>88</v>
      </c>
      <c r="B203" s="38" t="str">
        <f>IFERROR(HYPERLINK(VLOOKUP(A203,Internal_lists_bugs!$A$2:$C$73,3,FALSE()), VLOOKUP(A203,Internal_lists_bugs!$A$2:$C$73,3,FALSE())&amp;Char(10) &amp; Char(10) &amp; VLOOKUP(A203,Internal_lists_bugs!$A$2:$Z$73,26,FALSE())),"please select a BUG ID")</f>
        <v>
</v>
      </c>
      <c r="C203" s="39" t="str">
        <f>IFERROR(Hyperlink(VLOOKUP(A203,Internal_lists_bugs!$A$2:$G1014,7,FALSE()),"BIC: "&amp;VLOOKUP(A203,Internal_lists_bugs!$A$2:$G1014,7,FALSE())&amp;CHAR(10)&amp;"Intro.Issues: "&amp;VLOOKUP(A203,Internal_lists_bugs!$A$2:$P1014,16,FALSE())),"please select a BUG ID")</f>
        <v>BIC: https://github.com/elastic/elasticsearch/commit/1f30681a84fcafe9cf6e6b8a2801ea1791b9edc0
Intro.Issues: </v>
      </c>
      <c r="D203" s="40"/>
      <c r="E203" s="43"/>
      <c r="F203" s="41"/>
      <c r="G203" s="42"/>
      <c r="H203" s="43"/>
    </row>
    <row r="204">
      <c r="A204" s="15" t="s">
        <v>89</v>
      </c>
      <c r="B204" s="38" t="str">
        <f>IFERROR(HYPERLINK(VLOOKUP(A204,Internal_lists_bugs!$A$2:$C$73,3,FALSE()), VLOOKUP(A204,Internal_lists_bugs!$A$2:$C$73,3,FALSE())&amp;Char(10) &amp; Char(10) &amp; VLOOKUP(A204,Internal_lists_bugs!$A$2:$Z$73,26,FALSE())),"please select a BUG ID")</f>
        <v>
</v>
      </c>
      <c r="C204" s="39" t="str">
        <f>IFERROR(Hyperlink(VLOOKUP(A204,Internal_lists_bugs!$A$2:$G1014,7,FALSE()),"BIC: "&amp;VLOOKUP(A204,Internal_lists_bugs!$A$2:$G1014,7,FALSE())&amp;CHAR(10)&amp;"Intro.Issues: "&amp;VLOOKUP(A204,Internal_lists_bugs!$A$2:$P1014,16,FALSE())),"please select a BUG ID")</f>
        <v>BIC: https://github.com/elastic/elasticsearch/commit/8285ffe22175bf4592e79bb881a6451741ccdac8
Intro.Issues: </v>
      </c>
      <c r="D204" s="40"/>
      <c r="E204" s="43"/>
      <c r="F204" s="41"/>
      <c r="G204" s="42"/>
      <c r="H204" s="43"/>
    </row>
    <row r="205">
      <c r="A205" s="15" t="s">
        <v>90</v>
      </c>
      <c r="B205" s="38" t="str">
        <f>IFERROR(HYPERLINK(VLOOKUP(A205,Internal_lists_bugs!$A$2:$C$73,3,FALSE()), VLOOKUP(A205,Internal_lists_bugs!$A$2:$C$73,3,FALSE())&amp;Char(10) &amp; Char(10) &amp; VLOOKUP(A205,Internal_lists_bugs!$A$2:$Z$73,26,FALSE())),"please select a BUG ID")</f>
        <v>
</v>
      </c>
      <c r="C205" s="39" t="str">
        <f>IFERROR(Hyperlink(VLOOKUP(A205,Internal_lists_bugs!$A$2:$G1014,7,FALSE()),"BIC: "&amp;VLOOKUP(A205,Internal_lists_bugs!$A$2:$G1014,7,FALSE())&amp;CHAR(10)&amp;"Intro.Issues: "&amp;VLOOKUP(A205,Internal_lists_bugs!$A$2:$P1014,16,FALSE())),"please select a BUG ID")</f>
        <v>BIC: https://github.com/elastic/elasticsearch/commit/bb49554c33b310e0e615c12befe8846a7d27c951
Intro.Issues: </v>
      </c>
      <c r="D205" s="40"/>
      <c r="E205" s="43"/>
      <c r="F205" s="41"/>
      <c r="G205" s="42"/>
      <c r="H205" s="43"/>
    </row>
    <row r="206">
      <c r="A206" s="15" t="s">
        <v>91</v>
      </c>
      <c r="B206" s="38" t="str">
        <f>IFERROR(HYPERLINK(VLOOKUP(A206,Internal_lists_bugs!$A$2:$C$73,3,FALSE()), VLOOKUP(A206,Internal_lists_bugs!$A$2:$C$73,3,FALSE())&amp;Char(10) &amp; Char(10) &amp; VLOOKUP(A206,Internal_lists_bugs!$A$2:$Z$73,26,FALSE())),"please select a BUG ID")</f>
        <v>
</v>
      </c>
      <c r="C206" s="39" t="str">
        <f>IFERROR(Hyperlink(VLOOKUP(A206,Internal_lists_bugs!$A$2:$G1014,7,FALSE()),"BIC: "&amp;VLOOKUP(A206,Internal_lists_bugs!$A$2:$G1014,7,FALSE())&amp;CHAR(10)&amp;"Intro.Issues: "&amp;VLOOKUP(A206,Internal_lists_bugs!$A$2:$P1014,16,FALSE())),"please select a BUG ID")</f>
        <v>BIC: https://github.com/elastic/elasticsearch/commit/4088236cf75b793c7a2a80f5f7be5b326b607378
Intro.Issues: 1368</v>
      </c>
      <c r="D206" s="40">
        <v>1368.0</v>
      </c>
      <c r="E206" s="16" t="s">
        <v>118</v>
      </c>
      <c r="F206" s="41" t="s">
        <v>210</v>
      </c>
      <c r="G206" s="42" t="s">
        <v>120</v>
      </c>
      <c r="H206" s="16" t="s">
        <v>121</v>
      </c>
      <c r="I206" s="16" t="b">
        <v>0</v>
      </c>
    </row>
    <row r="207">
      <c r="A207" s="15" t="s">
        <v>92</v>
      </c>
      <c r="B207" s="38" t="str">
        <f>IFERROR(HYPERLINK(VLOOKUP(A207,Internal_lists_bugs!$A$2:$C$73,3,FALSE()), VLOOKUP(A207,Internal_lists_bugs!$A$2:$C$73,3,FALSE())&amp;Char(10) &amp; Char(10) &amp; VLOOKUP(A207,Internal_lists_bugs!$A$2:$Z$73,26,FALSE())),"please select a BUG ID")</f>
        <v>
</v>
      </c>
      <c r="C207" s="39" t="str">
        <f>IFERROR(Hyperlink(VLOOKUP(A207,Internal_lists_bugs!$A$2:$G1014,7,FALSE()),"BIC: "&amp;VLOOKUP(A207,Internal_lists_bugs!$A$2:$G1014,7,FALSE())&amp;CHAR(10)&amp;"Intro.Issues: "&amp;VLOOKUP(A207,Internal_lists_bugs!$A$2:$P1014,16,FALSE())),"please select a BUG ID")</f>
        <v>BIC: https://github.com/elastic/elasticsearch/commit/fc51ebfce8a87252d868d1f160ae740972b8e48a
Intro.Issues: </v>
      </c>
      <c r="D207" s="40"/>
      <c r="E207" s="43"/>
      <c r="F207" s="41"/>
      <c r="G207" s="42"/>
      <c r="H207" s="43"/>
    </row>
    <row r="208">
      <c r="A208" s="15" t="s">
        <v>93</v>
      </c>
      <c r="B208" s="38" t="str">
        <f>IFERROR(HYPERLINK(VLOOKUP(A208,Internal_lists_bugs!$A$2:$C$73,3,FALSE()), VLOOKUP(A208,Internal_lists_bugs!$A$2:$C$73,3,FALSE())&amp;Char(10) &amp; Char(10) &amp; VLOOKUP(A208,Internal_lists_bugs!$A$2:$Z$73,26,FALSE())),"please select a BUG ID")</f>
        <v>
</v>
      </c>
      <c r="C208" s="39" t="str">
        <f>IFERROR(Hyperlink(VLOOKUP(A208,Internal_lists_bugs!$A$2:$G1014,7,FALSE()),"BIC: "&amp;VLOOKUP(A208,Internal_lists_bugs!$A$2:$G1014,7,FALSE())&amp;CHAR(10)&amp;"Intro.Issues: "&amp;VLOOKUP(A208,Internal_lists_bugs!$A$2:$P1014,16,FALSE())),"please select a BUG ID")</f>
        <v>BIC: https://github.com/elastic/elasticsearch/commit/07443089ce761cdfcf9206ad179381db7249d01a
Intro.Issues: </v>
      </c>
      <c r="D208" s="40"/>
      <c r="E208" s="43"/>
      <c r="F208" s="41"/>
      <c r="G208" s="42"/>
      <c r="H208" s="43"/>
    </row>
    <row r="209">
      <c r="A209" s="15" t="s">
        <v>94</v>
      </c>
      <c r="B209" s="38" t="str">
        <f>IFERROR(HYPERLINK(VLOOKUP(A209,Internal_lists_bugs!$A$2:$C$73,3,FALSE()), VLOOKUP(A209,Internal_lists_bugs!$A$2:$C$73,3,FALSE())&amp;Char(10) &amp; Char(10) &amp; VLOOKUP(A209,Internal_lists_bugs!$A$2:$Z$73,26,FALSE())),"please select a BUG ID")</f>
        <v>
</v>
      </c>
      <c r="C209" s="39" t="str">
        <f>IFERROR(Hyperlink(VLOOKUP(A209,Internal_lists_bugs!$A$2:$G1014,7,FALSE()),"BIC: "&amp;VLOOKUP(A209,Internal_lists_bugs!$A$2:$G1014,7,FALSE())&amp;CHAR(10)&amp;"Intro.Issues: "&amp;VLOOKUP(A209,Internal_lists_bugs!$A$2:$P1014,16,FALSE())),"please select a BUG ID")</f>
        <v>BIC: https://github.com/elastic/elasticsearch/commit/16a046f686c26309ee0041df8987a4d2ffedd956
Intro.Issues: </v>
      </c>
      <c r="D209" s="40"/>
      <c r="E209" s="43"/>
      <c r="F209" s="41"/>
      <c r="G209" s="42"/>
      <c r="H209" s="43"/>
    </row>
    <row r="210">
      <c r="A210" s="15" t="s">
        <v>95</v>
      </c>
      <c r="B210" s="38" t="str">
        <f>IFERROR(HYPERLINK(VLOOKUP(A210,Internal_lists_bugs!$A$2:$C$73,3,FALSE()), VLOOKUP(A210,Internal_lists_bugs!$A$2:$C$73,3,FALSE())&amp;Char(10) &amp; Char(10) &amp; VLOOKUP(A210,Internal_lists_bugs!$A$2:$Z$73,26,FALSE())),"please select a BUG ID")</f>
        <v>
</v>
      </c>
      <c r="C210" s="39" t="str">
        <f>IFERROR(Hyperlink(VLOOKUP(A210,Internal_lists_bugs!$A$2:$G1014,7,FALSE()),"BIC: "&amp;VLOOKUP(A210,Internal_lists_bugs!$A$2:$G1014,7,FALSE())&amp;CHAR(10)&amp;"Intro.Issues: "&amp;VLOOKUP(A210,Internal_lists_bugs!$A$2:$P1014,16,FALSE())),"please select a BUG ID")</f>
        <v>BIC: https://github.com/elastic/elasticsearch/commit/7caee2fa4d918d4c6978bcf986a158d03bf7db2a
Intro.Issues: </v>
      </c>
      <c r="D210" s="40"/>
      <c r="E210" s="43"/>
      <c r="F210" s="41"/>
      <c r="G210" s="42"/>
      <c r="H210" s="43"/>
    </row>
    <row r="211">
      <c r="A211" s="15" t="s">
        <v>96</v>
      </c>
      <c r="B211" s="38" t="str">
        <f>IFERROR(HYPERLINK(VLOOKUP(A211,Internal_lists_bugs!$A$2:$C$73,3,FALSE()), VLOOKUP(A211,Internal_lists_bugs!$A$2:$C$73,3,FALSE())&amp;Char(10) &amp; Char(10) &amp; VLOOKUP(A211,Internal_lists_bugs!$A$2:$Z$73,26,FALSE())),"please select a BUG ID")</f>
        <v>
</v>
      </c>
      <c r="C211" s="39" t="str">
        <f>IFERROR(Hyperlink(VLOOKUP(A211,Internal_lists_bugs!$A$2:$G1014,7,FALSE()),"BIC: "&amp;VLOOKUP(A211,Internal_lists_bugs!$A$2:$G1014,7,FALSE())&amp;CHAR(10)&amp;"Intro.Issues: "&amp;VLOOKUP(A211,Internal_lists_bugs!$A$2:$P1014,16,FALSE())),"please select a BUG ID")</f>
        <v>BIC: https://github.com/elastic/elasticsearch/commit/22722840d4331a83fcfdd8edea22d372feba16ab
Intro.Issues: </v>
      </c>
      <c r="D211" s="40"/>
      <c r="E211" s="43"/>
      <c r="F211" s="41"/>
      <c r="G211" s="42"/>
      <c r="H211" s="43"/>
    </row>
    <row r="212">
      <c r="A212" s="15" t="s">
        <v>97</v>
      </c>
      <c r="B212" s="38" t="str">
        <f>IFERROR(HYPERLINK(VLOOKUP(A212,Internal_lists_bugs!$A$2:$C$73,3,FALSE()), VLOOKUP(A212,Internal_lists_bugs!$A$2:$C$73,3,FALSE())&amp;Char(10) &amp; Char(10) &amp; VLOOKUP(A212,Internal_lists_bugs!$A$2:$Z$73,26,FALSE())),"please select a BUG ID")</f>
        <v>
</v>
      </c>
      <c r="C212" s="39" t="str">
        <f>IFERROR(Hyperlink(VLOOKUP(A212,Internal_lists_bugs!$A$2:$G1014,7,FALSE()),"BIC: "&amp;VLOOKUP(A212,Internal_lists_bugs!$A$2:$G1014,7,FALSE())&amp;CHAR(10)&amp;"Intro.Issues: "&amp;VLOOKUP(A212,Internal_lists_bugs!$A$2:$P1014,16,FALSE())),"please select a BUG ID")</f>
        <v>BIC: https://github.com/elastic/elasticsearch/commit/ef85412f98e97ff5471013eab59fd8cb3046c17a
Intro.Issues: </v>
      </c>
      <c r="D212" s="40"/>
      <c r="E212" s="43"/>
      <c r="F212" s="49"/>
      <c r="G212" s="50"/>
      <c r="H212" s="43"/>
    </row>
    <row r="213">
      <c r="A213" s="15" t="s">
        <v>98</v>
      </c>
      <c r="B213" s="38" t="str">
        <f>IFERROR(HYPERLINK(VLOOKUP(A213,Internal_lists_bugs!$A$2:$C$73,3,FALSE()), VLOOKUP(A213,Internal_lists_bugs!$A$2:$C$73,3,FALSE())&amp;Char(10) &amp; Char(10) &amp; VLOOKUP(A213,Internal_lists_bugs!$A$2:$Z$73,26,FALSE())),"please select a BUG ID")</f>
        <v>
</v>
      </c>
      <c r="C213" s="39" t="str">
        <f>IFERROR(Hyperlink(VLOOKUP(A213,Internal_lists_bugs!$A$2:$G1014,7,FALSE()),"BIC: "&amp;VLOOKUP(A213,Internal_lists_bugs!$A$2:$G1014,7,FALSE())&amp;CHAR(10)&amp;"Intro.Issues: "&amp;VLOOKUP(A213,Internal_lists_bugs!$A$2:$P1014,16,FALSE())),"please select a BUG ID")</f>
        <v>BIC: https://github.com/elastic/elasticsearch/commit/a235a5594338789a448742fce19549206dd5b30c
Intro.Issues: 3410</v>
      </c>
      <c r="D213" s="40">
        <v>3410.0</v>
      </c>
      <c r="E213" s="16" t="s">
        <v>228</v>
      </c>
      <c r="F213" s="41" t="s">
        <v>134</v>
      </c>
      <c r="G213" s="42" t="s">
        <v>120</v>
      </c>
      <c r="H213" s="16" t="s">
        <v>121</v>
      </c>
      <c r="I213" s="16" t="b">
        <v>0</v>
      </c>
    </row>
    <row r="214">
      <c r="A214" s="15" t="s">
        <v>99</v>
      </c>
      <c r="B214" s="38" t="str">
        <f>IFERROR(HYPERLINK(VLOOKUP(A214,Internal_lists_bugs!$A$2:$C$73,3,FALSE()), VLOOKUP(A214,Internal_lists_bugs!$A$2:$C$73,3,FALSE())&amp;Char(10) &amp; Char(10) &amp; VLOOKUP(A214,Internal_lists_bugs!$A$2:$Z$73,26,FALSE())),"please select a BUG ID")</f>
        <v>
</v>
      </c>
      <c r="C214" s="39" t="str">
        <f>IFERROR(Hyperlink(VLOOKUP(A214,Internal_lists_bugs!$A$2:$G1014,7,FALSE()),"BIC: "&amp;VLOOKUP(A214,Internal_lists_bugs!$A$2:$G1014,7,FALSE())&amp;CHAR(10)&amp;"Intro.Issues: "&amp;VLOOKUP(A214,Internal_lists_bugs!$A$2:$P1014,16,FALSE())),"please select a BUG ID")</f>
        <v>BIC: https://github.com/elastic/elasticsearch/commit/103221e58a85dc5d133cc70af898102735c4375f
Intro.Issues: </v>
      </c>
      <c r="D214" s="40"/>
      <c r="F214" s="41"/>
      <c r="G214" s="42"/>
      <c r="H214" s="43"/>
    </row>
    <row r="215">
      <c r="A215" s="15" t="s">
        <v>100</v>
      </c>
      <c r="B215" s="38" t="str">
        <f>IFERROR(HYPERLINK(VLOOKUP(A215,Internal_lists_bugs!$A$2:$C$73,3,FALSE()), VLOOKUP(A215,Internal_lists_bugs!$A$2:$C$73,3,FALSE())&amp;Char(10) &amp; Char(10) &amp; VLOOKUP(A215,Internal_lists_bugs!$A$2:$Z$73,26,FALSE())),"please select a BUG ID")</f>
        <v>
</v>
      </c>
      <c r="C215" s="39" t="str">
        <f>IFERROR(Hyperlink(VLOOKUP(A215,Internal_lists_bugs!$A$2:$G1014,7,FALSE()),"BIC: "&amp;VLOOKUP(A215,Internal_lists_bugs!$A$2:$G1014,7,FALSE())&amp;CHAR(10)&amp;"Intro.Issues: "&amp;VLOOKUP(A215,Internal_lists_bugs!$A$2:$P1014,16,FALSE())),"please select a BUG ID")</f>
        <v>BIC: https://github.com/elastic/elasticsearch/commit/093791e82dfe7c3e16ddb1f199fede2cf86b6797
Intro.Issues: </v>
      </c>
      <c r="D215" s="40"/>
      <c r="E215" s="43"/>
      <c r="F215" s="41"/>
      <c r="G215" s="42"/>
      <c r="H215" s="43"/>
    </row>
    <row r="216">
      <c r="A216" s="43"/>
      <c r="B216" s="38" t="str">
        <f>IFERROR(HYPERLINK(VLOOKUP(A216,Internal_lists_bugs!$A$2:$C$73,3,FALSE()), VLOOKUP(A216,Internal_lists_bugs!$A$2:$C$73,3,FALSE())&amp;Char(10) &amp; Char(10) &amp; VLOOKUP(A216,Internal_lists_bugs!$A$2:$Z$73,26,FALSE())),"please select a BUG ID")</f>
        <v>please select a BUG ID</v>
      </c>
      <c r="C216" s="51" t="str">
        <f>IFERROR(Hyperlink(VLOOKUP(A216,Internal_lists_bugs!$A$2:$G1014,7,FALSE()),"BIC: "&amp;VLOOKUP(A216,Internal_lists_bugs!$A$2:$G1014,7,FALSE())&amp;CHAR(10)&amp;"Intro.Issues: "&amp;VLOOKUP(A216,Internal_lists_bugs!$A$2:$P1014,16,FALSE())),"please select a BUG ID")</f>
        <v>please select a BUG ID</v>
      </c>
      <c r="D216" s="40"/>
      <c r="E216" s="43"/>
      <c r="F216" s="41"/>
      <c r="G216" s="42"/>
      <c r="H216" s="43"/>
    </row>
    <row r="217">
      <c r="A217" s="43"/>
      <c r="B217" s="38" t="str">
        <f>IFERROR(HYPERLINK(VLOOKUP(A217,Internal_lists_bugs!$A$2:$C$73,3,FALSE()), VLOOKUP(A217,Internal_lists_bugs!$A$2:$C$73,3,FALSE())&amp;Char(10) &amp; Char(10) &amp; VLOOKUP(A217,Internal_lists_bugs!$A$2:$Z$73,26,FALSE())),"please select a BUG ID")</f>
        <v>please select a BUG ID</v>
      </c>
      <c r="C217" s="51" t="str">
        <f>IFERROR(Hyperlink(VLOOKUP(A217,Internal_lists_bugs!$A$2:$G1014,7,FALSE()),"BIC: "&amp;VLOOKUP(A217,Internal_lists_bugs!$A$2:$G1014,7,FALSE())&amp;CHAR(10)&amp;"Intro.Issues: "&amp;VLOOKUP(A217,Internal_lists_bugs!$A$2:$P1014,16,FALSE())),"please select a BUG ID")</f>
        <v>please select a BUG ID</v>
      </c>
      <c r="D217" s="40"/>
      <c r="E217" s="43"/>
      <c r="F217" s="41"/>
      <c r="G217" s="42"/>
      <c r="H217" s="43"/>
    </row>
    <row r="218">
      <c r="A218" s="43"/>
      <c r="B218" s="38" t="str">
        <f>IFERROR(HYPERLINK(VLOOKUP(A218,Internal_lists_bugs!$A$2:$C$73,3,FALSE()), VLOOKUP(A218,Internal_lists_bugs!$A$2:$C$73,3,FALSE())&amp;Char(10) &amp; Char(10) &amp; VLOOKUP(A218,Internal_lists_bugs!$A$2:$Z$73,26,FALSE())),"please select a BUG ID")</f>
        <v>please select a BUG ID</v>
      </c>
      <c r="C218" s="51" t="str">
        <f>IFERROR(Hyperlink(VLOOKUP(A218,Internal_lists_bugs!$A$2:$G1014,7,FALSE()),"BIC: "&amp;VLOOKUP(A218,Internal_lists_bugs!$A$2:$G1014,7,FALSE())&amp;CHAR(10)&amp;"Intro.Issues: "&amp;VLOOKUP(A218,Internal_lists_bugs!$A$2:$P1014,16,FALSE())),"please select a BUG ID")</f>
        <v>please select a BUG ID</v>
      </c>
      <c r="D218" s="40"/>
      <c r="E218" s="43"/>
      <c r="F218" s="41"/>
      <c r="G218" s="42"/>
      <c r="H218" s="43"/>
    </row>
    <row r="219">
      <c r="A219" s="43"/>
      <c r="B219" s="38" t="str">
        <f>IFERROR(HYPERLINK(VLOOKUP(A219,Internal_lists_bugs!$A$2:$C$73,3,FALSE()), VLOOKUP(A219,Internal_lists_bugs!$A$2:$C$73,3,FALSE())&amp;Char(10) &amp; Char(10) &amp; VLOOKUP(A219,Internal_lists_bugs!$A$2:$Z$73,26,FALSE())),"please select a BUG ID")</f>
        <v>please select a BUG ID</v>
      </c>
      <c r="C219" s="51" t="str">
        <f>IFERROR(Hyperlink(VLOOKUP(A219,Internal_lists_bugs!$A$2:$G1014,7,FALSE()),"BIC: "&amp;VLOOKUP(A219,Internal_lists_bugs!$A$2:$G1014,7,FALSE())&amp;CHAR(10)&amp;"Intro.Issues: "&amp;VLOOKUP(A219,Internal_lists_bugs!$A$2:$P1014,16,FALSE())),"please select a BUG ID")</f>
        <v>please select a BUG ID</v>
      </c>
      <c r="D219" s="40"/>
      <c r="E219" s="43"/>
      <c r="F219" s="41"/>
      <c r="G219" s="42"/>
      <c r="H219" s="43"/>
    </row>
    <row r="220">
      <c r="A220" s="43"/>
      <c r="B220" s="38" t="str">
        <f>IFERROR(HYPERLINK(VLOOKUP(A220,Internal_lists_bugs!$A$2:$C$73,3,FALSE()), VLOOKUP(A220,Internal_lists_bugs!$A$2:$C$73,3,FALSE())&amp;Char(10) &amp; Char(10) &amp; VLOOKUP(A220,Internal_lists_bugs!$A$2:$Z$73,26,FALSE())),"please select a BUG ID")</f>
        <v>please select a BUG ID</v>
      </c>
      <c r="C220" s="51" t="str">
        <f>IFERROR(Hyperlink(VLOOKUP(A220,Internal_lists_bugs!$A$2:$G1014,7,FALSE()),"BIC: "&amp;VLOOKUP(A220,Internal_lists_bugs!$A$2:$G1014,7,FALSE())&amp;CHAR(10)&amp;"Intro.Issues: "&amp;VLOOKUP(A220,Internal_lists_bugs!$A$2:$P1014,16,FALSE())),"please select a BUG ID")</f>
        <v>please select a BUG ID</v>
      </c>
      <c r="D220" s="40"/>
      <c r="E220" s="43"/>
      <c r="F220" s="41"/>
      <c r="G220" s="42"/>
      <c r="H220" s="43"/>
    </row>
    <row r="221">
      <c r="A221" s="43"/>
      <c r="B221" s="38" t="str">
        <f>IFERROR(HYPERLINK(VLOOKUP(A221,Internal_lists_bugs!$A$2:$C$73,3,FALSE()), VLOOKUP(A221,Internal_lists_bugs!$A$2:$C$73,3,FALSE())&amp;Char(10) &amp; Char(10) &amp; VLOOKUP(A221,Internal_lists_bugs!$A$2:$Z$73,26,FALSE())),"please select a BUG ID")</f>
        <v>please select a BUG ID</v>
      </c>
      <c r="C221" s="51" t="str">
        <f>IFERROR(Hyperlink(VLOOKUP(A221,Internal_lists_bugs!$A$2:$G1014,7,FALSE()),"BIC: "&amp;VLOOKUP(A221,Internal_lists_bugs!$A$2:$G1014,7,FALSE())&amp;CHAR(10)&amp;"Intro.Issues: "&amp;VLOOKUP(A221,Internal_lists_bugs!$A$2:$P1014,16,FALSE())),"please select a BUG ID")</f>
        <v>please select a BUG ID</v>
      </c>
      <c r="D221" s="40"/>
      <c r="E221" s="43"/>
      <c r="F221" s="41"/>
      <c r="G221" s="42"/>
      <c r="H221" s="43"/>
    </row>
    <row r="222">
      <c r="A222" s="43"/>
      <c r="B222" s="38" t="str">
        <f>IFERROR(HYPERLINK(VLOOKUP(A222,Internal_lists_bugs!$A$2:$C$73,3,FALSE()), VLOOKUP(A222,Internal_lists_bugs!$A$2:$C$73,3,FALSE())&amp;Char(10) &amp; Char(10) &amp; VLOOKUP(A222,Internal_lists_bugs!$A$2:$Z$73,26,FALSE())),"please select a BUG ID")</f>
        <v>please select a BUG ID</v>
      </c>
      <c r="C222" s="51" t="str">
        <f>IFERROR(Hyperlink(VLOOKUP(A222,Internal_lists_bugs!$A$2:$G1014,7,FALSE()),"BIC: "&amp;VLOOKUP(A222,Internal_lists_bugs!$A$2:$G1014,7,FALSE())&amp;CHAR(10)&amp;"Intro.Issues: "&amp;VLOOKUP(A222,Internal_lists_bugs!$A$2:$P1014,16,FALSE())),"please select a BUG ID")</f>
        <v>please select a BUG ID</v>
      </c>
      <c r="D222" s="40"/>
      <c r="E222" s="43"/>
      <c r="F222" s="41"/>
      <c r="G222" s="42"/>
      <c r="H222" s="43"/>
    </row>
    <row r="223">
      <c r="A223" s="43"/>
      <c r="B223" s="38" t="str">
        <f>IFERROR(HYPERLINK(VLOOKUP(A223,Internal_lists_bugs!$A$2:$C$73,3,FALSE()), VLOOKUP(A223,Internal_lists_bugs!$A$2:$C$73,3,FALSE())&amp;Char(10) &amp; Char(10) &amp; VLOOKUP(A223,Internal_lists_bugs!$A$2:$Z$73,26,FALSE())),"please select a BUG ID")</f>
        <v>please select a BUG ID</v>
      </c>
      <c r="C223" s="51" t="str">
        <f>IFERROR(Hyperlink(VLOOKUP(A223,Internal_lists_bugs!$A$2:$G1014,7,FALSE()),"BIC: "&amp;VLOOKUP(A223,Internal_lists_bugs!$A$2:$G1014,7,FALSE())&amp;CHAR(10)&amp;"Intro.Issues: "&amp;VLOOKUP(A223,Internal_lists_bugs!$A$2:$P1014,16,FALSE())),"please select a BUG ID")</f>
        <v>please select a BUG ID</v>
      </c>
      <c r="D223" s="40"/>
      <c r="E223" s="43"/>
      <c r="F223" s="41"/>
      <c r="G223" s="42"/>
      <c r="H223" s="43"/>
    </row>
    <row r="224">
      <c r="A224" s="43"/>
      <c r="B224" s="38" t="str">
        <f>IFERROR(HYPERLINK(VLOOKUP(A224,Internal_lists_bugs!$A$2:$C$73,3,FALSE()), VLOOKUP(A224,Internal_lists_bugs!$A$2:$C$73,3,FALSE())&amp;Char(10) &amp; Char(10) &amp; VLOOKUP(A224,Internal_lists_bugs!$A$2:$Z$73,26,FALSE())),"please select a BUG ID")</f>
        <v>please select a BUG ID</v>
      </c>
      <c r="C224" s="51" t="str">
        <f>IFERROR(Hyperlink(VLOOKUP(A224,Internal_lists_bugs!$A$2:$G1014,7,FALSE()),"BIC: "&amp;VLOOKUP(A224,Internal_lists_bugs!$A$2:$G1014,7,FALSE())&amp;CHAR(10)&amp;"Intro.Issues: "&amp;VLOOKUP(A224,Internal_lists_bugs!$A$2:$P1014,16,FALSE())),"please select a BUG ID")</f>
        <v>please select a BUG ID</v>
      </c>
      <c r="D224" s="40"/>
      <c r="E224" s="43"/>
      <c r="F224" s="41"/>
      <c r="G224" s="42"/>
      <c r="H224" s="43"/>
    </row>
    <row r="225">
      <c r="A225" s="43"/>
      <c r="B225" s="38" t="str">
        <f>IFERROR(HYPERLINK(VLOOKUP(A225,Internal_lists_bugs!$A$2:$C$73,3,FALSE()), VLOOKUP(A225,Internal_lists_bugs!$A$2:$C$73,3,FALSE())&amp;Char(10) &amp; Char(10) &amp; VLOOKUP(A225,Internal_lists_bugs!$A$2:$Z$73,26,FALSE())),"please select a BUG ID")</f>
        <v>please select a BUG ID</v>
      </c>
      <c r="C225" s="51" t="str">
        <f>IFERROR(Hyperlink(VLOOKUP(A225,Internal_lists_bugs!$A$2:$G1014,7,FALSE()),"BIC: "&amp;VLOOKUP(A225,Internal_lists_bugs!$A$2:$G1014,7,FALSE())&amp;CHAR(10)&amp;"Intro.Issues: "&amp;VLOOKUP(A225,Internal_lists_bugs!$A$2:$P1014,16,FALSE())),"please select a BUG ID")</f>
        <v>please select a BUG ID</v>
      </c>
      <c r="D225" s="40"/>
      <c r="E225" s="43"/>
      <c r="F225" s="41"/>
      <c r="G225" s="42"/>
      <c r="H225" s="43"/>
    </row>
    <row r="226">
      <c r="A226" s="43"/>
      <c r="B226" s="38" t="str">
        <f>IFERROR(HYPERLINK(VLOOKUP(A226,Internal_lists_bugs!$A$2:$C$73,3,FALSE()), VLOOKUP(A226,Internal_lists_bugs!$A$2:$C$73,3,FALSE())&amp;Char(10) &amp; Char(10) &amp; VLOOKUP(A226,Internal_lists_bugs!$A$2:$Z$73,26,FALSE())),"please select a BUG ID")</f>
        <v>please select a BUG ID</v>
      </c>
      <c r="C226" s="51" t="str">
        <f>IFERROR(Hyperlink(VLOOKUP(A226,Internal_lists_bugs!$A$2:$G1014,7,FALSE()),"BIC: "&amp;VLOOKUP(A226,Internal_lists_bugs!$A$2:$G1014,7,FALSE())&amp;CHAR(10)&amp;"Intro.Issues: "&amp;VLOOKUP(A226,Internal_lists_bugs!$A$2:$P1014,16,FALSE())),"please select a BUG ID")</f>
        <v>please select a BUG ID</v>
      </c>
      <c r="D226" s="40"/>
      <c r="E226" s="43"/>
      <c r="F226" s="41"/>
      <c r="G226" s="42"/>
      <c r="H226" s="43"/>
    </row>
    <row r="227">
      <c r="A227" s="43"/>
      <c r="B227" s="38" t="str">
        <f>IFERROR(HYPERLINK(VLOOKUP(A227,Internal_lists_bugs!$A$2:$C$73,3,FALSE()), VLOOKUP(A227,Internal_lists_bugs!$A$2:$C$73,3,FALSE())&amp;Char(10) &amp; Char(10) &amp; VLOOKUP(A227,Internal_lists_bugs!$A$2:$Z$73,26,FALSE())),"please select a BUG ID")</f>
        <v>please select a BUG ID</v>
      </c>
      <c r="C227" s="51" t="str">
        <f>IFERROR(Hyperlink(VLOOKUP(A227,Internal_lists_bugs!$A$2:$G1014,7,FALSE()),"BIC: "&amp;VLOOKUP(A227,Internal_lists_bugs!$A$2:$G1014,7,FALSE())&amp;CHAR(10)&amp;"Intro.Issues: "&amp;VLOOKUP(A227,Internal_lists_bugs!$A$2:$P1014,16,FALSE())),"please select a BUG ID")</f>
        <v>please select a BUG ID</v>
      </c>
      <c r="D227" s="40"/>
      <c r="E227" s="43"/>
      <c r="F227" s="41"/>
      <c r="G227" s="42"/>
      <c r="H227" s="43"/>
    </row>
    <row r="228">
      <c r="A228" s="43"/>
      <c r="B228" s="38" t="str">
        <f>IFERROR(HYPERLINK(VLOOKUP(A228,Internal_lists_bugs!$A$2:$C$73,3,FALSE()), VLOOKUP(A228,Internal_lists_bugs!$A$2:$C$73,3,FALSE())&amp;Char(10) &amp; Char(10) &amp; VLOOKUP(A228,Internal_lists_bugs!$A$2:$Z$73,26,FALSE())),"please select a BUG ID")</f>
        <v>please select a BUG ID</v>
      </c>
      <c r="C228" s="51" t="str">
        <f>IFERROR(Hyperlink(VLOOKUP(A228,Internal_lists_bugs!$A$2:$G1014,7,FALSE()),"BIC: "&amp;VLOOKUP(A228,Internal_lists_bugs!$A$2:$G1014,7,FALSE())&amp;CHAR(10)&amp;"Intro.Issues: "&amp;VLOOKUP(A228,Internal_lists_bugs!$A$2:$P1014,16,FALSE())),"please select a BUG ID")</f>
        <v>please select a BUG ID</v>
      </c>
      <c r="D228" s="40"/>
      <c r="E228" s="43"/>
      <c r="F228" s="41"/>
      <c r="G228" s="42"/>
      <c r="H228" s="43"/>
    </row>
    <row r="229">
      <c r="A229" s="43"/>
      <c r="B229" s="38" t="str">
        <f>IFERROR(HYPERLINK(VLOOKUP(A229,Internal_lists_bugs!$A$2:$C$73,3,FALSE()), VLOOKUP(A229,Internal_lists_bugs!$A$2:$C$73,3,FALSE())&amp;Char(10) &amp; Char(10) &amp; VLOOKUP(A229,Internal_lists_bugs!$A$2:$Z$73,26,FALSE())),"please select a BUG ID")</f>
        <v>please select a BUG ID</v>
      </c>
      <c r="C229" s="51" t="str">
        <f>IFERROR(Hyperlink(VLOOKUP(A229,Internal_lists_bugs!$A$2:$G1014,7,FALSE()),"BIC: "&amp;VLOOKUP(A229,Internal_lists_bugs!$A$2:$G1014,7,FALSE())&amp;CHAR(10)&amp;"Intro.Issues: "&amp;VLOOKUP(A229,Internal_lists_bugs!$A$2:$P1014,16,FALSE())),"please select a BUG ID")</f>
        <v>please select a BUG ID</v>
      </c>
      <c r="D229" s="40"/>
      <c r="E229" s="43"/>
      <c r="F229" s="41"/>
      <c r="G229" s="42"/>
      <c r="H229" s="43"/>
    </row>
    <row r="230">
      <c r="A230" s="43"/>
      <c r="B230" s="38" t="str">
        <f>IFERROR(HYPERLINK(VLOOKUP(A230,Internal_lists_bugs!$A$2:$C$73,3,FALSE()), VLOOKUP(A230,Internal_lists_bugs!$A$2:$C$73,3,FALSE())&amp;Char(10) &amp; Char(10) &amp; VLOOKUP(A230,Internal_lists_bugs!$A$2:$Z$73,26,FALSE())),"please select a BUG ID")</f>
        <v>please select a BUG ID</v>
      </c>
      <c r="C230" s="51" t="str">
        <f>IFERROR(Hyperlink(VLOOKUP(A230,Internal_lists_bugs!$A$2:$G1014,7,FALSE()),"BIC: "&amp;VLOOKUP(A230,Internal_lists_bugs!$A$2:$G1014,7,FALSE())&amp;CHAR(10)&amp;"Intro.Issues: "&amp;VLOOKUP(A230,Internal_lists_bugs!$A$2:$P1014,16,FALSE())),"please select a BUG ID")</f>
        <v>please select a BUG ID</v>
      </c>
      <c r="D230" s="40"/>
      <c r="E230" s="43"/>
      <c r="F230" s="41"/>
      <c r="G230" s="42"/>
      <c r="H230" s="43"/>
    </row>
    <row r="231">
      <c r="A231" s="43"/>
      <c r="B231" s="38" t="str">
        <f>IFERROR(HYPERLINK(VLOOKUP(A231,Internal_lists_bugs!$A$2:$C$73,3,FALSE()), VLOOKUP(A231,Internal_lists_bugs!$A$2:$C$73,3,FALSE())&amp;Char(10) &amp; Char(10) &amp; VLOOKUP(A231,Internal_lists_bugs!$A$2:$Z$73,26,FALSE())),"please select a BUG ID")</f>
        <v>please select a BUG ID</v>
      </c>
      <c r="C231" s="51" t="str">
        <f>IFERROR(Hyperlink(VLOOKUP(A231,Internal_lists_bugs!$A$2:$G1014,7,FALSE()),"BIC: "&amp;VLOOKUP(A231,Internal_lists_bugs!$A$2:$G1014,7,FALSE())&amp;CHAR(10)&amp;"Intro.Issues: "&amp;VLOOKUP(A231,Internal_lists_bugs!$A$2:$P1014,16,FALSE())),"please select a BUG ID")</f>
        <v>please select a BUG ID</v>
      </c>
      <c r="D231" s="40"/>
      <c r="E231" s="43"/>
      <c r="F231" s="41"/>
      <c r="G231" s="42"/>
      <c r="H231" s="43"/>
    </row>
    <row r="232">
      <c r="A232" s="43"/>
      <c r="B232" s="38" t="str">
        <f>IFERROR(HYPERLINK(VLOOKUP(A232,Internal_lists_bugs!$A$2:$C$73,3,FALSE()), VLOOKUP(A232,Internal_lists_bugs!$A$2:$C$73,3,FALSE())&amp;Char(10) &amp; Char(10) &amp; VLOOKUP(A232,Internal_lists_bugs!$A$2:$Z$73,26,FALSE())),"please select a BUG ID")</f>
        <v>please select a BUG ID</v>
      </c>
      <c r="C232" s="51" t="str">
        <f>IFERROR(Hyperlink(VLOOKUP(A232,Internal_lists_bugs!$A$2:$G1014,7,FALSE()),"BIC: "&amp;VLOOKUP(A232,Internal_lists_bugs!$A$2:$G1014,7,FALSE())&amp;CHAR(10)&amp;"Intro.Issues: "&amp;VLOOKUP(A232,Internal_lists_bugs!$A$2:$P1014,16,FALSE())),"please select a BUG ID")</f>
        <v>please select a BUG ID</v>
      </c>
      <c r="D232" s="40"/>
      <c r="E232" s="43"/>
      <c r="F232" s="41"/>
      <c r="G232" s="42"/>
      <c r="H232" s="43"/>
    </row>
    <row r="233">
      <c r="A233" s="43"/>
      <c r="B233" s="38" t="str">
        <f>IFERROR(HYPERLINK(VLOOKUP(A233,Internal_lists_bugs!$A$2:$C$73,3,FALSE()), VLOOKUP(A233,Internal_lists_bugs!$A$2:$C$73,3,FALSE())&amp;Char(10) &amp; Char(10) &amp; VLOOKUP(A233,Internal_lists_bugs!$A$2:$Z$73,26,FALSE())),"please select a BUG ID")</f>
        <v>please select a BUG ID</v>
      </c>
      <c r="C233" s="51" t="str">
        <f>IFERROR(Hyperlink(VLOOKUP(A233,Internal_lists_bugs!$A$2:$G1014,7,FALSE()),"BIC: "&amp;VLOOKUP(A233,Internal_lists_bugs!$A$2:$G1014,7,FALSE())&amp;CHAR(10)&amp;"Intro.Issues: "&amp;VLOOKUP(A233,Internal_lists_bugs!$A$2:$P1014,16,FALSE())),"please select a BUG ID")</f>
        <v>please select a BUG ID</v>
      </c>
      <c r="D233" s="40"/>
      <c r="E233" s="43"/>
      <c r="F233" s="41"/>
      <c r="G233" s="42"/>
      <c r="H233" s="43"/>
    </row>
    <row r="234">
      <c r="A234" s="43"/>
      <c r="B234" s="38" t="str">
        <f>IFERROR(HYPERLINK(VLOOKUP(A234,Internal_lists_bugs!$A$2:$C$73,3,FALSE()), VLOOKUP(A234,Internal_lists_bugs!$A$2:$C$73,3,FALSE())&amp;Char(10) &amp; Char(10) &amp; VLOOKUP(A234,Internal_lists_bugs!$A$2:$Z$73,26,FALSE())),"please select a BUG ID")</f>
        <v>please select a BUG ID</v>
      </c>
      <c r="C234" s="51" t="str">
        <f>IFERROR(Hyperlink(VLOOKUP(A234,Internal_lists_bugs!$A$2:$G1014,7,FALSE()),"BIC: "&amp;VLOOKUP(A234,Internal_lists_bugs!$A$2:$G1014,7,FALSE())&amp;CHAR(10)&amp;"Intro.Issues: "&amp;VLOOKUP(A234,Internal_lists_bugs!$A$2:$P1014,16,FALSE())),"please select a BUG ID")</f>
        <v>please select a BUG ID</v>
      </c>
      <c r="D234" s="40"/>
      <c r="E234" s="43"/>
      <c r="F234" s="41"/>
      <c r="G234" s="42"/>
      <c r="H234" s="43"/>
    </row>
    <row r="235">
      <c r="A235" s="43"/>
      <c r="B235" s="38" t="str">
        <f>IFERROR(HYPERLINK(VLOOKUP(A235,Internal_lists_bugs!$A$2:$C$73,3,FALSE()), VLOOKUP(A235,Internal_lists_bugs!$A$2:$C$73,3,FALSE())&amp;Char(10) &amp; Char(10) &amp; VLOOKUP(A235,Internal_lists_bugs!$A$2:$Z$73,26,FALSE())),"please select a BUG ID")</f>
        <v>please select a BUG ID</v>
      </c>
      <c r="C235" s="51" t="str">
        <f>IFERROR(Hyperlink(VLOOKUP(A235,Internal_lists_bugs!$A$2:$G1014,7,FALSE()),"BIC: "&amp;VLOOKUP(A235,Internal_lists_bugs!$A$2:$G1014,7,FALSE())&amp;CHAR(10)&amp;"Intro.Issues: "&amp;VLOOKUP(A235,Internal_lists_bugs!$A$2:$P1014,16,FALSE())),"please select a BUG ID")</f>
        <v>please select a BUG ID</v>
      </c>
      <c r="D235" s="40"/>
      <c r="E235" s="43"/>
      <c r="F235" s="41"/>
      <c r="G235" s="42"/>
      <c r="H235" s="43"/>
    </row>
    <row r="236">
      <c r="A236" s="43"/>
      <c r="B236" s="38" t="str">
        <f>IFERROR(HYPERLINK(VLOOKUP(A236,Internal_lists_bugs!$A$2:$C$73,3,FALSE()), VLOOKUP(A236,Internal_lists_bugs!$A$2:$C$73,3,FALSE())&amp;Char(10) &amp; Char(10) &amp; VLOOKUP(A236,Internal_lists_bugs!$A$2:$Z$73,26,FALSE())),"please select a BUG ID")</f>
        <v>please select a BUG ID</v>
      </c>
      <c r="C236" s="51" t="str">
        <f>IFERROR(Hyperlink(VLOOKUP(A236,Internal_lists_bugs!$A$2:$G1014,7,FALSE()),"BIC: "&amp;VLOOKUP(A236,Internal_lists_bugs!$A$2:$G1014,7,FALSE())&amp;CHAR(10)&amp;"Intro.Issues: "&amp;VLOOKUP(A236,Internal_lists_bugs!$A$2:$P1014,16,FALSE())),"please select a BUG ID")</f>
        <v>please select a BUG ID</v>
      </c>
      <c r="D236" s="40"/>
      <c r="E236" s="43"/>
      <c r="F236" s="41"/>
      <c r="G236" s="42"/>
      <c r="H236" s="43"/>
    </row>
    <row r="237">
      <c r="A237" s="43"/>
      <c r="B237" s="38" t="str">
        <f>IFERROR(HYPERLINK(VLOOKUP(A237,Internal_lists_bugs!$A$2:$C$73,3,FALSE()), VLOOKUP(A237,Internal_lists_bugs!$A$2:$C$73,3,FALSE())&amp;Char(10) &amp; Char(10) &amp; VLOOKUP(A237,Internal_lists_bugs!$A$2:$Z$73,26,FALSE())),"please select a BUG ID")</f>
        <v>please select a BUG ID</v>
      </c>
      <c r="C237" s="51" t="str">
        <f>IFERROR(Hyperlink(VLOOKUP(A237,Internal_lists_bugs!$A$2:$G1014,7,FALSE()),"BIC: "&amp;VLOOKUP(A237,Internal_lists_bugs!$A$2:$G1014,7,FALSE())&amp;CHAR(10)&amp;"Intro.Issues: "&amp;VLOOKUP(A237,Internal_lists_bugs!$A$2:$P1014,16,FALSE())),"please select a BUG ID")</f>
        <v>please select a BUG ID</v>
      </c>
      <c r="D237" s="40"/>
      <c r="E237" s="43"/>
      <c r="F237" s="41"/>
      <c r="G237" s="42"/>
      <c r="H237" s="43"/>
    </row>
    <row r="238">
      <c r="A238" s="43"/>
      <c r="B238" s="38" t="str">
        <f>IFERROR(HYPERLINK(VLOOKUP(A238,Internal_lists_bugs!$A$2:$C$73,3,FALSE()), VLOOKUP(A238,Internal_lists_bugs!$A$2:$C$73,3,FALSE())&amp;Char(10) &amp; Char(10) &amp; VLOOKUP(A238,Internal_lists_bugs!$A$2:$Z$73,26,FALSE())),"please select a BUG ID")</f>
        <v>please select a BUG ID</v>
      </c>
      <c r="C238" s="51" t="str">
        <f>IFERROR(Hyperlink(VLOOKUP(A238,Internal_lists_bugs!$A$2:$G1014,7,FALSE()),"BIC: "&amp;VLOOKUP(A238,Internal_lists_bugs!$A$2:$G1014,7,FALSE())&amp;CHAR(10)&amp;"Intro.Issues: "&amp;VLOOKUP(A238,Internal_lists_bugs!$A$2:$P1014,16,FALSE())),"please select a BUG ID")</f>
        <v>please select a BUG ID</v>
      </c>
      <c r="D238" s="40"/>
      <c r="E238" s="43"/>
      <c r="F238" s="41"/>
      <c r="G238" s="42"/>
      <c r="H238" s="43"/>
    </row>
    <row r="239">
      <c r="A239" s="43"/>
      <c r="B239" s="38" t="str">
        <f>IFERROR(HYPERLINK(VLOOKUP(A239,Internal_lists_bugs!$A$2:$C$73,3,FALSE()), VLOOKUP(A239,Internal_lists_bugs!$A$2:$C$73,3,FALSE())&amp;Char(10) &amp; Char(10) &amp; VLOOKUP(A239,Internal_lists_bugs!$A$2:$Z$73,26,FALSE())),"please select a BUG ID")</f>
        <v>please select a BUG ID</v>
      </c>
      <c r="C239" s="51" t="str">
        <f>IFERROR(Hyperlink(VLOOKUP(A239,Internal_lists_bugs!$A$2:$G1014,7,FALSE()),"BIC: "&amp;VLOOKUP(A239,Internal_lists_bugs!$A$2:$G1014,7,FALSE())&amp;CHAR(10)&amp;"Intro.Issues: "&amp;VLOOKUP(A239,Internal_lists_bugs!$A$2:$P1014,16,FALSE())),"please select a BUG ID")</f>
        <v>please select a BUG ID</v>
      </c>
      <c r="D239" s="40"/>
      <c r="E239" s="43"/>
      <c r="F239" s="41"/>
      <c r="G239" s="42"/>
      <c r="H239" s="43"/>
    </row>
    <row r="240">
      <c r="A240" s="43"/>
      <c r="B240" s="38" t="str">
        <f>IFERROR(HYPERLINK(VLOOKUP(A240,Internal_lists_bugs!$A$2:$C$73,3,FALSE()), VLOOKUP(A240,Internal_lists_bugs!$A$2:$C$73,3,FALSE())&amp;Char(10) &amp; Char(10) &amp; VLOOKUP(A240,Internal_lists_bugs!$A$2:$Z$73,26,FALSE())),"please select a BUG ID")</f>
        <v>please select a BUG ID</v>
      </c>
      <c r="C240" s="51" t="str">
        <f>IFERROR(Hyperlink(VLOOKUP(A240,Internal_lists_bugs!$A$2:$G1014,7,FALSE()),"BIC: "&amp;VLOOKUP(A240,Internal_lists_bugs!$A$2:$G1014,7,FALSE())&amp;CHAR(10)&amp;"Intro.Issues: "&amp;VLOOKUP(A240,Internal_lists_bugs!$A$2:$P1014,16,FALSE())),"please select a BUG ID")</f>
        <v>please select a BUG ID</v>
      </c>
      <c r="D240" s="40"/>
      <c r="E240" s="43"/>
      <c r="F240" s="41"/>
      <c r="G240" s="42"/>
      <c r="H240" s="43"/>
    </row>
    <row r="241">
      <c r="A241" s="43"/>
      <c r="B241" s="38" t="str">
        <f>IFERROR(HYPERLINK(VLOOKUP(A241,Internal_lists_bugs!$A$2:$C$73,3,FALSE()), VLOOKUP(A241,Internal_lists_bugs!$A$2:$C$73,3,FALSE())&amp;Char(10) &amp; Char(10) &amp; VLOOKUP(A241,Internal_lists_bugs!$A$2:$Z$73,26,FALSE())),"please select a BUG ID")</f>
        <v>please select a BUG ID</v>
      </c>
      <c r="C241" s="51" t="str">
        <f>IFERROR(Hyperlink(VLOOKUP(A241,Internal_lists_bugs!$A$2:$G1014,7,FALSE()),"BIC: "&amp;VLOOKUP(A241,Internal_lists_bugs!$A$2:$G1014,7,FALSE())&amp;CHAR(10)&amp;"Intro.Issues: "&amp;VLOOKUP(A241,Internal_lists_bugs!$A$2:$P1014,16,FALSE())),"please select a BUG ID")</f>
        <v>please select a BUG ID</v>
      </c>
      <c r="D241" s="40"/>
      <c r="E241" s="43"/>
      <c r="F241" s="41"/>
      <c r="G241" s="42"/>
      <c r="H241" s="43"/>
    </row>
    <row r="242">
      <c r="A242" s="43"/>
      <c r="B242" s="38" t="str">
        <f>IFERROR(HYPERLINK(VLOOKUP(A242,Internal_lists_bugs!$A$2:$C$73,3,FALSE()), VLOOKUP(A242,Internal_lists_bugs!$A$2:$C$73,3,FALSE())&amp;Char(10) &amp; Char(10) &amp; VLOOKUP(A242,Internal_lists_bugs!$A$2:$Z$73,26,FALSE())),"please select a BUG ID")</f>
        <v>please select a BUG ID</v>
      </c>
      <c r="C242" s="51" t="str">
        <f>IFERROR(Hyperlink(VLOOKUP(A242,Internal_lists_bugs!$A$2:$G1014,7,FALSE()),"BIC: "&amp;VLOOKUP(A242,Internal_lists_bugs!$A$2:$G1014,7,FALSE())&amp;CHAR(10)&amp;"Intro.Issues: "&amp;VLOOKUP(A242,Internal_lists_bugs!$A$2:$P1014,16,FALSE())),"please select a BUG ID")</f>
        <v>please select a BUG ID</v>
      </c>
      <c r="D242" s="40"/>
      <c r="E242" s="43"/>
      <c r="F242" s="41"/>
      <c r="G242" s="42"/>
      <c r="H242" s="43"/>
    </row>
    <row r="243">
      <c r="A243" s="43"/>
      <c r="B243" s="38" t="str">
        <f>IFERROR(HYPERLINK(VLOOKUP(A243,Internal_lists_bugs!$A$2:$C$73,3,FALSE()), VLOOKUP(A243,Internal_lists_bugs!$A$2:$C$73,3,FALSE())&amp;Char(10) &amp; Char(10) &amp; VLOOKUP(A243,Internal_lists_bugs!$A$2:$Z$73,26,FALSE())),"please select a BUG ID")</f>
        <v>please select a BUG ID</v>
      </c>
      <c r="C243" s="51" t="str">
        <f>IFERROR(Hyperlink(VLOOKUP(A243,Internal_lists_bugs!$A$2:$G1014,7,FALSE()),"BIC: "&amp;VLOOKUP(A243,Internal_lists_bugs!$A$2:$G1014,7,FALSE())&amp;CHAR(10)&amp;"Intro.Issues: "&amp;VLOOKUP(A243,Internal_lists_bugs!$A$2:$P1014,16,FALSE())),"please select a BUG ID")</f>
        <v>please select a BUG ID</v>
      </c>
      <c r="D243" s="40"/>
      <c r="E243" s="43"/>
      <c r="F243" s="41"/>
      <c r="G243" s="42"/>
      <c r="H243" s="43"/>
    </row>
    <row r="244">
      <c r="A244" s="43"/>
      <c r="B244" s="38" t="str">
        <f>IFERROR(HYPERLINK(VLOOKUP(A244,Internal_lists_bugs!$A$2:$C$73,3,FALSE()), VLOOKUP(A244,Internal_lists_bugs!$A$2:$C$73,3,FALSE())&amp;Char(10) &amp; Char(10) &amp; VLOOKUP(A244,Internal_lists_bugs!$A$2:$Z$73,26,FALSE())),"please select a BUG ID")</f>
        <v>please select a BUG ID</v>
      </c>
      <c r="C244" s="51" t="str">
        <f>IFERROR(Hyperlink(VLOOKUP(A244,Internal_lists_bugs!$A$2:$G1014,7,FALSE()),"BIC: "&amp;VLOOKUP(A244,Internal_lists_bugs!$A$2:$G1014,7,FALSE())&amp;CHAR(10)&amp;"Intro.Issues: "&amp;VLOOKUP(A244,Internal_lists_bugs!$A$2:$P1014,16,FALSE())),"please select a BUG ID")</f>
        <v>please select a BUG ID</v>
      </c>
      <c r="D244" s="40"/>
      <c r="E244" s="43"/>
      <c r="F244" s="49"/>
      <c r="G244" s="50"/>
      <c r="H244" s="43"/>
    </row>
    <row r="245">
      <c r="A245" s="43"/>
      <c r="B245" s="38" t="str">
        <f>IFERROR(HYPERLINK(VLOOKUP(A245,Internal_lists_bugs!$A$2:$C$73,3,FALSE()), VLOOKUP(A245,Internal_lists_bugs!$A$2:$C$73,3,FALSE())&amp;Char(10) &amp; Char(10) &amp; VLOOKUP(A245,Internal_lists_bugs!$A$2:$Z$73,26,FALSE())),"please select a BUG ID")</f>
        <v>please select a BUG ID</v>
      </c>
      <c r="C245" s="51" t="str">
        <f>IFERROR(Hyperlink(VLOOKUP(A245,Internal_lists_bugs!$A$2:$G1014,7,FALSE()),"BIC: "&amp;VLOOKUP(A245,Internal_lists_bugs!$A$2:$G1014,7,FALSE())&amp;CHAR(10)&amp;"Intro.Issues: "&amp;VLOOKUP(A245,Internal_lists_bugs!$A$2:$P1014,16,FALSE())),"please select a BUG ID")</f>
        <v>please select a BUG ID</v>
      </c>
      <c r="D245" s="40"/>
      <c r="E245" s="43"/>
      <c r="F245" s="41"/>
      <c r="G245" s="42"/>
      <c r="H245" s="43"/>
    </row>
    <row r="246">
      <c r="A246" s="43"/>
      <c r="B246" s="38" t="str">
        <f>IFERROR(HYPERLINK(VLOOKUP(A246,Internal_lists_bugs!$A$2:$C$73,3,FALSE()), VLOOKUP(A246,Internal_lists_bugs!$A$2:$C$73,3,FALSE())&amp;Char(10) &amp; Char(10) &amp; VLOOKUP(A246,Internal_lists_bugs!$A$2:$Z$73,26,FALSE())),"please select a BUG ID")</f>
        <v>please select a BUG ID</v>
      </c>
      <c r="C246" s="51" t="str">
        <f>IFERROR(Hyperlink(VLOOKUP(A246,Internal_lists_bugs!$A$2:$G1014,7,FALSE()),"BIC: "&amp;VLOOKUP(A246,Internal_lists_bugs!$A$2:$G1014,7,FALSE())&amp;CHAR(10)&amp;"Intro.Issues: "&amp;VLOOKUP(A246,Internal_lists_bugs!$A$2:$P1014,16,FALSE())),"please select a BUG ID")</f>
        <v>please select a BUG ID</v>
      </c>
      <c r="D246" s="40"/>
      <c r="E246" s="43"/>
      <c r="F246" s="41"/>
      <c r="G246" s="42"/>
      <c r="H246" s="43"/>
    </row>
    <row r="247">
      <c r="A247" s="43"/>
      <c r="B247" s="38" t="str">
        <f>IFERROR(HYPERLINK(VLOOKUP(A247,Internal_lists_bugs!$A$2:$C$73,3,FALSE()), VLOOKUP(A247,Internal_lists_bugs!$A$2:$C$73,3,FALSE())&amp;Char(10) &amp; Char(10) &amp; VLOOKUP(A247,Internal_lists_bugs!$A$2:$Z$73,26,FALSE())),"please select a BUG ID")</f>
        <v>please select a BUG ID</v>
      </c>
      <c r="C247" s="51" t="str">
        <f>IFERROR(Hyperlink(VLOOKUP(A247,Internal_lists_bugs!$A$2:$G1014,7,FALSE()),"BIC: "&amp;VLOOKUP(A247,Internal_lists_bugs!$A$2:$G1014,7,FALSE())&amp;CHAR(10)&amp;"Intro.Issues: "&amp;VLOOKUP(A247,Internal_lists_bugs!$A$2:$P1014,16,FALSE())),"please select a BUG ID")</f>
        <v>please select a BUG ID</v>
      </c>
      <c r="D247" s="40"/>
      <c r="E247" s="43"/>
      <c r="F247" s="41"/>
      <c r="G247" s="42"/>
      <c r="H247" s="43"/>
    </row>
    <row r="248">
      <c r="A248" s="43"/>
      <c r="B248" s="38" t="str">
        <f>IFERROR(HYPERLINK(VLOOKUP(A248,Internal_lists_bugs!$A$2:$C$73,3,FALSE()), VLOOKUP(A248,Internal_lists_bugs!$A$2:$C$73,3,FALSE())&amp;Char(10) &amp; Char(10) &amp; VLOOKUP(A248,Internal_lists_bugs!$A$2:$Z$73,26,FALSE())),"please select a BUG ID")</f>
        <v>please select a BUG ID</v>
      </c>
      <c r="C248" s="51" t="str">
        <f>IFERROR(Hyperlink(VLOOKUP(A248,Internal_lists_bugs!$A$2:$G1014,7,FALSE()),"BIC: "&amp;VLOOKUP(A248,Internal_lists_bugs!$A$2:$G1014,7,FALSE())&amp;CHAR(10)&amp;"Intro.Issues: "&amp;VLOOKUP(A248,Internal_lists_bugs!$A$2:$P1014,16,FALSE())),"please select a BUG ID")</f>
        <v>please select a BUG ID</v>
      </c>
      <c r="D248" s="40"/>
      <c r="E248" s="43"/>
      <c r="F248" s="41"/>
      <c r="G248" s="42"/>
      <c r="H248" s="43"/>
    </row>
    <row r="249">
      <c r="A249" s="43"/>
      <c r="B249" s="38" t="str">
        <f>IFERROR(HYPERLINK(VLOOKUP(A249,Internal_lists_bugs!$A$2:$C$73,3,FALSE()), VLOOKUP(A249,Internal_lists_bugs!$A$2:$C$73,3,FALSE())&amp;Char(10) &amp; Char(10) &amp; VLOOKUP(A249,Internal_lists_bugs!$A$2:$Z$73,26,FALSE())),"please select a BUG ID")</f>
        <v>please select a BUG ID</v>
      </c>
      <c r="C249" s="51" t="str">
        <f>IFERROR(Hyperlink(VLOOKUP(A249,Internal_lists_bugs!$A$2:$G1014,7,FALSE()),"BIC: "&amp;VLOOKUP(A249,Internal_lists_bugs!$A$2:$G1014,7,FALSE())&amp;CHAR(10)&amp;"Intro.Issues: "&amp;VLOOKUP(A249,Internal_lists_bugs!$A$2:$P1014,16,FALSE())),"please select a BUG ID")</f>
        <v>please select a BUG ID</v>
      </c>
      <c r="D249" s="40"/>
      <c r="E249" s="43"/>
      <c r="F249" s="41"/>
      <c r="G249" s="42"/>
      <c r="H249" s="43"/>
    </row>
    <row r="250">
      <c r="A250" s="43"/>
      <c r="B250" s="38" t="str">
        <f>IFERROR(HYPERLINK(VLOOKUP(A250,Internal_lists_bugs!$A$2:$C$73,3,FALSE()), VLOOKUP(A250,Internal_lists_bugs!$A$2:$C$73,3,FALSE())&amp;Char(10) &amp; Char(10) &amp; VLOOKUP(A250,Internal_lists_bugs!$A$2:$Z$73,26,FALSE())),"please select a BUG ID")</f>
        <v>please select a BUG ID</v>
      </c>
      <c r="C250" s="51" t="str">
        <f>IFERROR(Hyperlink(VLOOKUP(A250,Internal_lists_bugs!$A$2:$G1014,7,FALSE()),"BIC: "&amp;VLOOKUP(A250,Internal_lists_bugs!$A$2:$G1014,7,FALSE())&amp;CHAR(10)&amp;"Intro.Issues: "&amp;VLOOKUP(A250,Internal_lists_bugs!$A$2:$P1014,16,FALSE())),"please select a BUG ID")</f>
        <v>please select a BUG ID</v>
      </c>
      <c r="D250" s="40"/>
      <c r="E250" s="43"/>
      <c r="F250" s="41"/>
      <c r="G250" s="42"/>
      <c r="H250" s="43"/>
    </row>
    <row r="251">
      <c r="A251" s="43"/>
      <c r="B251" s="38" t="str">
        <f>IFERROR(HYPERLINK(VLOOKUP(A251,Internal_lists_bugs!$A$2:$C$73,3,FALSE()), VLOOKUP(A251,Internal_lists_bugs!$A$2:$C$73,3,FALSE())&amp;Char(10) &amp; Char(10) &amp; VLOOKUP(A251,Internal_lists_bugs!$A$2:$Z$73,26,FALSE())),"please select a BUG ID")</f>
        <v>please select a BUG ID</v>
      </c>
      <c r="C251" s="51" t="str">
        <f>IFERROR(Hyperlink(VLOOKUP(A251,Internal_lists_bugs!$A$2:$G1014,7,FALSE()),"BIC: "&amp;VLOOKUP(A251,Internal_lists_bugs!$A$2:$G1014,7,FALSE())&amp;CHAR(10)&amp;"Intro.Issues: "&amp;VLOOKUP(A251,Internal_lists_bugs!$A$2:$P1014,16,FALSE())),"please select a BUG ID")</f>
        <v>please select a BUG ID</v>
      </c>
      <c r="D251" s="40"/>
      <c r="E251" s="43"/>
      <c r="F251" s="41"/>
      <c r="G251" s="42"/>
      <c r="H251" s="43"/>
    </row>
    <row r="252">
      <c r="A252" s="43"/>
      <c r="B252" s="38" t="str">
        <f>IFERROR(HYPERLINK(VLOOKUP(A252,Internal_lists_bugs!$A$2:$C$73,3,FALSE()), VLOOKUP(A252,Internal_lists_bugs!$A$2:$C$73,3,FALSE())&amp;Char(10) &amp; Char(10) &amp; VLOOKUP(A252,Internal_lists_bugs!$A$2:$Z$73,26,FALSE())),"please select a BUG ID")</f>
        <v>please select a BUG ID</v>
      </c>
      <c r="C252" s="51" t="str">
        <f>IFERROR(Hyperlink(VLOOKUP(A252,Internal_lists_bugs!$A$2:$G1014,7,FALSE()),"BIC: "&amp;VLOOKUP(A252,Internal_lists_bugs!$A$2:$G1014,7,FALSE())&amp;CHAR(10)&amp;"Intro.Issues: "&amp;VLOOKUP(A252,Internal_lists_bugs!$A$2:$P1014,16,FALSE())),"please select a BUG ID")</f>
        <v>please select a BUG ID</v>
      </c>
      <c r="D252" s="40"/>
      <c r="E252" s="43"/>
      <c r="F252" s="41"/>
      <c r="G252" s="42"/>
      <c r="H252" s="43"/>
    </row>
    <row r="253">
      <c r="A253" s="43"/>
      <c r="B253" s="38" t="str">
        <f>IFERROR(HYPERLINK(VLOOKUP(A253,Internal_lists_bugs!$A$2:$C$73,3,FALSE()), VLOOKUP(A253,Internal_lists_bugs!$A$2:$C$73,3,FALSE())&amp;Char(10) &amp; Char(10) &amp; VLOOKUP(A253,Internal_lists_bugs!$A$2:$Z$73,26,FALSE())),"please select a BUG ID")</f>
        <v>please select a BUG ID</v>
      </c>
      <c r="C253" s="51" t="str">
        <f>IFERROR(Hyperlink(VLOOKUP(A253,Internal_lists_bugs!$A$2:$G1014,7,FALSE()),"BIC: "&amp;VLOOKUP(A253,Internal_lists_bugs!$A$2:$G1014,7,FALSE())&amp;CHAR(10)&amp;"Intro.Issues: "&amp;VLOOKUP(A253,Internal_lists_bugs!$A$2:$P1014,16,FALSE())),"please select a BUG ID")</f>
        <v>please select a BUG ID</v>
      </c>
      <c r="D253" s="40"/>
      <c r="E253" s="43"/>
      <c r="F253" s="41"/>
      <c r="G253" s="42"/>
      <c r="H253" s="43"/>
    </row>
    <row r="254">
      <c r="A254" s="43"/>
      <c r="B254" s="38" t="str">
        <f>IFERROR(HYPERLINK(VLOOKUP(A254,Internal_lists_bugs!$A$2:$C$73,3,FALSE()), VLOOKUP(A254,Internal_lists_bugs!$A$2:$C$73,3,FALSE())&amp;Char(10) &amp; Char(10) &amp; VLOOKUP(A254,Internal_lists_bugs!$A$2:$Z$73,26,FALSE())),"please select a BUG ID")</f>
        <v>please select a BUG ID</v>
      </c>
      <c r="C254" s="51" t="str">
        <f>IFERROR(Hyperlink(VLOOKUP(A254,Internal_lists_bugs!$A$2:$G1014,7,FALSE()),"BIC: "&amp;VLOOKUP(A254,Internal_lists_bugs!$A$2:$G1014,7,FALSE())&amp;CHAR(10)&amp;"Intro.Issues: "&amp;VLOOKUP(A254,Internal_lists_bugs!$A$2:$P1014,16,FALSE())),"please select a BUG ID")</f>
        <v>please select a BUG ID</v>
      </c>
      <c r="D254" s="40"/>
      <c r="E254" s="43"/>
      <c r="F254" s="41"/>
      <c r="G254" s="42"/>
      <c r="H254" s="43"/>
    </row>
    <row r="255">
      <c r="A255" s="43"/>
      <c r="B255" s="38" t="str">
        <f>IFERROR(HYPERLINK(VLOOKUP(A255,Internal_lists_bugs!$A$2:$C$73,3,FALSE()), VLOOKUP(A255,Internal_lists_bugs!$A$2:$C$73,3,FALSE())&amp;Char(10) &amp; Char(10) &amp; VLOOKUP(A255,Internal_lists_bugs!$A$2:$Z$73,26,FALSE())),"please select a BUG ID")</f>
        <v>please select a BUG ID</v>
      </c>
      <c r="C255" s="51" t="str">
        <f>IFERROR(Hyperlink(VLOOKUP(A255,Internal_lists_bugs!$A$2:$G1014,7,FALSE()),"BIC: "&amp;VLOOKUP(A255,Internal_lists_bugs!$A$2:$G1014,7,FALSE())&amp;CHAR(10)&amp;"Intro.Issues: "&amp;VLOOKUP(A255,Internal_lists_bugs!$A$2:$P1014,16,FALSE())),"please select a BUG ID")</f>
        <v>please select a BUG ID</v>
      </c>
      <c r="D255" s="40"/>
      <c r="E255" s="43"/>
      <c r="F255" s="41"/>
      <c r="G255" s="42"/>
      <c r="H255" s="43"/>
    </row>
    <row r="256">
      <c r="A256" s="43"/>
      <c r="B256" s="38" t="str">
        <f>IFERROR(HYPERLINK(VLOOKUP(A256,Internal_lists_bugs!$A$2:$C$73,3,FALSE()), VLOOKUP(A256,Internal_lists_bugs!$A$2:$C$73,3,FALSE())&amp;Char(10) &amp; Char(10) &amp; VLOOKUP(A256,Internal_lists_bugs!$A$2:$Z$73,26,FALSE())),"please select a BUG ID")</f>
        <v>please select a BUG ID</v>
      </c>
      <c r="C256" s="51" t="str">
        <f>IFERROR(Hyperlink(VLOOKUP(A256,Internal_lists_bugs!$A$2:$G1014,7,FALSE()),"BIC: "&amp;VLOOKUP(A256,Internal_lists_bugs!$A$2:$G1014,7,FALSE())&amp;CHAR(10)&amp;"Intro.Issues: "&amp;VLOOKUP(A256,Internal_lists_bugs!$A$2:$P1014,16,FALSE())),"please select a BUG ID")</f>
        <v>please select a BUG ID</v>
      </c>
      <c r="D256" s="40"/>
      <c r="E256" s="43"/>
      <c r="F256" s="41"/>
      <c r="G256" s="42"/>
      <c r="H256" s="43"/>
    </row>
    <row r="257">
      <c r="A257" s="43"/>
      <c r="B257" s="38" t="str">
        <f>IFERROR(HYPERLINK(VLOOKUP(A257,Internal_lists_bugs!$A$2:$C$73,3,FALSE()), VLOOKUP(A257,Internal_lists_bugs!$A$2:$C$73,3,FALSE())&amp;Char(10) &amp; Char(10) &amp; VLOOKUP(A257,Internal_lists_bugs!$A$2:$Z$73,26,FALSE())),"please select a BUG ID")</f>
        <v>please select a BUG ID</v>
      </c>
      <c r="C257" s="51" t="str">
        <f>IFERROR(Hyperlink(VLOOKUP(A257,Internal_lists_bugs!$A$2:$G1014,7,FALSE()),"BIC: "&amp;VLOOKUP(A257,Internal_lists_bugs!$A$2:$G1014,7,FALSE())&amp;CHAR(10)&amp;"Intro.Issues: "&amp;VLOOKUP(A257,Internal_lists_bugs!$A$2:$P1014,16,FALSE())),"please select a BUG ID")</f>
        <v>please select a BUG ID</v>
      </c>
      <c r="D257" s="40"/>
      <c r="E257" s="43"/>
      <c r="F257" s="41"/>
      <c r="G257" s="42"/>
      <c r="H257" s="43"/>
    </row>
    <row r="258">
      <c r="A258" s="43"/>
      <c r="B258" s="38" t="str">
        <f>IFERROR(HYPERLINK(VLOOKUP(A258,Internal_lists_bugs!$A$2:$C$73,3,FALSE()), VLOOKUP(A258,Internal_lists_bugs!$A$2:$C$73,3,FALSE())&amp;Char(10) &amp; Char(10) &amp; VLOOKUP(A258,Internal_lists_bugs!$A$2:$Z$73,26,FALSE())),"please select a BUG ID")</f>
        <v>please select a BUG ID</v>
      </c>
      <c r="C258" s="51" t="str">
        <f>IFERROR(Hyperlink(VLOOKUP(A258,Internal_lists_bugs!$A$2:$G1014,7,FALSE()),"BIC: "&amp;VLOOKUP(A258,Internal_lists_bugs!$A$2:$G1014,7,FALSE())&amp;CHAR(10)&amp;"Intro.Issues: "&amp;VLOOKUP(A258,Internal_lists_bugs!$A$2:$P1014,16,FALSE())),"please select a BUG ID")</f>
        <v>please select a BUG ID</v>
      </c>
      <c r="D258" s="40"/>
      <c r="E258" s="43"/>
      <c r="F258" s="41"/>
      <c r="G258" s="42"/>
      <c r="H258" s="43"/>
    </row>
    <row r="259">
      <c r="A259" s="43"/>
      <c r="B259" s="38" t="str">
        <f>IFERROR(HYPERLINK(VLOOKUP(A259,Internal_lists_bugs!$A$2:$C$73,3,FALSE()), VLOOKUP(A259,Internal_lists_bugs!$A$2:$C$73,3,FALSE())&amp;Char(10) &amp; Char(10) &amp; VLOOKUP(A259,Internal_lists_bugs!$A$2:$Z$73,26,FALSE())),"please select a BUG ID")</f>
        <v>please select a BUG ID</v>
      </c>
      <c r="C259" s="51" t="str">
        <f>IFERROR(Hyperlink(VLOOKUP(A259,Internal_lists_bugs!$A$2:$G1014,7,FALSE()),"BIC: "&amp;VLOOKUP(A259,Internal_lists_bugs!$A$2:$G1014,7,FALSE())&amp;CHAR(10)&amp;"Intro.Issues: "&amp;VLOOKUP(A259,Internal_lists_bugs!$A$2:$P1014,16,FALSE())),"please select a BUG ID")</f>
        <v>please select a BUG ID</v>
      </c>
      <c r="D259" s="40"/>
      <c r="E259" s="43"/>
      <c r="F259" s="41"/>
      <c r="G259" s="42"/>
      <c r="H259" s="43"/>
    </row>
    <row r="260">
      <c r="A260" s="43"/>
      <c r="B260" s="38" t="str">
        <f>IFERROR(HYPERLINK(VLOOKUP(A260,Internal_lists_bugs!$A$2:$C$73,3,FALSE()), VLOOKUP(A260,Internal_lists_bugs!$A$2:$C$73,3,FALSE())&amp;Char(10) &amp; Char(10) &amp; VLOOKUP(A260,Internal_lists_bugs!$A$2:$Z$73,26,FALSE())),"please select a BUG ID")</f>
        <v>please select a BUG ID</v>
      </c>
      <c r="C260" s="51" t="str">
        <f>IFERROR(Hyperlink(VLOOKUP(A260,Internal_lists_bugs!$A$2:$G1014,7,FALSE()),"BIC: "&amp;VLOOKUP(A260,Internal_lists_bugs!$A$2:$G1014,7,FALSE())&amp;CHAR(10)&amp;"Intro.Issues: "&amp;VLOOKUP(A260,Internal_lists_bugs!$A$2:$P1014,16,FALSE())),"please select a BUG ID")</f>
        <v>please select a BUG ID</v>
      </c>
      <c r="D260" s="40"/>
      <c r="E260" s="43"/>
      <c r="F260" s="41"/>
      <c r="G260" s="42"/>
      <c r="H260" s="43"/>
    </row>
    <row r="261">
      <c r="A261" s="43"/>
      <c r="B261" s="38" t="str">
        <f>IFERROR(HYPERLINK(VLOOKUP(A261,Internal_lists_bugs!$A$2:$C$73,3,FALSE()), VLOOKUP(A261,Internal_lists_bugs!$A$2:$C$73,3,FALSE())&amp;Char(10) &amp; Char(10) &amp; VLOOKUP(A261,Internal_lists_bugs!$A$2:$Z$73,26,FALSE())),"please select a BUG ID")</f>
        <v>please select a BUG ID</v>
      </c>
      <c r="C261" s="51" t="str">
        <f>IFERROR(Hyperlink(VLOOKUP(A261,Internal_lists_bugs!$A$2:$G1014,7,FALSE()),"BIC: "&amp;VLOOKUP(A261,Internal_lists_bugs!$A$2:$G1014,7,FALSE())&amp;CHAR(10)&amp;"Intro.Issues: "&amp;VLOOKUP(A261,Internal_lists_bugs!$A$2:$P1014,16,FALSE())),"please select a BUG ID")</f>
        <v>please select a BUG ID</v>
      </c>
      <c r="D261" s="40"/>
      <c r="E261" s="43"/>
      <c r="F261" s="41"/>
      <c r="G261" s="42"/>
      <c r="H261" s="43"/>
    </row>
    <row r="262">
      <c r="A262" s="43"/>
      <c r="B262" s="38" t="str">
        <f>IFERROR(HYPERLINK(VLOOKUP(A262,Internal_lists_bugs!$A$2:$C$73,3,FALSE()), VLOOKUP(A262,Internal_lists_bugs!$A$2:$C$73,3,FALSE())&amp;Char(10) &amp; Char(10) &amp; VLOOKUP(A262,Internal_lists_bugs!$A$2:$Z$73,26,FALSE())),"please select a BUG ID")</f>
        <v>please select a BUG ID</v>
      </c>
      <c r="C262" s="51" t="str">
        <f>IFERROR(Hyperlink(VLOOKUP(A262,Internal_lists_bugs!$A$2:$G1014,7,FALSE()),"BIC: "&amp;VLOOKUP(A262,Internal_lists_bugs!$A$2:$G1014,7,FALSE())&amp;CHAR(10)&amp;"Intro.Issues: "&amp;VLOOKUP(A262,Internal_lists_bugs!$A$2:$P1014,16,FALSE())),"please select a BUG ID")</f>
        <v>please select a BUG ID</v>
      </c>
      <c r="D262" s="40"/>
      <c r="E262" s="43"/>
      <c r="F262" s="49"/>
      <c r="G262" s="50"/>
      <c r="H262" s="43"/>
    </row>
    <row r="263">
      <c r="A263" s="43"/>
      <c r="B263" s="38" t="str">
        <f>IFERROR(HYPERLINK(VLOOKUP(A263,Internal_lists_bugs!$A$2:$C$73,3,FALSE()), VLOOKUP(A263,Internal_lists_bugs!$A$2:$C$73,3,FALSE())&amp;Char(10) &amp; Char(10) &amp; VLOOKUP(A263,Internal_lists_bugs!$A$2:$Z$73,26,FALSE())),"please select a BUG ID")</f>
        <v>please select a BUG ID</v>
      </c>
      <c r="C263" s="51" t="str">
        <f>IFERROR(Hyperlink(VLOOKUP(A263,Internal_lists_bugs!$A$2:$G1014,7,FALSE()),"BIC: "&amp;VLOOKUP(A263,Internal_lists_bugs!$A$2:$G1014,7,FALSE())&amp;CHAR(10)&amp;"Intro.Issues: "&amp;VLOOKUP(A263,Internal_lists_bugs!$A$2:$P1014,16,FALSE())),"please select a BUG ID")</f>
        <v>please select a BUG ID</v>
      </c>
      <c r="D263" s="40"/>
      <c r="E263" s="43"/>
      <c r="F263" s="41"/>
      <c r="G263" s="42"/>
      <c r="H263" s="43"/>
    </row>
    <row r="264">
      <c r="A264" s="43"/>
      <c r="B264" s="38" t="str">
        <f>IFERROR(HYPERLINK(VLOOKUP(A264,Internal_lists_bugs!$A$2:$C$73,3,FALSE()), VLOOKUP(A264,Internal_lists_bugs!$A$2:$C$73,3,FALSE())&amp;Char(10) &amp; Char(10) &amp; VLOOKUP(A264,Internal_lists_bugs!$A$2:$Z$73,26,FALSE())),"please select a BUG ID")</f>
        <v>please select a BUG ID</v>
      </c>
      <c r="C264" s="51" t="str">
        <f>IFERROR(Hyperlink(VLOOKUP(A264,Internal_lists_bugs!$A$2:$G1014,7,FALSE()),"BIC: "&amp;VLOOKUP(A264,Internal_lists_bugs!$A$2:$G1014,7,FALSE())&amp;CHAR(10)&amp;"Intro.Issues: "&amp;VLOOKUP(A264,Internal_lists_bugs!$A$2:$P1014,16,FALSE())),"please select a BUG ID")</f>
        <v>please select a BUG ID</v>
      </c>
      <c r="D264" s="40"/>
      <c r="E264" s="43"/>
      <c r="F264" s="41"/>
      <c r="G264" s="42"/>
      <c r="H264" s="43"/>
    </row>
    <row r="265">
      <c r="A265" s="43"/>
      <c r="B265" s="38" t="str">
        <f>IFERROR(HYPERLINK(VLOOKUP(A265,Internal_lists_bugs!$A$2:$C$73,3,FALSE()), VLOOKUP(A265,Internal_lists_bugs!$A$2:$C$73,3,FALSE())&amp;Char(10) &amp; Char(10) &amp; VLOOKUP(A265,Internal_lists_bugs!$A$2:$Z$73,26,FALSE())),"please select a BUG ID")</f>
        <v>please select a BUG ID</v>
      </c>
      <c r="C265" s="51" t="str">
        <f>IFERROR(Hyperlink(VLOOKUP(A265,Internal_lists_bugs!$A$2:$G1014,7,FALSE()),"BIC: "&amp;VLOOKUP(A265,Internal_lists_bugs!$A$2:$G1014,7,FALSE())&amp;CHAR(10)&amp;"Intro.Issues: "&amp;VLOOKUP(A265,Internal_lists_bugs!$A$2:$P1014,16,FALSE())),"please select a BUG ID")</f>
        <v>please select a BUG ID</v>
      </c>
      <c r="D265" s="40"/>
      <c r="E265" s="43"/>
      <c r="F265" s="41"/>
      <c r="G265" s="42"/>
      <c r="H265" s="43"/>
    </row>
    <row r="266">
      <c r="A266" s="43"/>
      <c r="B266" s="38" t="str">
        <f>IFERROR(HYPERLINK(VLOOKUP(A266,Internal_lists_bugs!$A$2:$C$73,3,FALSE()), VLOOKUP(A266,Internal_lists_bugs!$A$2:$C$73,3,FALSE())&amp;Char(10) &amp; Char(10) &amp; VLOOKUP(A266,Internal_lists_bugs!$A$2:$Z$73,26,FALSE())),"please select a BUG ID")</f>
        <v>please select a BUG ID</v>
      </c>
      <c r="C266" s="51" t="str">
        <f>IFERROR(Hyperlink(VLOOKUP(A266,Internal_lists_bugs!$A$2:$G1014,7,FALSE()),"BIC: "&amp;VLOOKUP(A266,Internal_lists_bugs!$A$2:$G1014,7,FALSE())&amp;CHAR(10)&amp;"Intro.Issues: "&amp;VLOOKUP(A266,Internal_lists_bugs!$A$2:$P1014,16,FALSE())),"please select a BUG ID")</f>
        <v>please select a BUG ID</v>
      </c>
      <c r="D266" s="40"/>
      <c r="E266" s="43"/>
      <c r="F266" s="41"/>
      <c r="G266" s="42"/>
      <c r="H266" s="43"/>
    </row>
    <row r="267">
      <c r="A267" s="43"/>
      <c r="B267" s="38" t="str">
        <f>IFERROR(HYPERLINK(VLOOKUP(A267,Internal_lists_bugs!$A$2:$C$73,3,FALSE()), VLOOKUP(A267,Internal_lists_bugs!$A$2:$C$73,3,FALSE())&amp;Char(10) &amp; Char(10) &amp; VLOOKUP(A267,Internal_lists_bugs!$A$2:$Z$73,26,FALSE())),"please select a BUG ID")</f>
        <v>please select a BUG ID</v>
      </c>
      <c r="C267" s="51" t="str">
        <f>IFERROR(Hyperlink(VLOOKUP(A267,Internal_lists_bugs!$A$2:$G1014,7,FALSE()),"BIC: "&amp;VLOOKUP(A267,Internal_lists_bugs!$A$2:$G1014,7,FALSE())&amp;CHAR(10)&amp;"Intro.Issues: "&amp;VLOOKUP(A267,Internal_lists_bugs!$A$2:$P1014,16,FALSE())),"please select a BUG ID")</f>
        <v>please select a BUG ID</v>
      </c>
      <c r="D267" s="40"/>
      <c r="E267" s="43"/>
      <c r="F267" s="41"/>
      <c r="G267" s="42"/>
      <c r="H267" s="43"/>
    </row>
    <row r="268">
      <c r="A268" s="43"/>
      <c r="B268" s="38" t="str">
        <f>IFERROR(HYPERLINK(VLOOKUP(A268,Internal_lists_bugs!$A$2:$C$73,3,FALSE()), VLOOKUP(A268,Internal_lists_bugs!$A$2:$C$73,3,FALSE())&amp;Char(10) &amp; Char(10) &amp; VLOOKUP(A268,Internal_lists_bugs!$A$2:$Z$73,26,FALSE())),"please select a BUG ID")</f>
        <v>please select a BUG ID</v>
      </c>
      <c r="C268" s="51" t="str">
        <f>IFERROR(Hyperlink(VLOOKUP(A268,Internal_lists_bugs!$A$2:$G1014,7,FALSE()),"BIC: "&amp;VLOOKUP(A268,Internal_lists_bugs!$A$2:$G1014,7,FALSE())&amp;CHAR(10)&amp;"Intro.Issues: "&amp;VLOOKUP(A268,Internal_lists_bugs!$A$2:$P1014,16,FALSE())),"please select a BUG ID")</f>
        <v>please select a BUG ID</v>
      </c>
      <c r="D268" s="40"/>
      <c r="E268" s="43"/>
      <c r="F268" s="41"/>
      <c r="G268" s="42"/>
      <c r="H268" s="43"/>
    </row>
    <row r="269">
      <c r="A269" s="43"/>
      <c r="B269" s="38" t="str">
        <f>IFERROR(HYPERLINK(VLOOKUP(A269,Internal_lists_bugs!$A$2:$C$73,3,FALSE()), VLOOKUP(A269,Internal_lists_bugs!$A$2:$C$73,3,FALSE())&amp;Char(10) &amp; Char(10) &amp; VLOOKUP(A269,Internal_lists_bugs!$A$2:$Z$73,26,FALSE())),"please select a BUG ID")</f>
        <v>please select a BUG ID</v>
      </c>
      <c r="C269" s="51" t="str">
        <f>IFERROR(Hyperlink(VLOOKUP(A269,Internal_lists_bugs!$A$2:$G1014,7,FALSE()),"BIC: "&amp;VLOOKUP(A269,Internal_lists_bugs!$A$2:$G1014,7,FALSE())&amp;CHAR(10)&amp;"Intro.Issues: "&amp;VLOOKUP(A269,Internal_lists_bugs!$A$2:$P1014,16,FALSE())),"please select a BUG ID")</f>
        <v>please select a BUG ID</v>
      </c>
      <c r="D269" s="40"/>
      <c r="E269" s="43"/>
      <c r="F269" s="41"/>
      <c r="G269" s="42"/>
      <c r="H269" s="43"/>
    </row>
    <row r="270">
      <c r="A270" s="43"/>
      <c r="B270" s="38" t="str">
        <f>IFERROR(HYPERLINK(VLOOKUP(A270,Internal_lists_bugs!$A$2:$C$73,3,FALSE()), VLOOKUP(A270,Internal_lists_bugs!$A$2:$C$73,3,FALSE())&amp;Char(10) &amp; Char(10) &amp; VLOOKUP(A270,Internal_lists_bugs!$A$2:$Z$73,26,FALSE())),"please select a BUG ID")</f>
        <v>please select a BUG ID</v>
      </c>
      <c r="C270" s="51" t="str">
        <f>IFERROR(Hyperlink(VLOOKUP(A270,Internal_lists_bugs!$A$2:$G1014,7,FALSE()),"BIC: "&amp;VLOOKUP(A270,Internal_lists_bugs!$A$2:$G1014,7,FALSE())&amp;CHAR(10)&amp;"Intro.Issues: "&amp;VLOOKUP(A270,Internal_lists_bugs!$A$2:$P1014,16,FALSE())),"please select a BUG ID")</f>
        <v>please select a BUG ID</v>
      </c>
      <c r="D270" s="40"/>
      <c r="E270" s="43"/>
      <c r="F270" s="41"/>
      <c r="G270" s="42"/>
      <c r="H270" s="43"/>
    </row>
    <row r="271">
      <c r="A271" s="43"/>
      <c r="B271" s="38" t="str">
        <f>IFERROR(HYPERLINK(VLOOKUP(A271,Internal_lists_bugs!$A$2:$C$73,3,FALSE()), VLOOKUP(A271,Internal_lists_bugs!$A$2:$C$73,3,FALSE())&amp;Char(10) &amp; Char(10) &amp; VLOOKUP(A271,Internal_lists_bugs!$A$2:$Z$73,26,FALSE())),"please select a BUG ID")</f>
        <v>please select a BUG ID</v>
      </c>
      <c r="C271" s="51" t="str">
        <f>IFERROR(Hyperlink(VLOOKUP(A271,Internal_lists_bugs!$A$2:$G1014,7,FALSE()),"BIC: "&amp;VLOOKUP(A271,Internal_lists_bugs!$A$2:$G1014,7,FALSE())&amp;CHAR(10)&amp;"Intro.Issues: "&amp;VLOOKUP(A271,Internal_lists_bugs!$A$2:$P1014,16,FALSE())),"please select a BUG ID")</f>
        <v>please select a BUG ID</v>
      </c>
      <c r="D271" s="40"/>
      <c r="E271" s="43"/>
      <c r="F271" s="41"/>
      <c r="G271" s="42"/>
      <c r="H271" s="43"/>
    </row>
    <row r="272">
      <c r="A272" s="43"/>
      <c r="B272" s="38" t="str">
        <f>IFERROR(HYPERLINK(VLOOKUP(A272,Internal_lists_bugs!$A$2:$C$73,3,FALSE()), VLOOKUP(A272,Internal_lists_bugs!$A$2:$C$73,3,FALSE())&amp;Char(10) &amp; Char(10) &amp; VLOOKUP(A272,Internal_lists_bugs!$A$2:$Z$73,26,FALSE())),"please select a BUG ID")</f>
        <v>please select a BUG ID</v>
      </c>
      <c r="C272" s="51" t="str">
        <f>IFERROR(Hyperlink(VLOOKUP(A272,Internal_lists_bugs!$A$2:$G1014,7,FALSE()),"BIC: "&amp;VLOOKUP(A272,Internal_lists_bugs!$A$2:$G1014,7,FALSE())&amp;CHAR(10)&amp;"Intro.Issues: "&amp;VLOOKUP(A272,Internal_lists_bugs!$A$2:$P1014,16,FALSE())),"please select a BUG ID")</f>
        <v>please select a BUG ID</v>
      </c>
      <c r="D272" s="40"/>
      <c r="E272" s="43"/>
      <c r="F272" s="41"/>
      <c r="G272" s="42"/>
      <c r="H272" s="43"/>
    </row>
    <row r="273">
      <c r="A273" s="43"/>
      <c r="B273" s="38" t="str">
        <f>IFERROR(HYPERLINK(VLOOKUP(A273,Internal_lists_bugs!$A$2:$C$73,3,FALSE()), VLOOKUP(A273,Internal_lists_bugs!$A$2:$C$73,3,FALSE())&amp;Char(10) &amp; Char(10) &amp; VLOOKUP(A273,Internal_lists_bugs!$A$2:$Z$73,26,FALSE())),"please select a BUG ID")</f>
        <v>please select a BUG ID</v>
      </c>
      <c r="C273" s="51" t="str">
        <f>IFERROR(Hyperlink(VLOOKUP(A273,Internal_lists_bugs!$A$2:$G1014,7,FALSE()),"BIC: "&amp;VLOOKUP(A273,Internal_lists_bugs!$A$2:$G1014,7,FALSE())&amp;CHAR(10)&amp;"Intro.Issues: "&amp;VLOOKUP(A273,Internal_lists_bugs!$A$2:$P1014,16,FALSE())),"please select a BUG ID")</f>
        <v>please select a BUG ID</v>
      </c>
      <c r="D273" s="40"/>
      <c r="E273" s="43"/>
      <c r="F273" s="41"/>
      <c r="G273" s="42"/>
      <c r="H273" s="43"/>
    </row>
    <row r="274">
      <c r="A274" s="43"/>
      <c r="B274" s="38" t="str">
        <f>IFERROR(HYPERLINK(VLOOKUP(A274,Internal_lists_bugs!$A$2:$C$73,3,FALSE()), VLOOKUP(A274,Internal_lists_bugs!$A$2:$C$73,3,FALSE())&amp;Char(10) &amp; Char(10) &amp; VLOOKUP(A274,Internal_lists_bugs!$A$2:$Z$73,26,FALSE())),"please select a BUG ID")</f>
        <v>please select a BUG ID</v>
      </c>
      <c r="C274" s="51" t="str">
        <f>IFERROR(Hyperlink(VLOOKUP(A274,Internal_lists_bugs!$A$2:$G1014,7,FALSE()),"BIC: "&amp;VLOOKUP(A274,Internal_lists_bugs!$A$2:$G1014,7,FALSE())&amp;CHAR(10)&amp;"Intro.Issues: "&amp;VLOOKUP(A274,Internal_lists_bugs!$A$2:$P1014,16,FALSE())),"please select a BUG ID")</f>
        <v>please select a BUG ID</v>
      </c>
      <c r="D274" s="40"/>
      <c r="E274" s="43"/>
      <c r="F274" s="41"/>
      <c r="G274" s="42"/>
      <c r="H274" s="43"/>
    </row>
    <row r="275">
      <c r="A275" s="43"/>
      <c r="B275" s="38" t="str">
        <f>IFERROR(HYPERLINK(VLOOKUP(A275,Internal_lists_bugs!$A$2:$C$73,3,FALSE()), VLOOKUP(A275,Internal_lists_bugs!$A$2:$C$73,3,FALSE())&amp;Char(10) &amp; Char(10) &amp; VLOOKUP(A275,Internal_lists_bugs!$A$2:$Z$73,26,FALSE())),"please select a BUG ID")</f>
        <v>please select a BUG ID</v>
      </c>
      <c r="C275" s="51" t="str">
        <f>IFERROR(Hyperlink(VLOOKUP(A275,Internal_lists_bugs!$A$2:$G1014,7,FALSE()),"BIC: "&amp;VLOOKUP(A275,Internal_lists_bugs!$A$2:$G1014,7,FALSE())&amp;CHAR(10)&amp;"Intro.Issues: "&amp;VLOOKUP(A275,Internal_lists_bugs!$A$2:$P1014,16,FALSE())),"please select a BUG ID")</f>
        <v>please select a BUG ID</v>
      </c>
      <c r="D275" s="40"/>
      <c r="E275" s="43"/>
      <c r="F275" s="41"/>
      <c r="G275" s="42"/>
      <c r="H275" s="43"/>
    </row>
    <row r="276">
      <c r="A276" s="43"/>
      <c r="B276" s="38" t="str">
        <f>IFERROR(HYPERLINK(VLOOKUP(A276,Internal_lists_bugs!$A$2:$C$73,3,FALSE()), VLOOKUP(A276,Internal_lists_bugs!$A$2:$C$73,3,FALSE())&amp;Char(10) &amp; Char(10) &amp; VLOOKUP(A276,Internal_lists_bugs!$A$2:$Z$73,26,FALSE())),"please select a BUG ID")</f>
        <v>please select a BUG ID</v>
      </c>
      <c r="C276" s="51" t="str">
        <f>IFERROR(Hyperlink(VLOOKUP(A276,Internal_lists_bugs!$A$2:$G1014,7,FALSE()),"BIC: "&amp;VLOOKUP(A276,Internal_lists_bugs!$A$2:$G1014,7,FALSE())&amp;CHAR(10)&amp;"Intro.Issues: "&amp;VLOOKUP(A276,Internal_lists_bugs!$A$2:$P1014,16,FALSE())),"please select a BUG ID")</f>
        <v>please select a BUG ID</v>
      </c>
      <c r="D276" s="40"/>
      <c r="E276" s="43"/>
      <c r="F276" s="41"/>
      <c r="G276" s="42"/>
      <c r="H276" s="43"/>
    </row>
    <row r="277">
      <c r="A277" s="43"/>
      <c r="B277" s="38" t="str">
        <f>IFERROR(HYPERLINK(VLOOKUP(A277,Internal_lists_bugs!$A$2:$C$73,3,FALSE()), VLOOKUP(A277,Internal_lists_bugs!$A$2:$C$73,3,FALSE())&amp;Char(10) &amp; Char(10) &amp; VLOOKUP(A277,Internal_lists_bugs!$A$2:$Z$73,26,FALSE())),"please select a BUG ID")</f>
        <v>please select a BUG ID</v>
      </c>
      <c r="C277" s="51" t="str">
        <f>IFERROR(Hyperlink(VLOOKUP(A277,Internal_lists_bugs!$A$2:$G1014,7,FALSE()),"BIC: "&amp;VLOOKUP(A277,Internal_lists_bugs!$A$2:$G1014,7,FALSE())&amp;CHAR(10)&amp;"Intro.Issues: "&amp;VLOOKUP(A277,Internal_lists_bugs!$A$2:$P1014,16,FALSE())),"please select a BUG ID")</f>
        <v>please select a BUG ID</v>
      </c>
      <c r="D277" s="40"/>
      <c r="E277" s="43"/>
      <c r="F277" s="41"/>
      <c r="G277" s="42"/>
      <c r="H277" s="43"/>
    </row>
    <row r="278">
      <c r="A278" s="43"/>
      <c r="B278" s="38" t="str">
        <f>IFERROR(HYPERLINK(VLOOKUP(A278,Internal_lists_bugs!$A$2:$C$73,3,FALSE()), VLOOKUP(A278,Internal_lists_bugs!$A$2:$C$73,3,FALSE())&amp;Char(10) &amp; Char(10) &amp; VLOOKUP(A278,Internal_lists_bugs!$A$2:$Z$73,26,FALSE())),"please select a BUG ID")</f>
        <v>please select a BUG ID</v>
      </c>
      <c r="C278" s="51" t="str">
        <f>IFERROR(Hyperlink(VLOOKUP(A278,Internal_lists_bugs!$A$2:$G1014,7,FALSE()),"BIC: "&amp;VLOOKUP(A278,Internal_lists_bugs!$A$2:$G1014,7,FALSE())&amp;CHAR(10)&amp;"Intro.Issues: "&amp;VLOOKUP(A278,Internal_lists_bugs!$A$2:$P1014,16,FALSE())),"please select a BUG ID")</f>
        <v>please select a BUG ID</v>
      </c>
      <c r="D278" s="40"/>
      <c r="E278" s="43"/>
      <c r="F278" s="41"/>
      <c r="G278" s="42"/>
      <c r="H278" s="43"/>
    </row>
    <row r="279">
      <c r="A279" s="43"/>
      <c r="B279" s="38" t="str">
        <f>IFERROR(HYPERLINK(VLOOKUP(A279,Internal_lists_bugs!$A$2:$C$73,3,FALSE()), VLOOKUP(A279,Internal_lists_bugs!$A$2:$C$73,3,FALSE())&amp;Char(10) &amp; Char(10) &amp; VLOOKUP(A279,Internal_lists_bugs!$A$2:$Z$73,26,FALSE())),"please select a BUG ID")</f>
        <v>please select a BUG ID</v>
      </c>
      <c r="C279" s="51" t="str">
        <f>IFERROR(Hyperlink(VLOOKUP(A279,Internal_lists_bugs!$A$2:$G1014,7,FALSE()),"BIC: "&amp;VLOOKUP(A279,Internal_lists_bugs!$A$2:$G1014,7,FALSE())&amp;CHAR(10)&amp;"Intro.Issues: "&amp;VLOOKUP(A279,Internal_lists_bugs!$A$2:$P1014,16,FALSE())),"please select a BUG ID")</f>
        <v>please select a BUG ID</v>
      </c>
      <c r="D279" s="40"/>
      <c r="E279" s="43"/>
      <c r="F279" s="41"/>
      <c r="G279" s="42"/>
      <c r="H279" s="43"/>
    </row>
    <row r="280">
      <c r="A280" s="43"/>
      <c r="B280" s="38" t="str">
        <f>IFERROR(HYPERLINK(VLOOKUP(A280,Internal_lists_bugs!$A$2:$C$73,3,FALSE()), VLOOKUP(A280,Internal_lists_bugs!$A$2:$C$73,3,FALSE())&amp;Char(10) &amp; Char(10) &amp; VLOOKUP(A280,Internal_lists_bugs!$A$2:$Z$73,26,FALSE())),"please select a BUG ID")</f>
        <v>please select a BUG ID</v>
      </c>
      <c r="C280" s="51" t="str">
        <f>IFERROR(Hyperlink(VLOOKUP(A280,Internal_lists_bugs!$A$2:$G1014,7,FALSE()),"BIC: "&amp;VLOOKUP(A280,Internal_lists_bugs!$A$2:$G1014,7,FALSE())&amp;CHAR(10)&amp;"Intro.Issues: "&amp;VLOOKUP(A280,Internal_lists_bugs!$A$2:$P1014,16,FALSE())),"please select a BUG ID")</f>
        <v>please select a BUG ID</v>
      </c>
      <c r="D280" s="40"/>
      <c r="E280" s="43"/>
      <c r="F280" s="41"/>
      <c r="G280" s="42"/>
      <c r="H280" s="43"/>
    </row>
    <row r="281">
      <c r="A281" s="43"/>
      <c r="B281" s="38" t="str">
        <f>IFERROR(HYPERLINK(VLOOKUP(A281,Internal_lists_bugs!$A$2:$C$73,3,FALSE()), VLOOKUP(A281,Internal_lists_bugs!$A$2:$C$73,3,FALSE())&amp;Char(10) &amp; Char(10) &amp; VLOOKUP(A281,Internal_lists_bugs!$A$2:$Z$73,26,FALSE())),"please select a BUG ID")</f>
        <v>please select a BUG ID</v>
      </c>
      <c r="C281" s="51" t="str">
        <f>IFERROR(Hyperlink(VLOOKUP(A281,Internal_lists_bugs!$A$2:$G1014,7,FALSE()),"BIC: "&amp;VLOOKUP(A281,Internal_lists_bugs!$A$2:$G1014,7,FALSE())&amp;CHAR(10)&amp;"Intro.Issues: "&amp;VLOOKUP(A281,Internal_lists_bugs!$A$2:$P1014,16,FALSE())),"please select a BUG ID")</f>
        <v>please select a BUG ID</v>
      </c>
      <c r="D281" s="40"/>
      <c r="E281" s="43"/>
      <c r="F281" s="41"/>
      <c r="G281" s="42"/>
      <c r="H281" s="43"/>
    </row>
    <row r="282">
      <c r="A282" s="43"/>
      <c r="B282" s="38" t="str">
        <f>IFERROR(HYPERLINK(VLOOKUP(A282,Internal_lists_bugs!$A$2:$C$73,3,FALSE()), VLOOKUP(A282,Internal_lists_bugs!$A$2:$C$73,3,FALSE())&amp;Char(10) &amp; Char(10) &amp; VLOOKUP(A282,Internal_lists_bugs!$A$2:$Z$73,26,FALSE())),"please select a BUG ID")</f>
        <v>please select a BUG ID</v>
      </c>
      <c r="C282" s="51" t="str">
        <f>IFERROR(Hyperlink(VLOOKUP(A282,Internal_lists_bugs!$A$2:$G1014,7,FALSE()),"BIC: "&amp;VLOOKUP(A282,Internal_lists_bugs!$A$2:$G1014,7,FALSE())&amp;CHAR(10)&amp;"Intro.Issues: "&amp;VLOOKUP(A282,Internal_lists_bugs!$A$2:$P1014,16,FALSE())),"please select a BUG ID")</f>
        <v>please select a BUG ID</v>
      </c>
      <c r="D282" s="40"/>
      <c r="E282" s="43"/>
      <c r="F282" s="49"/>
      <c r="G282" s="50"/>
      <c r="H282" s="43"/>
    </row>
    <row r="283">
      <c r="A283" s="43"/>
      <c r="B283" s="38" t="str">
        <f>IFERROR(HYPERLINK(VLOOKUP(A283,Internal_lists_bugs!$A$2:$C$73,3,FALSE()), VLOOKUP(A283,Internal_lists_bugs!$A$2:$C$73,3,FALSE())&amp;Char(10) &amp; Char(10) &amp; VLOOKUP(A283,Internal_lists_bugs!$A$2:$Z$73,26,FALSE())),"please select a BUG ID")</f>
        <v>please select a BUG ID</v>
      </c>
      <c r="C283" s="51" t="str">
        <f>IFERROR(Hyperlink(VLOOKUP(A283,Internal_lists_bugs!$A$2:$G1014,7,FALSE()),"BIC: "&amp;VLOOKUP(A283,Internal_lists_bugs!$A$2:$G1014,7,FALSE())&amp;CHAR(10)&amp;"Intro.Issues: "&amp;VLOOKUP(A283,Internal_lists_bugs!$A$2:$P1014,16,FALSE())),"please select a BUG ID")</f>
        <v>please select a BUG ID</v>
      </c>
      <c r="D283" s="40"/>
      <c r="E283" s="43"/>
      <c r="F283" s="41"/>
      <c r="G283" s="42"/>
      <c r="H283" s="43"/>
    </row>
    <row r="284">
      <c r="A284" s="43"/>
      <c r="B284" s="38" t="str">
        <f>IFERROR(HYPERLINK(VLOOKUP(A284,Internal_lists_bugs!$A$2:$C$73,3,FALSE()), VLOOKUP(A284,Internal_lists_bugs!$A$2:$C$73,3,FALSE())&amp;Char(10) &amp; Char(10) &amp; VLOOKUP(A284,Internal_lists_bugs!$A$2:$Z$73,26,FALSE())),"please select a BUG ID")</f>
        <v>please select a BUG ID</v>
      </c>
      <c r="C284" s="51" t="str">
        <f>IFERROR(Hyperlink(VLOOKUP(A284,Internal_lists_bugs!$A$2:$G1014,7,FALSE()),"BIC: "&amp;VLOOKUP(A284,Internal_lists_bugs!$A$2:$G1014,7,FALSE())&amp;CHAR(10)&amp;"Intro.Issues: "&amp;VLOOKUP(A284,Internal_lists_bugs!$A$2:$P1014,16,FALSE())),"please select a BUG ID")</f>
        <v>please select a BUG ID</v>
      </c>
      <c r="D284" s="40"/>
      <c r="E284" s="43"/>
      <c r="F284" s="41"/>
      <c r="G284" s="42"/>
      <c r="H284" s="43"/>
    </row>
    <row r="285">
      <c r="A285" s="43"/>
      <c r="B285" s="38" t="str">
        <f>IFERROR(HYPERLINK(VLOOKUP(A285,Internal_lists_bugs!$A$2:$C$73,3,FALSE()), VLOOKUP(A285,Internal_lists_bugs!$A$2:$C$73,3,FALSE())&amp;Char(10) &amp; Char(10) &amp; VLOOKUP(A285,Internal_lists_bugs!$A$2:$Z$73,26,FALSE())),"please select a BUG ID")</f>
        <v>please select a BUG ID</v>
      </c>
      <c r="C285" s="51" t="str">
        <f>IFERROR(Hyperlink(VLOOKUP(A285,Internal_lists_bugs!$A$2:$G1014,7,FALSE()),"BIC: "&amp;VLOOKUP(A285,Internal_lists_bugs!$A$2:$G1014,7,FALSE())&amp;CHAR(10)&amp;"Intro.Issues: "&amp;VLOOKUP(A285,Internal_lists_bugs!$A$2:$P1014,16,FALSE())),"please select a BUG ID")</f>
        <v>please select a BUG ID</v>
      </c>
      <c r="D285" s="40"/>
      <c r="E285" s="43"/>
      <c r="F285" s="41"/>
      <c r="G285" s="42"/>
      <c r="H285" s="43"/>
    </row>
    <row r="286">
      <c r="A286" s="43"/>
      <c r="B286" s="38" t="str">
        <f>IFERROR(HYPERLINK(VLOOKUP(A286,Internal_lists_bugs!$A$2:$C$73,3,FALSE()), VLOOKUP(A286,Internal_lists_bugs!$A$2:$C$73,3,FALSE())&amp;Char(10) &amp; Char(10) &amp; VLOOKUP(A286,Internal_lists_bugs!$A$2:$Z$73,26,FALSE())),"please select a BUG ID")</f>
        <v>please select a BUG ID</v>
      </c>
      <c r="C286" s="51" t="str">
        <f>IFERROR(Hyperlink(VLOOKUP(A286,Internal_lists_bugs!$A$2:$G1014,7,FALSE()),"BIC: "&amp;VLOOKUP(A286,Internal_lists_bugs!$A$2:$G1014,7,FALSE())&amp;CHAR(10)&amp;"Intro.Issues: "&amp;VLOOKUP(A286,Internal_lists_bugs!$A$2:$P1014,16,FALSE())),"please select a BUG ID")</f>
        <v>please select a BUG ID</v>
      </c>
      <c r="D286" s="40"/>
      <c r="E286" s="43"/>
      <c r="F286" s="41"/>
      <c r="G286" s="42"/>
      <c r="H286" s="43"/>
    </row>
    <row r="287">
      <c r="A287" s="43"/>
      <c r="B287" s="38" t="str">
        <f>IFERROR(HYPERLINK(VLOOKUP(A287,Internal_lists_bugs!$A$2:$C$73,3,FALSE()), VLOOKUP(A287,Internal_lists_bugs!$A$2:$C$73,3,FALSE())&amp;Char(10) &amp; Char(10) &amp; VLOOKUP(A287,Internal_lists_bugs!$A$2:$Z$73,26,FALSE())),"please select a BUG ID")</f>
        <v>please select a BUG ID</v>
      </c>
      <c r="C287" s="51" t="str">
        <f>IFERROR(Hyperlink(VLOOKUP(A287,Internal_lists_bugs!$A$2:$G1014,7,FALSE()),"BIC: "&amp;VLOOKUP(A287,Internal_lists_bugs!$A$2:$G1014,7,FALSE())&amp;CHAR(10)&amp;"Intro.Issues: "&amp;VLOOKUP(A287,Internal_lists_bugs!$A$2:$P1014,16,FALSE())),"please select a BUG ID")</f>
        <v>please select a BUG ID</v>
      </c>
      <c r="D287" s="40"/>
      <c r="E287" s="43"/>
      <c r="F287" s="41"/>
      <c r="G287" s="42"/>
      <c r="H287" s="43"/>
    </row>
    <row r="288">
      <c r="A288" s="43"/>
      <c r="B288" s="38" t="str">
        <f>IFERROR(HYPERLINK(VLOOKUP(A288,Internal_lists_bugs!$A$2:$C$73,3,FALSE()), VLOOKUP(A288,Internal_lists_bugs!$A$2:$C$73,3,FALSE())&amp;Char(10) &amp; Char(10) &amp; VLOOKUP(A288,Internal_lists_bugs!$A$2:$Z$73,26,FALSE())),"please select a BUG ID")</f>
        <v>please select a BUG ID</v>
      </c>
      <c r="C288" s="51" t="str">
        <f>IFERROR(Hyperlink(VLOOKUP(A288,Internal_lists_bugs!$A$2:$G1014,7,FALSE()),"BIC: "&amp;VLOOKUP(A288,Internal_lists_bugs!$A$2:$G1014,7,FALSE())&amp;CHAR(10)&amp;"Intro.Issues: "&amp;VLOOKUP(A288,Internal_lists_bugs!$A$2:$P1014,16,FALSE())),"please select a BUG ID")</f>
        <v>please select a BUG ID</v>
      </c>
      <c r="D288" s="40"/>
      <c r="E288" s="43"/>
      <c r="F288" s="41"/>
      <c r="G288" s="42"/>
      <c r="H288" s="43"/>
    </row>
    <row r="289">
      <c r="A289" s="43"/>
      <c r="B289" s="38" t="str">
        <f>IFERROR(HYPERLINK(VLOOKUP(A289,Internal_lists_bugs!$A$2:$C$73,3,FALSE()), VLOOKUP(A289,Internal_lists_bugs!$A$2:$C$73,3,FALSE())&amp;Char(10) &amp; Char(10) &amp; VLOOKUP(A289,Internal_lists_bugs!$A$2:$Z$73,26,FALSE())),"please select a BUG ID")</f>
        <v>please select a BUG ID</v>
      </c>
      <c r="C289" s="51" t="str">
        <f>IFERROR(Hyperlink(VLOOKUP(A289,Internal_lists_bugs!$A$2:$G1014,7,FALSE()),"BIC: "&amp;VLOOKUP(A289,Internal_lists_bugs!$A$2:$G1014,7,FALSE())&amp;CHAR(10)&amp;"Intro.Issues: "&amp;VLOOKUP(A289,Internal_lists_bugs!$A$2:$P1014,16,FALSE())),"please select a BUG ID")</f>
        <v>please select a BUG ID</v>
      </c>
      <c r="D289" s="40"/>
      <c r="E289" s="43"/>
      <c r="F289" s="41"/>
      <c r="G289" s="42"/>
      <c r="H289" s="43"/>
    </row>
    <row r="290">
      <c r="A290" s="43"/>
      <c r="B290" s="38" t="str">
        <f>IFERROR(HYPERLINK(VLOOKUP(A290,Internal_lists_bugs!$A$2:$C$73,3,FALSE()), VLOOKUP(A290,Internal_lists_bugs!$A$2:$C$73,3,FALSE())&amp;Char(10) &amp; Char(10) &amp; VLOOKUP(A290,Internal_lists_bugs!$A$2:$Z$73,26,FALSE())),"please select a BUG ID")</f>
        <v>please select a BUG ID</v>
      </c>
      <c r="C290" s="51" t="str">
        <f>IFERROR(Hyperlink(VLOOKUP(A290,Internal_lists_bugs!$A$2:$G1014,7,FALSE()),"BIC: "&amp;VLOOKUP(A290,Internal_lists_bugs!$A$2:$G1014,7,FALSE())&amp;CHAR(10)&amp;"Intro.Issues: "&amp;VLOOKUP(A290,Internal_lists_bugs!$A$2:$P1014,16,FALSE())),"please select a BUG ID")</f>
        <v>please select a BUG ID</v>
      </c>
      <c r="D290" s="40"/>
      <c r="E290" s="43"/>
      <c r="F290" s="49"/>
      <c r="G290" s="50"/>
      <c r="H290" s="43"/>
    </row>
    <row r="291">
      <c r="A291" s="43"/>
      <c r="B291" s="38" t="str">
        <f>IFERROR(HYPERLINK(VLOOKUP(A291,Internal_lists_bugs!$A$2:$C$73,3,FALSE()), VLOOKUP(A291,Internal_lists_bugs!$A$2:$C$73,3,FALSE())&amp;Char(10) &amp; Char(10) &amp; VLOOKUP(A291,Internal_lists_bugs!$A$2:$Z$73,26,FALSE())),"please select a BUG ID")</f>
        <v>please select a BUG ID</v>
      </c>
      <c r="C291" s="51" t="str">
        <f>IFERROR(Hyperlink(VLOOKUP(A291,Internal_lists_bugs!$A$2:$G1014,7,FALSE()),"BIC: "&amp;VLOOKUP(A291,Internal_lists_bugs!$A$2:$G1014,7,FALSE())&amp;CHAR(10)&amp;"Intro.Issues: "&amp;VLOOKUP(A291,Internal_lists_bugs!$A$2:$P1014,16,FALSE())),"please select a BUG ID")</f>
        <v>please select a BUG ID</v>
      </c>
      <c r="D291" s="40"/>
      <c r="E291" s="43"/>
      <c r="F291" s="41"/>
      <c r="G291" s="42"/>
      <c r="H291" s="43"/>
    </row>
    <row r="292">
      <c r="A292" s="43"/>
      <c r="B292" s="38" t="str">
        <f>IFERROR(HYPERLINK(VLOOKUP(A292,Internal_lists_bugs!$A$2:$C$73,3,FALSE()), VLOOKUP(A292,Internal_lists_bugs!$A$2:$C$73,3,FALSE())&amp;Char(10) &amp; Char(10) &amp; VLOOKUP(A292,Internal_lists_bugs!$A$2:$Z$73,26,FALSE())),"please select a BUG ID")</f>
        <v>please select a BUG ID</v>
      </c>
      <c r="C292" s="51" t="str">
        <f>IFERROR(Hyperlink(VLOOKUP(A292,Internal_lists_bugs!$A$2:$G1014,7,FALSE()),"BIC: "&amp;VLOOKUP(A292,Internal_lists_bugs!$A$2:$G1014,7,FALSE())&amp;CHAR(10)&amp;"Intro.Issues: "&amp;VLOOKUP(A292,Internal_lists_bugs!$A$2:$P1014,16,FALSE())),"please select a BUG ID")</f>
        <v>please select a BUG ID</v>
      </c>
      <c r="D292" s="40"/>
      <c r="E292" s="43"/>
      <c r="F292" s="41"/>
      <c r="G292" s="42"/>
      <c r="H292" s="43"/>
    </row>
    <row r="293">
      <c r="A293" s="43"/>
      <c r="B293" s="38" t="str">
        <f>IFERROR(HYPERLINK(VLOOKUP(A293,Internal_lists_bugs!$A$2:$C$73,3,FALSE()), VLOOKUP(A293,Internal_lists_bugs!$A$2:$C$73,3,FALSE())&amp;Char(10) &amp; Char(10) &amp; VLOOKUP(A293,Internal_lists_bugs!$A$2:$Z$73,26,FALSE())),"please select a BUG ID")</f>
        <v>please select a BUG ID</v>
      </c>
      <c r="C293" s="51" t="str">
        <f>IFERROR(Hyperlink(VLOOKUP(A293,Internal_lists_bugs!$A$2:$G1014,7,FALSE()),"BIC: "&amp;VLOOKUP(A293,Internal_lists_bugs!$A$2:$G1014,7,FALSE())&amp;CHAR(10)&amp;"Intro.Issues: "&amp;VLOOKUP(A293,Internal_lists_bugs!$A$2:$P1014,16,FALSE())),"please select a BUG ID")</f>
        <v>please select a BUG ID</v>
      </c>
      <c r="D293" s="40"/>
      <c r="E293" s="43"/>
      <c r="F293" s="41"/>
      <c r="G293" s="42"/>
      <c r="H293" s="43"/>
    </row>
    <row r="294">
      <c r="A294" s="43"/>
      <c r="B294" s="38" t="str">
        <f>IFERROR(HYPERLINK(VLOOKUP(A294,Internal_lists_bugs!$A$2:$C$73,3,FALSE()), VLOOKUP(A294,Internal_lists_bugs!$A$2:$C$73,3,FALSE())&amp;Char(10) &amp; Char(10) &amp; VLOOKUP(A294,Internal_lists_bugs!$A$2:$Z$73,26,FALSE())),"please select a BUG ID")</f>
        <v>please select a BUG ID</v>
      </c>
      <c r="C294" s="51" t="str">
        <f>IFERROR(Hyperlink(VLOOKUP(A294,Internal_lists_bugs!$A$2:$G1014,7,FALSE()),"BIC: "&amp;VLOOKUP(A294,Internal_lists_bugs!$A$2:$G1014,7,FALSE())&amp;CHAR(10)&amp;"Intro.Issues: "&amp;VLOOKUP(A294,Internal_lists_bugs!$A$2:$P1014,16,FALSE())),"please select a BUG ID")</f>
        <v>please select a BUG ID</v>
      </c>
      <c r="D294" s="40"/>
      <c r="E294" s="43"/>
      <c r="F294" s="41"/>
      <c r="G294" s="42"/>
      <c r="H294" s="43"/>
    </row>
    <row r="295">
      <c r="A295" s="43"/>
      <c r="B295" s="38" t="str">
        <f>IFERROR(HYPERLINK(VLOOKUP(A295,Internal_lists_bugs!$A$2:$C$73,3,FALSE()), VLOOKUP(A295,Internal_lists_bugs!$A$2:$C$73,3,FALSE())&amp;Char(10) &amp; Char(10) &amp; VLOOKUP(A295,Internal_lists_bugs!$A$2:$Z$73,26,FALSE())),"please select a BUG ID")</f>
        <v>please select a BUG ID</v>
      </c>
      <c r="C295" s="51" t="str">
        <f>IFERROR(Hyperlink(VLOOKUP(A295,Internal_lists_bugs!$A$2:$G1014,7,FALSE()),"BIC: "&amp;VLOOKUP(A295,Internal_lists_bugs!$A$2:$G1014,7,FALSE())&amp;CHAR(10)&amp;"Intro.Issues: "&amp;VLOOKUP(A295,Internal_lists_bugs!$A$2:$P1014,16,FALSE())),"please select a BUG ID")</f>
        <v>please select a BUG ID</v>
      </c>
      <c r="D295" s="40"/>
      <c r="E295" s="43"/>
      <c r="F295" s="41"/>
      <c r="G295" s="42"/>
      <c r="H295" s="43"/>
    </row>
    <row r="296">
      <c r="A296" s="43"/>
      <c r="B296" s="38" t="str">
        <f>IFERROR(HYPERLINK(VLOOKUP(A296,Internal_lists_bugs!$A$2:$C$73,3,FALSE()), VLOOKUP(A296,Internal_lists_bugs!$A$2:$C$73,3,FALSE())&amp;Char(10) &amp; Char(10) &amp; VLOOKUP(A296,Internal_lists_bugs!$A$2:$Z$73,26,FALSE())),"please select a BUG ID")</f>
        <v>please select a BUG ID</v>
      </c>
      <c r="C296" s="51" t="str">
        <f>IFERROR(Hyperlink(VLOOKUP(A296,Internal_lists_bugs!$A$2:$G1014,7,FALSE()),"BIC: "&amp;VLOOKUP(A296,Internal_lists_bugs!$A$2:$G1014,7,FALSE())&amp;CHAR(10)&amp;"Intro.Issues: "&amp;VLOOKUP(A296,Internal_lists_bugs!$A$2:$P1014,16,FALSE())),"please select a BUG ID")</f>
        <v>please select a BUG ID</v>
      </c>
      <c r="D296" s="40"/>
      <c r="E296" s="43"/>
      <c r="F296" s="41"/>
      <c r="G296" s="42"/>
      <c r="H296" s="43"/>
    </row>
    <row r="297">
      <c r="A297" s="43"/>
      <c r="B297" s="38" t="str">
        <f>IFERROR(HYPERLINK(VLOOKUP(A297,Internal_lists_bugs!$A$2:$C$73,3,FALSE()), VLOOKUP(A297,Internal_lists_bugs!$A$2:$C$73,3,FALSE())&amp;Char(10) &amp; Char(10) &amp; VLOOKUP(A297,Internal_lists_bugs!$A$2:$Z$73,26,FALSE())),"please select a BUG ID")</f>
        <v>please select a BUG ID</v>
      </c>
      <c r="C297" s="51" t="str">
        <f>IFERROR(Hyperlink(VLOOKUP(A297,Internal_lists_bugs!$A$2:$G1014,7,FALSE()),"BIC: "&amp;VLOOKUP(A297,Internal_lists_bugs!$A$2:$G1014,7,FALSE())&amp;CHAR(10)&amp;"Intro.Issues: "&amp;VLOOKUP(A297,Internal_lists_bugs!$A$2:$P1014,16,FALSE())),"please select a BUG ID")</f>
        <v>please select a BUG ID</v>
      </c>
      <c r="D297" s="40"/>
      <c r="E297" s="43"/>
      <c r="F297" s="41"/>
      <c r="G297" s="42"/>
      <c r="H297" s="43"/>
    </row>
    <row r="298">
      <c r="A298" s="43"/>
      <c r="B298" s="38" t="str">
        <f>IFERROR(HYPERLINK(VLOOKUP(A298,Internal_lists_bugs!$A$2:$C$73,3,FALSE()), VLOOKUP(A298,Internal_lists_bugs!$A$2:$C$73,3,FALSE())&amp;Char(10) &amp; Char(10) &amp; VLOOKUP(A298,Internal_lists_bugs!$A$2:$Z$73,26,FALSE())),"please select a BUG ID")</f>
        <v>please select a BUG ID</v>
      </c>
      <c r="C298" s="51" t="str">
        <f>IFERROR(Hyperlink(VLOOKUP(A298,Internal_lists_bugs!$A$2:$G1014,7,FALSE()),"BIC: "&amp;VLOOKUP(A298,Internal_lists_bugs!$A$2:$G1014,7,FALSE())&amp;CHAR(10)&amp;"Intro.Issues: "&amp;VLOOKUP(A298,Internal_lists_bugs!$A$2:$P1014,16,FALSE())),"please select a BUG ID")</f>
        <v>please select a BUG ID</v>
      </c>
      <c r="D298" s="40"/>
      <c r="E298" s="43"/>
      <c r="F298" s="41"/>
      <c r="G298" s="42"/>
      <c r="H298" s="43"/>
    </row>
    <row r="299">
      <c r="A299" s="43"/>
      <c r="B299" s="38" t="str">
        <f>IFERROR(HYPERLINK(VLOOKUP(A299,Internal_lists_bugs!$A$2:$C$73,3,FALSE()), VLOOKUP(A299,Internal_lists_bugs!$A$2:$C$73,3,FALSE())&amp;Char(10) &amp; Char(10) &amp; VLOOKUP(A299,Internal_lists_bugs!$A$2:$Z$73,26,FALSE())),"please select a BUG ID")</f>
        <v>please select a BUG ID</v>
      </c>
      <c r="C299" s="51" t="str">
        <f>IFERROR(Hyperlink(VLOOKUP(A299,Internal_lists_bugs!$A$2:$G1014,7,FALSE()),"BIC: "&amp;VLOOKUP(A299,Internal_lists_bugs!$A$2:$G1014,7,FALSE())&amp;CHAR(10)&amp;"Intro.Issues: "&amp;VLOOKUP(A299,Internal_lists_bugs!$A$2:$P1014,16,FALSE())),"please select a BUG ID")</f>
        <v>please select a BUG ID</v>
      </c>
      <c r="D299" s="40"/>
      <c r="E299" s="43"/>
      <c r="F299" s="41"/>
      <c r="G299" s="44"/>
      <c r="H299" s="43"/>
    </row>
    <row r="300">
      <c r="A300" s="43"/>
      <c r="B300" s="38" t="str">
        <f>IFERROR(HYPERLINK(VLOOKUP(A300,Internal_lists_bugs!$A$2:$C$73,3,FALSE()), VLOOKUP(A300,Internal_lists_bugs!$A$2:$C$73,3,FALSE())&amp;Char(10) &amp; Char(10) &amp; VLOOKUP(A300,Internal_lists_bugs!$A$2:$Z$73,26,FALSE())),"please select a BUG ID")</f>
        <v>please select a BUG ID</v>
      </c>
      <c r="C300" s="51" t="str">
        <f>IFERROR(Hyperlink(VLOOKUP(A300,Internal_lists_bugs!$A$2:$G1014,7,FALSE()),"BIC: "&amp;VLOOKUP(A300,Internal_lists_bugs!$A$2:$G1014,7,FALSE())&amp;CHAR(10)&amp;"Intro.Issues: "&amp;VLOOKUP(A300,Internal_lists_bugs!$A$2:$P1014,16,FALSE())),"please select a BUG ID")</f>
        <v>please select a BUG ID</v>
      </c>
      <c r="D300" s="40"/>
      <c r="E300" s="43"/>
      <c r="F300" s="41"/>
      <c r="G300" s="42"/>
      <c r="H300" s="43"/>
    </row>
    <row r="301">
      <c r="A301" s="43"/>
      <c r="B301" s="38" t="str">
        <f>IFERROR(HYPERLINK(VLOOKUP(A301,Internal_lists_bugs!$A$2:$C$73,3,FALSE()), VLOOKUP(A301,Internal_lists_bugs!$A$2:$C$73,3,FALSE())&amp;Char(10) &amp; Char(10) &amp; VLOOKUP(A301,Internal_lists_bugs!$A$2:$Z$73,26,FALSE())),"please select a BUG ID")</f>
        <v>please select a BUG ID</v>
      </c>
      <c r="C301" s="51" t="str">
        <f>IFERROR(Hyperlink(VLOOKUP(A301,Internal_lists_bugs!$A$2:$G1014,7,FALSE()),"BIC: "&amp;VLOOKUP(A301,Internal_lists_bugs!$A$2:$G1014,7,FALSE())&amp;CHAR(10)&amp;"Intro.Issues: "&amp;VLOOKUP(A301,Internal_lists_bugs!$A$2:$P1014,16,FALSE())),"please select a BUG ID")</f>
        <v>please select a BUG ID</v>
      </c>
      <c r="D301" s="40"/>
      <c r="E301" s="43"/>
      <c r="F301" s="41"/>
      <c r="G301" s="42"/>
      <c r="H301" s="43"/>
    </row>
    <row r="302">
      <c r="A302" s="43"/>
      <c r="B302" s="38" t="str">
        <f>IFERROR(HYPERLINK(VLOOKUP(A302,Internal_lists_bugs!$A$2:$C$73,3,FALSE()), VLOOKUP(A302,Internal_lists_bugs!$A$2:$C$73,3,FALSE())&amp;Char(10) &amp; Char(10) &amp; VLOOKUP(A302,Internal_lists_bugs!$A$2:$Z$73,26,FALSE())),"please select a BUG ID")</f>
        <v>please select a BUG ID</v>
      </c>
      <c r="C302" s="51" t="str">
        <f>IFERROR(Hyperlink(VLOOKUP(A302,Internal_lists_bugs!$A$2:$G1014,7,FALSE()),"BIC: "&amp;VLOOKUP(A302,Internal_lists_bugs!$A$2:$G1014,7,FALSE())&amp;CHAR(10)&amp;"Intro.Issues: "&amp;VLOOKUP(A302,Internal_lists_bugs!$A$2:$P1014,16,FALSE())),"please select a BUG ID")</f>
        <v>please select a BUG ID</v>
      </c>
      <c r="D302" s="40"/>
      <c r="E302" s="43"/>
      <c r="F302" s="41"/>
      <c r="G302" s="42"/>
      <c r="H302" s="43"/>
    </row>
    <row r="303">
      <c r="A303" s="43"/>
      <c r="B303" s="38" t="str">
        <f>IFERROR(HYPERLINK(VLOOKUP(A303,Internal_lists_bugs!$A$2:$C$73,3,FALSE()), VLOOKUP(A303,Internal_lists_bugs!$A$2:$C$73,3,FALSE())&amp;Char(10) &amp; Char(10) &amp; VLOOKUP(A303,Internal_lists_bugs!$A$2:$Z$73,26,FALSE())),"please select a BUG ID")</f>
        <v>please select a BUG ID</v>
      </c>
      <c r="C303" s="51" t="str">
        <f>IFERROR(Hyperlink(VLOOKUP(A303,Internal_lists_bugs!$A$2:$G1014,7,FALSE()),"BIC: "&amp;VLOOKUP(A303,Internal_lists_bugs!$A$2:$G1014,7,FALSE())&amp;CHAR(10)&amp;"Intro.Issues: "&amp;VLOOKUP(A303,Internal_lists_bugs!$A$2:$P1014,16,FALSE())),"please select a BUG ID")</f>
        <v>please select a BUG ID</v>
      </c>
      <c r="D303" s="40"/>
      <c r="E303" s="43"/>
      <c r="F303" s="41"/>
      <c r="G303" s="42"/>
      <c r="H303" s="43"/>
    </row>
    <row r="304">
      <c r="A304" s="43"/>
      <c r="B304" s="38" t="str">
        <f>IFERROR(HYPERLINK(VLOOKUP(A304,Internal_lists_bugs!$A$2:$C$73,3,FALSE()), VLOOKUP(A304,Internal_lists_bugs!$A$2:$C$73,3,FALSE())&amp;Char(10) &amp; Char(10) &amp; VLOOKUP(A304,Internal_lists_bugs!$A$2:$Z$73,26,FALSE())),"please select a BUG ID")</f>
        <v>please select a BUG ID</v>
      </c>
      <c r="C304" s="51" t="str">
        <f>IFERROR(Hyperlink(VLOOKUP(A304,Internal_lists_bugs!$A$2:$G1014,7,FALSE()),"BIC: "&amp;VLOOKUP(A304,Internal_lists_bugs!$A$2:$G1014,7,FALSE())&amp;CHAR(10)&amp;"Intro.Issues: "&amp;VLOOKUP(A304,Internal_lists_bugs!$A$2:$P1014,16,FALSE())),"please select a BUG ID")</f>
        <v>please select a BUG ID</v>
      </c>
      <c r="D304" s="40"/>
      <c r="E304" s="43"/>
      <c r="F304" s="41"/>
      <c r="G304" s="42"/>
      <c r="H304" s="43"/>
    </row>
    <row r="305">
      <c r="A305" s="43"/>
      <c r="B305" s="38" t="str">
        <f>IFERROR(HYPERLINK(VLOOKUP(A305,Internal_lists_bugs!$A$2:$C$73,3,FALSE()), VLOOKUP(A305,Internal_lists_bugs!$A$2:$C$73,3,FALSE())&amp;Char(10) &amp; Char(10) &amp; VLOOKUP(A305,Internal_lists_bugs!$A$2:$Z$73,26,FALSE())),"please select a BUG ID")</f>
        <v>please select a BUG ID</v>
      </c>
      <c r="C305" s="51" t="str">
        <f>IFERROR(Hyperlink(VLOOKUP(A305,Internal_lists_bugs!$A$2:$G1014,7,FALSE()),"BIC: "&amp;VLOOKUP(A305,Internal_lists_bugs!$A$2:$G1014,7,FALSE())&amp;CHAR(10)&amp;"Intro.Issues: "&amp;VLOOKUP(A305,Internal_lists_bugs!$A$2:$P1014,16,FALSE())),"please select a BUG ID")</f>
        <v>please select a BUG ID</v>
      </c>
      <c r="D305" s="40"/>
      <c r="E305" s="43"/>
      <c r="F305" s="41"/>
      <c r="G305" s="42"/>
      <c r="H305" s="43"/>
    </row>
    <row r="306">
      <c r="A306" s="43"/>
      <c r="B306" s="38" t="str">
        <f>IFERROR(HYPERLINK(VLOOKUP(A306,Internal_lists_bugs!$A$2:$C$73,3,FALSE()), VLOOKUP(A306,Internal_lists_bugs!$A$2:$C$73,3,FALSE())&amp;Char(10) &amp; Char(10) &amp; VLOOKUP(A306,Internal_lists_bugs!$A$2:$Z$73,26,FALSE())),"please select a BUG ID")</f>
        <v>please select a BUG ID</v>
      </c>
      <c r="C306" s="51" t="str">
        <f>IFERROR(Hyperlink(VLOOKUP(A306,Internal_lists_bugs!$A$2:$G1014,7,FALSE()),"BIC: "&amp;VLOOKUP(A306,Internal_lists_bugs!$A$2:$G1014,7,FALSE())&amp;CHAR(10)&amp;"Intro.Issues: "&amp;VLOOKUP(A306,Internal_lists_bugs!$A$2:$P1014,16,FALSE())),"please select a BUG ID")</f>
        <v>please select a BUG ID</v>
      </c>
      <c r="D306" s="40"/>
      <c r="E306" s="43"/>
      <c r="F306" s="41"/>
      <c r="G306" s="42"/>
      <c r="H306" s="43"/>
    </row>
    <row r="307">
      <c r="A307" s="43"/>
      <c r="B307" s="38" t="str">
        <f>IFERROR(HYPERLINK(VLOOKUP(A307,Internal_lists_bugs!$A$2:$C$73,3,FALSE()), VLOOKUP(A307,Internal_lists_bugs!$A$2:$C$73,3,FALSE())&amp;Char(10) &amp; Char(10) &amp; VLOOKUP(A307,Internal_lists_bugs!$A$2:$Z$73,26,FALSE())),"please select a BUG ID")</f>
        <v>please select a BUG ID</v>
      </c>
      <c r="C307" s="51" t="str">
        <f>IFERROR(Hyperlink(VLOOKUP(A307,Internal_lists_bugs!$A$2:$G1014,7,FALSE()),"BIC: "&amp;VLOOKUP(A307,Internal_lists_bugs!$A$2:$G1014,7,FALSE())&amp;CHAR(10)&amp;"Intro.Issues: "&amp;VLOOKUP(A307,Internal_lists_bugs!$A$2:$P1014,16,FALSE())),"please select a BUG ID")</f>
        <v>please select a BUG ID</v>
      </c>
      <c r="D307" s="40"/>
      <c r="E307" s="43"/>
      <c r="F307" s="41"/>
      <c r="G307" s="42"/>
      <c r="H307" s="43"/>
    </row>
    <row r="308">
      <c r="A308" s="43"/>
      <c r="B308" s="38" t="str">
        <f>IFERROR(HYPERLINK(VLOOKUP(A308,Internal_lists_bugs!$A$2:$C$73,3,FALSE()), VLOOKUP(A308,Internal_lists_bugs!$A$2:$C$73,3,FALSE())&amp;Char(10) &amp; Char(10) &amp; VLOOKUP(A308,Internal_lists_bugs!$A$2:$Z$73,26,FALSE())),"please select a BUG ID")</f>
        <v>please select a BUG ID</v>
      </c>
      <c r="C308" s="51" t="str">
        <f>IFERROR(Hyperlink(VLOOKUP(A308,Internal_lists_bugs!$A$2:$G1014,7,FALSE()),"BIC: "&amp;VLOOKUP(A308,Internal_lists_bugs!$A$2:$G1014,7,FALSE())&amp;CHAR(10)&amp;"Intro.Issues: "&amp;VLOOKUP(A308,Internal_lists_bugs!$A$2:$P1014,16,FALSE())),"please select a BUG ID")</f>
        <v>please select a BUG ID</v>
      </c>
      <c r="D308" s="40"/>
      <c r="E308" s="43"/>
      <c r="F308" s="41"/>
      <c r="G308" s="42"/>
      <c r="H308" s="43"/>
    </row>
    <row r="309">
      <c r="A309" s="43"/>
      <c r="B309" s="38" t="str">
        <f>IFERROR(HYPERLINK(VLOOKUP(A309,Internal_lists_bugs!$A$2:$C$73,3,FALSE()), VLOOKUP(A309,Internal_lists_bugs!$A$2:$C$73,3,FALSE())&amp;Char(10) &amp; Char(10) &amp; VLOOKUP(A309,Internal_lists_bugs!$A$2:$Z$73,26,FALSE())),"please select a BUG ID")</f>
        <v>please select a BUG ID</v>
      </c>
      <c r="C309" s="51" t="str">
        <f>IFERROR(Hyperlink(VLOOKUP(A309,Internal_lists_bugs!$A$2:$G1014,7,FALSE()),"BIC: "&amp;VLOOKUP(A309,Internal_lists_bugs!$A$2:$G1014,7,FALSE())&amp;CHAR(10)&amp;"Intro.Issues: "&amp;VLOOKUP(A309,Internal_lists_bugs!$A$2:$P1014,16,FALSE())),"please select a BUG ID")</f>
        <v>please select a BUG ID</v>
      </c>
      <c r="D309" s="40"/>
      <c r="E309" s="43"/>
      <c r="F309" s="41"/>
      <c r="G309" s="42"/>
      <c r="H309" s="43"/>
    </row>
    <row r="310">
      <c r="A310" s="43"/>
      <c r="B310" s="38" t="str">
        <f>IFERROR(HYPERLINK(VLOOKUP(A310,Internal_lists_bugs!$A$2:$C$73,3,FALSE()), VLOOKUP(A310,Internal_lists_bugs!$A$2:$C$73,3,FALSE())&amp;Char(10) &amp; Char(10) &amp; VLOOKUP(A310,Internal_lists_bugs!$A$2:$Z$73,26,FALSE())),"please select a BUG ID")</f>
        <v>please select a BUG ID</v>
      </c>
      <c r="C310" s="51" t="str">
        <f>IFERROR(Hyperlink(VLOOKUP(A310,Internal_lists_bugs!$A$2:$G1014,7,FALSE()),"BIC: "&amp;VLOOKUP(A310,Internal_lists_bugs!$A$2:$G1014,7,FALSE())&amp;CHAR(10)&amp;"Intro.Issues: "&amp;VLOOKUP(A310,Internal_lists_bugs!$A$2:$P1014,16,FALSE())),"please select a BUG ID")</f>
        <v>please select a BUG ID</v>
      </c>
      <c r="D310" s="40"/>
      <c r="E310" s="43"/>
      <c r="F310" s="41"/>
      <c r="G310" s="42"/>
      <c r="H310" s="43"/>
    </row>
    <row r="311">
      <c r="A311" s="43"/>
      <c r="B311" s="38" t="str">
        <f>IFERROR(HYPERLINK(VLOOKUP(A311,Internal_lists_bugs!$A$2:$C$73,3,FALSE()), VLOOKUP(A311,Internal_lists_bugs!$A$2:$C$73,3,FALSE())&amp;Char(10) &amp; Char(10) &amp; VLOOKUP(A311,Internal_lists_bugs!$A$2:$Z$73,26,FALSE())),"please select a BUG ID")</f>
        <v>please select a BUG ID</v>
      </c>
      <c r="C311" s="51" t="str">
        <f>IFERROR(Hyperlink(VLOOKUP(A311,Internal_lists_bugs!$A$2:$G1014,7,FALSE()),"BIC: "&amp;VLOOKUP(A311,Internal_lists_bugs!$A$2:$G1014,7,FALSE())&amp;CHAR(10)&amp;"Intro.Issues: "&amp;VLOOKUP(A311,Internal_lists_bugs!$A$2:$P1014,16,FALSE())),"please select a BUG ID")</f>
        <v>please select a BUG ID</v>
      </c>
      <c r="D311" s="40"/>
      <c r="E311" s="43"/>
      <c r="F311" s="49"/>
      <c r="G311" s="50"/>
      <c r="H311" s="43"/>
    </row>
    <row r="312">
      <c r="A312" s="43"/>
      <c r="B312" s="38" t="str">
        <f>IFERROR(HYPERLINK(VLOOKUP(A312,Internal_lists_bugs!$A$2:$C$73,3,FALSE()), VLOOKUP(A312,Internal_lists_bugs!$A$2:$C$73,3,FALSE())&amp;Char(10) &amp; Char(10) &amp; VLOOKUP(A312,Internal_lists_bugs!$A$2:$Z$73,26,FALSE())),"please select a BUG ID")</f>
        <v>please select a BUG ID</v>
      </c>
      <c r="C312" s="51" t="str">
        <f>IFERROR(Hyperlink(VLOOKUP(A312,Internal_lists_bugs!$A$2:$G1014,7,FALSE()),"BIC: "&amp;VLOOKUP(A312,Internal_lists_bugs!$A$2:$G1014,7,FALSE())&amp;CHAR(10)&amp;"Intro.Issues: "&amp;VLOOKUP(A312,Internal_lists_bugs!$A$2:$P1014,16,FALSE())),"please select a BUG ID")</f>
        <v>please select a BUG ID</v>
      </c>
      <c r="D312" s="40"/>
      <c r="E312" s="43"/>
      <c r="F312" s="49"/>
      <c r="G312" s="50"/>
      <c r="H312" s="43"/>
    </row>
    <row r="313">
      <c r="A313" s="43"/>
      <c r="B313" s="38" t="str">
        <f>IFERROR(HYPERLINK(VLOOKUP(A313,Internal_lists_bugs!$A$2:$C$73,3,FALSE()), VLOOKUP(A313,Internal_lists_bugs!$A$2:$C$73,3,FALSE())&amp;Char(10) &amp; Char(10) &amp; VLOOKUP(A313,Internal_lists_bugs!$A$2:$Z$73,26,FALSE())),"please select a BUG ID")</f>
        <v>please select a BUG ID</v>
      </c>
      <c r="C313" s="51" t="str">
        <f>IFERROR(Hyperlink(VLOOKUP(A313,Internal_lists_bugs!$A$2:$G1014,7,FALSE()),"BIC: "&amp;VLOOKUP(A313,Internal_lists_bugs!$A$2:$G1014,7,FALSE())&amp;CHAR(10)&amp;"Intro.Issues: "&amp;VLOOKUP(A313,Internal_lists_bugs!$A$2:$P1014,16,FALSE())),"please select a BUG ID")</f>
        <v>please select a BUG ID</v>
      </c>
      <c r="D313" s="52"/>
      <c r="E313" s="43"/>
      <c r="F313" s="49"/>
      <c r="G313" s="50"/>
      <c r="H313" s="43"/>
    </row>
    <row r="314">
      <c r="A314" s="43"/>
      <c r="B314" s="38" t="str">
        <f>IFERROR(HYPERLINK(VLOOKUP(A314,Internal_lists_bugs!$A$2:$C$73,3,FALSE()), VLOOKUP(A314,Internal_lists_bugs!$A$2:$C$73,3,FALSE())&amp;Char(10) &amp; Char(10) &amp; VLOOKUP(A314,Internal_lists_bugs!$A$2:$Z$73,26,FALSE())),"please select a BUG ID")</f>
        <v>please select a BUG ID</v>
      </c>
      <c r="C314" s="51" t="str">
        <f>IFERROR(Hyperlink(VLOOKUP(A314,Internal_lists_bugs!$A$2:$G1014,7,FALSE()),"BIC: "&amp;VLOOKUP(A314,Internal_lists_bugs!$A$2:$G1014,7,FALSE())&amp;CHAR(10)&amp;"Intro.Issues: "&amp;VLOOKUP(A314,Internal_lists_bugs!$A$2:$P1014,16,FALSE())),"please select a BUG ID")</f>
        <v>please select a BUG ID</v>
      </c>
      <c r="D314" s="52"/>
      <c r="E314" s="43"/>
      <c r="F314" s="49"/>
      <c r="G314" s="50"/>
      <c r="H314" s="43"/>
    </row>
    <row r="315">
      <c r="A315" s="43"/>
      <c r="B315" s="38" t="str">
        <f>IFERROR(HYPERLINK(VLOOKUP(A315,Internal_lists_bugs!$A$2:$C$73,3,FALSE()), VLOOKUP(A315,Internal_lists_bugs!$A$2:$C$73,3,FALSE())&amp;Char(10) &amp; Char(10) &amp; VLOOKUP(A315,Internal_lists_bugs!$A$2:$Z$73,26,FALSE())),"please select a BUG ID")</f>
        <v>please select a BUG ID</v>
      </c>
      <c r="C315" s="51" t="str">
        <f>IFERROR(Hyperlink(VLOOKUP(A315,Internal_lists_bugs!$A$2:$G1014,7,FALSE()),"BIC: "&amp;VLOOKUP(A315,Internal_lists_bugs!$A$2:$G1014,7,FALSE())&amp;CHAR(10)&amp;"Intro.Issues: "&amp;VLOOKUP(A315,Internal_lists_bugs!$A$2:$P1014,16,FALSE())),"please select a BUG ID")</f>
        <v>please select a BUG ID</v>
      </c>
      <c r="D315" s="52"/>
      <c r="E315" s="43"/>
      <c r="F315" s="49"/>
      <c r="G315" s="50"/>
      <c r="H315" s="43"/>
    </row>
    <row r="316">
      <c r="A316" s="43"/>
      <c r="B316" s="38" t="str">
        <f>IFERROR(HYPERLINK(VLOOKUP(A316,Internal_lists_bugs!$A$2:$C$73,3,FALSE()), VLOOKUP(A316,Internal_lists_bugs!$A$2:$C$73,3,FALSE())&amp;Char(10) &amp; Char(10) &amp; VLOOKUP(A316,Internal_lists_bugs!$A$2:$Z$73,26,FALSE())),"please select a BUG ID")</f>
        <v>please select a BUG ID</v>
      </c>
      <c r="C316" s="51" t="str">
        <f>IFERROR(Hyperlink(VLOOKUP(A316,Internal_lists_bugs!$A$2:$G1014,7,FALSE()),"BIC: "&amp;VLOOKUP(A316,Internal_lists_bugs!$A$2:$G1014,7,FALSE())&amp;CHAR(10)&amp;"Intro.Issues: "&amp;VLOOKUP(A316,Internal_lists_bugs!$A$2:$P1014,16,FALSE())),"please select a BUG ID")</f>
        <v>please select a BUG ID</v>
      </c>
      <c r="D316" s="52"/>
      <c r="E316" s="43"/>
      <c r="F316" s="49"/>
      <c r="G316" s="50"/>
      <c r="H316" s="43"/>
    </row>
    <row r="317">
      <c r="A317" s="43"/>
      <c r="B317" s="38" t="str">
        <f>IFERROR(HYPERLINK(VLOOKUP(A317,Internal_lists_bugs!$A$2:$C$73,3,FALSE()), VLOOKUP(A317,Internal_lists_bugs!$A$2:$C$73,3,FALSE())&amp;Char(10) &amp; Char(10) &amp; VLOOKUP(A317,Internal_lists_bugs!$A$2:$Z$73,26,FALSE())),"please select a BUG ID")</f>
        <v>please select a BUG ID</v>
      </c>
      <c r="C317" s="51" t="str">
        <f>IFERROR(Hyperlink(VLOOKUP(A317,Internal_lists_bugs!$A$2:$G1014,7,FALSE()),"BIC: "&amp;VLOOKUP(A317,Internal_lists_bugs!$A$2:$G1014,7,FALSE())&amp;CHAR(10)&amp;"Intro.Issues: "&amp;VLOOKUP(A317,Internal_lists_bugs!$A$2:$P1014,16,FALSE())),"please select a BUG ID")</f>
        <v>please select a BUG ID</v>
      </c>
      <c r="D317" s="52"/>
      <c r="E317" s="43"/>
      <c r="F317" s="49"/>
      <c r="G317" s="50"/>
      <c r="H317" s="43"/>
    </row>
    <row r="318">
      <c r="A318" s="43"/>
      <c r="B318" s="38" t="str">
        <f>IFERROR(HYPERLINK(VLOOKUP(A318,Internal_lists_bugs!$A$2:$C$73,3,FALSE()), VLOOKUP(A318,Internal_lists_bugs!$A$2:$C$73,3,FALSE())&amp;Char(10) &amp; Char(10) &amp; VLOOKUP(A318,Internal_lists_bugs!$A$2:$Z$73,26,FALSE())),"please select a BUG ID")</f>
        <v>please select a BUG ID</v>
      </c>
      <c r="C318" s="51" t="str">
        <f>IFERROR(Hyperlink(VLOOKUP(A318,Internal_lists_bugs!$A$2:$G1014,7,FALSE()),"BIC: "&amp;VLOOKUP(A318,Internal_lists_bugs!$A$2:$G1014,7,FALSE())&amp;CHAR(10)&amp;"Intro.Issues: "&amp;VLOOKUP(A318,Internal_lists_bugs!$A$2:$P1014,16,FALSE())),"please select a BUG ID")</f>
        <v>please select a BUG ID</v>
      </c>
      <c r="D318" s="52"/>
      <c r="E318" s="43"/>
      <c r="F318" s="49"/>
      <c r="G318" s="50"/>
      <c r="H318" s="43"/>
    </row>
    <row r="319">
      <c r="A319" s="43"/>
      <c r="B319" s="38" t="str">
        <f>IFERROR(HYPERLINK(VLOOKUP(A319,Internal_lists_bugs!$A$2:$C$73,3,FALSE()), VLOOKUP(A319,Internal_lists_bugs!$A$2:$C$73,3,FALSE())&amp;Char(10) &amp; Char(10) &amp; VLOOKUP(A319,Internal_lists_bugs!$A$2:$Z$73,26,FALSE())),"please select a BUG ID")</f>
        <v>please select a BUG ID</v>
      </c>
      <c r="C319" s="51" t="str">
        <f>IFERROR(Hyperlink(VLOOKUP(A319,Internal_lists_bugs!$A$2:$G1014,7,FALSE()),"BIC: "&amp;VLOOKUP(A319,Internal_lists_bugs!$A$2:$G1014,7,FALSE())&amp;CHAR(10)&amp;"Intro.Issues: "&amp;VLOOKUP(A319,Internal_lists_bugs!$A$2:$P1014,16,FALSE())),"please select a BUG ID")</f>
        <v>please select a BUG ID</v>
      </c>
      <c r="D319" s="52"/>
      <c r="E319" s="43"/>
      <c r="F319" s="49"/>
      <c r="G319" s="50"/>
      <c r="H319" s="43"/>
    </row>
    <row r="320">
      <c r="A320" s="43"/>
      <c r="B320" s="38" t="str">
        <f>IFERROR(HYPERLINK(VLOOKUP(A320,Internal_lists_bugs!$A$2:$C$73,3,FALSE()), VLOOKUP(A320,Internal_lists_bugs!$A$2:$C$73,3,FALSE())&amp;Char(10) &amp; Char(10) &amp; VLOOKUP(A320,Internal_lists_bugs!$A$2:$Z$73,26,FALSE())),"please select a BUG ID")</f>
        <v>please select a BUG ID</v>
      </c>
      <c r="C320" s="51" t="str">
        <f>IFERROR(Hyperlink(VLOOKUP(A320,Internal_lists_bugs!$A$2:$G1014,7,FALSE()),"BIC: "&amp;VLOOKUP(A320,Internal_lists_bugs!$A$2:$G1014,7,FALSE())&amp;CHAR(10)&amp;"Intro.Issues: "&amp;VLOOKUP(A320,Internal_lists_bugs!$A$2:$P1014,16,FALSE())),"please select a BUG ID")</f>
        <v>please select a BUG ID</v>
      </c>
      <c r="D320" s="52"/>
      <c r="E320" s="43"/>
      <c r="F320" s="49"/>
      <c r="G320" s="50"/>
      <c r="H320" s="43"/>
    </row>
    <row r="321">
      <c r="A321" s="43"/>
      <c r="B321" s="38" t="str">
        <f>IFERROR(HYPERLINK(VLOOKUP(A321,Internal_lists_bugs!$A$2:$C$73,3,FALSE()), VLOOKUP(A321,Internal_lists_bugs!$A$2:$C$73,3,FALSE())&amp;Char(10) &amp; Char(10) &amp; VLOOKUP(A321,Internal_lists_bugs!$A$2:$Z$73,26,FALSE())),"please select a BUG ID")</f>
        <v>please select a BUG ID</v>
      </c>
      <c r="C321" s="51" t="str">
        <f>IFERROR(Hyperlink(VLOOKUP(A321,Internal_lists_bugs!$A$2:$G1014,7,FALSE()),"BIC: "&amp;VLOOKUP(A321,Internal_lists_bugs!$A$2:$G1014,7,FALSE())&amp;CHAR(10)&amp;"Intro.Issues: "&amp;VLOOKUP(A321,Internal_lists_bugs!$A$2:$P1014,16,FALSE())),"please select a BUG ID")</f>
        <v>please select a BUG ID</v>
      </c>
      <c r="D321" s="52"/>
      <c r="E321" s="43"/>
      <c r="F321" s="49"/>
      <c r="G321" s="50"/>
      <c r="H321" s="43"/>
    </row>
    <row r="322">
      <c r="A322" s="43"/>
      <c r="B322" s="38" t="str">
        <f>IFERROR(HYPERLINK(VLOOKUP(A322,Internal_lists_bugs!$A$2:$C$73,3,FALSE()), VLOOKUP(A322,Internal_lists_bugs!$A$2:$C$73,3,FALSE())&amp;Char(10) &amp; Char(10) &amp; VLOOKUP(A322,Internal_lists_bugs!$A$2:$Z$73,26,FALSE())),"please select a BUG ID")</f>
        <v>please select a BUG ID</v>
      </c>
      <c r="C322" s="51" t="str">
        <f>IFERROR(Hyperlink(VLOOKUP(A322,Internal_lists_bugs!$A$2:$G1014,7,FALSE()),"BIC: "&amp;VLOOKUP(A322,Internal_lists_bugs!$A$2:$G1014,7,FALSE())&amp;CHAR(10)&amp;"Intro.Issues: "&amp;VLOOKUP(A322,Internal_lists_bugs!$A$2:$P1014,16,FALSE())),"please select a BUG ID")</f>
        <v>please select a BUG ID</v>
      </c>
      <c r="D322" s="52"/>
      <c r="E322" s="43"/>
      <c r="F322" s="49"/>
      <c r="G322" s="50"/>
      <c r="H322" s="43"/>
    </row>
    <row r="323">
      <c r="A323" s="43"/>
      <c r="B323" s="38" t="str">
        <f>IFERROR(HYPERLINK(VLOOKUP(A323,Internal_lists_bugs!$A$2:$C$73,3,FALSE()), VLOOKUP(A323,Internal_lists_bugs!$A$2:$C$73,3,FALSE())&amp;Char(10) &amp; Char(10) &amp; VLOOKUP(A323,Internal_lists_bugs!$A$2:$Z$73,26,FALSE())),"please select a BUG ID")</f>
        <v>please select a BUG ID</v>
      </c>
      <c r="C323" s="51" t="str">
        <f>IFERROR(Hyperlink(VLOOKUP(A323,Internal_lists_bugs!$A$2:$G1014,7,FALSE()),"BIC: "&amp;VLOOKUP(A323,Internal_lists_bugs!$A$2:$G1014,7,FALSE())&amp;CHAR(10)&amp;"Intro.Issues: "&amp;VLOOKUP(A323,Internal_lists_bugs!$A$2:$P1014,16,FALSE())),"please select a BUG ID")</f>
        <v>please select a BUG ID</v>
      </c>
      <c r="D323" s="52"/>
      <c r="E323" s="43"/>
      <c r="F323" s="49"/>
      <c r="G323" s="50"/>
      <c r="H323" s="43"/>
    </row>
    <row r="324">
      <c r="A324" s="43"/>
      <c r="B324" s="38" t="str">
        <f>IFERROR(HYPERLINK(VLOOKUP(A324,Internal_lists_bugs!$A$2:$C$73,3,FALSE()), VLOOKUP(A324,Internal_lists_bugs!$A$2:$C$73,3,FALSE())&amp;Char(10) &amp; Char(10) &amp; VLOOKUP(A324,Internal_lists_bugs!$A$2:$Z$73,26,FALSE())),"please select a BUG ID")</f>
        <v>please select a BUG ID</v>
      </c>
      <c r="C324" s="51" t="str">
        <f>IFERROR(Hyperlink(VLOOKUP(A324,Internal_lists_bugs!$A$2:$G1014,7,FALSE()),"BIC: "&amp;VLOOKUP(A324,Internal_lists_bugs!$A$2:$G1014,7,FALSE())&amp;CHAR(10)&amp;"Intro.Issues: "&amp;VLOOKUP(A324,Internal_lists_bugs!$A$2:$P1014,16,FALSE())),"please select a BUG ID")</f>
        <v>please select a BUG ID</v>
      </c>
      <c r="D324" s="52"/>
      <c r="E324" s="43"/>
      <c r="F324" s="49"/>
      <c r="G324" s="50"/>
      <c r="H324" s="43"/>
    </row>
    <row r="325">
      <c r="A325" s="43"/>
      <c r="B325" s="38" t="str">
        <f>IFERROR(HYPERLINK(VLOOKUP(A325,Internal_lists_bugs!$A$2:$C$73,3,FALSE()), VLOOKUP(A325,Internal_lists_bugs!$A$2:$C$73,3,FALSE())&amp;Char(10) &amp; Char(10) &amp; VLOOKUP(A325,Internal_lists_bugs!$A$2:$Z$73,26,FALSE())),"please select a BUG ID")</f>
        <v>please select a BUG ID</v>
      </c>
      <c r="C325" s="51" t="str">
        <f>IFERROR(Hyperlink(VLOOKUP(A325,Internal_lists_bugs!$A$2:$G1014,7,FALSE()),"BIC: "&amp;VLOOKUP(A325,Internal_lists_bugs!$A$2:$G1014,7,FALSE())&amp;CHAR(10)&amp;"Intro.Issues: "&amp;VLOOKUP(A325,Internal_lists_bugs!$A$2:$P1014,16,FALSE())),"please select a BUG ID")</f>
        <v>please select a BUG ID</v>
      </c>
      <c r="D325" s="52"/>
      <c r="E325" s="43"/>
      <c r="F325" s="49"/>
      <c r="G325" s="50"/>
      <c r="H325" s="43"/>
    </row>
    <row r="326">
      <c r="A326" s="43"/>
      <c r="B326" s="38" t="str">
        <f>IFERROR(HYPERLINK(VLOOKUP(A326,Internal_lists_bugs!$A$2:$C$73,3,FALSE()), VLOOKUP(A326,Internal_lists_bugs!$A$2:$C$73,3,FALSE())&amp;Char(10) &amp; Char(10) &amp; VLOOKUP(A326,Internal_lists_bugs!$A$2:$Z$73,26,FALSE())),"please select a BUG ID")</f>
        <v>please select a BUG ID</v>
      </c>
      <c r="C326" s="51" t="str">
        <f>IFERROR(Hyperlink(VLOOKUP(A326,Internal_lists_bugs!$A$2:$G1014,7,FALSE()),"BIC: "&amp;VLOOKUP(A326,Internal_lists_bugs!$A$2:$G1014,7,FALSE())&amp;CHAR(10)&amp;"Intro.Issues: "&amp;VLOOKUP(A326,Internal_lists_bugs!$A$2:$P1014,16,FALSE())),"please select a BUG ID")</f>
        <v>please select a BUG ID</v>
      </c>
      <c r="D326" s="52"/>
      <c r="E326" s="43"/>
      <c r="F326" s="49"/>
      <c r="G326" s="50"/>
      <c r="H326" s="43"/>
    </row>
    <row r="327">
      <c r="A327" s="43"/>
      <c r="B327" s="38" t="str">
        <f>IFERROR(HYPERLINK(VLOOKUP(A327,Internal_lists_bugs!$A$2:$C$73,3,FALSE()), VLOOKUP(A327,Internal_lists_bugs!$A$2:$C$73,3,FALSE())&amp;Char(10) &amp; Char(10) &amp; VLOOKUP(A327,Internal_lists_bugs!$A$2:$Z$73,26,FALSE())),"please select a BUG ID")</f>
        <v>please select a BUG ID</v>
      </c>
      <c r="C327" s="51" t="str">
        <f>IFERROR(Hyperlink(VLOOKUP(A327,Internal_lists_bugs!$A$2:$G1014,7,FALSE()),"BIC: "&amp;VLOOKUP(A327,Internal_lists_bugs!$A$2:$G1014,7,FALSE())&amp;CHAR(10)&amp;"Intro.Issues: "&amp;VLOOKUP(A327,Internal_lists_bugs!$A$2:$P1014,16,FALSE())),"please select a BUG ID")</f>
        <v>please select a BUG ID</v>
      </c>
      <c r="D327" s="52"/>
      <c r="E327" s="43"/>
      <c r="F327" s="49"/>
      <c r="G327" s="50"/>
      <c r="H327" s="43"/>
    </row>
    <row r="328">
      <c r="A328" s="43"/>
      <c r="B328" s="38" t="str">
        <f>IFERROR(HYPERLINK(VLOOKUP(A328,Internal_lists_bugs!$A$2:$C$73,3,FALSE()), VLOOKUP(A328,Internal_lists_bugs!$A$2:$C$73,3,FALSE())&amp;Char(10) &amp; Char(10) &amp; VLOOKUP(A328,Internal_lists_bugs!$A$2:$Z$73,26,FALSE())),"please select a BUG ID")</f>
        <v>please select a BUG ID</v>
      </c>
      <c r="C328" s="51" t="str">
        <f>IFERROR(Hyperlink(VLOOKUP(A328,Internal_lists_bugs!$A$2:$G1014,7,FALSE()),"BIC: "&amp;VLOOKUP(A328,Internal_lists_bugs!$A$2:$G1014,7,FALSE())&amp;CHAR(10)&amp;"Intro.Issues: "&amp;VLOOKUP(A328,Internal_lists_bugs!$A$2:$P1014,16,FALSE())),"please select a BUG ID")</f>
        <v>please select a BUG ID</v>
      </c>
      <c r="D328" s="52"/>
      <c r="E328" s="43"/>
      <c r="F328" s="49"/>
      <c r="G328" s="50"/>
      <c r="H328" s="43"/>
    </row>
    <row r="329">
      <c r="A329" s="43"/>
      <c r="B329" s="38" t="str">
        <f>IFERROR(HYPERLINK(VLOOKUP(A329,Internal_lists_bugs!$A$2:$C$73,3,FALSE()), VLOOKUP(A329,Internal_lists_bugs!$A$2:$C$73,3,FALSE())&amp;Char(10) &amp; Char(10) &amp; VLOOKUP(A329,Internal_lists_bugs!$A$2:$Z$73,26,FALSE())),"please select a BUG ID")</f>
        <v>please select a BUG ID</v>
      </c>
      <c r="C329" s="51" t="str">
        <f>IFERROR(Hyperlink(VLOOKUP(A329,Internal_lists_bugs!$A$2:$G1014,7,FALSE()),"BIC: "&amp;VLOOKUP(A329,Internal_lists_bugs!$A$2:$G1014,7,FALSE())&amp;CHAR(10)&amp;"Intro.Issues: "&amp;VLOOKUP(A329,Internal_lists_bugs!$A$2:$P1014,16,FALSE())),"please select a BUG ID")</f>
        <v>please select a BUG ID</v>
      </c>
      <c r="D329" s="52"/>
      <c r="E329" s="43"/>
      <c r="F329" s="49"/>
      <c r="G329" s="50"/>
      <c r="H329" s="43"/>
    </row>
    <row r="330">
      <c r="A330" s="43"/>
      <c r="B330" s="38" t="str">
        <f>IFERROR(HYPERLINK(VLOOKUP(A330,Internal_lists_bugs!$A$2:$C$73,3,FALSE()), VLOOKUP(A330,Internal_lists_bugs!$A$2:$C$73,3,FALSE())&amp;Char(10) &amp; Char(10) &amp; VLOOKUP(A330,Internal_lists_bugs!$A$2:$Z$73,26,FALSE())),"please select a BUG ID")</f>
        <v>please select a BUG ID</v>
      </c>
      <c r="C330" s="51" t="str">
        <f>IFERROR(Hyperlink(VLOOKUP(A330,Internal_lists_bugs!$A$2:$G1014,7,FALSE()),"BIC: "&amp;VLOOKUP(A330,Internal_lists_bugs!$A$2:$G1014,7,FALSE())&amp;CHAR(10)&amp;"Intro.Issues: "&amp;VLOOKUP(A330,Internal_lists_bugs!$A$2:$P1014,16,FALSE())),"please select a BUG ID")</f>
        <v>please select a BUG ID</v>
      </c>
      <c r="D330" s="52"/>
      <c r="E330" s="43"/>
      <c r="F330" s="49"/>
      <c r="G330" s="50"/>
      <c r="H330" s="43"/>
    </row>
    <row r="331">
      <c r="A331" s="43"/>
      <c r="B331" s="38" t="str">
        <f>IFERROR(HYPERLINK(VLOOKUP(A331,Internal_lists_bugs!$A$2:$C$73,3,FALSE()), VLOOKUP(A331,Internal_lists_bugs!$A$2:$C$73,3,FALSE())&amp;Char(10) &amp; Char(10) &amp; VLOOKUP(A331,Internal_lists_bugs!$A$2:$Z$73,26,FALSE())),"please select a BUG ID")</f>
        <v>please select a BUG ID</v>
      </c>
      <c r="C331" s="51" t="str">
        <f>IFERROR(Hyperlink(VLOOKUP(A331,Internal_lists_bugs!$A$2:$G1014,7,FALSE()),"BIC: "&amp;VLOOKUP(A331,Internal_lists_bugs!$A$2:$G1014,7,FALSE())&amp;CHAR(10)&amp;"Intro.Issues: "&amp;VLOOKUP(A331,Internal_lists_bugs!$A$2:$P1014,16,FALSE())),"please select a BUG ID")</f>
        <v>please select a BUG ID</v>
      </c>
      <c r="D331" s="52"/>
      <c r="E331" s="43"/>
      <c r="F331" s="49"/>
      <c r="G331" s="50"/>
      <c r="H331" s="43"/>
    </row>
    <row r="332">
      <c r="A332" s="43"/>
      <c r="B332" s="38" t="str">
        <f>IFERROR(HYPERLINK(VLOOKUP(A332,Internal_lists_bugs!$A$2:$C$73,3,FALSE()), VLOOKUP(A332,Internal_lists_bugs!$A$2:$C$73,3,FALSE())&amp;Char(10) &amp; Char(10) &amp; VLOOKUP(A332,Internal_lists_bugs!$A$2:$Z$73,26,FALSE())),"please select a BUG ID")</f>
        <v>please select a BUG ID</v>
      </c>
      <c r="C332" s="51" t="str">
        <f>IFERROR(Hyperlink(VLOOKUP(A332,Internal_lists_bugs!$A$2:$G1014,7,FALSE()),"BIC: "&amp;VLOOKUP(A332,Internal_lists_bugs!$A$2:$G1014,7,FALSE())&amp;CHAR(10)&amp;"Intro.Issues: "&amp;VLOOKUP(A332,Internal_lists_bugs!$A$2:$P1014,16,FALSE())),"please select a BUG ID")</f>
        <v>please select a BUG ID</v>
      </c>
      <c r="D332" s="52"/>
      <c r="E332" s="43"/>
      <c r="F332" s="49"/>
      <c r="G332" s="50"/>
      <c r="H332" s="43"/>
    </row>
    <row r="333">
      <c r="A333" s="43"/>
      <c r="B333" s="38" t="str">
        <f>IFERROR(HYPERLINK(VLOOKUP(A333,Internal_lists_bugs!$A$2:$C$73,3,FALSE()), VLOOKUP(A333,Internal_lists_bugs!$A$2:$C$73,3,FALSE())&amp;Char(10) &amp; Char(10) &amp; VLOOKUP(A333,Internal_lists_bugs!$A$2:$Z$73,26,FALSE())),"please select a BUG ID")</f>
        <v>please select a BUG ID</v>
      </c>
      <c r="C333" s="51" t="str">
        <f>IFERROR(Hyperlink(VLOOKUP(A333,Internal_lists_bugs!$A$2:$G1014,7,FALSE()),"BIC: "&amp;VLOOKUP(A333,Internal_lists_bugs!$A$2:$G1014,7,FALSE())&amp;CHAR(10)&amp;"Intro.Issues: "&amp;VLOOKUP(A333,Internal_lists_bugs!$A$2:$P1014,16,FALSE())),"please select a BUG ID")</f>
        <v>please select a BUG ID</v>
      </c>
      <c r="D333" s="52"/>
      <c r="E333" s="43"/>
      <c r="F333" s="49"/>
      <c r="G333" s="50"/>
      <c r="H333" s="43"/>
    </row>
    <row r="334">
      <c r="A334" s="43"/>
      <c r="B334" s="38" t="str">
        <f>IFERROR(HYPERLINK(VLOOKUP(A334,Internal_lists_bugs!$A$2:$C$73,3,FALSE()), VLOOKUP(A334,Internal_lists_bugs!$A$2:$C$73,3,FALSE())&amp;Char(10) &amp; Char(10) &amp; VLOOKUP(A334,Internal_lists_bugs!$A$2:$Z$73,26,FALSE())),"please select a BUG ID")</f>
        <v>please select a BUG ID</v>
      </c>
      <c r="C334" s="51" t="str">
        <f>IFERROR(Hyperlink(VLOOKUP(A334,Internal_lists_bugs!$A$2:$G1014,7,FALSE()),"BIC: "&amp;VLOOKUP(A334,Internal_lists_bugs!$A$2:$G1014,7,FALSE())&amp;CHAR(10)&amp;"Intro.Issues: "&amp;VLOOKUP(A334,Internal_lists_bugs!$A$2:$P1014,16,FALSE())),"please select a BUG ID")</f>
        <v>please select a BUG ID</v>
      </c>
      <c r="D334" s="52"/>
      <c r="E334" s="43"/>
      <c r="F334" s="49"/>
      <c r="G334" s="50"/>
      <c r="H334" s="43"/>
    </row>
    <row r="335">
      <c r="A335" s="43"/>
      <c r="B335" s="38" t="str">
        <f>IFERROR(HYPERLINK(VLOOKUP(A335,Internal_lists_bugs!$A$2:$C$73,3,FALSE()), VLOOKUP(A335,Internal_lists_bugs!$A$2:$C$73,3,FALSE())&amp;Char(10) &amp; Char(10) &amp; VLOOKUP(A335,Internal_lists_bugs!$A$2:$Z$73,26,FALSE())),"please select a BUG ID")</f>
        <v>please select a BUG ID</v>
      </c>
      <c r="C335" s="51" t="str">
        <f>IFERROR(Hyperlink(VLOOKUP(A335,Internal_lists_bugs!$A$2:$G1014,7,FALSE()),"BIC: "&amp;VLOOKUP(A335,Internal_lists_bugs!$A$2:$G1014,7,FALSE())&amp;CHAR(10)&amp;"Intro.Issues: "&amp;VLOOKUP(A335,Internal_lists_bugs!$A$2:$P1014,16,FALSE())),"please select a BUG ID")</f>
        <v>please select a BUG ID</v>
      </c>
      <c r="D335" s="52"/>
      <c r="E335" s="43"/>
      <c r="F335" s="49"/>
      <c r="G335" s="50"/>
      <c r="H335" s="43"/>
    </row>
    <row r="336">
      <c r="A336" s="43"/>
      <c r="B336" s="38" t="str">
        <f>IFERROR(HYPERLINK(VLOOKUP(A336,Internal_lists_bugs!$A$2:$C$73,3,FALSE()), VLOOKUP(A336,Internal_lists_bugs!$A$2:$C$73,3,FALSE())&amp;Char(10) &amp; Char(10) &amp; VLOOKUP(A336,Internal_lists_bugs!$A$2:$Z$73,26,FALSE())),"please select a BUG ID")</f>
        <v>please select a BUG ID</v>
      </c>
      <c r="C336" s="51" t="str">
        <f>IFERROR(Hyperlink(VLOOKUP(A336,Internal_lists_bugs!$A$2:$G1014,7,FALSE()),"BIC: "&amp;VLOOKUP(A336,Internal_lists_bugs!$A$2:$G1014,7,FALSE())&amp;CHAR(10)&amp;"Intro.Issues: "&amp;VLOOKUP(A336,Internal_lists_bugs!$A$2:$P1014,16,FALSE())),"please select a BUG ID")</f>
        <v>please select a BUG ID</v>
      </c>
      <c r="D336" s="52"/>
      <c r="E336" s="43"/>
      <c r="F336" s="49"/>
      <c r="G336" s="50"/>
      <c r="H336" s="43"/>
    </row>
    <row r="337">
      <c r="A337" s="43"/>
      <c r="B337" s="38" t="str">
        <f>IFERROR(HYPERLINK(VLOOKUP(A337,Internal_lists_bugs!$A$2:$C$73,3,FALSE()), VLOOKUP(A337,Internal_lists_bugs!$A$2:$C$73,3,FALSE())&amp;Char(10) &amp; Char(10) &amp; VLOOKUP(A337,Internal_lists_bugs!$A$2:$Z$73,26,FALSE())),"please select a BUG ID")</f>
        <v>please select a BUG ID</v>
      </c>
      <c r="C337" s="51" t="str">
        <f>IFERROR(Hyperlink(VLOOKUP(A337,Internal_lists_bugs!$A$2:$G1014,7,FALSE()),"BIC: "&amp;VLOOKUP(A337,Internal_lists_bugs!$A$2:$G1014,7,FALSE())&amp;CHAR(10)&amp;"Intro.Issues: "&amp;VLOOKUP(A337,Internal_lists_bugs!$A$2:$P1014,16,FALSE())),"please select a BUG ID")</f>
        <v>please select a BUG ID</v>
      </c>
      <c r="D337" s="52"/>
      <c r="E337" s="43"/>
      <c r="F337" s="49"/>
      <c r="G337" s="50"/>
      <c r="H337" s="43"/>
    </row>
    <row r="338">
      <c r="A338" s="43"/>
      <c r="B338" s="38" t="str">
        <f>IFERROR(HYPERLINK(VLOOKUP(A338,Internal_lists_bugs!$A$2:$C$73,3,FALSE()), VLOOKUP(A338,Internal_lists_bugs!$A$2:$C$73,3,FALSE())&amp;Char(10) &amp; Char(10) &amp; VLOOKUP(A338,Internal_lists_bugs!$A$2:$Z$73,26,FALSE())),"please select a BUG ID")</f>
        <v>please select a BUG ID</v>
      </c>
      <c r="C338" s="51" t="str">
        <f>IFERROR(Hyperlink(VLOOKUP(A338,Internal_lists_bugs!$A$2:$G1014,7,FALSE()),"BIC: "&amp;VLOOKUP(A338,Internal_lists_bugs!$A$2:$G1014,7,FALSE())&amp;CHAR(10)&amp;"Intro.Issues: "&amp;VLOOKUP(A338,Internal_lists_bugs!$A$2:$P1014,16,FALSE())),"please select a BUG ID")</f>
        <v>please select a BUG ID</v>
      </c>
      <c r="D338" s="52"/>
      <c r="E338" s="43"/>
      <c r="F338" s="49"/>
      <c r="G338" s="50"/>
      <c r="H338" s="43"/>
    </row>
    <row r="339">
      <c r="A339" s="43"/>
      <c r="B339" s="38" t="str">
        <f>IFERROR(HYPERLINK(VLOOKUP(A339,Internal_lists_bugs!$A$2:$C$73,3,FALSE()), VLOOKUP(A339,Internal_lists_bugs!$A$2:$C$73,3,FALSE())&amp;Char(10) &amp; Char(10) &amp; VLOOKUP(A339,Internal_lists_bugs!$A$2:$Z$73,26,FALSE())),"please select a BUG ID")</f>
        <v>please select a BUG ID</v>
      </c>
      <c r="C339" s="51" t="str">
        <f>IFERROR(Hyperlink(VLOOKUP(A339,Internal_lists_bugs!$A$2:$G1014,7,FALSE()),"BIC: "&amp;VLOOKUP(A339,Internal_lists_bugs!$A$2:$G1014,7,FALSE())&amp;CHAR(10)&amp;"Intro.Issues: "&amp;VLOOKUP(A339,Internal_lists_bugs!$A$2:$P1014,16,FALSE())),"please select a BUG ID")</f>
        <v>please select a BUG ID</v>
      </c>
      <c r="D339" s="52"/>
      <c r="E339" s="43"/>
      <c r="F339" s="49"/>
      <c r="G339" s="50"/>
      <c r="H339" s="43"/>
    </row>
    <row r="340">
      <c r="A340" s="43"/>
      <c r="B340" s="38" t="str">
        <f>IFERROR(HYPERLINK(VLOOKUP(A340,Internal_lists_bugs!$A$2:$C$73,3,FALSE()), VLOOKUP(A340,Internal_lists_bugs!$A$2:$C$73,3,FALSE())&amp;Char(10) &amp; Char(10) &amp; VLOOKUP(A340,Internal_lists_bugs!$A$2:$Z$73,26,FALSE())),"please select a BUG ID")</f>
        <v>please select a BUG ID</v>
      </c>
      <c r="C340" s="51" t="str">
        <f>IFERROR(Hyperlink(VLOOKUP(A340,Internal_lists_bugs!$A$2:$G1014,7,FALSE()),"BIC: "&amp;VLOOKUP(A340,Internal_lists_bugs!$A$2:$G1014,7,FALSE())&amp;CHAR(10)&amp;"Intro.Issues: "&amp;VLOOKUP(A340,Internal_lists_bugs!$A$2:$P1014,16,FALSE())),"please select a BUG ID")</f>
        <v>please select a BUG ID</v>
      </c>
      <c r="D340" s="52"/>
      <c r="E340" s="43"/>
      <c r="F340" s="49"/>
      <c r="G340" s="50"/>
      <c r="H340" s="43"/>
    </row>
    <row r="341">
      <c r="A341" s="43"/>
      <c r="B341" s="38" t="str">
        <f>IFERROR(HYPERLINK(VLOOKUP(A341,Internal_lists_bugs!$A$2:$C$73,3,FALSE()), VLOOKUP(A341,Internal_lists_bugs!$A$2:$C$73,3,FALSE())&amp;Char(10) &amp; Char(10) &amp; VLOOKUP(A341,Internal_lists_bugs!$A$2:$Z$73,26,FALSE())),"please select a BUG ID")</f>
        <v>please select a BUG ID</v>
      </c>
      <c r="C341" s="51" t="str">
        <f>IFERROR(Hyperlink(VLOOKUP(A341,Internal_lists_bugs!$A$2:$G1014,7,FALSE()),"BIC: "&amp;VLOOKUP(A341,Internal_lists_bugs!$A$2:$G1014,7,FALSE())&amp;CHAR(10)&amp;"Intro.Issues: "&amp;VLOOKUP(A341,Internal_lists_bugs!$A$2:$P1014,16,FALSE())),"please select a BUG ID")</f>
        <v>please select a BUG ID</v>
      </c>
      <c r="D341" s="52"/>
      <c r="E341" s="43"/>
      <c r="F341" s="49"/>
      <c r="G341" s="50"/>
      <c r="H341" s="43"/>
    </row>
    <row r="342">
      <c r="A342" s="43"/>
      <c r="B342" s="38" t="str">
        <f>IFERROR(HYPERLINK(VLOOKUP(A342,Internal_lists_bugs!$A$2:$C$73,3,FALSE()), VLOOKUP(A342,Internal_lists_bugs!$A$2:$C$73,3,FALSE())&amp;Char(10) &amp; Char(10) &amp; VLOOKUP(A342,Internal_lists_bugs!$A$2:$Z$73,26,FALSE())),"please select a BUG ID")</f>
        <v>please select a BUG ID</v>
      </c>
      <c r="C342" s="51" t="str">
        <f>IFERROR(Hyperlink(VLOOKUP(A342,Internal_lists_bugs!$A$2:$G1014,7,FALSE()),"BIC: "&amp;VLOOKUP(A342,Internal_lists_bugs!$A$2:$G1014,7,FALSE())&amp;CHAR(10)&amp;"Intro.Issues: "&amp;VLOOKUP(A342,Internal_lists_bugs!$A$2:$P1014,16,FALSE())),"please select a BUG ID")</f>
        <v>please select a BUG ID</v>
      </c>
      <c r="D342" s="52"/>
      <c r="E342" s="43"/>
      <c r="F342" s="49"/>
      <c r="G342" s="50"/>
      <c r="H342" s="43"/>
    </row>
    <row r="343">
      <c r="A343" s="43"/>
      <c r="B343" s="38" t="str">
        <f>IFERROR(HYPERLINK(VLOOKUP(A343,Internal_lists_bugs!$A$2:$C$73,3,FALSE()), VLOOKUP(A343,Internal_lists_bugs!$A$2:$C$73,3,FALSE())&amp;Char(10) &amp; Char(10) &amp; VLOOKUP(A343,Internal_lists_bugs!$A$2:$Z$73,26,FALSE())),"please select a BUG ID")</f>
        <v>please select a BUG ID</v>
      </c>
      <c r="C343" s="51" t="str">
        <f>IFERROR(Hyperlink(VLOOKUP(A343,Internal_lists_bugs!$A$2:$G1014,7,FALSE()),"BIC: "&amp;VLOOKUP(A343,Internal_lists_bugs!$A$2:$G1014,7,FALSE())&amp;CHAR(10)&amp;"Intro.Issues: "&amp;VLOOKUP(A343,Internal_lists_bugs!$A$2:$P1014,16,FALSE())),"please select a BUG ID")</f>
        <v>please select a BUG ID</v>
      </c>
      <c r="D343" s="52"/>
      <c r="E343" s="43"/>
      <c r="F343" s="49"/>
      <c r="G343" s="50"/>
      <c r="H343" s="43"/>
    </row>
    <row r="344">
      <c r="A344" s="43"/>
      <c r="B344" s="38" t="str">
        <f>IFERROR(HYPERLINK(VLOOKUP(A344,Internal_lists_bugs!$A$2:$C$73,3,FALSE()), VLOOKUP(A344,Internal_lists_bugs!$A$2:$C$73,3,FALSE())&amp;Char(10) &amp; Char(10) &amp; VLOOKUP(A344,Internal_lists_bugs!$A$2:$Z$73,26,FALSE())),"please select a BUG ID")</f>
        <v>please select a BUG ID</v>
      </c>
      <c r="C344" s="51" t="str">
        <f>IFERROR(Hyperlink(VLOOKUP(A344,Internal_lists_bugs!$A$2:$G1014,7,FALSE()),"BIC: "&amp;VLOOKUP(A344,Internal_lists_bugs!$A$2:$G1014,7,FALSE())&amp;CHAR(10)&amp;"Intro.Issues: "&amp;VLOOKUP(A344,Internal_lists_bugs!$A$2:$P1014,16,FALSE())),"please select a BUG ID")</f>
        <v>please select a BUG ID</v>
      </c>
      <c r="D344" s="52"/>
      <c r="E344" s="43"/>
      <c r="F344" s="49"/>
      <c r="G344" s="50"/>
      <c r="H344" s="43"/>
    </row>
    <row r="345">
      <c r="A345" s="43"/>
      <c r="B345" s="38" t="str">
        <f>IFERROR(HYPERLINK(VLOOKUP(A345,Internal_lists_bugs!$A$2:$C$73,3,FALSE()), VLOOKUP(A345,Internal_lists_bugs!$A$2:$C$73,3,FALSE())&amp;Char(10) &amp; Char(10) &amp; VLOOKUP(A345,Internal_lists_bugs!$A$2:$Z$73,26,FALSE())),"please select a BUG ID")</f>
        <v>please select a BUG ID</v>
      </c>
      <c r="C345" s="51" t="str">
        <f>IFERROR(Hyperlink(VLOOKUP(A345,Internal_lists_bugs!$A$2:$G1014,7,FALSE()),"BIC: "&amp;VLOOKUP(A345,Internal_lists_bugs!$A$2:$G1014,7,FALSE())&amp;CHAR(10)&amp;"Intro.Issues: "&amp;VLOOKUP(A345,Internal_lists_bugs!$A$2:$P1014,16,FALSE())),"please select a BUG ID")</f>
        <v>please select a BUG ID</v>
      </c>
      <c r="D345" s="52"/>
      <c r="E345" s="43"/>
      <c r="F345" s="49"/>
      <c r="G345" s="50"/>
      <c r="H345" s="43"/>
    </row>
    <row r="346">
      <c r="A346" s="43"/>
      <c r="B346" s="38" t="str">
        <f>IFERROR(HYPERLINK(VLOOKUP(A346,Internal_lists_bugs!$A$2:$C$73,3,FALSE()), VLOOKUP(A346,Internal_lists_bugs!$A$2:$C$73,3,FALSE())&amp;Char(10) &amp; Char(10) &amp; VLOOKUP(A346,Internal_lists_bugs!$A$2:$Z$73,26,FALSE())),"please select a BUG ID")</f>
        <v>please select a BUG ID</v>
      </c>
      <c r="C346" s="51" t="str">
        <f>IFERROR(Hyperlink(VLOOKUP(A346,Internal_lists_bugs!$A$2:$G1014,7,FALSE()),"BIC: "&amp;VLOOKUP(A346,Internal_lists_bugs!$A$2:$G1014,7,FALSE())&amp;CHAR(10)&amp;"Intro.Issues: "&amp;VLOOKUP(A346,Internal_lists_bugs!$A$2:$P1014,16,FALSE())),"please select a BUG ID")</f>
        <v>please select a BUG ID</v>
      </c>
      <c r="D346" s="52"/>
      <c r="E346" s="43"/>
      <c r="F346" s="49"/>
      <c r="G346" s="50"/>
      <c r="H346" s="43"/>
    </row>
    <row r="347">
      <c r="A347" s="43"/>
      <c r="B347" s="38" t="str">
        <f>IFERROR(HYPERLINK(VLOOKUP(A347,Internal_lists_bugs!$A$2:$C$73,3,FALSE()), VLOOKUP(A347,Internal_lists_bugs!$A$2:$C$73,3,FALSE())&amp;Char(10) &amp; Char(10) &amp; VLOOKUP(A347,Internal_lists_bugs!$A$2:$Z$73,26,FALSE())),"please select a BUG ID")</f>
        <v>please select a BUG ID</v>
      </c>
      <c r="C347" s="51" t="str">
        <f>IFERROR(Hyperlink(VLOOKUP(A347,Internal_lists_bugs!$A$2:$G1014,7,FALSE()),"BIC: "&amp;VLOOKUP(A347,Internal_lists_bugs!$A$2:$G1014,7,FALSE())&amp;CHAR(10)&amp;"Intro.Issues: "&amp;VLOOKUP(A347,Internal_lists_bugs!$A$2:$P1014,16,FALSE())),"please select a BUG ID")</f>
        <v>please select a BUG ID</v>
      </c>
      <c r="D347" s="52"/>
      <c r="E347" s="43"/>
      <c r="F347" s="49"/>
      <c r="G347" s="50"/>
      <c r="H347" s="43"/>
    </row>
    <row r="348">
      <c r="A348" s="43"/>
      <c r="B348" s="38" t="str">
        <f>IFERROR(HYPERLINK(VLOOKUP(A348,Internal_lists_bugs!$A$2:$C$73,3,FALSE()), VLOOKUP(A348,Internal_lists_bugs!$A$2:$C$73,3,FALSE())&amp;Char(10) &amp; Char(10) &amp; VLOOKUP(A348,Internal_lists_bugs!$A$2:$Z$73,26,FALSE())),"please select a BUG ID")</f>
        <v>please select a BUG ID</v>
      </c>
      <c r="C348" s="51" t="str">
        <f>IFERROR(Hyperlink(VLOOKUP(A348,Internal_lists_bugs!$A$2:$G1014,7,FALSE()),"BIC: "&amp;VLOOKUP(A348,Internal_lists_bugs!$A$2:$G1014,7,FALSE())&amp;CHAR(10)&amp;"Intro.Issues: "&amp;VLOOKUP(A348,Internal_lists_bugs!$A$2:$P1014,16,FALSE())),"please select a BUG ID")</f>
        <v>please select a BUG ID</v>
      </c>
      <c r="D348" s="52"/>
      <c r="E348" s="43"/>
      <c r="F348" s="49"/>
      <c r="G348" s="50"/>
      <c r="H348" s="43"/>
    </row>
    <row r="349">
      <c r="A349" s="43"/>
      <c r="B349" s="38" t="str">
        <f>IFERROR(HYPERLINK(VLOOKUP(A349,Internal_lists_bugs!$A$2:$C$73,3,FALSE()), VLOOKUP(A349,Internal_lists_bugs!$A$2:$C$73,3,FALSE())&amp;Char(10) &amp; Char(10) &amp; VLOOKUP(A349,Internal_lists_bugs!$A$2:$Z$73,26,FALSE())),"please select a BUG ID")</f>
        <v>please select a BUG ID</v>
      </c>
      <c r="C349" s="51" t="str">
        <f>IFERROR(Hyperlink(VLOOKUP(A349,Internal_lists_bugs!$A$2:$G1014,7,FALSE()),"BIC: "&amp;VLOOKUP(A349,Internal_lists_bugs!$A$2:$G1014,7,FALSE())&amp;CHAR(10)&amp;"Intro.Issues: "&amp;VLOOKUP(A349,Internal_lists_bugs!$A$2:$P1014,16,FALSE())),"please select a BUG ID")</f>
        <v>please select a BUG ID</v>
      </c>
      <c r="D349" s="52"/>
      <c r="E349" s="43"/>
      <c r="F349" s="49"/>
      <c r="G349" s="50"/>
      <c r="H349" s="43"/>
    </row>
    <row r="350">
      <c r="A350" s="43"/>
      <c r="B350" s="38" t="str">
        <f>IFERROR(HYPERLINK(VLOOKUP(A350,Internal_lists_bugs!$A$2:$C$73,3,FALSE()), VLOOKUP(A350,Internal_lists_bugs!$A$2:$C$73,3,FALSE())&amp;Char(10) &amp; Char(10) &amp; VLOOKUP(A350,Internal_lists_bugs!$A$2:$Z$73,26,FALSE())),"please select a BUG ID")</f>
        <v>please select a BUG ID</v>
      </c>
      <c r="C350" s="51" t="str">
        <f>IFERROR(Hyperlink(VLOOKUP(A350,Internal_lists_bugs!$A$2:$G1014,7,FALSE()),"BIC: "&amp;VLOOKUP(A350,Internal_lists_bugs!$A$2:$G1014,7,FALSE())&amp;CHAR(10)&amp;"Intro.Issues: "&amp;VLOOKUP(A350,Internal_lists_bugs!$A$2:$P1014,16,FALSE())),"please select a BUG ID")</f>
        <v>please select a BUG ID</v>
      </c>
      <c r="D350" s="52"/>
      <c r="E350" s="43"/>
      <c r="F350" s="49"/>
      <c r="G350" s="50"/>
      <c r="H350" s="43"/>
    </row>
    <row r="351">
      <c r="A351" s="43"/>
      <c r="B351" s="38" t="str">
        <f>IFERROR(HYPERLINK(VLOOKUP(A351,Internal_lists_bugs!$A$2:$C$73,3,FALSE()), VLOOKUP(A351,Internal_lists_bugs!$A$2:$C$73,3,FALSE())&amp;Char(10) &amp; Char(10) &amp; VLOOKUP(A351,Internal_lists_bugs!$A$2:$Z$73,26,FALSE())),"please select a BUG ID")</f>
        <v>please select a BUG ID</v>
      </c>
      <c r="C351" s="51" t="str">
        <f>IFERROR(Hyperlink(VLOOKUP(A351,Internal_lists_bugs!$A$2:$G1014,7,FALSE()),"BIC: "&amp;VLOOKUP(A351,Internal_lists_bugs!$A$2:$G1014,7,FALSE())&amp;CHAR(10)&amp;"Intro.Issues: "&amp;VLOOKUP(A351,Internal_lists_bugs!$A$2:$P1014,16,FALSE())),"please select a BUG ID")</f>
        <v>please select a BUG ID</v>
      </c>
      <c r="D351" s="52"/>
      <c r="E351" s="43"/>
      <c r="F351" s="49"/>
      <c r="G351" s="50"/>
      <c r="H351" s="43"/>
    </row>
    <row r="352">
      <c r="A352" s="43"/>
      <c r="B352" s="38" t="str">
        <f>IFERROR(HYPERLINK(VLOOKUP(A352,Internal_lists_bugs!$A$2:$C$73,3,FALSE()), VLOOKUP(A352,Internal_lists_bugs!$A$2:$C$73,3,FALSE())&amp;Char(10) &amp; Char(10) &amp; VLOOKUP(A352,Internal_lists_bugs!$A$2:$Z$73,26,FALSE())),"please select a BUG ID")</f>
        <v>please select a BUG ID</v>
      </c>
      <c r="C352" s="51" t="str">
        <f>IFERROR(Hyperlink(VLOOKUP(A352,Internal_lists_bugs!$A$2:$G1014,7,FALSE()),"BIC: "&amp;VLOOKUP(A352,Internal_lists_bugs!$A$2:$G1014,7,FALSE())&amp;CHAR(10)&amp;"Intro.Issues: "&amp;VLOOKUP(A352,Internal_lists_bugs!$A$2:$P1014,16,FALSE())),"please select a BUG ID")</f>
        <v>please select a BUG ID</v>
      </c>
      <c r="D352" s="52"/>
      <c r="E352" s="43"/>
      <c r="F352" s="49"/>
      <c r="G352" s="50"/>
      <c r="H352" s="43"/>
    </row>
    <row r="353">
      <c r="A353" s="43"/>
      <c r="B353" s="38" t="str">
        <f>IFERROR(HYPERLINK(VLOOKUP(A353,Internal_lists_bugs!$A$2:$C$73,3,FALSE()), VLOOKUP(A353,Internal_lists_bugs!$A$2:$C$73,3,FALSE())&amp;Char(10) &amp; Char(10) &amp; VLOOKUP(A353,Internal_lists_bugs!$A$2:$Z$73,26,FALSE())),"please select a BUG ID")</f>
        <v>please select a BUG ID</v>
      </c>
      <c r="C353" s="51" t="str">
        <f>IFERROR(Hyperlink(VLOOKUP(A353,Internal_lists_bugs!$A$2:$G1014,7,FALSE()),"BIC: "&amp;VLOOKUP(A353,Internal_lists_bugs!$A$2:$G1014,7,FALSE())&amp;CHAR(10)&amp;"Intro.Issues: "&amp;VLOOKUP(A353,Internal_lists_bugs!$A$2:$P1014,16,FALSE())),"please select a BUG ID")</f>
        <v>please select a BUG ID</v>
      </c>
      <c r="D353" s="52"/>
      <c r="E353" s="43"/>
      <c r="F353" s="49"/>
      <c r="G353" s="50"/>
      <c r="H353" s="43"/>
    </row>
    <row r="354">
      <c r="A354" s="43"/>
      <c r="B354" s="38" t="str">
        <f>IFERROR(HYPERLINK(VLOOKUP(A354,Internal_lists_bugs!$A$2:$C$73,3,FALSE()), VLOOKUP(A354,Internal_lists_bugs!$A$2:$C$73,3,FALSE())&amp;Char(10) &amp; Char(10) &amp; VLOOKUP(A354,Internal_lists_bugs!$A$2:$Z$73,26,FALSE())),"please select a BUG ID")</f>
        <v>please select a BUG ID</v>
      </c>
      <c r="C354" s="51" t="str">
        <f>IFERROR(Hyperlink(VLOOKUP(A354,Internal_lists_bugs!$A$2:$G1014,7,FALSE()),"BIC: "&amp;VLOOKUP(A354,Internal_lists_bugs!$A$2:$G1014,7,FALSE())&amp;CHAR(10)&amp;"Intro.Issues: "&amp;VLOOKUP(A354,Internal_lists_bugs!$A$2:$P1014,16,FALSE())),"please select a BUG ID")</f>
        <v>please select a BUG ID</v>
      </c>
      <c r="D354" s="52"/>
      <c r="E354" s="43"/>
      <c r="F354" s="49"/>
      <c r="G354" s="50"/>
      <c r="H354" s="43"/>
    </row>
    <row r="355">
      <c r="A355" s="43"/>
      <c r="B355" s="38" t="str">
        <f>IFERROR(HYPERLINK(VLOOKUP(A355,Internal_lists_bugs!$A$2:$C$73,3,FALSE()), VLOOKUP(A355,Internal_lists_bugs!$A$2:$C$73,3,FALSE())&amp;Char(10) &amp; Char(10) &amp; VLOOKUP(A355,Internal_lists_bugs!$A$2:$Z$73,26,FALSE())),"please select a BUG ID")</f>
        <v>please select a BUG ID</v>
      </c>
      <c r="C355" s="51" t="str">
        <f>IFERROR(Hyperlink(VLOOKUP(A355,Internal_lists_bugs!$A$2:$G1014,7,FALSE()),"BIC: "&amp;VLOOKUP(A355,Internal_lists_bugs!$A$2:$G1014,7,FALSE())&amp;CHAR(10)&amp;"Intro.Issues: "&amp;VLOOKUP(A355,Internal_lists_bugs!$A$2:$P1014,16,FALSE())),"please select a BUG ID")</f>
        <v>please select a BUG ID</v>
      </c>
      <c r="D355" s="52"/>
      <c r="E355" s="43"/>
      <c r="F355" s="49"/>
      <c r="G355" s="50"/>
      <c r="H355" s="43"/>
    </row>
    <row r="356">
      <c r="A356" s="43"/>
      <c r="B356" s="38" t="str">
        <f>IFERROR(HYPERLINK(VLOOKUP(A356,Internal_lists_bugs!$A$2:$C$73,3,FALSE()), VLOOKUP(A356,Internal_lists_bugs!$A$2:$C$73,3,FALSE())&amp;Char(10) &amp; Char(10) &amp; VLOOKUP(A356,Internal_lists_bugs!$A$2:$Z$73,26,FALSE())),"please select a BUG ID")</f>
        <v>please select a BUG ID</v>
      </c>
      <c r="C356" s="51" t="str">
        <f>IFERROR(Hyperlink(VLOOKUP(A356,Internal_lists_bugs!$A$2:$G1014,7,FALSE()),"BIC: "&amp;VLOOKUP(A356,Internal_lists_bugs!$A$2:$G1014,7,FALSE())&amp;CHAR(10)&amp;"Intro.Issues: "&amp;VLOOKUP(A356,Internal_lists_bugs!$A$2:$P1014,16,FALSE())),"please select a BUG ID")</f>
        <v>please select a BUG ID</v>
      </c>
      <c r="D356" s="52"/>
      <c r="E356" s="43"/>
      <c r="F356" s="49"/>
      <c r="G356" s="50"/>
      <c r="H356" s="43"/>
    </row>
    <row r="357">
      <c r="A357" s="43"/>
      <c r="B357" s="38" t="str">
        <f>IFERROR(HYPERLINK(VLOOKUP(A357,Internal_lists_bugs!$A$2:$C$73,3,FALSE()), VLOOKUP(A357,Internal_lists_bugs!$A$2:$C$73,3,FALSE())&amp;Char(10) &amp; Char(10) &amp; VLOOKUP(A357,Internal_lists_bugs!$A$2:$Z$73,26,FALSE())),"please select a BUG ID")</f>
        <v>please select a BUG ID</v>
      </c>
      <c r="C357" s="51" t="str">
        <f>IFERROR(Hyperlink(VLOOKUP(A357,Internal_lists_bugs!$A$2:$G1014,7,FALSE()),"BIC: "&amp;VLOOKUP(A357,Internal_lists_bugs!$A$2:$G1014,7,FALSE())&amp;CHAR(10)&amp;"Intro.Issues: "&amp;VLOOKUP(A357,Internal_lists_bugs!$A$2:$P1014,16,FALSE())),"please select a BUG ID")</f>
        <v>please select a BUG ID</v>
      </c>
      <c r="D357" s="52"/>
      <c r="E357" s="43"/>
      <c r="F357" s="49"/>
      <c r="G357" s="50"/>
      <c r="H357" s="43"/>
    </row>
    <row r="358">
      <c r="A358" s="43"/>
      <c r="B358" s="38" t="str">
        <f>IFERROR(HYPERLINK(VLOOKUP(A358,Internal_lists_bugs!$A$2:$C$73,3,FALSE()), VLOOKUP(A358,Internal_lists_bugs!$A$2:$C$73,3,FALSE())&amp;Char(10) &amp; Char(10) &amp; VLOOKUP(A358,Internal_lists_bugs!$A$2:$Z$73,26,FALSE())),"please select a BUG ID")</f>
        <v>please select a BUG ID</v>
      </c>
      <c r="C358" s="51" t="str">
        <f>IFERROR(Hyperlink(VLOOKUP(A358,Internal_lists_bugs!$A$2:$G1014,7,FALSE()),"BIC: "&amp;VLOOKUP(A358,Internal_lists_bugs!$A$2:$G1014,7,FALSE())&amp;CHAR(10)&amp;"Intro.Issues: "&amp;VLOOKUP(A358,Internal_lists_bugs!$A$2:$P1014,16,FALSE())),"please select a BUG ID")</f>
        <v>please select a BUG ID</v>
      </c>
      <c r="D358" s="52"/>
      <c r="E358" s="43"/>
      <c r="F358" s="49"/>
      <c r="G358" s="50"/>
      <c r="H358" s="43"/>
    </row>
    <row r="359">
      <c r="A359" s="43"/>
      <c r="B359" s="38" t="str">
        <f>IFERROR(HYPERLINK(VLOOKUP(A359,Internal_lists_bugs!$A$2:$C$73,3,FALSE()), VLOOKUP(A359,Internal_lists_bugs!$A$2:$C$73,3,FALSE())&amp;Char(10) &amp; Char(10) &amp; VLOOKUP(A359,Internal_lists_bugs!$A$2:$Z$73,26,FALSE())),"please select a BUG ID")</f>
        <v>please select a BUG ID</v>
      </c>
      <c r="C359" s="51" t="str">
        <f>IFERROR(Hyperlink(VLOOKUP(A359,Internal_lists_bugs!$A$2:$G1014,7,FALSE()),"BIC: "&amp;VLOOKUP(A359,Internal_lists_bugs!$A$2:$G1014,7,FALSE())&amp;CHAR(10)&amp;"Intro.Issues: "&amp;VLOOKUP(A359,Internal_lists_bugs!$A$2:$P1014,16,FALSE())),"please select a BUG ID")</f>
        <v>please select a BUG ID</v>
      </c>
      <c r="D359" s="52"/>
      <c r="E359" s="43"/>
      <c r="F359" s="49"/>
      <c r="G359" s="50"/>
      <c r="H359" s="43"/>
    </row>
    <row r="360">
      <c r="A360" s="43"/>
      <c r="B360" s="38" t="str">
        <f>IFERROR(HYPERLINK(VLOOKUP(A360,Internal_lists_bugs!$A$2:$C$73,3,FALSE()), VLOOKUP(A360,Internal_lists_bugs!$A$2:$C$73,3,FALSE())&amp;Char(10) &amp; Char(10) &amp; VLOOKUP(A360,Internal_lists_bugs!$A$2:$Z$73,26,FALSE())),"please select a BUG ID")</f>
        <v>please select a BUG ID</v>
      </c>
      <c r="C360" s="51" t="str">
        <f>IFERROR(Hyperlink(VLOOKUP(A360,Internal_lists_bugs!$A$2:$G1014,7,FALSE()),"BIC: "&amp;VLOOKUP(A360,Internal_lists_bugs!$A$2:$G1014,7,FALSE())&amp;CHAR(10)&amp;"Intro.Issues: "&amp;VLOOKUP(A360,Internal_lists_bugs!$A$2:$P1014,16,FALSE())),"please select a BUG ID")</f>
        <v>please select a BUG ID</v>
      </c>
      <c r="D360" s="52"/>
      <c r="E360" s="43"/>
      <c r="F360" s="49"/>
      <c r="G360" s="50"/>
      <c r="H360" s="43"/>
    </row>
    <row r="361">
      <c r="A361" s="43"/>
      <c r="B361" s="38" t="str">
        <f>IFERROR(HYPERLINK(VLOOKUP(A361,Internal_lists_bugs!$A$2:$C$73,3,FALSE()), VLOOKUP(A361,Internal_lists_bugs!$A$2:$C$73,3,FALSE())&amp;Char(10) &amp; Char(10) &amp; VLOOKUP(A361,Internal_lists_bugs!$A$2:$Z$73,26,FALSE())),"please select a BUG ID")</f>
        <v>please select a BUG ID</v>
      </c>
      <c r="C361" s="51" t="str">
        <f>IFERROR(Hyperlink(VLOOKUP(A361,Internal_lists_bugs!$A$2:$G1014,7,FALSE()),"BIC: "&amp;VLOOKUP(A361,Internal_lists_bugs!$A$2:$G1014,7,FALSE())&amp;CHAR(10)&amp;"Intro.Issues: "&amp;VLOOKUP(A361,Internal_lists_bugs!$A$2:$P1014,16,FALSE())),"please select a BUG ID")</f>
        <v>please select a BUG ID</v>
      </c>
      <c r="D361" s="52"/>
      <c r="E361" s="43"/>
      <c r="F361" s="49"/>
      <c r="G361" s="50"/>
      <c r="H361" s="43"/>
    </row>
    <row r="362">
      <c r="A362" s="43"/>
      <c r="B362" s="38" t="str">
        <f>IFERROR(HYPERLINK(VLOOKUP(A362,Internal_lists_bugs!$A$2:$C$73,3,FALSE()), VLOOKUP(A362,Internal_lists_bugs!$A$2:$C$73,3,FALSE())&amp;Char(10) &amp; Char(10) &amp; VLOOKUP(A362,Internal_lists_bugs!$A$2:$Z$73,26,FALSE())),"please select a BUG ID")</f>
        <v>please select a BUG ID</v>
      </c>
      <c r="C362" s="51" t="str">
        <f>IFERROR(Hyperlink(VLOOKUP(A362,Internal_lists_bugs!$A$2:$G1014,7,FALSE()),"BIC: "&amp;VLOOKUP(A362,Internal_lists_bugs!$A$2:$G1014,7,FALSE())&amp;CHAR(10)&amp;"Intro.Issues: "&amp;VLOOKUP(A362,Internal_lists_bugs!$A$2:$P1014,16,FALSE())),"please select a BUG ID")</f>
        <v>please select a BUG ID</v>
      </c>
      <c r="D362" s="52"/>
      <c r="E362" s="43"/>
      <c r="F362" s="49"/>
      <c r="G362" s="50"/>
      <c r="H362" s="43"/>
    </row>
    <row r="363">
      <c r="A363" s="43"/>
      <c r="B363" s="38" t="str">
        <f>IFERROR(HYPERLINK(VLOOKUP(A363,Internal_lists_bugs!$A$2:$C$73,3,FALSE()), VLOOKUP(A363,Internal_lists_bugs!$A$2:$C$73,3,FALSE())&amp;Char(10) &amp; Char(10) &amp; VLOOKUP(A363,Internal_lists_bugs!$A$2:$Z$73,26,FALSE())),"please select a BUG ID")</f>
        <v>please select a BUG ID</v>
      </c>
      <c r="C363" s="51" t="str">
        <f>IFERROR(Hyperlink(VLOOKUP(A363,Internal_lists_bugs!$A$2:$G1014,7,FALSE()),"BIC: "&amp;VLOOKUP(A363,Internal_lists_bugs!$A$2:$G1014,7,FALSE())&amp;CHAR(10)&amp;"Intro.Issues: "&amp;VLOOKUP(A363,Internal_lists_bugs!$A$2:$P1014,16,FALSE())),"please select a BUG ID")</f>
        <v>please select a BUG ID</v>
      </c>
      <c r="D363" s="52"/>
      <c r="E363" s="43"/>
      <c r="F363" s="49"/>
      <c r="G363" s="50"/>
      <c r="H363" s="43"/>
    </row>
    <row r="364">
      <c r="A364" s="43"/>
      <c r="B364" s="38" t="str">
        <f>IFERROR(HYPERLINK(VLOOKUP(A364,Internal_lists_bugs!$A$2:$C$73,3,FALSE()), VLOOKUP(A364,Internal_lists_bugs!$A$2:$C$73,3,FALSE())&amp;Char(10) &amp; Char(10) &amp; VLOOKUP(A364,Internal_lists_bugs!$A$2:$Z$73,26,FALSE())),"please select a BUG ID")</f>
        <v>please select a BUG ID</v>
      </c>
      <c r="C364" s="51" t="str">
        <f>IFERROR(Hyperlink(VLOOKUP(A364,Internal_lists_bugs!$A$2:$G1014,7,FALSE()),"BIC: "&amp;VLOOKUP(A364,Internal_lists_bugs!$A$2:$G1014,7,FALSE())&amp;CHAR(10)&amp;"Intro.Issues: "&amp;VLOOKUP(A364,Internal_lists_bugs!$A$2:$P1014,16,FALSE())),"please select a BUG ID")</f>
        <v>please select a BUG ID</v>
      </c>
      <c r="D364" s="52"/>
      <c r="E364" s="43"/>
      <c r="F364" s="49"/>
      <c r="G364" s="50"/>
      <c r="H364" s="43"/>
    </row>
    <row r="365">
      <c r="A365" s="43"/>
      <c r="B365" s="38" t="str">
        <f>IFERROR(HYPERLINK(VLOOKUP(A365,Internal_lists_bugs!$A$2:$C$73,3,FALSE()), VLOOKUP(A365,Internal_lists_bugs!$A$2:$C$73,3,FALSE())&amp;Char(10) &amp; Char(10) &amp; VLOOKUP(A365,Internal_lists_bugs!$A$2:$Z$73,26,FALSE())),"please select a BUG ID")</f>
        <v>please select a BUG ID</v>
      </c>
      <c r="C365" s="51" t="str">
        <f>IFERROR(Hyperlink(VLOOKUP(A365,Internal_lists_bugs!$A$2:$G1014,7,FALSE()),"BIC: "&amp;VLOOKUP(A365,Internal_lists_bugs!$A$2:$G1014,7,FALSE())&amp;CHAR(10)&amp;"Intro.Issues: "&amp;VLOOKUP(A365,Internal_lists_bugs!$A$2:$P1014,16,FALSE())),"please select a BUG ID")</f>
        <v>please select a BUG ID</v>
      </c>
      <c r="D365" s="52"/>
      <c r="E365" s="43"/>
      <c r="F365" s="49"/>
      <c r="G365" s="50"/>
      <c r="H365" s="43"/>
    </row>
    <row r="366">
      <c r="A366" s="43"/>
      <c r="B366" s="38" t="str">
        <f>IFERROR(HYPERLINK(VLOOKUP(A366,Internal_lists_bugs!$A$2:$C$73,3,FALSE()), VLOOKUP(A366,Internal_lists_bugs!$A$2:$C$73,3,FALSE())&amp;Char(10) &amp; Char(10) &amp; VLOOKUP(A366,Internal_lists_bugs!$A$2:$Z$73,26,FALSE())),"please select a BUG ID")</f>
        <v>please select a BUG ID</v>
      </c>
      <c r="C366" s="51" t="str">
        <f>IFERROR(Hyperlink(VLOOKUP(A366,Internal_lists_bugs!$A$2:$G1014,7,FALSE()),"BIC: "&amp;VLOOKUP(A366,Internal_lists_bugs!$A$2:$G1014,7,FALSE())&amp;CHAR(10)&amp;"Intro.Issues: "&amp;VLOOKUP(A366,Internal_lists_bugs!$A$2:$P1014,16,FALSE())),"please select a BUG ID")</f>
        <v>please select a BUG ID</v>
      </c>
      <c r="D366" s="52"/>
      <c r="E366" s="43"/>
      <c r="F366" s="49"/>
      <c r="G366" s="50"/>
      <c r="H366" s="43"/>
    </row>
    <row r="367">
      <c r="A367" s="43"/>
      <c r="B367" s="38" t="str">
        <f>IFERROR(HYPERLINK(VLOOKUP(A367,Internal_lists_bugs!$A$2:$C$73,3,FALSE()), VLOOKUP(A367,Internal_lists_bugs!$A$2:$C$73,3,FALSE())&amp;Char(10) &amp; Char(10) &amp; VLOOKUP(A367,Internal_lists_bugs!$A$2:$Z$73,26,FALSE())),"please select a BUG ID")</f>
        <v>please select a BUG ID</v>
      </c>
      <c r="C367" s="51" t="str">
        <f>IFERROR(Hyperlink(VLOOKUP(A367,Internal_lists_bugs!$A$2:$G1014,7,FALSE()),"BIC: "&amp;VLOOKUP(A367,Internal_lists_bugs!$A$2:$G1014,7,FALSE())&amp;CHAR(10)&amp;"Intro.Issues: "&amp;VLOOKUP(A367,Internal_lists_bugs!$A$2:$P1014,16,FALSE())),"please select a BUG ID")</f>
        <v>please select a BUG ID</v>
      </c>
      <c r="D367" s="52"/>
      <c r="E367" s="43"/>
      <c r="F367" s="49"/>
      <c r="G367" s="50"/>
      <c r="H367" s="43"/>
    </row>
    <row r="368">
      <c r="A368" s="43"/>
      <c r="B368" s="38" t="str">
        <f>IFERROR(HYPERLINK(VLOOKUP(A368,Internal_lists_bugs!$A$2:$C$73,3,FALSE()), VLOOKUP(A368,Internal_lists_bugs!$A$2:$C$73,3,FALSE())&amp;Char(10) &amp; Char(10) &amp; VLOOKUP(A368,Internal_lists_bugs!$A$2:$Z$73,26,FALSE())),"please select a BUG ID")</f>
        <v>please select a BUG ID</v>
      </c>
      <c r="C368" s="51" t="str">
        <f>IFERROR(Hyperlink(VLOOKUP(A368,Internal_lists_bugs!$A$2:$G1014,7,FALSE()),"BIC: "&amp;VLOOKUP(A368,Internal_lists_bugs!$A$2:$G1014,7,FALSE())&amp;CHAR(10)&amp;"Intro.Issues: "&amp;VLOOKUP(A368,Internal_lists_bugs!$A$2:$P1014,16,FALSE())),"please select a BUG ID")</f>
        <v>please select a BUG ID</v>
      </c>
      <c r="D368" s="52"/>
      <c r="E368" s="43"/>
      <c r="F368" s="49"/>
      <c r="G368" s="50"/>
      <c r="H368" s="43"/>
    </row>
    <row r="369">
      <c r="A369" s="43"/>
      <c r="B369" s="38" t="str">
        <f>IFERROR(HYPERLINK(VLOOKUP(A369,Internal_lists_bugs!$A$2:$C$73,3,FALSE()), VLOOKUP(A369,Internal_lists_bugs!$A$2:$C$73,3,FALSE())&amp;Char(10) &amp; Char(10) &amp; VLOOKUP(A369,Internal_lists_bugs!$A$2:$Z$73,26,FALSE())),"please select a BUG ID")</f>
        <v>please select a BUG ID</v>
      </c>
      <c r="C369" s="51" t="str">
        <f>IFERROR(Hyperlink(VLOOKUP(A369,Internal_lists_bugs!$A$2:$G1014,7,FALSE()),"BIC: "&amp;VLOOKUP(A369,Internal_lists_bugs!$A$2:$G1014,7,FALSE())&amp;CHAR(10)&amp;"Intro.Issues: "&amp;VLOOKUP(A369,Internal_lists_bugs!$A$2:$P1014,16,FALSE())),"please select a BUG ID")</f>
        <v>please select a BUG ID</v>
      </c>
      <c r="D369" s="52"/>
      <c r="E369" s="43"/>
      <c r="F369" s="49"/>
      <c r="G369" s="50"/>
      <c r="H369" s="43"/>
    </row>
    <row r="370">
      <c r="A370" s="43"/>
      <c r="B370" s="38" t="str">
        <f>IFERROR(HYPERLINK(VLOOKUP(A370,Internal_lists_bugs!$A$2:$C$73,3,FALSE()), VLOOKUP(A370,Internal_lists_bugs!$A$2:$C$73,3,FALSE())&amp;Char(10) &amp; Char(10) &amp; VLOOKUP(A370,Internal_lists_bugs!$A$2:$Z$73,26,FALSE())),"please select a BUG ID")</f>
        <v>please select a BUG ID</v>
      </c>
      <c r="C370" s="51" t="str">
        <f>IFERROR(Hyperlink(VLOOKUP(A370,Internal_lists_bugs!$A$2:$G1014,7,FALSE()),"BIC: "&amp;VLOOKUP(A370,Internal_lists_bugs!$A$2:$G1014,7,FALSE())&amp;CHAR(10)&amp;"Intro.Issues: "&amp;VLOOKUP(A370,Internal_lists_bugs!$A$2:$P1014,16,FALSE())),"please select a BUG ID")</f>
        <v>please select a BUG ID</v>
      </c>
      <c r="D370" s="52"/>
      <c r="E370" s="43"/>
      <c r="F370" s="49"/>
      <c r="G370" s="50"/>
      <c r="H370" s="43"/>
    </row>
    <row r="371">
      <c r="A371" s="43"/>
      <c r="B371" s="38" t="str">
        <f>IFERROR(HYPERLINK(VLOOKUP(A371,Internal_lists_bugs!$A$2:$C$73,3,FALSE()), VLOOKUP(A371,Internal_lists_bugs!$A$2:$C$73,3,FALSE())&amp;Char(10) &amp; Char(10) &amp; VLOOKUP(A371,Internal_lists_bugs!$A$2:$Z$73,26,FALSE())),"please select a BUG ID")</f>
        <v>please select a BUG ID</v>
      </c>
      <c r="C371" s="51" t="str">
        <f>IFERROR(Hyperlink(VLOOKUP(A371,Internal_lists_bugs!$A$2:$G1014,7,FALSE()),"BIC: "&amp;VLOOKUP(A371,Internal_lists_bugs!$A$2:$G1014,7,FALSE())&amp;CHAR(10)&amp;"Intro.Issues: "&amp;VLOOKUP(A371,Internal_lists_bugs!$A$2:$P1014,16,FALSE())),"please select a BUG ID")</f>
        <v>please select a BUG ID</v>
      </c>
      <c r="D371" s="52"/>
      <c r="E371" s="43"/>
      <c r="F371" s="49"/>
      <c r="G371" s="50"/>
      <c r="H371" s="43"/>
    </row>
    <row r="372">
      <c r="A372" s="43"/>
      <c r="B372" s="38" t="str">
        <f>IFERROR(HYPERLINK(VLOOKUP(A372,Internal_lists_bugs!$A$2:$C$73,3,FALSE()), VLOOKUP(A372,Internal_lists_bugs!$A$2:$C$73,3,FALSE())&amp;Char(10) &amp; Char(10) &amp; VLOOKUP(A372,Internal_lists_bugs!$A$2:$Z$73,26,FALSE())),"please select a BUG ID")</f>
        <v>please select a BUG ID</v>
      </c>
      <c r="C372" s="51" t="str">
        <f>IFERROR(Hyperlink(VLOOKUP(A372,Internal_lists_bugs!$A$2:$G1014,7,FALSE()),"BIC: "&amp;VLOOKUP(A372,Internal_lists_bugs!$A$2:$G1014,7,FALSE())&amp;CHAR(10)&amp;"Intro.Issues: "&amp;VLOOKUP(A372,Internal_lists_bugs!$A$2:$P1014,16,FALSE())),"please select a BUG ID")</f>
        <v>please select a BUG ID</v>
      </c>
      <c r="D372" s="52"/>
      <c r="E372" s="43"/>
      <c r="F372" s="49"/>
      <c r="G372" s="50"/>
      <c r="H372" s="43"/>
    </row>
    <row r="373">
      <c r="A373" s="43"/>
      <c r="B373" s="38" t="str">
        <f>IFERROR(HYPERLINK(VLOOKUP(A373,Internal_lists_bugs!$A$2:$C$73,3,FALSE()), VLOOKUP(A373,Internal_lists_bugs!$A$2:$C$73,3,FALSE())&amp;Char(10) &amp; Char(10) &amp; VLOOKUP(A373,Internal_lists_bugs!$A$2:$Z$73,26,FALSE())),"please select a BUG ID")</f>
        <v>please select a BUG ID</v>
      </c>
      <c r="C373" s="51" t="str">
        <f>IFERROR(Hyperlink(VLOOKUP(A373,Internal_lists_bugs!$A$2:$G1014,7,FALSE()),"BIC: "&amp;VLOOKUP(A373,Internal_lists_bugs!$A$2:$G1014,7,FALSE())&amp;CHAR(10)&amp;"Intro.Issues: "&amp;VLOOKUP(A373,Internal_lists_bugs!$A$2:$P1014,16,FALSE())),"please select a BUG ID")</f>
        <v>please select a BUG ID</v>
      </c>
      <c r="D373" s="52"/>
      <c r="E373" s="43"/>
      <c r="F373" s="49"/>
      <c r="G373" s="50"/>
      <c r="H373" s="43"/>
    </row>
    <row r="374">
      <c r="A374" s="43"/>
      <c r="B374" s="38" t="str">
        <f>IFERROR(HYPERLINK(VLOOKUP(A374,Internal_lists_bugs!$A$2:$C$73,3,FALSE()), VLOOKUP(A374,Internal_lists_bugs!$A$2:$C$73,3,FALSE())&amp;Char(10) &amp; Char(10) &amp; VLOOKUP(A374,Internal_lists_bugs!$A$2:$Z$73,26,FALSE())),"please select a BUG ID")</f>
        <v>please select a BUG ID</v>
      </c>
      <c r="C374" s="51" t="str">
        <f>IFERROR(Hyperlink(VLOOKUP(A374,Internal_lists_bugs!$A$2:$G1014,7,FALSE()),"BIC: "&amp;VLOOKUP(A374,Internal_lists_bugs!$A$2:$G1014,7,FALSE())&amp;CHAR(10)&amp;"Intro.Issues: "&amp;VLOOKUP(A374,Internal_lists_bugs!$A$2:$P1014,16,FALSE())),"please select a BUG ID")</f>
        <v>please select a BUG ID</v>
      </c>
      <c r="D374" s="52"/>
      <c r="E374" s="43"/>
      <c r="F374" s="49"/>
      <c r="G374" s="50"/>
      <c r="H374" s="43"/>
    </row>
    <row r="375">
      <c r="A375" s="43"/>
      <c r="B375" s="38" t="str">
        <f>IFERROR(HYPERLINK(VLOOKUP(A375,Internal_lists_bugs!$A$2:$C$73,3,FALSE()), VLOOKUP(A375,Internal_lists_bugs!$A$2:$C$73,3,FALSE())&amp;Char(10) &amp; Char(10) &amp; VLOOKUP(A375,Internal_lists_bugs!$A$2:$Z$73,26,FALSE())),"please select a BUG ID")</f>
        <v>please select a BUG ID</v>
      </c>
      <c r="C375" s="51" t="str">
        <f>IFERROR(Hyperlink(VLOOKUP(A375,Internal_lists_bugs!$A$2:$G1014,7,FALSE()),"BIC: "&amp;VLOOKUP(A375,Internal_lists_bugs!$A$2:$G1014,7,FALSE())&amp;CHAR(10)&amp;"Intro.Issues: "&amp;VLOOKUP(A375,Internal_lists_bugs!$A$2:$P1014,16,FALSE())),"please select a BUG ID")</f>
        <v>please select a BUG ID</v>
      </c>
      <c r="D375" s="52"/>
      <c r="E375" s="43"/>
      <c r="F375" s="49"/>
      <c r="G375" s="50"/>
      <c r="H375" s="43"/>
    </row>
    <row r="376">
      <c r="A376" s="43"/>
      <c r="B376" s="38" t="str">
        <f>IFERROR(HYPERLINK(VLOOKUP(A376,Internal_lists_bugs!$A$2:$C$73,3,FALSE()), VLOOKUP(A376,Internal_lists_bugs!$A$2:$C$73,3,FALSE())&amp;Char(10) &amp; Char(10) &amp; VLOOKUP(A376,Internal_lists_bugs!$A$2:$Z$73,26,FALSE())),"please select a BUG ID")</f>
        <v>please select a BUG ID</v>
      </c>
      <c r="C376" s="51" t="str">
        <f>IFERROR(Hyperlink(VLOOKUP(A376,Internal_lists_bugs!$A$2:$G1014,7,FALSE()),"BIC: "&amp;VLOOKUP(A376,Internal_lists_bugs!$A$2:$G1014,7,FALSE())&amp;CHAR(10)&amp;"Intro.Issues: "&amp;VLOOKUP(A376,Internal_lists_bugs!$A$2:$P1014,16,FALSE())),"please select a BUG ID")</f>
        <v>please select a BUG ID</v>
      </c>
      <c r="D376" s="52"/>
      <c r="E376" s="43"/>
      <c r="F376" s="49"/>
      <c r="G376" s="50"/>
      <c r="H376" s="43"/>
    </row>
    <row r="377">
      <c r="A377" s="43"/>
      <c r="B377" s="38" t="str">
        <f>IFERROR(HYPERLINK(VLOOKUP(A377,Internal_lists_bugs!$A$2:$C$73,3,FALSE()), VLOOKUP(A377,Internal_lists_bugs!$A$2:$C$73,3,FALSE())&amp;Char(10) &amp; Char(10) &amp; VLOOKUP(A377,Internal_lists_bugs!$A$2:$Z$73,26,FALSE())),"please select a BUG ID")</f>
        <v>please select a BUG ID</v>
      </c>
      <c r="C377" s="51" t="str">
        <f>IFERROR(Hyperlink(VLOOKUP(A377,Internal_lists_bugs!$A$2:$G1014,7,FALSE()),"BIC: "&amp;VLOOKUP(A377,Internal_lists_bugs!$A$2:$G1014,7,FALSE())&amp;CHAR(10)&amp;"Intro.Issues: "&amp;VLOOKUP(A377,Internal_lists_bugs!$A$2:$P1014,16,FALSE())),"please select a BUG ID")</f>
        <v>please select a BUG ID</v>
      </c>
      <c r="D377" s="52"/>
      <c r="E377" s="43"/>
      <c r="F377" s="49"/>
      <c r="G377" s="50"/>
      <c r="H377" s="43"/>
    </row>
    <row r="378">
      <c r="A378" s="43"/>
      <c r="B378" s="38" t="str">
        <f>IFERROR(HYPERLINK(VLOOKUP(A378,Internal_lists_bugs!$A$2:$C$73,3,FALSE()), VLOOKUP(A378,Internal_lists_bugs!$A$2:$C$73,3,FALSE())&amp;Char(10) &amp; Char(10) &amp; VLOOKUP(A378,Internal_lists_bugs!$A$2:$Z$73,26,FALSE())),"please select a BUG ID")</f>
        <v>please select a BUG ID</v>
      </c>
      <c r="C378" s="51" t="str">
        <f>IFERROR(Hyperlink(VLOOKUP(A378,Internal_lists_bugs!$A$2:$G1014,7,FALSE()),"BIC: "&amp;VLOOKUP(A378,Internal_lists_bugs!$A$2:$G1014,7,FALSE())&amp;CHAR(10)&amp;"Intro.Issues: "&amp;VLOOKUP(A378,Internal_lists_bugs!$A$2:$P1014,16,FALSE())),"please select a BUG ID")</f>
        <v>please select a BUG ID</v>
      </c>
      <c r="D378" s="52"/>
      <c r="E378" s="43"/>
      <c r="F378" s="49"/>
      <c r="G378" s="50"/>
      <c r="H378" s="43"/>
    </row>
    <row r="379">
      <c r="A379" s="43"/>
      <c r="B379" s="38" t="str">
        <f>IFERROR(HYPERLINK(VLOOKUP(A379,Internal_lists_bugs!$A$2:$C$73,3,FALSE()), VLOOKUP(A379,Internal_lists_bugs!$A$2:$C$73,3,FALSE())&amp;Char(10) &amp; Char(10) &amp; VLOOKUP(A379,Internal_lists_bugs!$A$2:$Z$73,26,FALSE())),"please select a BUG ID")</f>
        <v>please select a BUG ID</v>
      </c>
      <c r="C379" s="51" t="str">
        <f>IFERROR(Hyperlink(VLOOKUP(A379,Internal_lists_bugs!$A$2:$G1014,7,FALSE()),"BIC: "&amp;VLOOKUP(A379,Internal_lists_bugs!$A$2:$G1014,7,FALSE())&amp;CHAR(10)&amp;"Intro.Issues: "&amp;VLOOKUP(A379,Internal_lists_bugs!$A$2:$P1014,16,FALSE())),"please select a BUG ID")</f>
        <v>please select a BUG ID</v>
      </c>
      <c r="D379" s="52"/>
      <c r="E379" s="43"/>
      <c r="F379" s="49"/>
      <c r="G379" s="50"/>
      <c r="H379" s="43"/>
    </row>
    <row r="380">
      <c r="A380" s="43"/>
      <c r="B380" s="38" t="str">
        <f>IFERROR(HYPERLINK(VLOOKUP(A380,Internal_lists_bugs!$A$2:$C$73,3,FALSE()), VLOOKUP(A380,Internal_lists_bugs!$A$2:$C$73,3,FALSE())&amp;Char(10) &amp; Char(10) &amp; VLOOKUP(A380,Internal_lists_bugs!$A$2:$Z$73,26,FALSE())),"please select a BUG ID")</f>
        <v>please select a BUG ID</v>
      </c>
      <c r="C380" s="51" t="str">
        <f>IFERROR(Hyperlink(VLOOKUP(A380,Internal_lists_bugs!$A$2:$G1014,7,FALSE()),"BIC: "&amp;VLOOKUP(A380,Internal_lists_bugs!$A$2:$G1014,7,FALSE())&amp;CHAR(10)&amp;"Intro.Issues: "&amp;VLOOKUP(A380,Internal_lists_bugs!$A$2:$P1014,16,FALSE())),"please select a BUG ID")</f>
        <v>please select a BUG ID</v>
      </c>
      <c r="D380" s="52"/>
      <c r="E380" s="43"/>
      <c r="F380" s="49"/>
      <c r="G380" s="50"/>
      <c r="H380" s="43"/>
    </row>
    <row r="381">
      <c r="A381" s="43"/>
      <c r="B381" s="38" t="str">
        <f>IFERROR(HYPERLINK(VLOOKUP(A381,Internal_lists_bugs!$A$2:$C$73,3,FALSE()), VLOOKUP(A381,Internal_lists_bugs!$A$2:$C$73,3,FALSE())&amp;Char(10) &amp; Char(10) &amp; VLOOKUP(A381,Internal_lists_bugs!$A$2:$Z$73,26,FALSE())),"please select a BUG ID")</f>
        <v>please select a BUG ID</v>
      </c>
      <c r="C381" s="51" t="str">
        <f>IFERROR(Hyperlink(VLOOKUP(A381,Internal_lists_bugs!$A$2:$G1014,7,FALSE()),"BIC: "&amp;VLOOKUP(A381,Internal_lists_bugs!$A$2:$G1014,7,FALSE())&amp;CHAR(10)&amp;"Intro.Issues: "&amp;VLOOKUP(A381,Internal_lists_bugs!$A$2:$P1014,16,FALSE())),"please select a BUG ID")</f>
        <v>please select a BUG ID</v>
      </c>
      <c r="D381" s="52"/>
      <c r="E381" s="43"/>
      <c r="F381" s="49"/>
      <c r="G381" s="50"/>
      <c r="H381" s="43"/>
    </row>
    <row r="382">
      <c r="A382" s="43"/>
      <c r="B382" s="38" t="str">
        <f>IFERROR(HYPERLINK(VLOOKUP(A382,Internal_lists_bugs!$A$2:$C$73,3,FALSE()), VLOOKUP(A382,Internal_lists_bugs!$A$2:$C$73,3,FALSE())&amp;Char(10) &amp; Char(10) &amp; VLOOKUP(A382,Internal_lists_bugs!$A$2:$Z$73,26,FALSE())),"please select a BUG ID")</f>
        <v>please select a BUG ID</v>
      </c>
      <c r="C382" s="51" t="str">
        <f>IFERROR(Hyperlink(VLOOKUP(A382,Internal_lists_bugs!$A$2:$G1014,7,FALSE()),"BIC: "&amp;VLOOKUP(A382,Internal_lists_bugs!$A$2:$G1014,7,FALSE())&amp;CHAR(10)&amp;"Intro.Issues: "&amp;VLOOKUP(A382,Internal_lists_bugs!$A$2:$P1014,16,FALSE())),"please select a BUG ID")</f>
        <v>please select a BUG ID</v>
      </c>
      <c r="D382" s="52"/>
      <c r="E382" s="43"/>
      <c r="F382" s="49"/>
      <c r="G382" s="50"/>
      <c r="H382" s="43"/>
    </row>
    <row r="383">
      <c r="A383" s="43"/>
      <c r="B383" s="38" t="str">
        <f>IFERROR(HYPERLINK(VLOOKUP(A383,Internal_lists_bugs!$A$2:$C$73,3,FALSE()), VLOOKUP(A383,Internal_lists_bugs!$A$2:$C$73,3,FALSE())&amp;Char(10) &amp; Char(10) &amp; VLOOKUP(A383,Internal_lists_bugs!$A$2:$Z$73,26,FALSE())),"please select a BUG ID")</f>
        <v>please select a BUG ID</v>
      </c>
      <c r="C383" s="51" t="str">
        <f>IFERROR(Hyperlink(VLOOKUP(A383,Internal_lists_bugs!$A$2:$G1014,7,FALSE()),"BIC: "&amp;VLOOKUP(A383,Internal_lists_bugs!$A$2:$G1014,7,FALSE())&amp;CHAR(10)&amp;"Intro.Issues: "&amp;VLOOKUP(A383,Internal_lists_bugs!$A$2:$P1014,16,FALSE())),"please select a BUG ID")</f>
        <v>please select a BUG ID</v>
      </c>
      <c r="D383" s="52"/>
      <c r="E383" s="43"/>
      <c r="F383" s="49"/>
      <c r="G383" s="50"/>
      <c r="H383" s="43"/>
    </row>
    <row r="384">
      <c r="A384" s="43"/>
      <c r="B384" s="38" t="str">
        <f>IFERROR(HYPERLINK(VLOOKUP(A384,Internal_lists_bugs!$A$2:$C$73,3,FALSE()), VLOOKUP(A384,Internal_lists_bugs!$A$2:$C$73,3,FALSE())&amp;Char(10) &amp; Char(10) &amp; VLOOKUP(A384,Internal_lists_bugs!$A$2:$Z$73,26,FALSE())),"please select a BUG ID")</f>
        <v>please select a BUG ID</v>
      </c>
      <c r="C384" s="51" t="str">
        <f>IFERROR(Hyperlink(VLOOKUP(A384,Internal_lists_bugs!$A$2:$G1014,7,FALSE()),"BIC: "&amp;VLOOKUP(A384,Internal_lists_bugs!$A$2:$G1014,7,FALSE())&amp;CHAR(10)&amp;"Intro.Issues: "&amp;VLOOKUP(A384,Internal_lists_bugs!$A$2:$P1014,16,FALSE())),"please select a BUG ID")</f>
        <v>please select a BUG ID</v>
      </c>
      <c r="D384" s="52"/>
      <c r="E384" s="43"/>
      <c r="F384" s="49"/>
      <c r="G384" s="50"/>
      <c r="H384" s="43"/>
    </row>
    <row r="385">
      <c r="A385" s="43"/>
      <c r="B385" s="38" t="str">
        <f>IFERROR(HYPERLINK(VLOOKUP(A385,Internal_lists_bugs!$A$2:$C$73,3,FALSE()), VLOOKUP(A385,Internal_lists_bugs!$A$2:$C$73,3,FALSE())&amp;Char(10) &amp; Char(10) &amp; VLOOKUP(A385,Internal_lists_bugs!$A$2:$Z$73,26,FALSE())),"please select a BUG ID")</f>
        <v>please select a BUG ID</v>
      </c>
      <c r="C385" s="51" t="str">
        <f>IFERROR(Hyperlink(VLOOKUP(A385,Internal_lists_bugs!$A$2:$G1014,7,FALSE()),"BIC: "&amp;VLOOKUP(A385,Internal_lists_bugs!$A$2:$G1014,7,FALSE())&amp;CHAR(10)&amp;"Intro.Issues: "&amp;VLOOKUP(A385,Internal_lists_bugs!$A$2:$P1014,16,FALSE())),"please select a BUG ID")</f>
        <v>please select a BUG ID</v>
      </c>
      <c r="D385" s="52"/>
      <c r="E385" s="43"/>
      <c r="F385" s="49"/>
      <c r="G385" s="50"/>
      <c r="H385" s="43"/>
    </row>
    <row r="386">
      <c r="A386" s="43"/>
      <c r="B386" s="38" t="str">
        <f>IFERROR(HYPERLINK(VLOOKUP(A386,Internal_lists_bugs!$A$2:$C$73,3,FALSE()), VLOOKUP(A386,Internal_lists_bugs!$A$2:$C$73,3,FALSE())&amp;Char(10) &amp; Char(10) &amp; VLOOKUP(A386,Internal_lists_bugs!$A$2:$Z$73,26,FALSE())),"please select a BUG ID")</f>
        <v>please select a BUG ID</v>
      </c>
      <c r="C386" s="51" t="str">
        <f>IFERROR(Hyperlink(VLOOKUP(A386,Internal_lists_bugs!$A$2:$G1014,7,FALSE()),"BIC: "&amp;VLOOKUP(A386,Internal_lists_bugs!$A$2:$G1014,7,FALSE())&amp;CHAR(10)&amp;"Intro.Issues: "&amp;VLOOKUP(A386,Internal_lists_bugs!$A$2:$P1014,16,FALSE())),"please select a BUG ID")</f>
        <v>please select a BUG ID</v>
      </c>
      <c r="D386" s="52"/>
      <c r="E386" s="43"/>
      <c r="F386" s="49"/>
      <c r="G386" s="50"/>
      <c r="H386" s="43"/>
    </row>
    <row r="387">
      <c r="A387" s="43"/>
      <c r="B387" s="38" t="str">
        <f>IFERROR(HYPERLINK(VLOOKUP(A387,Internal_lists_bugs!$A$2:$C$73,3,FALSE()), VLOOKUP(A387,Internal_lists_bugs!$A$2:$C$73,3,FALSE())&amp;Char(10) &amp; Char(10) &amp; VLOOKUP(A387,Internal_lists_bugs!$A$2:$Z$73,26,FALSE())),"please select a BUG ID")</f>
        <v>please select a BUG ID</v>
      </c>
      <c r="C387" s="51" t="str">
        <f>IFERROR(Hyperlink(VLOOKUP(A387,Internal_lists_bugs!$A$2:$G1014,7,FALSE()),"BIC: "&amp;VLOOKUP(A387,Internal_lists_bugs!$A$2:$G1014,7,FALSE())&amp;CHAR(10)&amp;"Intro.Issues: "&amp;VLOOKUP(A387,Internal_lists_bugs!$A$2:$P1014,16,FALSE())),"please select a BUG ID")</f>
        <v>please select a BUG ID</v>
      </c>
      <c r="D387" s="52"/>
      <c r="E387" s="43"/>
      <c r="F387" s="49"/>
      <c r="G387" s="50"/>
      <c r="H387" s="43"/>
    </row>
    <row r="388">
      <c r="A388" s="43"/>
      <c r="B388" s="38" t="str">
        <f>IFERROR(HYPERLINK(VLOOKUP(A388,Internal_lists_bugs!$A$2:$C$73,3,FALSE()), VLOOKUP(A388,Internal_lists_bugs!$A$2:$C$73,3,FALSE())&amp;Char(10) &amp; Char(10) &amp; VLOOKUP(A388,Internal_lists_bugs!$A$2:$Z$73,26,FALSE())),"please select a BUG ID")</f>
        <v>please select a BUG ID</v>
      </c>
      <c r="C388" s="51" t="str">
        <f>IFERROR(Hyperlink(VLOOKUP(A388,Internal_lists_bugs!$A$2:$G1014,7,FALSE()),"BIC: "&amp;VLOOKUP(A388,Internal_lists_bugs!$A$2:$G1014,7,FALSE())&amp;CHAR(10)&amp;"Intro.Issues: "&amp;VLOOKUP(A388,Internal_lists_bugs!$A$2:$P1014,16,FALSE())),"please select a BUG ID")</f>
        <v>please select a BUG ID</v>
      </c>
      <c r="D388" s="52"/>
      <c r="E388" s="43"/>
      <c r="F388" s="49"/>
      <c r="G388" s="50"/>
      <c r="H388" s="43"/>
    </row>
    <row r="389">
      <c r="A389" s="43"/>
      <c r="B389" s="38" t="str">
        <f>IFERROR(HYPERLINK(VLOOKUP(A389,Internal_lists_bugs!$A$2:$C$73,3,FALSE()), VLOOKUP(A389,Internal_lists_bugs!$A$2:$C$73,3,FALSE())&amp;Char(10) &amp; Char(10) &amp; VLOOKUP(A389,Internal_lists_bugs!$A$2:$Z$73,26,FALSE())),"please select a BUG ID")</f>
        <v>please select a BUG ID</v>
      </c>
      <c r="C389" s="51" t="str">
        <f>IFERROR(Hyperlink(VLOOKUP(A389,Internal_lists_bugs!$A$2:$G1014,7,FALSE()),"BIC: "&amp;VLOOKUP(A389,Internal_lists_bugs!$A$2:$G1014,7,FALSE())&amp;CHAR(10)&amp;"Intro.Issues: "&amp;VLOOKUP(A389,Internal_lists_bugs!$A$2:$P1014,16,FALSE())),"please select a BUG ID")</f>
        <v>please select a BUG ID</v>
      </c>
      <c r="D389" s="52"/>
      <c r="E389" s="43"/>
      <c r="F389" s="49"/>
      <c r="G389" s="50"/>
      <c r="H389" s="43"/>
    </row>
    <row r="390">
      <c r="A390" s="43"/>
      <c r="B390" s="38" t="str">
        <f>IFERROR(HYPERLINK(VLOOKUP(A390,Internal_lists_bugs!$A$2:$C$73,3,FALSE()), VLOOKUP(A390,Internal_lists_bugs!$A$2:$C$73,3,FALSE())&amp;Char(10) &amp; Char(10) &amp; VLOOKUP(A390,Internal_lists_bugs!$A$2:$Z$73,26,FALSE())),"please select a BUG ID")</f>
        <v>please select a BUG ID</v>
      </c>
      <c r="C390" s="51" t="str">
        <f>IFERROR(Hyperlink(VLOOKUP(A390,Internal_lists_bugs!$A$2:$G1014,7,FALSE()),"BIC: "&amp;VLOOKUP(A390,Internal_lists_bugs!$A$2:$G1014,7,FALSE())&amp;CHAR(10)&amp;"Intro.Issues: "&amp;VLOOKUP(A390,Internal_lists_bugs!$A$2:$P1014,16,FALSE())),"please select a BUG ID")</f>
        <v>please select a BUG ID</v>
      </c>
      <c r="D390" s="52"/>
      <c r="E390" s="43"/>
      <c r="F390" s="49"/>
      <c r="G390" s="50"/>
      <c r="H390" s="43"/>
    </row>
    <row r="391">
      <c r="A391" s="43"/>
      <c r="B391" s="38" t="str">
        <f>IFERROR(HYPERLINK(VLOOKUP(A391,Internal_lists_bugs!$A$2:$C$73,3,FALSE()), VLOOKUP(A391,Internal_lists_bugs!$A$2:$C$73,3,FALSE())&amp;Char(10) &amp; Char(10) &amp; VLOOKUP(A391,Internal_lists_bugs!$A$2:$Z$73,26,FALSE())),"please select a BUG ID")</f>
        <v>please select a BUG ID</v>
      </c>
      <c r="C391" s="51" t="str">
        <f>IFERROR(Hyperlink(VLOOKUP(A391,Internal_lists_bugs!$A$2:$G1014,7,FALSE()),"BIC: "&amp;VLOOKUP(A391,Internal_lists_bugs!$A$2:$G1014,7,FALSE())&amp;CHAR(10)&amp;"Intro.Issues: "&amp;VLOOKUP(A391,Internal_lists_bugs!$A$2:$P1014,16,FALSE())),"please select a BUG ID")</f>
        <v>please select a BUG ID</v>
      </c>
      <c r="D391" s="52"/>
      <c r="E391" s="43"/>
      <c r="F391" s="49"/>
      <c r="G391" s="50"/>
      <c r="H391" s="43"/>
    </row>
    <row r="392">
      <c r="A392" s="43"/>
      <c r="B392" s="38" t="str">
        <f>IFERROR(HYPERLINK(VLOOKUP(A392,Internal_lists_bugs!$A$2:$C$73,3,FALSE()), VLOOKUP(A392,Internal_lists_bugs!$A$2:$C$73,3,FALSE())&amp;Char(10) &amp; Char(10) &amp; VLOOKUP(A392,Internal_lists_bugs!$A$2:$Z$73,26,FALSE())),"please select a BUG ID")</f>
        <v>please select a BUG ID</v>
      </c>
      <c r="C392" s="51" t="str">
        <f>IFERROR(Hyperlink(VLOOKUP(A392,Internal_lists_bugs!$A$2:$G1014,7,FALSE()),"BIC: "&amp;VLOOKUP(A392,Internal_lists_bugs!$A$2:$G1014,7,FALSE())&amp;CHAR(10)&amp;"Intro.Issues: "&amp;VLOOKUP(A392,Internal_lists_bugs!$A$2:$P1014,16,FALSE())),"please select a BUG ID")</f>
        <v>please select a BUG ID</v>
      </c>
      <c r="D392" s="52"/>
      <c r="E392" s="43"/>
      <c r="F392" s="49"/>
      <c r="G392" s="50"/>
      <c r="H392" s="43"/>
    </row>
    <row r="393">
      <c r="A393" s="43"/>
      <c r="B393" s="38" t="str">
        <f>IFERROR(HYPERLINK(VLOOKUP(A393,Internal_lists_bugs!$A$2:$C$73,3,FALSE()), VLOOKUP(A393,Internal_lists_bugs!$A$2:$C$73,3,FALSE())&amp;Char(10) &amp; Char(10) &amp; VLOOKUP(A393,Internal_lists_bugs!$A$2:$Z$73,26,FALSE())),"please select a BUG ID")</f>
        <v>please select a BUG ID</v>
      </c>
      <c r="C393" s="51" t="str">
        <f>IFERROR(Hyperlink(VLOOKUP(A393,Internal_lists_bugs!$A$2:$G1014,7,FALSE()),"BIC: "&amp;VLOOKUP(A393,Internal_lists_bugs!$A$2:$G1014,7,FALSE())&amp;CHAR(10)&amp;"Intro.Issues: "&amp;VLOOKUP(A393,Internal_lists_bugs!$A$2:$P1014,16,FALSE())),"please select a BUG ID")</f>
        <v>please select a BUG ID</v>
      </c>
      <c r="D393" s="52"/>
      <c r="E393" s="43"/>
      <c r="F393" s="49"/>
      <c r="G393" s="50"/>
      <c r="H393" s="43"/>
    </row>
    <row r="394">
      <c r="A394" s="43"/>
      <c r="B394" s="38" t="str">
        <f>IFERROR(HYPERLINK(VLOOKUP(A394,Internal_lists_bugs!$A$2:$C$73,3,FALSE()), VLOOKUP(A394,Internal_lists_bugs!$A$2:$C$73,3,FALSE())&amp;Char(10) &amp; Char(10) &amp; VLOOKUP(A394,Internal_lists_bugs!$A$2:$Z$73,26,FALSE())),"please select a BUG ID")</f>
        <v>please select a BUG ID</v>
      </c>
      <c r="C394" s="51" t="str">
        <f>IFERROR(Hyperlink(VLOOKUP(A394,Internal_lists_bugs!$A$2:$G1014,7,FALSE()),"BIC: "&amp;VLOOKUP(A394,Internal_lists_bugs!$A$2:$G1014,7,FALSE())&amp;CHAR(10)&amp;"Intro.Issues: "&amp;VLOOKUP(A394,Internal_lists_bugs!$A$2:$P1014,16,FALSE())),"please select a BUG ID")</f>
        <v>please select a BUG ID</v>
      </c>
      <c r="D394" s="52"/>
      <c r="E394" s="43"/>
      <c r="F394" s="49"/>
      <c r="G394" s="50"/>
      <c r="H394" s="43"/>
    </row>
    <row r="395">
      <c r="A395" s="43"/>
      <c r="B395" s="38" t="str">
        <f>IFERROR(HYPERLINK(VLOOKUP(A395,Internal_lists_bugs!$A$2:$C$73,3,FALSE()), VLOOKUP(A395,Internal_lists_bugs!$A$2:$C$73,3,FALSE())&amp;Char(10) &amp; Char(10) &amp; VLOOKUP(A395,Internal_lists_bugs!$A$2:$Z$73,26,FALSE())),"please select a BUG ID")</f>
        <v>please select a BUG ID</v>
      </c>
      <c r="C395" s="51" t="str">
        <f>IFERROR(Hyperlink(VLOOKUP(A395,Internal_lists_bugs!$A$2:$G1014,7,FALSE()),"BIC: "&amp;VLOOKUP(A395,Internal_lists_bugs!$A$2:$G1014,7,FALSE())&amp;CHAR(10)&amp;"Intro.Issues: "&amp;VLOOKUP(A395,Internal_lists_bugs!$A$2:$P1014,16,FALSE())),"please select a BUG ID")</f>
        <v>please select a BUG ID</v>
      </c>
      <c r="D395" s="52"/>
      <c r="E395" s="43"/>
      <c r="F395" s="49"/>
      <c r="G395" s="50"/>
      <c r="H395" s="43"/>
    </row>
    <row r="396">
      <c r="A396" s="43"/>
      <c r="B396" s="38" t="str">
        <f>IFERROR(HYPERLINK(VLOOKUP(A396,Internal_lists_bugs!$A$2:$C$73,3,FALSE()), VLOOKUP(A396,Internal_lists_bugs!$A$2:$C$73,3,FALSE())&amp;Char(10) &amp; Char(10) &amp; VLOOKUP(A396,Internal_lists_bugs!$A$2:$Z$73,26,FALSE())),"please select a BUG ID")</f>
        <v>please select a BUG ID</v>
      </c>
      <c r="C396" s="51" t="str">
        <f>IFERROR(Hyperlink(VLOOKUP(A396,Internal_lists_bugs!$A$2:$G1014,7,FALSE()),"BIC: "&amp;VLOOKUP(A396,Internal_lists_bugs!$A$2:$G1014,7,FALSE())&amp;CHAR(10)&amp;"Intro.Issues: "&amp;VLOOKUP(A396,Internal_lists_bugs!$A$2:$P1014,16,FALSE())),"please select a BUG ID")</f>
        <v>please select a BUG ID</v>
      </c>
      <c r="D396" s="52"/>
      <c r="E396" s="43"/>
      <c r="F396" s="49"/>
      <c r="G396" s="50"/>
      <c r="H396" s="43"/>
    </row>
    <row r="397">
      <c r="A397" s="43"/>
      <c r="B397" s="38" t="str">
        <f>IFERROR(HYPERLINK(VLOOKUP(A397,Internal_lists_bugs!$A$2:$C$73,3,FALSE()), VLOOKUP(A397,Internal_lists_bugs!$A$2:$C$73,3,FALSE())&amp;Char(10) &amp; Char(10) &amp; VLOOKUP(A397,Internal_lists_bugs!$A$2:$Z$73,26,FALSE())),"please select a BUG ID")</f>
        <v>please select a BUG ID</v>
      </c>
      <c r="C397" s="51" t="str">
        <f>IFERROR(Hyperlink(VLOOKUP(A397,Internal_lists_bugs!$A$2:$G1014,7,FALSE()),"BIC: "&amp;VLOOKUP(A397,Internal_lists_bugs!$A$2:$G1014,7,FALSE())&amp;CHAR(10)&amp;"Intro.Issues: "&amp;VLOOKUP(A397,Internal_lists_bugs!$A$2:$P1014,16,FALSE())),"please select a BUG ID")</f>
        <v>please select a BUG ID</v>
      </c>
      <c r="D397" s="52"/>
      <c r="E397" s="43"/>
      <c r="F397" s="49"/>
      <c r="G397" s="50"/>
      <c r="H397" s="43"/>
    </row>
    <row r="398">
      <c r="A398" s="43"/>
      <c r="B398" s="38" t="str">
        <f>IFERROR(HYPERLINK(VLOOKUP(A398,Internal_lists_bugs!$A$2:$C$73,3,FALSE()), VLOOKUP(A398,Internal_lists_bugs!$A$2:$C$73,3,FALSE())&amp;Char(10) &amp; Char(10) &amp; VLOOKUP(A398,Internal_lists_bugs!$A$2:$Z$73,26,FALSE())),"please select a BUG ID")</f>
        <v>please select a BUG ID</v>
      </c>
      <c r="C398" s="51" t="str">
        <f>IFERROR(Hyperlink(VLOOKUP(A398,Internal_lists_bugs!$A$2:$G1014,7,FALSE()),"BIC: "&amp;VLOOKUP(A398,Internal_lists_bugs!$A$2:$G1014,7,FALSE())&amp;CHAR(10)&amp;"Intro.Issues: "&amp;VLOOKUP(A398,Internal_lists_bugs!$A$2:$P1014,16,FALSE())),"please select a BUG ID")</f>
        <v>please select a BUG ID</v>
      </c>
      <c r="D398" s="52"/>
      <c r="E398" s="43"/>
      <c r="F398" s="49"/>
      <c r="G398" s="50"/>
      <c r="H398" s="43"/>
    </row>
    <row r="399">
      <c r="A399" s="43"/>
      <c r="B399" s="38" t="str">
        <f>IFERROR(HYPERLINK(VLOOKUP(A399,Internal_lists_bugs!$A$2:$C$73,3,FALSE()), VLOOKUP(A399,Internal_lists_bugs!$A$2:$C$73,3,FALSE())&amp;Char(10) &amp; Char(10) &amp; VLOOKUP(A399,Internal_lists_bugs!$A$2:$Z$73,26,FALSE())),"please select a BUG ID")</f>
        <v>please select a BUG ID</v>
      </c>
      <c r="C399" s="51" t="str">
        <f>IFERROR(Hyperlink(VLOOKUP(A399,Internal_lists_bugs!$A$2:$G1014,7,FALSE()),"BIC: "&amp;VLOOKUP(A399,Internal_lists_bugs!$A$2:$G1014,7,FALSE())&amp;CHAR(10)&amp;"Intro.Issues: "&amp;VLOOKUP(A399,Internal_lists_bugs!$A$2:$P1014,16,FALSE())),"please select a BUG ID")</f>
        <v>please select a BUG ID</v>
      </c>
      <c r="D399" s="52"/>
      <c r="E399" s="43"/>
      <c r="F399" s="49"/>
      <c r="G399" s="50"/>
      <c r="H399" s="43"/>
    </row>
    <row r="400">
      <c r="A400" s="43"/>
      <c r="B400" s="38" t="str">
        <f>IFERROR(HYPERLINK(VLOOKUP(A400,Internal_lists_bugs!$A$2:$C$73,3,FALSE()), VLOOKUP(A400,Internal_lists_bugs!$A$2:$C$73,3,FALSE())&amp;Char(10) &amp; Char(10) &amp; VLOOKUP(A400,Internal_lists_bugs!$A$2:$Z$73,26,FALSE())),"please select a BUG ID")</f>
        <v>please select a BUG ID</v>
      </c>
      <c r="C400" s="51" t="str">
        <f>IFERROR(Hyperlink(VLOOKUP(A400,Internal_lists_bugs!$A$2:$G1014,7,FALSE()),"BIC: "&amp;VLOOKUP(A400,Internal_lists_bugs!$A$2:$G1014,7,FALSE())&amp;CHAR(10)&amp;"Intro.Issues: "&amp;VLOOKUP(A400,Internal_lists_bugs!$A$2:$P1014,16,FALSE())),"please select a BUG ID")</f>
        <v>please select a BUG ID</v>
      </c>
      <c r="D400" s="52"/>
      <c r="E400" s="43"/>
      <c r="F400" s="49"/>
      <c r="G400" s="50"/>
      <c r="H400" s="43"/>
    </row>
    <row r="401">
      <c r="A401" s="43"/>
      <c r="B401" s="38" t="str">
        <f>IFERROR(HYPERLINK(VLOOKUP(A401,Internal_lists_bugs!$A$2:$C$73,3,FALSE()), VLOOKUP(A401,Internal_lists_bugs!$A$2:$C$73,3,FALSE())&amp;Char(10) &amp; Char(10) &amp; VLOOKUP(A401,Internal_lists_bugs!$A$2:$Z$73,26,FALSE())),"please select a BUG ID")</f>
        <v>please select a BUG ID</v>
      </c>
      <c r="C401" s="51" t="str">
        <f>IFERROR(Hyperlink(VLOOKUP(A401,Internal_lists_bugs!$A$2:$G1014,7,FALSE()),"BIC: "&amp;VLOOKUP(A401,Internal_lists_bugs!$A$2:$G1014,7,FALSE())&amp;CHAR(10)&amp;"Intro.Issues: "&amp;VLOOKUP(A401,Internal_lists_bugs!$A$2:$P1014,16,FALSE())),"please select a BUG ID")</f>
        <v>please select a BUG ID</v>
      </c>
      <c r="D401" s="52"/>
      <c r="E401" s="43"/>
      <c r="F401" s="49"/>
      <c r="G401" s="50"/>
      <c r="H401" s="43"/>
    </row>
    <row r="402">
      <c r="A402" s="43"/>
      <c r="B402" s="38" t="str">
        <f>IFERROR(HYPERLINK(VLOOKUP(A402,Internal_lists_bugs!$A$2:$C$73,3,FALSE()), VLOOKUP(A402,Internal_lists_bugs!$A$2:$C$73,3,FALSE())&amp;Char(10) &amp; Char(10) &amp; VLOOKUP(A402,Internal_lists_bugs!$A$2:$Z$73,26,FALSE())),"please select a BUG ID")</f>
        <v>please select a BUG ID</v>
      </c>
      <c r="C402" s="51" t="str">
        <f>IFERROR(Hyperlink(VLOOKUP(A402,Internal_lists_bugs!$A$2:$G1014,7,FALSE()),"BIC: "&amp;VLOOKUP(A402,Internal_lists_bugs!$A$2:$G1014,7,FALSE())&amp;CHAR(10)&amp;"Intro.Issues: "&amp;VLOOKUP(A402,Internal_lists_bugs!$A$2:$P1014,16,FALSE())),"please select a BUG ID")</f>
        <v>please select a BUG ID</v>
      </c>
      <c r="D402" s="52"/>
      <c r="E402" s="43"/>
      <c r="F402" s="49"/>
      <c r="G402" s="50"/>
      <c r="H402" s="43"/>
    </row>
    <row r="403">
      <c r="A403" s="43"/>
      <c r="B403" s="38" t="str">
        <f>IFERROR(HYPERLINK(VLOOKUP(A403,Internal_lists_bugs!$A$2:$C$73,3,FALSE()), VLOOKUP(A403,Internal_lists_bugs!$A$2:$C$73,3,FALSE())&amp;Char(10) &amp; Char(10) &amp; VLOOKUP(A403,Internal_lists_bugs!$A$2:$Z$73,26,FALSE())),"please select a BUG ID")</f>
        <v>please select a BUG ID</v>
      </c>
      <c r="C403" s="51" t="str">
        <f>IFERROR(Hyperlink(VLOOKUP(A403,Internal_lists_bugs!$A$2:$G1014,7,FALSE()),"BIC: "&amp;VLOOKUP(A403,Internal_lists_bugs!$A$2:$G1014,7,FALSE())&amp;CHAR(10)&amp;"Intro.Issues: "&amp;VLOOKUP(A403,Internal_lists_bugs!$A$2:$P1014,16,FALSE())),"please select a BUG ID")</f>
        <v>please select a BUG ID</v>
      </c>
      <c r="D403" s="52"/>
      <c r="E403" s="43"/>
      <c r="F403" s="49"/>
      <c r="G403" s="50"/>
      <c r="H403" s="43"/>
    </row>
    <row r="404">
      <c r="A404" s="43"/>
      <c r="B404" s="38" t="str">
        <f>IFERROR(HYPERLINK(VLOOKUP(A404,Internal_lists_bugs!$A$2:$C$73,3,FALSE()), VLOOKUP(A404,Internal_lists_bugs!$A$2:$C$73,3,FALSE())&amp;Char(10) &amp; Char(10) &amp; VLOOKUP(A404,Internal_lists_bugs!$A$2:$Z$73,26,FALSE())),"please select a BUG ID")</f>
        <v>please select a BUG ID</v>
      </c>
      <c r="C404" s="51" t="str">
        <f>IFERROR(Hyperlink(VLOOKUP(A404,Internal_lists_bugs!$A$2:$G1014,7,FALSE()),"BIC: "&amp;VLOOKUP(A404,Internal_lists_bugs!$A$2:$G1014,7,FALSE())&amp;CHAR(10)&amp;"Intro.Issues: "&amp;VLOOKUP(A404,Internal_lists_bugs!$A$2:$P1014,16,FALSE())),"please select a BUG ID")</f>
        <v>please select a BUG ID</v>
      </c>
      <c r="D404" s="52"/>
      <c r="E404" s="43"/>
      <c r="F404" s="49"/>
      <c r="G404" s="50"/>
      <c r="H404" s="43"/>
    </row>
    <row r="405">
      <c r="A405" s="43"/>
      <c r="B405" s="38" t="str">
        <f>IFERROR(HYPERLINK(VLOOKUP(A405,Internal_lists_bugs!$A$2:$C$73,3,FALSE()), VLOOKUP(A405,Internal_lists_bugs!$A$2:$C$73,3,FALSE())&amp;Char(10) &amp; Char(10) &amp; VLOOKUP(A405,Internal_lists_bugs!$A$2:$Z$73,26,FALSE())),"please select a BUG ID")</f>
        <v>please select a BUG ID</v>
      </c>
      <c r="C405" s="51" t="str">
        <f>IFERROR(Hyperlink(VLOOKUP(A405,Internal_lists_bugs!$A$2:$G1014,7,FALSE()),"BIC: "&amp;VLOOKUP(A405,Internal_lists_bugs!$A$2:$G1014,7,FALSE())&amp;CHAR(10)&amp;"Intro.Issues: "&amp;VLOOKUP(A405,Internal_lists_bugs!$A$2:$P1014,16,FALSE())),"please select a BUG ID")</f>
        <v>please select a BUG ID</v>
      </c>
      <c r="D405" s="52"/>
      <c r="E405" s="43"/>
      <c r="F405" s="49"/>
      <c r="G405" s="50"/>
      <c r="H405" s="43"/>
    </row>
    <row r="406">
      <c r="A406" s="43"/>
      <c r="B406" s="38" t="str">
        <f>IFERROR(HYPERLINK(VLOOKUP(A406,Internal_lists_bugs!$A$2:$C$73,3,FALSE()), VLOOKUP(A406,Internal_lists_bugs!$A$2:$C$73,3,FALSE())&amp;Char(10) &amp; Char(10) &amp; VLOOKUP(A406,Internal_lists_bugs!$A$2:$Z$73,26,FALSE())),"please select a BUG ID")</f>
        <v>please select a BUG ID</v>
      </c>
      <c r="C406" s="51" t="str">
        <f>IFERROR(Hyperlink(VLOOKUP(A406,Internal_lists_bugs!$A$2:$G1014,7,FALSE()),"BIC: "&amp;VLOOKUP(A406,Internal_lists_bugs!$A$2:$G1014,7,FALSE())&amp;CHAR(10)&amp;"Intro.Issues: "&amp;VLOOKUP(A406,Internal_lists_bugs!$A$2:$P1014,16,FALSE())),"please select a BUG ID")</f>
        <v>please select a BUG ID</v>
      </c>
      <c r="D406" s="52"/>
      <c r="E406" s="43"/>
      <c r="F406" s="49"/>
      <c r="G406" s="50"/>
      <c r="H406" s="43"/>
    </row>
    <row r="407">
      <c r="A407" s="43"/>
      <c r="B407" s="38" t="str">
        <f>IFERROR(HYPERLINK(VLOOKUP(A407,Internal_lists_bugs!$A$2:$C$73,3,FALSE()), VLOOKUP(A407,Internal_lists_bugs!$A$2:$C$73,3,FALSE())&amp;Char(10) &amp; Char(10) &amp; VLOOKUP(A407,Internal_lists_bugs!$A$2:$Z$73,26,FALSE())),"please select a BUG ID")</f>
        <v>please select a BUG ID</v>
      </c>
      <c r="C407" s="51" t="str">
        <f>IFERROR(Hyperlink(VLOOKUP(A407,Internal_lists_bugs!$A$2:$G1014,7,FALSE()),"BIC: "&amp;VLOOKUP(A407,Internal_lists_bugs!$A$2:$G1014,7,FALSE())&amp;CHAR(10)&amp;"Intro.Issues: "&amp;VLOOKUP(A407,Internal_lists_bugs!$A$2:$P1014,16,FALSE())),"please select a BUG ID")</f>
        <v>please select a BUG ID</v>
      </c>
      <c r="D407" s="52"/>
      <c r="E407" s="43"/>
      <c r="F407" s="49"/>
      <c r="G407" s="50"/>
      <c r="H407" s="43"/>
    </row>
    <row r="408">
      <c r="A408" s="43"/>
      <c r="B408" s="38" t="str">
        <f>IFERROR(HYPERLINK(VLOOKUP(A408,Internal_lists_bugs!$A$2:$C$73,3,FALSE()), VLOOKUP(A408,Internal_lists_bugs!$A$2:$C$73,3,FALSE())&amp;Char(10) &amp; Char(10) &amp; VLOOKUP(A408,Internal_lists_bugs!$A$2:$Z$73,26,FALSE())),"please select a BUG ID")</f>
        <v>please select a BUG ID</v>
      </c>
      <c r="C408" s="51" t="str">
        <f>IFERROR(Hyperlink(VLOOKUP(A408,Internal_lists_bugs!$A$2:$G1014,7,FALSE()),"BIC: "&amp;VLOOKUP(A408,Internal_lists_bugs!$A$2:$G1014,7,FALSE())&amp;CHAR(10)&amp;"Intro.Issues: "&amp;VLOOKUP(A408,Internal_lists_bugs!$A$2:$P1014,16,FALSE())),"please select a BUG ID")</f>
        <v>please select a BUG ID</v>
      </c>
      <c r="D408" s="52"/>
      <c r="E408" s="43"/>
      <c r="F408" s="49"/>
      <c r="G408" s="50"/>
      <c r="H408" s="43"/>
    </row>
    <row r="409">
      <c r="A409" s="43"/>
      <c r="B409" s="38" t="str">
        <f>IFERROR(HYPERLINK(VLOOKUP(A409,Internal_lists_bugs!$A$2:$C$73,3,FALSE()), VLOOKUP(A409,Internal_lists_bugs!$A$2:$C$73,3,FALSE())&amp;Char(10) &amp; Char(10) &amp; VLOOKUP(A409,Internal_lists_bugs!$A$2:$Z$73,26,FALSE())),"please select a BUG ID")</f>
        <v>please select a BUG ID</v>
      </c>
      <c r="C409" s="51" t="str">
        <f>IFERROR(Hyperlink(VLOOKUP(A409,Internal_lists_bugs!$A$2:$G1014,7,FALSE()),"BIC: "&amp;VLOOKUP(A409,Internal_lists_bugs!$A$2:$G1014,7,FALSE())&amp;CHAR(10)&amp;"Intro.Issues: "&amp;VLOOKUP(A409,Internal_lists_bugs!$A$2:$P1014,16,FALSE())),"please select a BUG ID")</f>
        <v>please select a BUG ID</v>
      </c>
      <c r="D409" s="52"/>
      <c r="E409" s="43"/>
      <c r="F409" s="49"/>
      <c r="G409" s="50"/>
      <c r="H409" s="43"/>
    </row>
    <row r="410">
      <c r="A410" s="43"/>
      <c r="B410" s="38" t="str">
        <f>IFERROR(HYPERLINK(VLOOKUP(A410,Internal_lists_bugs!$A$2:$C$73,3,FALSE()), VLOOKUP(A410,Internal_lists_bugs!$A$2:$C$73,3,FALSE())&amp;Char(10) &amp; Char(10) &amp; VLOOKUP(A410,Internal_lists_bugs!$A$2:$Z$73,26,FALSE())),"please select a BUG ID")</f>
        <v>please select a BUG ID</v>
      </c>
      <c r="C410" s="51" t="str">
        <f>IFERROR(Hyperlink(VLOOKUP(A410,Internal_lists_bugs!$A$2:$G1014,7,FALSE()),"BIC: "&amp;VLOOKUP(A410,Internal_lists_bugs!$A$2:$G1014,7,FALSE())&amp;CHAR(10)&amp;"Intro.Issues: "&amp;VLOOKUP(A410,Internal_lists_bugs!$A$2:$P1014,16,FALSE())),"please select a BUG ID")</f>
        <v>please select a BUG ID</v>
      </c>
      <c r="D410" s="52"/>
      <c r="E410" s="43"/>
      <c r="F410" s="49"/>
      <c r="G410" s="50"/>
      <c r="H410" s="43"/>
    </row>
    <row r="411">
      <c r="A411" s="43"/>
      <c r="B411" s="38" t="str">
        <f>IFERROR(HYPERLINK(VLOOKUP(A411,Internal_lists_bugs!$A$2:$C$73,3,FALSE()), VLOOKUP(A411,Internal_lists_bugs!$A$2:$C$73,3,FALSE())&amp;Char(10) &amp; Char(10) &amp; VLOOKUP(A411,Internal_lists_bugs!$A$2:$Z$73,26,FALSE())),"please select a BUG ID")</f>
        <v>please select a BUG ID</v>
      </c>
      <c r="C411" s="51" t="str">
        <f>IFERROR(Hyperlink(VLOOKUP(A411,Internal_lists_bugs!$A$2:$G1014,7,FALSE()),"BIC: "&amp;VLOOKUP(A411,Internal_lists_bugs!$A$2:$G1014,7,FALSE())&amp;CHAR(10)&amp;"Intro.Issues: "&amp;VLOOKUP(A411,Internal_lists_bugs!$A$2:$P1014,16,FALSE())),"please select a BUG ID")</f>
        <v>please select a BUG ID</v>
      </c>
      <c r="D411" s="52"/>
      <c r="E411" s="43"/>
      <c r="F411" s="49"/>
      <c r="G411" s="50"/>
      <c r="H411" s="43"/>
    </row>
    <row r="412">
      <c r="A412" s="43"/>
      <c r="B412" s="38" t="str">
        <f>IFERROR(HYPERLINK(VLOOKUP(A412,Internal_lists_bugs!$A$2:$C$73,3,FALSE()), VLOOKUP(A412,Internal_lists_bugs!$A$2:$C$73,3,FALSE())&amp;Char(10) &amp; Char(10) &amp; VLOOKUP(A412,Internal_lists_bugs!$A$2:$Z$73,26,FALSE())),"please select a BUG ID")</f>
        <v>please select a BUG ID</v>
      </c>
      <c r="C412" s="51" t="str">
        <f>IFERROR(Hyperlink(VLOOKUP(A412,Internal_lists_bugs!$A$2:$G1014,7,FALSE()),"BIC: "&amp;VLOOKUP(A412,Internal_lists_bugs!$A$2:$G1014,7,FALSE())&amp;CHAR(10)&amp;"Intro.Issues: "&amp;VLOOKUP(A412,Internal_lists_bugs!$A$2:$P1014,16,FALSE())),"please select a BUG ID")</f>
        <v>please select a BUG ID</v>
      </c>
      <c r="D412" s="52"/>
      <c r="E412" s="43"/>
      <c r="F412" s="49"/>
      <c r="G412" s="50"/>
      <c r="H412" s="43"/>
    </row>
    <row r="413">
      <c r="A413" s="43"/>
      <c r="B413" s="38" t="str">
        <f>IFERROR(HYPERLINK(VLOOKUP(A413,Internal_lists_bugs!$A$2:$C$73,3,FALSE()), VLOOKUP(A413,Internal_lists_bugs!$A$2:$C$73,3,FALSE())&amp;Char(10) &amp; Char(10) &amp; VLOOKUP(A413,Internal_lists_bugs!$A$2:$Z$73,26,FALSE())),"please select a BUG ID")</f>
        <v>please select a BUG ID</v>
      </c>
      <c r="C413" s="51" t="str">
        <f>IFERROR(Hyperlink(VLOOKUP(A413,Internal_lists_bugs!$A$2:$G1014,7,FALSE()),"BIC: "&amp;VLOOKUP(A413,Internal_lists_bugs!$A$2:$G1014,7,FALSE())&amp;CHAR(10)&amp;"Intro.Issues: "&amp;VLOOKUP(A413,Internal_lists_bugs!$A$2:$P1014,16,FALSE())),"please select a BUG ID")</f>
        <v>please select a BUG ID</v>
      </c>
      <c r="D413" s="52"/>
      <c r="E413" s="43"/>
      <c r="F413" s="49"/>
      <c r="G413" s="50"/>
      <c r="H413" s="43"/>
    </row>
    <row r="414">
      <c r="A414" s="43"/>
      <c r="B414" s="38" t="str">
        <f>IFERROR(HYPERLINK(VLOOKUP(A414,Internal_lists_bugs!$A$2:$C$73,3,FALSE()), VLOOKUP(A414,Internal_lists_bugs!$A$2:$C$73,3,FALSE())&amp;Char(10) &amp; Char(10) &amp; VLOOKUP(A414,Internal_lists_bugs!$A$2:$Z$73,26,FALSE())),"please select a BUG ID")</f>
        <v>please select a BUG ID</v>
      </c>
      <c r="C414" s="51" t="str">
        <f>IFERROR(Hyperlink(VLOOKUP(A414,Internal_lists_bugs!$A$2:$G1014,7,FALSE()),"BIC: "&amp;VLOOKUP(A414,Internal_lists_bugs!$A$2:$G1014,7,FALSE())&amp;CHAR(10)&amp;"Intro.Issues: "&amp;VLOOKUP(A414,Internal_lists_bugs!$A$2:$P1014,16,FALSE())),"please select a BUG ID")</f>
        <v>please select a BUG ID</v>
      </c>
      <c r="D414" s="52"/>
      <c r="E414" s="43"/>
      <c r="F414" s="49"/>
      <c r="G414" s="50"/>
      <c r="H414" s="43"/>
    </row>
    <row r="415">
      <c r="A415" s="43"/>
      <c r="B415" s="38" t="str">
        <f>IFERROR(HYPERLINK(VLOOKUP(A415,Internal_lists_bugs!$A$2:$C$73,3,FALSE()), VLOOKUP(A415,Internal_lists_bugs!$A$2:$C$73,3,FALSE())&amp;Char(10) &amp; Char(10) &amp; VLOOKUP(A415,Internal_lists_bugs!$A$2:$Z$73,26,FALSE())),"please select a BUG ID")</f>
        <v>please select a BUG ID</v>
      </c>
      <c r="C415" s="51" t="str">
        <f>IFERROR(Hyperlink(VLOOKUP(A415,Internal_lists_bugs!$A$2:$G1014,7,FALSE()),"BIC: "&amp;VLOOKUP(A415,Internal_lists_bugs!$A$2:$G1014,7,FALSE())&amp;CHAR(10)&amp;"Intro.Issues: "&amp;VLOOKUP(A415,Internal_lists_bugs!$A$2:$P1014,16,FALSE())),"please select a BUG ID")</f>
        <v>please select a BUG ID</v>
      </c>
      <c r="D415" s="52"/>
      <c r="E415" s="43"/>
      <c r="F415" s="49"/>
      <c r="G415" s="50"/>
      <c r="H415" s="43"/>
    </row>
    <row r="416">
      <c r="A416" s="43"/>
      <c r="B416" s="38" t="str">
        <f>IFERROR(HYPERLINK(VLOOKUP(A416,Internal_lists_bugs!$A$2:$C$73,3,FALSE()), VLOOKUP(A416,Internal_lists_bugs!$A$2:$C$73,3,FALSE())&amp;Char(10) &amp; Char(10) &amp; VLOOKUP(A416,Internal_lists_bugs!$A$2:$Z$73,26,FALSE())),"please select a BUG ID")</f>
        <v>please select a BUG ID</v>
      </c>
      <c r="C416" s="51" t="str">
        <f>IFERROR(Hyperlink(VLOOKUP(A416,Internal_lists_bugs!$A$2:$G1014,7,FALSE()),"BIC: "&amp;VLOOKUP(A416,Internal_lists_bugs!$A$2:$G1014,7,FALSE())&amp;CHAR(10)&amp;"Intro.Issues: "&amp;VLOOKUP(A416,Internal_lists_bugs!$A$2:$P1014,16,FALSE())),"please select a BUG ID")</f>
        <v>please select a BUG ID</v>
      </c>
      <c r="D416" s="52"/>
      <c r="E416" s="43"/>
      <c r="F416" s="49"/>
      <c r="G416" s="50"/>
      <c r="H416" s="43"/>
    </row>
    <row r="417">
      <c r="A417" s="43"/>
      <c r="B417" s="38" t="str">
        <f>IFERROR(HYPERLINK(VLOOKUP(A417,Internal_lists_bugs!$A$2:$C$73,3,FALSE()), VLOOKUP(A417,Internal_lists_bugs!$A$2:$C$73,3,FALSE())&amp;Char(10) &amp; Char(10) &amp; VLOOKUP(A417,Internal_lists_bugs!$A$2:$Z$73,26,FALSE())),"please select a BUG ID")</f>
        <v>please select a BUG ID</v>
      </c>
      <c r="C417" s="51" t="str">
        <f>IFERROR(Hyperlink(VLOOKUP(A417,Internal_lists_bugs!$A$2:$G1014,7,FALSE()),"BIC: "&amp;VLOOKUP(A417,Internal_lists_bugs!$A$2:$G1014,7,FALSE())&amp;CHAR(10)&amp;"Intro.Issues: "&amp;VLOOKUP(A417,Internal_lists_bugs!$A$2:$P1014,16,FALSE())),"please select a BUG ID")</f>
        <v>please select a BUG ID</v>
      </c>
      <c r="D417" s="52"/>
      <c r="E417" s="43"/>
      <c r="F417" s="49"/>
      <c r="G417" s="50"/>
      <c r="H417" s="43"/>
    </row>
    <row r="418">
      <c r="A418" s="43"/>
      <c r="B418" s="38" t="str">
        <f>IFERROR(HYPERLINK(VLOOKUP(A418,Internal_lists_bugs!$A$2:$C$73,3,FALSE()), VLOOKUP(A418,Internal_lists_bugs!$A$2:$C$73,3,FALSE())&amp;Char(10) &amp; Char(10) &amp; VLOOKUP(A418,Internal_lists_bugs!$A$2:$Z$73,26,FALSE())),"please select a BUG ID")</f>
        <v>please select a BUG ID</v>
      </c>
      <c r="C418" s="51" t="str">
        <f>IFERROR(Hyperlink(VLOOKUP(A418,Internal_lists_bugs!$A$2:$G1014,7,FALSE()),"BIC: "&amp;VLOOKUP(A418,Internal_lists_bugs!$A$2:$G1014,7,FALSE())&amp;CHAR(10)&amp;"Intro.Issues: "&amp;VLOOKUP(A418,Internal_lists_bugs!$A$2:$P1014,16,FALSE())),"please select a BUG ID")</f>
        <v>please select a BUG ID</v>
      </c>
      <c r="D418" s="52"/>
      <c r="E418" s="43"/>
      <c r="F418" s="49"/>
      <c r="G418" s="50"/>
      <c r="H418" s="43"/>
    </row>
    <row r="419">
      <c r="A419" s="43"/>
      <c r="B419" s="38" t="str">
        <f>IFERROR(HYPERLINK(VLOOKUP(A419,Internal_lists_bugs!$A$2:$C$73,3,FALSE()), VLOOKUP(A419,Internal_lists_bugs!$A$2:$C$73,3,FALSE())&amp;Char(10) &amp; Char(10) &amp; VLOOKUP(A419,Internal_lists_bugs!$A$2:$Z$73,26,FALSE())),"please select a BUG ID")</f>
        <v>please select a BUG ID</v>
      </c>
      <c r="C419" s="51" t="str">
        <f>IFERROR(Hyperlink(VLOOKUP(A419,Internal_lists_bugs!$A$2:$G1014,7,FALSE()),"BIC: "&amp;VLOOKUP(A419,Internal_lists_bugs!$A$2:$G1014,7,FALSE())&amp;CHAR(10)&amp;"Intro.Issues: "&amp;VLOOKUP(A419,Internal_lists_bugs!$A$2:$P1014,16,FALSE())),"please select a BUG ID")</f>
        <v>please select a BUG ID</v>
      </c>
      <c r="D419" s="52"/>
      <c r="E419" s="43"/>
      <c r="F419" s="49"/>
      <c r="G419" s="50"/>
      <c r="H419" s="43"/>
    </row>
    <row r="420">
      <c r="A420" s="43"/>
      <c r="B420" s="38" t="str">
        <f>IFERROR(HYPERLINK(VLOOKUP(A420,Internal_lists_bugs!$A$2:$C$73,3,FALSE()), VLOOKUP(A420,Internal_lists_bugs!$A$2:$C$73,3,FALSE())&amp;Char(10) &amp; Char(10) &amp; VLOOKUP(A420,Internal_lists_bugs!$A$2:$Z$73,26,FALSE())),"please select a BUG ID")</f>
        <v>please select a BUG ID</v>
      </c>
      <c r="C420" s="51" t="str">
        <f>IFERROR(Hyperlink(VLOOKUP(A420,Internal_lists_bugs!$A$2:$G1014,7,FALSE()),"BIC: "&amp;VLOOKUP(A420,Internal_lists_bugs!$A$2:$G1014,7,FALSE())&amp;CHAR(10)&amp;"Intro.Issues: "&amp;VLOOKUP(A420,Internal_lists_bugs!$A$2:$P1014,16,FALSE())),"please select a BUG ID")</f>
        <v>please select a BUG ID</v>
      </c>
      <c r="D420" s="52"/>
      <c r="E420" s="43"/>
      <c r="F420" s="49"/>
      <c r="G420" s="50"/>
      <c r="H420" s="43"/>
    </row>
    <row r="421">
      <c r="A421" s="43"/>
      <c r="B421" s="38" t="str">
        <f>IFERROR(HYPERLINK(VLOOKUP(A421,Internal_lists_bugs!$A$2:$C$73,3,FALSE()), VLOOKUP(A421,Internal_lists_bugs!$A$2:$C$73,3,FALSE())&amp;Char(10) &amp; Char(10) &amp; VLOOKUP(A421,Internal_lists_bugs!$A$2:$Z$73,26,FALSE())),"please select a BUG ID")</f>
        <v>please select a BUG ID</v>
      </c>
      <c r="C421" s="51" t="str">
        <f>IFERROR(Hyperlink(VLOOKUP(A421,Internal_lists_bugs!$A$2:$G1014,7,FALSE()),"BIC: "&amp;VLOOKUP(A421,Internal_lists_bugs!$A$2:$G1014,7,FALSE())&amp;CHAR(10)&amp;"Intro.Issues: "&amp;VLOOKUP(A421,Internal_lists_bugs!$A$2:$P1014,16,FALSE())),"please select a BUG ID")</f>
        <v>please select a BUG ID</v>
      </c>
      <c r="D421" s="52"/>
      <c r="E421" s="43"/>
      <c r="F421" s="49"/>
      <c r="G421" s="50"/>
      <c r="H421" s="43"/>
    </row>
    <row r="422">
      <c r="A422" s="43"/>
      <c r="B422" s="38" t="str">
        <f>IFERROR(HYPERLINK(VLOOKUP(A422,Internal_lists_bugs!$A$2:$C$73,3,FALSE()), VLOOKUP(A422,Internal_lists_bugs!$A$2:$C$73,3,FALSE())&amp;Char(10) &amp; Char(10) &amp; VLOOKUP(A422,Internal_lists_bugs!$A$2:$Z$73,26,FALSE())),"please select a BUG ID")</f>
        <v>please select a BUG ID</v>
      </c>
      <c r="C422" s="51" t="str">
        <f>IFERROR(Hyperlink(VLOOKUP(A422,Internal_lists_bugs!$A$2:$G1014,7,FALSE()),"BIC: "&amp;VLOOKUP(A422,Internal_lists_bugs!$A$2:$G1014,7,FALSE())&amp;CHAR(10)&amp;"Intro.Issues: "&amp;VLOOKUP(A422,Internal_lists_bugs!$A$2:$P1014,16,FALSE())),"please select a BUG ID")</f>
        <v>please select a BUG ID</v>
      </c>
      <c r="D422" s="52"/>
      <c r="E422" s="43"/>
      <c r="F422" s="49"/>
      <c r="G422" s="50"/>
      <c r="H422" s="43"/>
    </row>
    <row r="423">
      <c r="A423" s="43"/>
      <c r="B423" s="38" t="str">
        <f>IFERROR(HYPERLINK(VLOOKUP(A423,Internal_lists_bugs!$A$2:$C$73,3,FALSE()), VLOOKUP(A423,Internal_lists_bugs!$A$2:$C$73,3,FALSE())&amp;Char(10) &amp; Char(10) &amp; VLOOKUP(A423,Internal_lists_bugs!$A$2:$Z$73,26,FALSE())),"please select a BUG ID")</f>
        <v>please select a BUG ID</v>
      </c>
      <c r="C423" s="51" t="str">
        <f>IFERROR(Hyperlink(VLOOKUP(A423,Internal_lists_bugs!$A$2:$G1014,7,FALSE()),"BIC: "&amp;VLOOKUP(A423,Internal_lists_bugs!$A$2:$G1014,7,FALSE())&amp;CHAR(10)&amp;"Intro.Issues: "&amp;VLOOKUP(A423,Internal_lists_bugs!$A$2:$P1014,16,FALSE())),"please select a BUG ID")</f>
        <v>please select a BUG ID</v>
      </c>
      <c r="D423" s="52"/>
      <c r="E423" s="43"/>
      <c r="F423" s="49"/>
      <c r="G423" s="50"/>
      <c r="H423" s="43"/>
    </row>
    <row r="424">
      <c r="A424" s="43"/>
      <c r="B424" s="38" t="str">
        <f>IFERROR(HYPERLINK(VLOOKUP(A424,Internal_lists_bugs!$A$2:$C$73,3,FALSE()), VLOOKUP(A424,Internal_lists_bugs!$A$2:$C$73,3,FALSE())&amp;Char(10) &amp; Char(10) &amp; VLOOKUP(A424,Internal_lists_bugs!$A$2:$Z$73,26,FALSE())),"please select a BUG ID")</f>
        <v>please select a BUG ID</v>
      </c>
      <c r="C424" s="51" t="str">
        <f>IFERROR(Hyperlink(VLOOKUP(A424,Internal_lists_bugs!$A$2:$G1014,7,FALSE()),"BIC: "&amp;VLOOKUP(A424,Internal_lists_bugs!$A$2:$G1014,7,FALSE())&amp;CHAR(10)&amp;"Intro.Issues: "&amp;VLOOKUP(A424,Internal_lists_bugs!$A$2:$P1014,16,FALSE())),"please select a BUG ID")</f>
        <v>please select a BUG ID</v>
      </c>
      <c r="D424" s="52"/>
      <c r="E424" s="43"/>
      <c r="F424" s="49"/>
      <c r="G424" s="50"/>
      <c r="H424" s="43"/>
    </row>
    <row r="425">
      <c r="A425" s="43"/>
      <c r="B425" s="38" t="str">
        <f>IFERROR(HYPERLINK(VLOOKUP(A425,Internal_lists_bugs!$A$2:$C$73,3,FALSE()), VLOOKUP(A425,Internal_lists_bugs!$A$2:$C$73,3,FALSE())&amp;Char(10) &amp; Char(10) &amp; VLOOKUP(A425,Internal_lists_bugs!$A$2:$Z$73,26,FALSE())),"please select a BUG ID")</f>
        <v>please select a BUG ID</v>
      </c>
      <c r="C425" s="51" t="str">
        <f>IFERROR(Hyperlink(VLOOKUP(A425,Internal_lists_bugs!$A$2:$G1014,7,FALSE()),"BIC: "&amp;VLOOKUP(A425,Internal_lists_bugs!$A$2:$G1014,7,FALSE())&amp;CHAR(10)&amp;"Intro.Issues: "&amp;VLOOKUP(A425,Internal_lists_bugs!$A$2:$P1014,16,FALSE())),"please select a BUG ID")</f>
        <v>please select a BUG ID</v>
      </c>
      <c r="D425" s="52"/>
      <c r="E425" s="43"/>
      <c r="F425" s="49"/>
      <c r="G425" s="50"/>
      <c r="H425" s="43"/>
    </row>
    <row r="426">
      <c r="A426" s="43"/>
      <c r="B426" s="38" t="str">
        <f>IFERROR(HYPERLINK(VLOOKUP(A426,Internal_lists_bugs!$A$2:$C$73,3,FALSE()), VLOOKUP(A426,Internal_lists_bugs!$A$2:$C$73,3,FALSE())&amp;Char(10) &amp; Char(10) &amp; VLOOKUP(A426,Internal_lists_bugs!$A$2:$Z$73,26,FALSE())),"please select a BUG ID")</f>
        <v>please select a BUG ID</v>
      </c>
      <c r="C426" s="51" t="str">
        <f>IFERROR(Hyperlink(VLOOKUP(A426,Internal_lists_bugs!$A$2:$G1014,7,FALSE()),"BIC: "&amp;VLOOKUP(A426,Internal_lists_bugs!$A$2:$G1014,7,FALSE())&amp;CHAR(10)&amp;"Intro.Issues: "&amp;VLOOKUP(A426,Internal_lists_bugs!$A$2:$P1014,16,FALSE())),"please select a BUG ID")</f>
        <v>please select a BUG ID</v>
      </c>
      <c r="D426" s="52"/>
      <c r="E426" s="43"/>
      <c r="F426" s="49"/>
      <c r="G426" s="50"/>
      <c r="H426" s="43"/>
    </row>
    <row r="427">
      <c r="A427" s="43"/>
      <c r="B427" s="38" t="str">
        <f>IFERROR(HYPERLINK(VLOOKUP(A427,Internal_lists_bugs!$A$2:$C$73,3,FALSE()), VLOOKUP(A427,Internal_lists_bugs!$A$2:$C$73,3,FALSE())&amp;Char(10) &amp; Char(10) &amp; VLOOKUP(A427,Internal_lists_bugs!$A$2:$Z$73,26,FALSE())),"please select a BUG ID")</f>
        <v>please select a BUG ID</v>
      </c>
      <c r="C427" s="51" t="str">
        <f>IFERROR(Hyperlink(VLOOKUP(A427,Internal_lists_bugs!$A$2:$G1014,7,FALSE()),"BIC: "&amp;VLOOKUP(A427,Internal_lists_bugs!$A$2:$G1014,7,FALSE())&amp;CHAR(10)&amp;"Intro.Issues: "&amp;VLOOKUP(A427,Internal_lists_bugs!$A$2:$P1014,16,FALSE())),"please select a BUG ID")</f>
        <v>please select a BUG ID</v>
      </c>
      <c r="D427" s="52"/>
      <c r="E427" s="43"/>
      <c r="F427" s="49"/>
      <c r="G427" s="50"/>
      <c r="H427" s="43"/>
    </row>
    <row r="428">
      <c r="A428" s="43"/>
      <c r="B428" s="38" t="str">
        <f>IFERROR(HYPERLINK(VLOOKUP(A428,Internal_lists_bugs!$A$2:$C$73,3,FALSE()), VLOOKUP(A428,Internal_lists_bugs!$A$2:$C$73,3,FALSE())&amp;Char(10) &amp; Char(10) &amp; VLOOKUP(A428,Internal_lists_bugs!$A$2:$Z$73,26,FALSE())),"please select a BUG ID")</f>
        <v>please select a BUG ID</v>
      </c>
      <c r="C428" s="51" t="str">
        <f>IFERROR(Hyperlink(VLOOKUP(A428,Internal_lists_bugs!$A$2:$G1014,7,FALSE()),"BIC: "&amp;VLOOKUP(A428,Internal_lists_bugs!$A$2:$G1014,7,FALSE())&amp;CHAR(10)&amp;"Intro.Issues: "&amp;VLOOKUP(A428,Internal_lists_bugs!$A$2:$P1014,16,FALSE())),"please select a BUG ID")</f>
        <v>please select a BUG ID</v>
      </c>
      <c r="D428" s="52"/>
      <c r="E428" s="43"/>
      <c r="F428" s="49"/>
      <c r="G428" s="50"/>
      <c r="H428" s="43"/>
    </row>
    <row r="429">
      <c r="A429" s="43"/>
      <c r="B429" s="38" t="str">
        <f>IFERROR(HYPERLINK(VLOOKUP(A429,Internal_lists_bugs!$A$2:$C$73,3,FALSE()), VLOOKUP(A429,Internal_lists_bugs!$A$2:$C$73,3,FALSE())&amp;Char(10) &amp; Char(10) &amp; VLOOKUP(A429,Internal_lists_bugs!$A$2:$Z$73,26,FALSE())),"please select a BUG ID")</f>
        <v>please select a BUG ID</v>
      </c>
      <c r="C429" s="51" t="str">
        <f>IFERROR(Hyperlink(VLOOKUP(A429,Internal_lists_bugs!$A$2:$G1014,7,FALSE()),"BIC: "&amp;VLOOKUP(A429,Internal_lists_bugs!$A$2:$G1014,7,FALSE())&amp;CHAR(10)&amp;"Intro.Issues: "&amp;VLOOKUP(A429,Internal_lists_bugs!$A$2:$P1014,16,FALSE())),"please select a BUG ID")</f>
        <v>please select a BUG ID</v>
      </c>
      <c r="D429" s="52"/>
      <c r="E429" s="43"/>
      <c r="F429" s="49"/>
      <c r="G429" s="50"/>
      <c r="H429" s="43"/>
    </row>
    <row r="430">
      <c r="A430" s="43"/>
      <c r="B430" s="38" t="str">
        <f>IFERROR(HYPERLINK(VLOOKUP(A430,Internal_lists_bugs!$A$2:$C$73,3,FALSE()), VLOOKUP(A430,Internal_lists_bugs!$A$2:$C$73,3,FALSE())&amp;Char(10) &amp; Char(10) &amp; VLOOKUP(A430,Internal_lists_bugs!$A$2:$Z$73,26,FALSE())),"please select a BUG ID")</f>
        <v>please select a BUG ID</v>
      </c>
      <c r="C430" s="51" t="str">
        <f>IFERROR(Hyperlink(VLOOKUP(A430,Internal_lists_bugs!$A$2:$G1014,7,FALSE()),"BIC: "&amp;VLOOKUP(A430,Internal_lists_bugs!$A$2:$G1014,7,FALSE())&amp;CHAR(10)&amp;"Intro.Issues: "&amp;VLOOKUP(A430,Internal_lists_bugs!$A$2:$P1014,16,FALSE())),"please select a BUG ID")</f>
        <v>please select a BUG ID</v>
      </c>
      <c r="D430" s="52"/>
      <c r="E430" s="43"/>
      <c r="F430" s="49"/>
      <c r="G430" s="50"/>
      <c r="H430" s="43"/>
    </row>
    <row r="431">
      <c r="A431" s="43"/>
      <c r="B431" s="38" t="str">
        <f>IFERROR(HYPERLINK(VLOOKUP(A431,Internal_lists_bugs!$A$2:$C$73,3,FALSE()), VLOOKUP(A431,Internal_lists_bugs!$A$2:$C$73,3,FALSE())&amp;Char(10) &amp; Char(10) &amp; VLOOKUP(A431,Internal_lists_bugs!$A$2:$Z$73,26,FALSE())),"please select a BUG ID")</f>
        <v>please select a BUG ID</v>
      </c>
      <c r="C431" s="51" t="str">
        <f>IFERROR(Hyperlink(VLOOKUP(A431,Internal_lists_bugs!$A$2:$G1014,7,FALSE()),"BIC: "&amp;VLOOKUP(A431,Internal_lists_bugs!$A$2:$G1014,7,FALSE())&amp;CHAR(10)&amp;"Intro.Issues: "&amp;VLOOKUP(A431,Internal_lists_bugs!$A$2:$P1014,16,FALSE())),"please select a BUG ID")</f>
        <v>please select a BUG ID</v>
      </c>
      <c r="D431" s="52"/>
      <c r="E431" s="43"/>
      <c r="F431" s="49"/>
      <c r="G431" s="50"/>
      <c r="H431" s="43"/>
    </row>
    <row r="432">
      <c r="A432" s="43"/>
      <c r="B432" s="38" t="str">
        <f>IFERROR(HYPERLINK(VLOOKUP(A432,Internal_lists_bugs!$A$2:$C$73,3,FALSE()), VLOOKUP(A432,Internal_lists_bugs!$A$2:$C$73,3,FALSE())&amp;Char(10) &amp; Char(10) &amp; VLOOKUP(A432,Internal_lists_bugs!$A$2:$Z$73,26,FALSE())),"please select a BUG ID")</f>
        <v>please select a BUG ID</v>
      </c>
      <c r="C432" s="51" t="str">
        <f>IFERROR(Hyperlink(VLOOKUP(A432,Internal_lists_bugs!$A$2:$G1014,7,FALSE()),"BIC: "&amp;VLOOKUP(A432,Internal_lists_bugs!$A$2:$G1014,7,FALSE())&amp;CHAR(10)&amp;"Intro.Issues: "&amp;VLOOKUP(A432,Internal_lists_bugs!$A$2:$P1014,16,FALSE())),"please select a BUG ID")</f>
        <v>please select a BUG ID</v>
      </c>
      <c r="D432" s="52"/>
      <c r="E432" s="43"/>
      <c r="F432" s="49"/>
      <c r="G432" s="50"/>
      <c r="H432" s="43"/>
    </row>
    <row r="433">
      <c r="A433" s="43"/>
      <c r="B433" s="38" t="str">
        <f>IFERROR(HYPERLINK(VLOOKUP(A433,Internal_lists_bugs!$A$2:$C$73,3,FALSE()), VLOOKUP(A433,Internal_lists_bugs!$A$2:$C$73,3,FALSE())&amp;Char(10) &amp; Char(10) &amp; VLOOKUP(A433,Internal_lists_bugs!$A$2:$Z$73,26,FALSE())),"please select a BUG ID")</f>
        <v>please select a BUG ID</v>
      </c>
      <c r="C433" s="51" t="str">
        <f>IFERROR(Hyperlink(VLOOKUP(A433,Internal_lists_bugs!$A$2:$G1014,7,FALSE()),"BIC: "&amp;VLOOKUP(A433,Internal_lists_bugs!$A$2:$G1014,7,FALSE())&amp;CHAR(10)&amp;"Intro.Issues: "&amp;VLOOKUP(A433,Internal_lists_bugs!$A$2:$P1014,16,FALSE())),"please select a BUG ID")</f>
        <v>please select a BUG ID</v>
      </c>
      <c r="D433" s="52"/>
      <c r="E433" s="43"/>
      <c r="F433" s="49"/>
      <c r="G433" s="50"/>
      <c r="H433" s="43"/>
    </row>
    <row r="434">
      <c r="A434" s="43"/>
      <c r="B434" s="38" t="str">
        <f>IFERROR(HYPERLINK(VLOOKUP(A434,Internal_lists_bugs!$A$2:$C$73,3,FALSE()), VLOOKUP(A434,Internal_lists_bugs!$A$2:$C$73,3,FALSE())&amp;Char(10) &amp; Char(10) &amp; VLOOKUP(A434,Internal_lists_bugs!$A$2:$Z$73,26,FALSE())),"please select a BUG ID")</f>
        <v>please select a BUG ID</v>
      </c>
      <c r="C434" s="51" t="str">
        <f>IFERROR(Hyperlink(VLOOKUP(A434,Internal_lists_bugs!$A$2:$G1014,7,FALSE()),"BIC: "&amp;VLOOKUP(A434,Internal_lists_bugs!$A$2:$G1014,7,FALSE())&amp;CHAR(10)&amp;"Intro.Issues: "&amp;VLOOKUP(A434,Internal_lists_bugs!$A$2:$P1014,16,FALSE())),"please select a BUG ID")</f>
        <v>please select a BUG ID</v>
      </c>
      <c r="D434" s="52"/>
      <c r="E434" s="43"/>
      <c r="F434" s="49"/>
      <c r="G434" s="50"/>
      <c r="H434" s="43"/>
    </row>
    <row r="435">
      <c r="A435" s="43"/>
      <c r="B435" s="38" t="str">
        <f>IFERROR(HYPERLINK(VLOOKUP(A435,Internal_lists_bugs!$A$2:$C$73,3,FALSE()), VLOOKUP(A435,Internal_lists_bugs!$A$2:$C$73,3,FALSE())&amp;Char(10) &amp; Char(10) &amp; VLOOKUP(A435,Internal_lists_bugs!$A$2:$Z$73,26,FALSE())),"please select a BUG ID")</f>
        <v>please select a BUG ID</v>
      </c>
      <c r="C435" s="51" t="str">
        <f>IFERROR(Hyperlink(VLOOKUP(A435,Internal_lists_bugs!$A$2:$G1014,7,FALSE()),"BIC: "&amp;VLOOKUP(A435,Internal_lists_bugs!$A$2:$G1014,7,FALSE())&amp;CHAR(10)&amp;"Intro.Issues: "&amp;VLOOKUP(A435,Internal_lists_bugs!$A$2:$P1014,16,FALSE())),"please select a BUG ID")</f>
        <v>please select a BUG ID</v>
      </c>
      <c r="D435" s="52"/>
      <c r="E435" s="43"/>
      <c r="F435" s="49"/>
      <c r="G435" s="50"/>
      <c r="H435" s="43"/>
    </row>
    <row r="436">
      <c r="A436" s="43"/>
      <c r="B436" s="38" t="str">
        <f>IFERROR(HYPERLINK(VLOOKUP(A436,Internal_lists_bugs!$A$2:$C$73,3,FALSE()), VLOOKUP(A436,Internal_lists_bugs!$A$2:$C$73,3,FALSE())&amp;Char(10) &amp; Char(10) &amp; VLOOKUP(A436,Internal_lists_bugs!$A$2:$Z$73,26,FALSE())),"please select a BUG ID")</f>
        <v>please select a BUG ID</v>
      </c>
      <c r="C436" s="51" t="str">
        <f>IFERROR(Hyperlink(VLOOKUP(A436,Internal_lists_bugs!$A$2:$G1014,7,FALSE()),"BIC: "&amp;VLOOKUP(A436,Internal_lists_bugs!$A$2:$G1014,7,FALSE())&amp;CHAR(10)&amp;"Intro.Issues: "&amp;VLOOKUP(A436,Internal_lists_bugs!$A$2:$P1014,16,FALSE())),"please select a BUG ID")</f>
        <v>please select a BUG ID</v>
      </c>
      <c r="D436" s="52"/>
      <c r="E436" s="43"/>
      <c r="F436" s="49"/>
      <c r="G436" s="50"/>
      <c r="H436" s="43"/>
    </row>
    <row r="437">
      <c r="A437" s="43"/>
      <c r="B437" s="38" t="str">
        <f>IFERROR(HYPERLINK(VLOOKUP(A437,Internal_lists_bugs!$A$2:$C$73,3,FALSE()), VLOOKUP(A437,Internal_lists_bugs!$A$2:$C$73,3,FALSE())&amp;Char(10) &amp; Char(10) &amp; VLOOKUP(A437,Internal_lists_bugs!$A$2:$Z$73,26,FALSE())),"please select a BUG ID")</f>
        <v>please select a BUG ID</v>
      </c>
      <c r="C437" s="51" t="str">
        <f>IFERROR(Hyperlink(VLOOKUP(A437,Internal_lists_bugs!$A$2:$G1014,7,FALSE()),"BIC: "&amp;VLOOKUP(A437,Internal_lists_bugs!$A$2:$G1014,7,FALSE())&amp;CHAR(10)&amp;"Intro.Issues: "&amp;VLOOKUP(A437,Internal_lists_bugs!$A$2:$P1014,16,FALSE())),"please select a BUG ID")</f>
        <v>please select a BUG ID</v>
      </c>
      <c r="D437" s="52"/>
      <c r="E437" s="43"/>
      <c r="F437" s="49"/>
      <c r="G437" s="50"/>
      <c r="H437" s="43"/>
    </row>
    <row r="438">
      <c r="A438" s="43"/>
      <c r="B438" s="38" t="str">
        <f>IFERROR(HYPERLINK(VLOOKUP(A438,Internal_lists_bugs!$A$2:$C$73,3,FALSE()), VLOOKUP(A438,Internal_lists_bugs!$A$2:$C$73,3,FALSE())&amp;Char(10) &amp; Char(10) &amp; VLOOKUP(A438,Internal_lists_bugs!$A$2:$Z$73,26,FALSE())),"please select a BUG ID")</f>
        <v>please select a BUG ID</v>
      </c>
      <c r="C438" s="51" t="str">
        <f>IFERROR(Hyperlink(VLOOKUP(A438,Internal_lists_bugs!$A$2:$G1014,7,FALSE()),"BIC: "&amp;VLOOKUP(A438,Internal_lists_bugs!$A$2:$G1014,7,FALSE())&amp;CHAR(10)&amp;"Intro.Issues: "&amp;VLOOKUP(A438,Internal_lists_bugs!$A$2:$P1014,16,FALSE())),"please select a BUG ID")</f>
        <v>please select a BUG ID</v>
      </c>
      <c r="D438" s="52"/>
      <c r="E438" s="43"/>
      <c r="F438" s="49"/>
      <c r="G438" s="50"/>
      <c r="H438" s="43"/>
    </row>
    <row r="439">
      <c r="A439" s="43"/>
      <c r="B439" s="38" t="str">
        <f>IFERROR(HYPERLINK(VLOOKUP(A439,Internal_lists_bugs!$A$2:$C$73,3,FALSE()), VLOOKUP(A439,Internal_lists_bugs!$A$2:$C$73,3,FALSE())&amp;Char(10) &amp; Char(10) &amp; VLOOKUP(A439,Internal_lists_bugs!$A$2:$Z$73,26,FALSE())),"please select a BUG ID")</f>
        <v>please select a BUG ID</v>
      </c>
      <c r="C439" s="51" t="str">
        <f>IFERROR(Hyperlink(VLOOKUP(A439,Internal_lists_bugs!$A$2:$G1014,7,FALSE()),"BIC: "&amp;VLOOKUP(A439,Internal_lists_bugs!$A$2:$G1014,7,FALSE())&amp;CHAR(10)&amp;"Intro.Issues: "&amp;VLOOKUP(A439,Internal_lists_bugs!$A$2:$P1014,16,FALSE())),"please select a BUG ID")</f>
        <v>please select a BUG ID</v>
      </c>
      <c r="D439" s="52"/>
      <c r="E439" s="43"/>
      <c r="F439" s="49"/>
      <c r="G439" s="50"/>
      <c r="H439" s="43"/>
    </row>
    <row r="440">
      <c r="A440" s="43"/>
      <c r="B440" s="38" t="str">
        <f>IFERROR(HYPERLINK(VLOOKUP(A440,Internal_lists_bugs!$A$2:$C$73,3,FALSE()), VLOOKUP(A440,Internal_lists_bugs!$A$2:$C$73,3,FALSE())&amp;Char(10) &amp; Char(10) &amp; VLOOKUP(A440,Internal_lists_bugs!$A$2:$Z$73,26,FALSE())),"please select a BUG ID")</f>
        <v>please select a BUG ID</v>
      </c>
      <c r="C440" s="51" t="str">
        <f>IFERROR(Hyperlink(VLOOKUP(A440,Internal_lists_bugs!$A$2:$G1014,7,FALSE()),"BIC: "&amp;VLOOKUP(A440,Internal_lists_bugs!$A$2:$G1014,7,FALSE())&amp;CHAR(10)&amp;"Intro.Issues: "&amp;VLOOKUP(A440,Internal_lists_bugs!$A$2:$P1014,16,FALSE())),"please select a BUG ID")</f>
        <v>please select a BUG ID</v>
      </c>
      <c r="D440" s="52"/>
      <c r="E440" s="43"/>
      <c r="F440" s="49"/>
      <c r="G440" s="50"/>
      <c r="H440" s="43"/>
    </row>
    <row r="441">
      <c r="A441" s="43"/>
      <c r="B441" s="38" t="str">
        <f>IFERROR(HYPERLINK(VLOOKUP(A441,Internal_lists_bugs!$A$2:$C$73,3,FALSE()), VLOOKUP(A441,Internal_lists_bugs!$A$2:$C$73,3,FALSE())&amp;Char(10) &amp; Char(10) &amp; VLOOKUP(A441,Internal_lists_bugs!$A$2:$Z$73,26,FALSE())),"please select a BUG ID")</f>
        <v>please select a BUG ID</v>
      </c>
      <c r="C441" s="51" t="str">
        <f>IFERROR(Hyperlink(VLOOKUP(A441,Internal_lists_bugs!$A$2:$G1014,7,FALSE()),"BIC: "&amp;VLOOKUP(A441,Internal_lists_bugs!$A$2:$G1014,7,FALSE())&amp;CHAR(10)&amp;"Intro.Issues: "&amp;VLOOKUP(A441,Internal_lists_bugs!$A$2:$P1014,16,FALSE())),"please select a BUG ID")</f>
        <v>please select a BUG ID</v>
      </c>
      <c r="D441" s="52"/>
      <c r="E441" s="43"/>
      <c r="F441" s="49"/>
      <c r="G441" s="50"/>
      <c r="H441" s="43"/>
    </row>
    <row r="442">
      <c r="A442" s="43"/>
      <c r="B442" s="38" t="str">
        <f>IFERROR(HYPERLINK(VLOOKUP(A442,Internal_lists_bugs!$A$2:$C$73,3,FALSE()), VLOOKUP(A442,Internal_lists_bugs!$A$2:$C$73,3,FALSE())&amp;Char(10) &amp; Char(10) &amp; VLOOKUP(A442,Internal_lists_bugs!$A$2:$Z$73,26,FALSE())),"please select a BUG ID")</f>
        <v>please select a BUG ID</v>
      </c>
      <c r="C442" s="51" t="str">
        <f>IFERROR(Hyperlink(VLOOKUP(A442,Internal_lists_bugs!$A$2:$G1014,7,FALSE()),"BIC: "&amp;VLOOKUP(A442,Internal_lists_bugs!$A$2:$G1014,7,FALSE())&amp;CHAR(10)&amp;"Intro.Issues: "&amp;VLOOKUP(A442,Internal_lists_bugs!$A$2:$P1014,16,FALSE())),"please select a BUG ID")</f>
        <v>please select a BUG ID</v>
      </c>
      <c r="D442" s="52"/>
      <c r="E442" s="43"/>
      <c r="F442" s="49"/>
      <c r="G442" s="50"/>
      <c r="H442" s="43"/>
    </row>
    <row r="443">
      <c r="A443" s="43"/>
      <c r="B443" s="38" t="str">
        <f>IFERROR(HYPERLINK(VLOOKUP(A443,Internal_lists_bugs!$A$2:$C$73,3,FALSE()), VLOOKUP(A443,Internal_lists_bugs!$A$2:$C$73,3,FALSE())&amp;Char(10) &amp; Char(10) &amp; VLOOKUP(A443,Internal_lists_bugs!$A$2:$Z$73,26,FALSE())),"please select a BUG ID")</f>
        <v>please select a BUG ID</v>
      </c>
      <c r="C443" s="51" t="str">
        <f>IFERROR(Hyperlink(VLOOKUP(A443,Internal_lists_bugs!$A$2:$G1014,7,FALSE()),"BIC: "&amp;VLOOKUP(A443,Internal_lists_bugs!$A$2:$G1014,7,FALSE())&amp;CHAR(10)&amp;"Intro.Issues: "&amp;VLOOKUP(A443,Internal_lists_bugs!$A$2:$P1014,16,FALSE())),"please select a BUG ID")</f>
        <v>please select a BUG ID</v>
      </c>
      <c r="D443" s="52"/>
      <c r="E443" s="43"/>
      <c r="F443" s="49"/>
      <c r="G443" s="50"/>
      <c r="H443" s="43"/>
    </row>
    <row r="444">
      <c r="A444" s="43"/>
      <c r="B444" s="38" t="str">
        <f>IFERROR(HYPERLINK(VLOOKUP(A444,Internal_lists_bugs!$A$2:$C$73,3,FALSE()), VLOOKUP(A444,Internal_lists_bugs!$A$2:$C$73,3,FALSE())&amp;Char(10) &amp; Char(10) &amp; VLOOKUP(A444,Internal_lists_bugs!$A$2:$Z$73,26,FALSE())),"please select a BUG ID")</f>
        <v>please select a BUG ID</v>
      </c>
      <c r="C444" s="51" t="str">
        <f>IFERROR(Hyperlink(VLOOKUP(A444,Internal_lists_bugs!$A$2:$G1014,7,FALSE()),"BIC: "&amp;VLOOKUP(A444,Internal_lists_bugs!$A$2:$G1014,7,FALSE())&amp;CHAR(10)&amp;"Intro.Issues: "&amp;VLOOKUP(A444,Internal_lists_bugs!$A$2:$P1014,16,FALSE())),"please select a BUG ID")</f>
        <v>please select a BUG ID</v>
      </c>
      <c r="D444" s="52"/>
      <c r="E444" s="43"/>
      <c r="F444" s="49"/>
      <c r="G444" s="50"/>
      <c r="H444" s="43"/>
    </row>
    <row r="445">
      <c r="A445" s="43"/>
      <c r="B445" s="38" t="str">
        <f>IFERROR(HYPERLINK(VLOOKUP(A445,Internal_lists_bugs!$A$2:$C$73,3,FALSE()), VLOOKUP(A445,Internal_lists_bugs!$A$2:$C$73,3,FALSE())&amp;Char(10) &amp; Char(10) &amp; VLOOKUP(A445,Internal_lists_bugs!$A$2:$Z$73,26,FALSE())),"please select a BUG ID")</f>
        <v>please select a BUG ID</v>
      </c>
      <c r="C445" s="51" t="str">
        <f>IFERROR(Hyperlink(VLOOKUP(A445,Internal_lists_bugs!$A$2:$G1014,7,FALSE()),"BIC: "&amp;VLOOKUP(A445,Internal_lists_bugs!$A$2:$G1014,7,FALSE())&amp;CHAR(10)&amp;"Intro.Issues: "&amp;VLOOKUP(A445,Internal_lists_bugs!$A$2:$P1014,16,FALSE())),"please select a BUG ID")</f>
        <v>please select a BUG ID</v>
      </c>
      <c r="D445" s="52"/>
      <c r="E445" s="43"/>
      <c r="F445" s="49"/>
      <c r="G445" s="50"/>
      <c r="H445" s="43"/>
    </row>
    <row r="446">
      <c r="A446" s="43"/>
      <c r="B446" s="38" t="str">
        <f>IFERROR(HYPERLINK(VLOOKUP(A446,Internal_lists_bugs!$A$2:$C$73,3,FALSE()), VLOOKUP(A446,Internal_lists_bugs!$A$2:$C$73,3,FALSE())&amp;Char(10) &amp; Char(10) &amp; VLOOKUP(A446,Internal_lists_bugs!$A$2:$Z$73,26,FALSE())),"please select a BUG ID")</f>
        <v>please select a BUG ID</v>
      </c>
      <c r="C446" s="51" t="str">
        <f>IFERROR(Hyperlink(VLOOKUP(A446,Internal_lists_bugs!$A$2:$G1014,7,FALSE()),"BIC: "&amp;VLOOKUP(A446,Internal_lists_bugs!$A$2:$G1014,7,FALSE())&amp;CHAR(10)&amp;"Intro.Issues: "&amp;VLOOKUP(A446,Internal_lists_bugs!$A$2:$P1014,16,FALSE())),"please select a BUG ID")</f>
        <v>please select a BUG ID</v>
      </c>
      <c r="D446" s="52"/>
      <c r="E446" s="43"/>
      <c r="F446" s="49"/>
      <c r="G446" s="50"/>
      <c r="H446" s="43"/>
    </row>
    <row r="447">
      <c r="A447" s="43"/>
      <c r="B447" s="38" t="str">
        <f>IFERROR(HYPERLINK(VLOOKUP(A447,Internal_lists_bugs!$A$2:$C$73,3,FALSE()), VLOOKUP(A447,Internal_lists_bugs!$A$2:$C$73,3,FALSE())&amp;Char(10) &amp; Char(10) &amp; VLOOKUP(A447,Internal_lists_bugs!$A$2:$Z$73,26,FALSE())),"please select a BUG ID")</f>
        <v>please select a BUG ID</v>
      </c>
      <c r="C447" s="51" t="str">
        <f>IFERROR(Hyperlink(VLOOKUP(A447,Internal_lists_bugs!$A$2:$G1014,7,FALSE()),"BIC: "&amp;VLOOKUP(A447,Internal_lists_bugs!$A$2:$G1014,7,FALSE())&amp;CHAR(10)&amp;"Intro.Issues: "&amp;VLOOKUP(A447,Internal_lists_bugs!$A$2:$P1014,16,FALSE())),"please select a BUG ID")</f>
        <v>please select a BUG ID</v>
      </c>
      <c r="D447" s="52"/>
      <c r="E447" s="43"/>
      <c r="F447" s="49"/>
      <c r="G447" s="50"/>
      <c r="H447" s="43"/>
    </row>
    <row r="448">
      <c r="A448" s="43"/>
      <c r="B448" s="38" t="str">
        <f>IFERROR(HYPERLINK(VLOOKUP(A448,Internal_lists_bugs!$A$2:$C$73,3,FALSE()), VLOOKUP(A448,Internal_lists_bugs!$A$2:$C$73,3,FALSE())&amp;Char(10) &amp; Char(10) &amp; VLOOKUP(A448,Internal_lists_bugs!$A$2:$Z$73,26,FALSE())),"please select a BUG ID")</f>
        <v>please select a BUG ID</v>
      </c>
      <c r="C448" s="51" t="str">
        <f>IFERROR(Hyperlink(VLOOKUP(A448,Internal_lists_bugs!$A$2:$G1014,7,FALSE()),"BIC: "&amp;VLOOKUP(A448,Internal_lists_bugs!$A$2:$G1014,7,FALSE())&amp;CHAR(10)&amp;"Intro.Issues: "&amp;VLOOKUP(A448,Internal_lists_bugs!$A$2:$P1014,16,FALSE())),"please select a BUG ID")</f>
        <v>please select a BUG ID</v>
      </c>
      <c r="D448" s="52"/>
      <c r="E448" s="43"/>
      <c r="F448" s="49"/>
      <c r="G448" s="50"/>
      <c r="H448" s="43"/>
    </row>
    <row r="449">
      <c r="A449" s="43"/>
      <c r="B449" s="38" t="str">
        <f>IFERROR(HYPERLINK(VLOOKUP(A449,Internal_lists_bugs!$A$2:$C$73,3,FALSE()), VLOOKUP(A449,Internal_lists_bugs!$A$2:$C$73,3,FALSE())&amp;Char(10) &amp; Char(10) &amp; VLOOKUP(A449,Internal_lists_bugs!$A$2:$Z$73,26,FALSE())),"please select a BUG ID")</f>
        <v>please select a BUG ID</v>
      </c>
      <c r="C449" s="51" t="str">
        <f>IFERROR(Hyperlink(VLOOKUP(A449,Internal_lists_bugs!$A$2:$G1014,7,FALSE()),"BIC: "&amp;VLOOKUP(A449,Internal_lists_bugs!$A$2:$G1014,7,FALSE())&amp;CHAR(10)&amp;"Intro.Issues: "&amp;VLOOKUP(A449,Internal_lists_bugs!$A$2:$P1014,16,FALSE())),"please select a BUG ID")</f>
        <v>please select a BUG ID</v>
      </c>
      <c r="D449" s="52"/>
      <c r="E449" s="43"/>
      <c r="F449" s="49"/>
      <c r="G449" s="50"/>
      <c r="H449" s="43"/>
    </row>
    <row r="450">
      <c r="A450" s="43"/>
      <c r="B450" s="38" t="str">
        <f>IFERROR(HYPERLINK(VLOOKUP(A450,Internal_lists_bugs!$A$2:$C$73,3,FALSE()), VLOOKUP(A450,Internal_lists_bugs!$A$2:$C$73,3,FALSE())&amp;Char(10) &amp; Char(10) &amp; VLOOKUP(A450,Internal_lists_bugs!$A$2:$Z$73,26,FALSE())),"please select a BUG ID")</f>
        <v>please select a BUG ID</v>
      </c>
      <c r="C450" s="51" t="str">
        <f>IFERROR(Hyperlink(VLOOKUP(A450,Internal_lists_bugs!$A$2:$G1014,7,FALSE()),"BIC: "&amp;VLOOKUP(A450,Internal_lists_bugs!$A$2:$G1014,7,FALSE())&amp;CHAR(10)&amp;"Intro.Issues: "&amp;VLOOKUP(A450,Internal_lists_bugs!$A$2:$P1014,16,FALSE())),"please select a BUG ID")</f>
        <v>please select a BUG ID</v>
      </c>
      <c r="D450" s="52"/>
      <c r="E450" s="43"/>
      <c r="F450" s="49"/>
      <c r="G450" s="50"/>
      <c r="H450" s="43"/>
    </row>
    <row r="451">
      <c r="A451" s="43"/>
      <c r="B451" s="38" t="str">
        <f>IFERROR(HYPERLINK(VLOOKUP(A451,Internal_lists_bugs!$A$2:$C$73,3,FALSE()), VLOOKUP(A451,Internal_lists_bugs!$A$2:$C$73,3,FALSE())&amp;Char(10) &amp; Char(10) &amp; VLOOKUP(A451,Internal_lists_bugs!$A$2:$Z$73,26,FALSE())),"please select a BUG ID")</f>
        <v>please select a BUG ID</v>
      </c>
      <c r="C451" s="51" t="str">
        <f>IFERROR(Hyperlink(VLOOKUP(A451,Internal_lists_bugs!$A$2:$G1014,7,FALSE()),"BIC: "&amp;VLOOKUP(A451,Internal_lists_bugs!$A$2:$G1014,7,FALSE())&amp;CHAR(10)&amp;"Intro.Issues: "&amp;VLOOKUP(A451,Internal_lists_bugs!$A$2:$P1014,16,FALSE())),"please select a BUG ID")</f>
        <v>please select a BUG ID</v>
      </c>
      <c r="D451" s="52"/>
      <c r="E451" s="43"/>
      <c r="F451" s="49"/>
      <c r="G451" s="50"/>
      <c r="H451" s="43"/>
    </row>
    <row r="452">
      <c r="A452" s="43"/>
      <c r="B452" s="38" t="str">
        <f>IFERROR(HYPERLINK(VLOOKUP(A452,Internal_lists_bugs!$A$2:$C$73,3,FALSE()), VLOOKUP(A452,Internal_lists_bugs!$A$2:$C$73,3,FALSE())&amp;Char(10) &amp; Char(10) &amp; VLOOKUP(A452,Internal_lists_bugs!$A$2:$Z$73,26,FALSE())),"please select a BUG ID")</f>
        <v>please select a BUG ID</v>
      </c>
      <c r="C452" s="51" t="str">
        <f>IFERROR(Hyperlink(VLOOKUP(A452,Internal_lists_bugs!$A$2:$G1014,7,FALSE()),"BIC: "&amp;VLOOKUP(A452,Internal_lists_bugs!$A$2:$G1014,7,FALSE())&amp;CHAR(10)&amp;"Intro.Issues: "&amp;VLOOKUP(A452,Internal_lists_bugs!$A$2:$P1014,16,FALSE())),"please select a BUG ID")</f>
        <v>please select a BUG ID</v>
      </c>
      <c r="D452" s="52"/>
      <c r="E452" s="43"/>
      <c r="F452" s="49"/>
      <c r="G452" s="50"/>
      <c r="H452" s="43"/>
    </row>
    <row r="453">
      <c r="A453" s="43"/>
      <c r="B453" s="38" t="str">
        <f>IFERROR(HYPERLINK(VLOOKUP(A453,Internal_lists_bugs!$A$2:$C$73,3,FALSE()), VLOOKUP(A453,Internal_lists_bugs!$A$2:$C$73,3,FALSE())&amp;Char(10) &amp; Char(10) &amp; VLOOKUP(A453,Internal_lists_bugs!$A$2:$Z$73,26,FALSE())),"please select a BUG ID")</f>
        <v>please select a BUG ID</v>
      </c>
      <c r="C453" s="51" t="str">
        <f>IFERROR(Hyperlink(VLOOKUP(A453,Internal_lists_bugs!$A$2:$G1014,7,FALSE()),"BIC: "&amp;VLOOKUP(A453,Internal_lists_bugs!$A$2:$G1014,7,FALSE())&amp;CHAR(10)&amp;"Intro.Issues: "&amp;VLOOKUP(A453,Internal_lists_bugs!$A$2:$P1014,16,FALSE())),"please select a BUG ID")</f>
        <v>please select a BUG ID</v>
      </c>
      <c r="D453" s="52"/>
      <c r="E453" s="43"/>
      <c r="F453" s="49"/>
      <c r="G453" s="50"/>
      <c r="H453" s="43"/>
    </row>
    <row r="454">
      <c r="A454" s="43"/>
      <c r="B454" s="38" t="str">
        <f>IFERROR(HYPERLINK(VLOOKUP(A454,Internal_lists_bugs!$A$2:$C$73,3,FALSE()), VLOOKUP(A454,Internal_lists_bugs!$A$2:$C$73,3,FALSE())&amp;Char(10) &amp; Char(10) &amp; VLOOKUP(A454,Internal_lists_bugs!$A$2:$Z$73,26,FALSE())),"please select a BUG ID")</f>
        <v>please select a BUG ID</v>
      </c>
      <c r="C454" s="51" t="str">
        <f>IFERROR(Hyperlink(VLOOKUP(A454,Internal_lists_bugs!$A$2:$G1014,7,FALSE()),"BIC: "&amp;VLOOKUP(A454,Internal_lists_bugs!$A$2:$G1014,7,FALSE())&amp;CHAR(10)&amp;"Intro.Issues: "&amp;VLOOKUP(A454,Internal_lists_bugs!$A$2:$P1014,16,FALSE())),"please select a BUG ID")</f>
        <v>please select a BUG ID</v>
      </c>
      <c r="D454" s="52"/>
      <c r="E454" s="43"/>
      <c r="F454" s="49"/>
      <c r="G454" s="50"/>
      <c r="H454" s="43"/>
    </row>
    <row r="455">
      <c r="A455" s="43"/>
      <c r="B455" s="38" t="str">
        <f>IFERROR(HYPERLINK(VLOOKUP(A455,Internal_lists_bugs!$A$2:$C$73,3,FALSE()), VLOOKUP(A455,Internal_lists_bugs!$A$2:$C$73,3,FALSE())&amp;Char(10) &amp; Char(10) &amp; VLOOKUP(A455,Internal_lists_bugs!$A$2:$Z$73,26,FALSE())),"please select a BUG ID")</f>
        <v>please select a BUG ID</v>
      </c>
      <c r="C455" s="51" t="str">
        <f>IFERROR(Hyperlink(VLOOKUP(A455,Internal_lists_bugs!$A$2:$G1014,7,FALSE()),"BIC: "&amp;VLOOKUP(A455,Internal_lists_bugs!$A$2:$G1014,7,FALSE())&amp;CHAR(10)&amp;"Intro.Issues: "&amp;VLOOKUP(A455,Internal_lists_bugs!$A$2:$P1014,16,FALSE())),"please select a BUG ID")</f>
        <v>please select a BUG ID</v>
      </c>
      <c r="D455" s="52"/>
      <c r="E455" s="43"/>
      <c r="F455" s="49"/>
      <c r="G455" s="50"/>
      <c r="H455" s="43"/>
    </row>
    <row r="456">
      <c r="A456" s="43"/>
      <c r="B456" s="38" t="str">
        <f>IFERROR(HYPERLINK(VLOOKUP(A456,Internal_lists_bugs!$A$2:$C$73,3,FALSE()), VLOOKUP(A456,Internal_lists_bugs!$A$2:$C$73,3,FALSE())&amp;Char(10) &amp; Char(10) &amp; VLOOKUP(A456,Internal_lists_bugs!$A$2:$Z$73,26,FALSE())),"please select a BUG ID")</f>
        <v>please select a BUG ID</v>
      </c>
      <c r="C456" s="51" t="str">
        <f>IFERROR(Hyperlink(VLOOKUP(A456,Internal_lists_bugs!$A$2:$G1014,7,FALSE()),"BIC: "&amp;VLOOKUP(A456,Internal_lists_bugs!$A$2:$G1014,7,FALSE())&amp;CHAR(10)&amp;"Intro.Issues: "&amp;VLOOKUP(A456,Internal_lists_bugs!$A$2:$P1014,16,FALSE())),"please select a BUG ID")</f>
        <v>please select a BUG ID</v>
      </c>
      <c r="D456" s="52"/>
      <c r="E456" s="43"/>
      <c r="F456" s="49"/>
      <c r="G456" s="50"/>
      <c r="H456" s="43"/>
    </row>
    <row r="457">
      <c r="A457" s="43"/>
      <c r="B457" s="38" t="str">
        <f>IFERROR(HYPERLINK(VLOOKUP(A457,Internal_lists_bugs!$A$2:$C$73,3,FALSE()), VLOOKUP(A457,Internal_lists_bugs!$A$2:$C$73,3,FALSE())&amp;Char(10) &amp; Char(10) &amp; VLOOKUP(A457,Internal_lists_bugs!$A$2:$Z$73,26,FALSE())),"please select a BUG ID")</f>
        <v>please select a BUG ID</v>
      </c>
      <c r="C457" s="51" t="str">
        <f>IFERROR(Hyperlink(VLOOKUP(A457,Internal_lists_bugs!$A$2:$G1014,7,FALSE()),"BIC: "&amp;VLOOKUP(A457,Internal_lists_bugs!$A$2:$G1014,7,FALSE())&amp;CHAR(10)&amp;"Intro.Issues: "&amp;VLOOKUP(A457,Internal_lists_bugs!$A$2:$P1014,16,FALSE())),"please select a BUG ID")</f>
        <v>please select a BUG ID</v>
      </c>
      <c r="D457" s="52"/>
      <c r="E457" s="43"/>
      <c r="F457" s="49"/>
      <c r="G457" s="50"/>
      <c r="H457" s="43"/>
    </row>
    <row r="458">
      <c r="A458" s="43"/>
      <c r="B458" s="38" t="str">
        <f>IFERROR(HYPERLINK(VLOOKUP(A458,Internal_lists_bugs!$A$2:$C$73,3,FALSE()), VLOOKUP(A458,Internal_lists_bugs!$A$2:$C$73,3,FALSE())&amp;Char(10) &amp; Char(10) &amp; VLOOKUP(A458,Internal_lists_bugs!$A$2:$Z$73,26,FALSE())),"please select a BUG ID")</f>
        <v>please select a BUG ID</v>
      </c>
      <c r="C458" s="51" t="str">
        <f>IFERROR(Hyperlink(VLOOKUP(A458,Internal_lists_bugs!$A$2:$G1014,7,FALSE()),"BIC: "&amp;VLOOKUP(A458,Internal_lists_bugs!$A$2:$G1014,7,FALSE())&amp;CHAR(10)&amp;"Intro.Issues: "&amp;VLOOKUP(A458,Internal_lists_bugs!$A$2:$P1014,16,FALSE())),"please select a BUG ID")</f>
        <v>please select a BUG ID</v>
      </c>
      <c r="D458" s="52"/>
      <c r="E458" s="43"/>
      <c r="F458" s="49"/>
      <c r="G458" s="50"/>
      <c r="H458" s="43"/>
    </row>
    <row r="459">
      <c r="A459" s="43"/>
      <c r="B459" s="38" t="str">
        <f>IFERROR(HYPERLINK(VLOOKUP(A459,Internal_lists_bugs!$A$2:$C$73,3,FALSE()), VLOOKUP(A459,Internal_lists_bugs!$A$2:$C$73,3,FALSE())&amp;Char(10) &amp; Char(10) &amp; VLOOKUP(A459,Internal_lists_bugs!$A$2:$Z$73,26,FALSE())),"please select a BUG ID")</f>
        <v>please select a BUG ID</v>
      </c>
      <c r="C459" s="51" t="str">
        <f>IFERROR(Hyperlink(VLOOKUP(A459,Internal_lists_bugs!$A$2:$G1014,7,FALSE()),"BIC: "&amp;VLOOKUP(A459,Internal_lists_bugs!$A$2:$G1014,7,FALSE())&amp;CHAR(10)&amp;"Intro.Issues: "&amp;VLOOKUP(A459,Internal_lists_bugs!$A$2:$P1014,16,FALSE())),"please select a BUG ID")</f>
        <v>please select a BUG ID</v>
      </c>
      <c r="D459" s="52"/>
      <c r="E459" s="43"/>
      <c r="F459" s="49"/>
      <c r="G459" s="50"/>
      <c r="H459" s="43"/>
    </row>
    <row r="460">
      <c r="A460" s="43"/>
      <c r="B460" s="38" t="str">
        <f>IFERROR(HYPERLINK(VLOOKUP(A460,Internal_lists_bugs!$A$2:$C$73,3,FALSE()), VLOOKUP(A460,Internal_lists_bugs!$A$2:$C$73,3,FALSE())&amp;Char(10) &amp; Char(10) &amp; VLOOKUP(A460,Internal_lists_bugs!$A$2:$Z$73,26,FALSE())),"please select a BUG ID")</f>
        <v>please select a BUG ID</v>
      </c>
      <c r="C460" s="51" t="str">
        <f>IFERROR(Hyperlink(VLOOKUP(A460,Internal_lists_bugs!$A$2:$G1014,7,FALSE()),"BIC: "&amp;VLOOKUP(A460,Internal_lists_bugs!$A$2:$G1014,7,FALSE())&amp;CHAR(10)&amp;"Intro.Issues: "&amp;VLOOKUP(A460,Internal_lists_bugs!$A$2:$P1014,16,FALSE())),"please select a BUG ID")</f>
        <v>please select a BUG ID</v>
      </c>
      <c r="D460" s="52"/>
      <c r="E460" s="43"/>
      <c r="F460" s="49"/>
      <c r="G460" s="50"/>
      <c r="H460" s="43"/>
    </row>
    <row r="461">
      <c r="A461" s="43"/>
      <c r="B461" s="38" t="str">
        <f>IFERROR(HYPERLINK(VLOOKUP(A461,Internal_lists_bugs!$A$2:$C$73,3,FALSE()), VLOOKUP(A461,Internal_lists_bugs!$A$2:$C$73,3,FALSE())&amp;Char(10) &amp; Char(10) &amp; VLOOKUP(A461,Internal_lists_bugs!$A$2:$Z$73,26,FALSE())),"please select a BUG ID")</f>
        <v>please select a BUG ID</v>
      </c>
      <c r="C461" s="51" t="str">
        <f>IFERROR(Hyperlink(VLOOKUP(A461,Internal_lists_bugs!$A$2:$G1014,7,FALSE()),"BIC: "&amp;VLOOKUP(A461,Internal_lists_bugs!$A$2:$G1014,7,FALSE())&amp;CHAR(10)&amp;"Intro.Issues: "&amp;VLOOKUP(A461,Internal_lists_bugs!$A$2:$P1014,16,FALSE())),"please select a BUG ID")</f>
        <v>please select a BUG ID</v>
      </c>
      <c r="D461" s="52"/>
      <c r="E461" s="43"/>
      <c r="F461" s="49"/>
      <c r="G461" s="50"/>
      <c r="H461" s="43"/>
    </row>
    <row r="462">
      <c r="A462" s="43"/>
      <c r="B462" s="38" t="str">
        <f>IFERROR(HYPERLINK(VLOOKUP(A462,Internal_lists_bugs!$A$2:$C$73,3,FALSE()), VLOOKUP(A462,Internal_lists_bugs!$A$2:$C$73,3,FALSE())&amp;Char(10) &amp; Char(10) &amp; VLOOKUP(A462,Internal_lists_bugs!$A$2:$Z$73,26,FALSE())),"please select a BUG ID")</f>
        <v>please select a BUG ID</v>
      </c>
      <c r="C462" s="51" t="str">
        <f>IFERROR(Hyperlink(VLOOKUP(A462,Internal_lists_bugs!$A$2:$G1014,7,FALSE()),"BIC: "&amp;VLOOKUP(A462,Internal_lists_bugs!$A$2:$G1014,7,FALSE())&amp;CHAR(10)&amp;"Intro.Issues: "&amp;VLOOKUP(A462,Internal_lists_bugs!$A$2:$P1014,16,FALSE())),"please select a BUG ID")</f>
        <v>please select a BUG ID</v>
      </c>
      <c r="D462" s="52"/>
      <c r="E462" s="43"/>
      <c r="F462" s="49"/>
      <c r="G462" s="50"/>
      <c r="H462" s="43"/>
    </row>
    <row r="463">
      <c r="A463" s="43"/>
      <c r="B463" s="38" t="str">
        <f>IFERROR(HYPERLINK(VLOOKUP(A463,Internal_lists_bugs!$A$2:$C$73,3,FALSE()), VLOOKUP(A463,Internal_lists_bugs!$A$2:$C$73,3,FALSE())&amp;Char(10) &amp; Char(10) &amp; VLOOKUP(A463,Internal_lists_bugs!$A$2:$Z$73,26,FALSE())),"please select a BUG ID")</f>
        <v>please select a BUG ID</v>
      </c>
      <c r="C463" s="51" t="str">
        <f>IFERROR(Hyperlink(VLOOKUP(A463,Internal_lists_bugs!$A$2:$G1014,7,FALSE()),"BIC: "&amp;VLOOKUP(A463,Internal_lists_bugs!$A$2:$G1014,7,FALSE())&amp;CHAR(10)&amp;"Intro.Issues: "&amp;VLOOKUP(A463,Internal_lists_bugs!$A$2:$P1014,16,FALSE())),"please select a BUG ID")</f>
        <v>please select a BUG ID</v>
      </c>
      <c r="D463" s="52"/>
      <c r="E463" s="43"/>
      <c r="F463" s="49"/>
      <c r="G463" s="50"/>
      <c r="H463" s="43"/>
    </row>
    <row r="464">
      <c r="A464" s="43"/>
      <c r="B464" s="38" t="str">
        <f>IFERROR(HYPERLINK(VLOOKUP(A464,Internal_lists_bugs!$A$2:$C$73,3,FALSE()), VLOOKUP(A464,Internal_lists_bugs!$A$2:$C$73,3,FALSE())&amp;Char(10) &amp; Char(10) &amp; VLOOKUP(A464,Internal_lists_bugs!$A$2:$Z$73,26,FALSE())),"please select a BUG ID")</f>
        <v>please select a BUG ID</v>
      </c>
      <c r="C464" s="51" t="str">
        <f>IFERROR(Hyperlink(VLOOKUP(A464,Internal_lists_bugs!$A$2:$G1014,7,FALSE()),"BIC: "&amp;VLOOKUP(A464,Internal_lists_bugs!$A$2:$G1014,7,FALSE())&amp;CHAR(10)&amp;"Intro.Issues: "&amp;VLOOKUP(A464,Internal_lists_bugs!$A$2:$P1014,16,FALSE())),"please select a BUG ID")</f>
        <v>please select a BUG ID</v>
      </c>
      <c r="D464" s="52"/>
      <c r="E464" s="43"/>
      <c r="F464" s="49"/>
      <c r="G464" s="50"/>
      <c r="H464" s="43"/>
    </row>
    <row r="465">
      <c r="A465" s="43"/>
      <c r="B465" s="38" t="str">
        <f>IFERROR(HYPERLINK(VLOOKUP(A465,Internal_lists_bugs!$A$2:$C$73,3,FALSE()), VLOOKUP(A465,Internal_lists_bugs!$A$2:$C$73,3,FALSE())&amp;Char(10) &amp; Char(10) &amp; VLOOKUP(A465,Internal_lists_bugs!$A$2:$Z$73,26,FALSE())),"please select a BUG ID")</f>
        <v>please select a BUG ID</v>
      </c>
      <c r="C465" s="51" t="str">
        <f>IFERROR(Hyperlink(VLOOKUP(A465,Internal_lists_bugs!$A$2:$G1014,7,FALSE()),"BIC: "&amp;VLOOKUP(A465,Internal_lists_bugs!$A$2:$G1014,7,FALSE())&amp;CHAR(10)&amp;"Intro.Issues: "&amp;VLOOKUP(A465,Internal_lists_bugs!$A$2:$P1014,16,FALSE())),"please select a BUG ID")</f>
        <v>please select a BUG ID</v>
      </c>
      <c r="D465" s="52"/>
      <c r="E465" s="43"/>
      <c r="F465" s="49"/>
      <c r="G465" s="50"/>
      <c r="H465" s="43"/>
    </row>
    <row r="466">
      <c r="A466" s="43"/>
      <c r="B466" s="38" t="str">
        <f>IFERROR(HYPERLINK(VLOOKUP(A466,Internal_lists_bugs!$A$2:$C$73,3,FALSE()), VLOOKUP(A466,Internal_lists_bugs!$A$2:$C$73,3,FALSE())&amp;Char(10) &amp; Char(10) &amp; VLOOKUP(A466,Internal_lists_bugs!$A$2:$Z$73,26,FALSE())),"please select a BUG ID")</f>
        <v>please select a BUG ID</v>
      </c>
      <c r="C466" s="51" t="str">
        <f>IFERROR(Hyperlink(VLOOKUP(A466,Internal_lists_bugs!$A$2:$G1014,7,FALSE()),"BIC: "&amp;VLOOKUP(A466,Internal_lists_bugs!$A$2:$G1014,7,FALSE())&amp;CHAR(10)&amp;"Intro.Issues: "&amp;VLOOKUP(A466,Internal_lists_bugs!$A$2:$P1014,16,FALSE())),"please select a BUG ID")</f>
        <v>please select a BUG ID</v>
      </c>
      <c r="D466" s="52"/>
      <c r="E466" s="43"/>
      <c r="F466" s="49"/>
      <c r="G466" s="50"/>
      <c r="H466" s="43"/>
    </row>
    <row r="467">
      <c r="A467" s="43"/>
      <c r="B467" s="38" t="str">
        <f>IFERROR(HYPERLINK(VLOOKUP(A467,Internal_lists_bugs!$A$2:$C$73,3,FALSE()), VLOOKUP(A467,Internal_lists_bugs!$A$2:$C$73,3,FALSE())&amp;Char(10) &amp; Char(10) &amp; VLOOKUP(A467,Internal_lists_bugs!$A$2:$Z$73,26,FALSE())),"please select a BUG ID")</f>
        <v>please select a BUG ID</v>
      </c>
      <c r="C467" s="51" t="str">
        <f>IFERROR(Hyperlink(VLOOKUP(A467,Internal_lists_bugs!$A$2:$G1014,7,FALSE()),"BIC: "&amp;VLOOKUP(A467,Internal_lists_bugs!$A$2:$G1014,7,FALSE())&amp;CHAR(10)&amp;"Intro.Issues: "&amp;VLOOKUP(A467,Internal_lists_bugs!$A$2:$P1014,16,FALSE())),"please select a BUG ID")</f>
        <v>please select a BUG ID</v>
      </c>
      <c r="D467" s="52"/>
      <c r="E467" s="43"/>
      <c r="F467" s="49"/>
      <c r="G467" s="50"/>
      <c r="H467" s="43"/>
    </row>
    <row r="468">
      <c r="A468" s="43"/>
      <c r="B468" s="38" t="str">
        <f>IFERROR(HYPERLINK(VLOOKUP(A468,Internal_lists_bugs!$A$2:$C$73,3,FALSE()), VLOOKUP(A468,Internal_lists_bugs!$A$2:$C$73,3,FALSE())&amp;Char(10) &amp; Char(10) &amp; VLOOKUP(A468,Internal_lists_bugs!$A$2:$Z$73,26,FALSE())),"please select a BUG ID")</f>
        <v>please select a BUG ID</v>
      </c>
      <c r="C468" s="51" t="str">
        <f>IFERROR(Hyperlink(VLOOKUP(A468,Internal_lists_bugs!$A$2:$G1014,7,FALSE()),"BIC: "&amp;VLOOKUP(A468,Internal_lists_bugs!$A$2:$G1014,7,FALSE())&amp;CHAR(10)&amp;"Intro.Issues: "&amp;VLOOKUP(A468,Internal_lists_bugs!$A$2:$P1014,16,FALSE())),"please select a BUG ID")</f>
        <v>please select a BUG ID</v>
      </c>
      <c r="D468" s="52"/>
      <c r="E468" s="43"/>
      <c r="F468" s="49"/>
      <c r="G468" s="50"/>
      <c r="H468" s="43"/>
    </row>
    <row r="469">
      <c r="A469" s="43"/>
      <c r="B469" s="38" t="str">
        <f>IFERROR(HYPERLINK(VLOOKUP(A469,Internal_lists_bugs!$A$2:$C$73,3,FALSE()), VLOOKUP(A469,Internal_lists_bugs!$A$2:$C$73,3,FALSE())&amp;Char(10) &amp; Char(10) &amp; VLOOKUP(A469,Internal_lists_bugs!$A$2:$Z$73,26,FALSE())),"please select a BUG ID")</f>
        <v>please select a BUG ID</v>
      </c>
      <c r="C469" s="51" t="str">
        <f>IFERROR(Hyperlink(VLOOKUP(A469,Internal_lists_bugs!$A$2:$G1014,7,FALSE()),"BIC: "&amp;VLOOKUP(A469,Internal_lists_bugs!$A$2:$G1014,7,FALSE())&amp;CHAR(10)&amp;"Intro.Issues: "&amp;VLOOKUP(A469,Internal_lists_bugs!$A$2:$P1014,16,FALSE())),"please select a BUG ID")</f>
        <v>please select a BUG ID</v>
      </c>
      <c r="D469" s="52"/>
      <c r="E469" s="43"/>
      <c r="F469" s="49"/>
      <c r="G469" s="50"/>
      <c r="H469" s="43"/>
    </row>
    <row r="470">
      <c r="A470" s="43"/>
      <c r="B470" s="38" t="str">
        <f>IFERROR(HYPERLINK(VLOOKUP(A470,Internal_lists_bugs!$A$2:$C$73,3,FALSE()), VLOOKUP(A470,Internal_lists_bugs!$A$2:$C$73,3,FALSE())&amp;Char(10) &amp; Char(10) &amp; VLOOKUP(A470,Internal_lists_bugs!$A$2:$Z$73,26,FALSE())),"please select a BUG ID")</f>
        <v>please select a BUG ID</v>
      </c>
      <c r="C470" s="51" t="str">
        <f>IFERROR(Hyperlink(VLOOKUP(A470,Internal_lists_bugs!$A$2:$G1014,7,FALSE()),"BIC: "&amp;VLOOKUP(A470,Internal_lists_bugs!$A$2:$G1014,7,FALSE())&amp;CHAR(10)&amp;"Intro.Issues: "&amp;VLOOKUP(A470,Internal_lists_bugs!$A$2:$P1014,16,FALSE())),"please select a BUG ID")</f>
        <v>please select a BUG ID</v>
      </c>
      <c r="D470" s="52"/>
      <c r="E470" s="43"/>
      <c r="F470" s="49"/>
      <c r="G470" s="50"/>
      <c r="H470" s="43"/>
    </row>
    <row r="471">
      <c r="A471" s="43"/>
      <c r="B471" s="38" t="str">
        <f>IFERROR(HYPERLINK(VLOOKUP(A471,Internal_lists_bugs!$A$2:$C$73,3,FALSE()), VLOOKUP(A471,Internal_lists_bugs!$A$2:$C$73,3,FALSE())&amp;Char(10) &amp; Char(10) &amp; VLOOKUP(A471,Internal_lists_bugs!$A$2:$Z$73,26,FALSE())),"please select a BUG ID")</f>
        <v>please select a BUG ID</v>
      </c>
      <c r="C471" s="51" t="str">
        <f>IFERROR(Hyperlink(VLOOKUP(A471,Internal_lists_bugs!$A$2:$G1014,7,FALSE()),"BIC: "&amp;VLOOKUP(A471,Internal_lists_bugs!$A$2:$G1014,7,FALSE())&amp;CHAR(10)&amp;"Intro.Issues: "&amp;VLOOKUP(A471,Internal_lists_bugs!$A$2:$P1014,16,FALSE())),"please select a BUG ID")</f>
        <v>please select a BUG ID</v>
      </c>
      <c r="D471" s="52"/>
      <c r="E471" s="43"/>
      <c r="F471" s="49"/>
      <c r="G471" s="50"/>
      <c r="H471" s="43"/>
    </row>
    <row r="472">
      <c r="A472" s="43"/>
      <c r="B472" s="38" t="str">
        <f>IFERROR(HYPERLINK(VLOOKUP(A472,Internal_lists_bugs!$A$2:$C$73,3,FALSE()), VLOOKUP(A472,Internal_lists_bugs!$A$2:$C$73,3,FALSE())&amp;Char(10) &amp; Char(10) &amp; VLOOKUP(A472,Internal_lists_bugs!$A$2:$Z$73,26,FALSE())),"please select a BUG ID")</f>
        <v>please select a BUG ID</v>
      </c>
      <c r="C472" s="51" t="str">
        <f>IFERROR(Hyperlink(VLOOKUP(A472,Internal_lists_bugs!$A$2:$G1014,7,FALSE()),"BIC: "&amp;VLOOKUP(A472,Internal_lists_bugs!$A$2:$G1014,7,FALSE())&amp;CHAR(10)&amp;"Intro.Issues: "&amp;VLOOKUP(A472,Internal_lists_bugs!$A$2:$P1014,16,FALSE())),"please select a BUG ID")</f>
        <v>please select a BUG ID</v>
      </c>
      <c r="D472" s="52"/>
      <c r="E472" s="43"/>
      <c r="F472" s="49"/>
      <c r="G472" s="50"/>
      <c r="H472" s="43"/>
    </row>
    <row r="473">
      <c r="A473" s="43"/>
      <c r="B473" s="38" t="str">
        <f>IFERROR(HYPERLINK(VLOOKUP(A473,Internal_lists_bugs!$A$2:$C$73,3,FALSE()), VLOOKUP(A473,Internal_lists_bugs!$A$2:$C$73,3,FALSE())&amp;Char(10) &amp; Char(10) &amp; VLOOKUP(A473,Internal_lists_bugs!$A$2:$Z$73,26,FALSE())),"please select a BUG ID")</f>
        <v>please select a BUG ID</v>
      </c>
      <c r="C473" s="51" t="str">
        <f>IFERROR(Hyperlink(VLOOKUP(A473,Internal_lists_bugs!$A$2:$G1014,7,FALSE()),"BIC: "&amp;VLOOKUP(A473,Internal_lists_bugs!$A$2:$G1014,7,FALSE())&amp;CHAR(10)&amp;"Intro.Issues: "&amp;VLOOKUP(A473,Internal_lists_bugs!$A$2:$P1014,16,FALSE())),"please select a BUG ID")</f>
        <v>please select a BUG ID</v>
      </c>
      <c r="D473" s="52"/>
      <c r="E473" s="43"/>
      <c r="F473" s="49"/>
      <c r="G473" s="50"/>
      <c r="H473" s="43"/>
    </row>
    <row r="474">
      <c r="A474" s="43"/>
      <c r="B474" s="38" t="str">
        <f>IFERROR(HYPERLINK(VLOOKUP(A474,Internal_lists_bugs!$A$2:$C$73,3,FALSE()), VLOOKUP(A474,Internal_lists_bugs!$A$2:$C$73,3,FALSE())&amp;Char(10) &amp; Char(10) &amp; VLOOKUP(A474,Internal_lists_bugs!$A$2:$Z$73,26,FALSE())),"please select a BUG ID")</f>
        <v>please select a BUG ID</v>
      </c>
      <c r="C474" s="51" t="str">
        <f>IFERROR(Hyperlink(VLOOKUP(A474,Internal_lists_bugs!$A$2:$G1014,7,FALSE()),"BIC: "&amp;VLOOKUP(A474,Internal_lists_bugs!$A$2:$G1014,7,FALSE())&amp;CHAR(10)&amp;"Intro.Issues: "&amp;VLOOKUP(A474,Internal_lists_bugs!$A$2:$P1014,16,FALSE())),"please select a BUG ID")</f>
        <v>please select a BUG ID</v>
      </c>
      <c r="D474" s="52"/>
      <c r="E474" s="43"/>
      <c r="F474" s="49"/>
      <c r="G474" s="50"/>
      <c r="H474" s="43"/>
    </row>
    <row r="475">
      <c r="A475" s="43"/>
      <c r="B475" s="38" t="str">
        <f>IFERROR(HYPERLINK(VLOOKUP(A475,Internal_lists_bugs!$A$2:$C$73,3,FALSE()), VLOOKUP(A475,Internal_lists_bugs!$A$2:$C$73,3,FALSE())&amp;Char(10) &amp; Char(10) &amp; VLOOKUP(A475,Internal_lists_bugs!$A$2:$Z$73,26,FALSE())),"please select a BUG ID")</f>
        <v>please select a BUG ID</v>
      </c>
      <c r="C475" s="51" t="str">
        <f>IFERROR(Hyperlink(VLOOKUP(A475,Internal_lists_bugs!$A$2:$G1014,7,FALSE()),"BIC: "&amp;VLOOKUP(A475,Internal_lists_bugs!$A$2:$G1014,7,FALSE())&amp;CHAR(10)&amp;"Intro.Issues: "&amp;VLOOKUP(A475,Internal_lists_bugs!$A$2:$P1014,16,FALSE())),"please select a BUG ID")</f>
        <v>please select a BUG ID</v>
      </c>
      <c r="D475" s="52"/>
      <c r="E475" s="43"/>
      <c r="F475" s="49"/>
      <c r="G475" s="50"/>
      <c r="H475" s="43"/>
    </row>
    <row r="476">
      <c r="A476" s="43"/>
      <c r="B476" s="38" t="str">
        <f>IFERROR(HYPERLINK(VLOOKUP(A476,Internal_lists_bugs!$A$2:$C$73,3,FALSE()), VLOOKUP(A476,Internal_lists_bugs!$A$2:$C$73,3,FALSE())&amp;Char(10) &amp; Char(10) &amp; VLOOKUP(A476,Internal_lists_bugs!$A$2:$Z$73,26,FALSE())),"please select a BUG ID")</f>
        <v>please select a BUG ID</v>
      </c>
      <c r="C476" s="51" t="str">
        <f>IFERROR(Hyperlink(VLOOKUP(A476,Internal_lists_bugs!$A$2:$G1014,7,FALSE()),"BIC: "&amp;VLOOKUP(A476,Internal_lists_bugs!$A$2:$G1014,7,FALSE())&amp;CHAR(10)&amp;"Intro.Issues: "&amp;VLOOKUP(A476,Internal_lists_bugs!$A$2:$P1014,16,FALSE())),"please select a BUG ID")</f>
        <v>please select a BUG ID</v>
      </c>
      <c r="D476" s="52"/>
      <c r="E476" s="43"/>
      <c r="F476" s="49"/>
      <c r="G476" s="50"/>
      <c r="H476" s="43"/>
    </row>
    <row r="477">
      <c r="A477" s="43"/>
      <c r="B477" s="38" t="str">
        <f>IFERROR(HYPERLINK(VLOOKUP(A477,Internal_lists_bugs!$A$2:$C$73,3,FALSE()), VLOOKUP(A477,Internal_lists_bugs!$A$2:$C$73,3,FALSE())&amp;Char(10) &amp; Char(10) &amp; VLOOKUP(A477,Internal_lists_bugs!$A$2:$Z$73,26,FALSE())),"please select a BUG ID")</f>
        <v>please select a BUG ID</v>
      </c>
      <c r="C477" s="51" t="str">
        <f>IFERROR(Hyperlink(VLOOKUP(A477,Internal_lists_bugs!$A$2:$G1014,7,FALSE()),"BIC: "&amp;VLOOKUP(A477,Internal_lists_bugs!$A$2:$G1014,7,FALSE())&amp;CHAR(10)&amp;"Intro.Issues: "&amp;VLOOKUP(A477,Internal_lists_bugs!$A$2:$P1014,16,FALSE())),"please select a BUG ID")</f>
        <v>please select a BUG ID</v>
      </c>
      <c r="D477" s="52"/>
      <c r="E477" s="43"/>
      <c r="F477" s="49"/>
      <c r="G477" s="50"/>
      <c r="H477" s="43"/>
    </row>
    <row r="478">
      <c r="A478" s="43"/>
      <c r="B478" s="38" t="str">
        <f>IFERROR(HYPERLINK(VLOOKUP(A478,Internal_lists_bugs!$A$2:$C$73,3,FALSE()), VLOOKUP(A478,Internal_lists_bugs!$A$2:$C$73,3,FALSE())&amp;Char(10) &amp; Char(10) &amp; VLOOKUP(A478,Internal_lists_bugs!$A$2:$Z$73,26,FALSE())),"please select a BUG ID")</f>
        <v>please select a BUG ID</v>
      </c>
      <c r="C478" s="51" t="str">
        <f>IFERROR(Hyperlink(VLOOKUP(A478,Internal_lists_bugs!$A$2:$G1014,7,FALSE()),"BIC: "&amp;VLOOKUP(A478,Internal_lists_bugs!$A$2:$G1014,7,FALSE())&amp;CHAR(10)&amp;"Intro.Issues: "&amp;VLOOKUP(A478,Internal_lists_bugs!$A$2:$P1014,16,FALSE())),"please select a BUG ID")</f>
        <v>please select a BUG ID</v>
      </c>
      <c r="D478" s="52"/>
      <c r="E478" s="43"/>
      <c r="F478" s="49"/>
      <c r="G478" s="50"/>
      <c r="H478" s="43"/>
    </row>
    <row r="479">
      <c r="A479" s="43"/>
      <c r="B479" s="38" t="str">
        <f>IFERROR(HYPERLINK(VLOOKUP(A479,Internal_lists_bugs!$A$2:$C$73,3,FALSE()), VLOOKUP(A479,Internal_lists_bugs!$A$2:$C$73,3,FALSE())&amp;Char(10) &amp; Char(10) &amp; VLOOKUP(A479,Internal_lists_bugs!$A$2:$Z$73,26,FALSE())),"please select a BUG ID")</f>
        <v>please select a BUG ID</v>
      </c>
      <c r="C479" s="51" t="str">
        <f>IFERROR(Hyperlink(VLOOKUP(A479,Internal_lists_bugs!$A$2:$G1014,7,FALSE()),"BIC: "&amp;VLOOKUP(A479,Internal_lists_bugs!$A$2:$G1014,7,FALSE())&amp;CHAR(10)&amp;"Intro.Issues: "&amp;VLOOKUP(A479,Internal_lists_bugs!$A$2:$P1014,16,FALSE())),"please select a BUG ID")</f>
        <v>please select a BUG ID</v>
      </c>
      <c r="D479" s="52"/>
      <c r="E479" s="43"/>
      <c r="F479" s="49"/>
      <c r="G479" s="50"/>
      <c r="H479" s="43"/>
    </row>
    <row r="480">
      <c r="A480" s="43"/>
      <c r="B480" s="38" t="str">
        <f>IFERROR(HYPERLINK(VLOOKUP(A480,Internal_lists_bugs!$A$2:$C$73,3,FALSE()), VLOOKUP(A480,Internal_lists_bugs!$A$2:$C$73,3,FALSE())&amp;Char(10) &amp; Char(10) &amp; VLOOKUP(A480,Internal_lists_bugs!$A$2:$Z$73,26,FALSE())),"please select a BUG ID")</f>
        <v>please select a BUG ID</v>
      </c>
      <c r="C480" s="51" t="str">
        <f>IFERROR(Hyperlink(VLOOKUP(A480,Internal_lists_bugs!$A$2:$G1014,7,FALSE()),"BIC: "&amp;VLOOKUP(A480,Internal_lists_bugs!$A$2:$G1014,7,FALSE())&amp;CHAR(10)&amp;"Intro.Issues: "&amp;VLOOKUP(A480,Internal_lists_bugs!$A$2:$P1014,16,FALSE())),"please select a BUG ID")</f>
        <v>please select a BUG ID</v>
      </c>
      <c r="D480" s="52"/>
      <c r="E480" s="43"/>
      <c r="F480" s="49"/>
      <c r="G480" s="50"/>
      <c r="H480" s="43"/>
    </row>
    <row r="481">
      <c r="A481" s="43"/>
      <c r="B481" s="38" t="str">
        <f>IFERROR(HYPERLINK(VLOOKUP(A481,Internal_lists_bugs!$A$2:$C$73,3,FALSE()), VLOOKUP(A481,Internal_lists_bugs!$A$2:$C$73,3,FALSE())&amp;Char(10) &amp; Char(10) &amp; VLOOKUP(A481,Internal_lists_bugs!$A$2:$Z$73,26,FALSE())),"please select a BUG ID")</f>
        <v>please select a BUG ID</v>
      </c>
      <c r="C481" s="51" t="str">
        <f>IFERROR(Hyperlink(VLOOKUP(A481,Internal_lists_bugs!$A$2:$G1014,7,FALSE()),"BIC: "&amp;VLOOKUP(A481,Internal_lists_bugs!$A$2:$G1014,7,FALSE())&amp;CHAR(10)&amp;"Intro.Issues: "&amp;VLOOKUP(A481,Internal_lists_bugs!$A$2:$P1014,16,FALSE())),"please select a BUG ID")</f>
        <v>please select a BUG ID</v>
      </c>
      <c r="D481" s="52"/>
      <c r="E481" s="43"/>
      <c r="F481" s="49"/>
      <c r="G481" s="50"/>
      <c r="H481" s="43"/>
    </row>
    <row r="482">
      <c r="A482" s="43"/>
      <c r="B482" s="38" t="str">
        <f>IFERROR(HYPERLINK(VLOOKUP(A482,Internal_lists_bugs!$A$2:$C$73,3,FALSE()), VLOOKUP(A482,Internal_lists_bugs!$A$2:$C$73,3,FALSE())&amp;Char(10) &amp; Char(10) &amp; VLOOKUP(A482,Internal_lists_bugs!$A$2:$Z$73,26,FALSE())),"please select a BUG ID")</f>
        <v>please select a BUG ID</v>
      </c>
      <c r="C482" s="51" t="str">
        <f>IFERROR(Hyperlink(VLOOKUP(A482,Internal_lists_bugs!$A$2:$G1014,7,FALSE()),"BIC: "&amp;VLOOKUP(A482,Internal_lists_bugs!$A$2:$G1014,7,FALSE())&amp;CHAR(10)&amp;"Intro.Issues: "&amp;VLOOKUP(A482,Internal_lists_bugs!$A$2:$P1014,16,FALSE())),"please select a BUG ID")</f>
        <v>please select a BUG ID</v>
      </c>
      <c r="D482" s="52"/>
      <c r="E482" s="43"/>
      <c r="F482" s="49"/>
      <c r="G482" s="50"/>
      <c r="H482" s="43"/>
    </row>
    <row r="483">
      <c r="A483" s="43"/>
      <c r="B483" s="38" t="str">
        <f>IFERROR(HYPERLINK(VLOOKUP(A483,Internal_lists_bugs!$A$2:$C$73,3,FALSE()), VLOOKUP(A483,Internal_lists_bugs!$A$2:$C$73,3,FALSE())&amp;Char(10) &amp; Char(10) &amp; VLOOKUP(A483,Internal_lists_bugs!$A$2:$Z$73,26,FALSE())),"please select a BUG ID")</f>
        <v>please select a BUG ID</v>
      </c>
      <c r="C483" s="51" t="str">
        <f>IFERROR(Hyperlink(VLOOKUP(A483,Internal_lists_bugs!$A$2:$G1014,7,FALSE()),"BIC: "&amp;VLOOKUP(A483,Internal_lists_bugs!$A$2:$G1014,7,FALSE())&amp;CHAR(10)&amp;"Intro.Issues: "&amp;VLOOKUP(A483,Internal_lists_bugs!$A$2:$P1014,16,FALSE())),"please select a BUG ID")</f>
        <v>please select a BUG ID</v>
      </c>
      <c r="D483" s="52"/>
      <c r="E483" s="43"/>
      <c r="F483" s="49"/>
      <c r="G483" s="50"/>
      <c r="H483" s="43"/>
    </row>
    <row r="484">
      <c r="A484" s="43"/>
      <c r="B484" s="38" t="str">
        <f>IFERROR(HYPERLINK(VLOOKUP(A484,Internal_lists_bugs!$A$2:$C$73,3,FALSE()), VLOOKUP(A484,Internal_lists_bugs!$A$2:$C$73,3,FALSE())&amp;Char(10) &amp; Char(10) &amp; VLOOKUP(A484,Internal_lists_bugs!$A$2:$Z$73,26,FALSE())),"please select a BUG ID")</f>
        <v>please select a BUG ID</v>
      </c>
      <c r="C484" s="51" t="str">
        <f>IFERROR(Hyperlink(VLOOKUP(A484,Internal_lists_bugs!$A$2:$G1014,7,FALSE()),"BIC: "&amp;VLOOKUP(A484,Internal_lists_bugs!$A$2:$G1014,7,FALSE())&amp;CHAR(10)&amp;"Intro.Issues: "&amp;VLOOKUP(A484,Internal_lists_bugs!$A$2:$P1014,16,FALSE())),"please select a BUG ID")</f>
        <v>please select a BUG ID</v>
      </c>
      <c r="D484" s="52"/>
      <c r="E484" s="43"/>
      <c r="F484" s="49"/>
      <c r="G484" s="50"/>
      <c r="H484" s="43"/>
    </row>
    <row r="485">
      <c r="A485" s="43"/>
      <c r="B485" s="38" t="str">
        <f>IFERROR(HYPERLINK(VLOOKUP(A485,Internal_lists_bugs!$A$2:$C$73,3,FALSE()), VLOOKUP(A485,Internal_lists_bugs!$A$2:$C$73,3,FALSE())&amp;Char(10) &amp; Char(10) &amp; VLOOKUP(A485,Internal_lists_bugs!$A$2:$Z$73,26,FALSE())),"please select a BUG ID")</f>
        <v>please select a BUG ID</v>
      </c>
      <c r="C485" s="51" t="str">
        <f>IFERROR(Hyperlink(VLOOKUP(A485,Internal_lists_bugs!$A$2:$G1014,7,FALSE()),"BIC: "&amp;VLOOKUP(A485,Internal_lists_bugs!$A$2:$G1014,7,FALSE())&amp;CHAR(10)&amp;"Intro.Issues: "&amp;VLOOKUP(A485,Internal_lists_bugs!$A$2:$P1014,16,FALSE())),"please select a BUG ID")</f>
        <v>please select a BUG ID</v>
      </c>
      <c r="D485" s="52"/>
      <c r="E485" s="43"/>
      <c r="F485" s="49"/>
      <c r="G485" s="50"/>
      <c r="H485" s="43"/>
    </row>
    <row r="486">
      <c r="A486" s="43"/>
      <c r="B486" s="38" t="str">
        <f>IFERROR(HYPERLINK(VLOOKUP(A486,Internal_lists_bugs!$A$2:$C$73,3,FALSE()), VLOOKUP(A486,Internal_lists_bugs!$A$2:$C$73,3,FALSE())&amp;Char(10) &amp; Char(10) &amp; VLOOKUP(A486,Internal_lists_bugs!$A$2:$Z$73,26,FALSE())),"please select a BUG ID")</f>
        <v>please select a BUG ID</v>
      </c>
      <c r="C486" s="51" t="str">
        <f>IFERROR(Hyperlink(VLOOKUP(A486,Internal_lists_bugs!$A$2:$G1014,7,FALSE()),"BIC: "&amp;VLOOKUP(A486,Internal_lists_bugs!$A$2:$G1014,7,FALSE())&amp;CHAR(10)&amp;"Intro.Issues: "&amp;VLOOKUP(A486,Internal_lists_bugs!$A$2:$P1014,16,FALSE())),"please select a BUG ID")</f>
        <v>please select a BUG ID</v>
      </c>
      <c r="D486" s="52"/>
      <c r="E486" s="43"/>
      <c r="F486" s="49"/>
      <c r="G486" s="50"/>
      <c r="H486" s="43"/>
    </row>
    <row r="487">
      <c r="A487" s="43"/>
      <c r="B487" s="38" t="str">
        <f>IFERROR(HYPERLINK(VLOOKUP(A487,Internal_lists_bugs!$A$2:$C$73,3,FALSE()), VLOOKUP(A487,Internal_lists_bugs!$A$2:$C$73,3,FALSE())&amp;Char(10) &amp; Char(10) &amp; VLOOKUP(A487,Internal_lists_bugs!$A$2:$Z$73,26,FALSE())),"please select a BUG ID")</f>
        <v>please select a BUG ID</v>
      </c>
      <c r="C487" s="51" t="str">
        <f>IFERROR(Hyperlink(VLOOKUP(A487,Internal_lists_bugs!$A$2:$G1014,7,FALSE()),"BIC: "&amp;VLOOKUP(A487,Internal_lists_bugs!$A$2:$G1014,7,FALSE())&amp;CHAR(10)&amp;"Intro.Issues: "&amp;VLOOKUP(A487,Internal_lists_bugs!$A$2:$P1014,16,FALSE())),"please select a BUG ID")</f>
        <v>please select a BUG ID</v>
      </c>
      <c r="D487" s="52"/>
      <c r="E487" s="43"/>
      <c r="F487" s="49"/>
      <c r="G487" s="50"/>
      <c r="H487" s="43"/>
    </row>
    <row r="488">
      <c r="A488" s="43"/>
      <c r="B488" s="38" t="str">
        <f>IFERROR(HYPERLINK(VLOOKUP(A488,Internal_lists_bugs!$A$2:$C$73,3,FALSE()), VLOOKUP(A488,Internal_lists_bugs!$A$2:$C$73,3,FALSE())&amp;Char(10) &amp; Char(10) &amp; VLOOKUP(A488,Internal_lists_bugs!$A$2:$Z$73,26,FALSE())),"please select a BUG ID")</f>
        <v>please select a BUG ID</v>
      </c>
      <c r="C488" s="51" t="str">
        <f>IFERROR(Hyperlink(VLOOKUP(A488,Internal_lists_bugs!$A$2:$G1014,7,FALSE()),"BIC: "&amp;VLOOKUP(A488,Internal_lists_bugs!$A$2:$G1014,7,FALSE())&amp;CHAR(10)&amp;"Intro.Issues: "&amp;VLOOKUP(A488,Internal_lists_bugs!$A$2:$P1014,16,FALSE())),"please select a BUG ID")</f>
        <v>please select a BUG ID</v>
      </c>
      <c r="D488" s="52"/>
      <c r="E488" s="43"/>
      <c r="F488" s="49"/>
      <c r="G488" s="50"/>
      <c r="H488" s="43"/>
    </row>
    <row r="489">
      <c r="A489" s="43"/>
      <c r="B489" s="38" t="str">
        <f>IFERROR(HYPERLINK(VLOOKUP(A489,Internal_lists_bugs!$A$2:$C$73,3,FALSE()), VLOOKUP(A489,Internal_lists_bugs!$A$2:$C$73,3,FALSE())&amp;Char(10) &amp; Char(10) &amp; VLOOKUP(A489,Internal_lists_bugs!$A$2:$Z$73,26,FALSE())),"please select a BUG ID")</f>
        <v>please select a BUG ID</v>
      </c>
      <c r="C489" s="51" t="str">
        <f>IFERROR(Hyperlink(VLOOKUP(A489,Internal_lists_bugs!$A$2:$G1014,7,FALSE()),"BIC: "&amp;VLOOKUP(A489,Internal_lists_bugs!$A$2:$G1014,7,FALSE())&amp;CHAR(10)&amp;"Intro.Issues: "&amp;VLOOKUP(A489,Internal_lists_bugs!$A$2:$P1014,16,FALSE())),"please select a BUG ID")</f>
        <v>please select a BUG ID</v>
      </c>
      <c r="D489" s="52"/>
      <c r="E489" s="43"/>
      <c r="F489" s="49"/>
      <c r="G489" s="50"/>
      <c r="H489" s="43"/>
    </row>
    <row r="490">
      <c r="A490" s="43"/>
      <c r="B490" s="38" t="str">
        <f>IFERROR(HYPERLINK(VLOOKUP(A490,Internal_lists_bugs!$A$2:$C$73,3,FALSE()), VLOOKUP(A490,Internal_lists_bugs!$A$2:$C$73,3,FALSE())&amp;Char(10) &amp; Char(10) &amp; VLOOKUP(A490,Internal_lists_bugs!$A$2:$Z$73,26,FALSE())),"please select a BUG ID")</f>
        <v>please select a BUG ID</v>
      </c>
      <c r="C490" s="51" t="str">
        <f>IFERROR(Hyperlink(VLOOKUP(A490,Internal_lists_bugs!$A$2:$G1014,7,FALSE()),"BIC: "&amp;VLOOKUP(A490,Internal_lists_bugs!$A$2:$G1014,7,FALSE())&amp;CHAR(10)&amp;"Intro.Issues: "&amp;VLOOKUP(A490,Internal_lists_bugs!$A$2:$P1014,16,FALSE())),"please select a BUG ID")</f>
        <v>please select a BUG ID</v>
      </c>
      <c r="D490" s="52"/>
      <c r="E490" s="43"/>
      <c r="F490" s="49"/>
      <c r="G490" s="50"/>
      <c r="H490" s="43"/>
    </row>
    <row r="491">
      <c r="A491" s="43"/>
      <c r="B491" s="38" t="str">
        <f>IFERROR(HYPERLINK(VLOOKUP(A491,Internal_lists_bugs!$A$2:$C$73,3,FALSE()), VLOOKUP(A491,Internal_lists_bugs!$A$2:$C$73,3,FALSE())&amp;Char(10) &amp; Char(10) &amp; VLOOKUP(A491,Internal_lists_bugs!$A$2:$Z$73,26,FALSE())),"please select a BUG ID")</f>
        <v>please select a BUG ID</v>
      </c>
      <c r="C491" s="51" t="str">
        <f>IFERROR(Hyperlink(VLOOKUP(A491,Internal_lists_bugs!$A$2:$G1014,7,FALSE()),"BIC: "&amp;VLOOKUP(A491,Internal_lists_bugs!$A$2:$G1014,7,FALSE())&amp;CHAR(10)&amp;"Intro.Issues: "&amp;VLOOKUP(A491,Internal_lists_bugs!$A$2:$P1014,16,FALSE())),"please select a BUG ID")</f>
        <v>please select a BUG ID</v>
      </c>
      <c r="D491" s="52"/>
      <c r="E491" s="43"/>
      <c r="F491" s="49"/>
      <c r="G491" s="50"/>
      <c r="H491" s="43"/>
    </row>
    <row r="492">
      <c r="A492" s="43"/>
      <c r="B492" s="38" t="str">
        <f>IFERROR(HYPERLINK(VLOOKUP(A492,Internal_lists_bugs!$A$2:$C$73,3,FALSE()), VLOOKUP(A492,Internal_lists_bugs!$A$2:$C$73,3,FALSE())&amp;Char(10) &amp; Char(10) &amp; VLOOKUP(A492,Internal_lists_bugs!$A$2:$Z$73,26,FALSE())),"please select a BUG ID")</f>
        <v>please select a BUG ID</v>
      </c>
      <c r="C492" s="51" t="str">
        <f>IFERROR(Hyperlink(VLOOKUP(A492,Internal_lists_bugs!$A$2:$G1014,7,FALSE()),"BIC: "&amp;VLOOKUP(A492,Internal_lists_bugs!$A$2:$G1014,7,FALSE())&amp;CHAR(10)&amp;"Intro.Issues: "&amp;VLOOKUP(A492,Internal_lists_bugs!$A$2:$P1014,16,FALSE())),"please select a BUG ID")</f>
        <v>please select a BUG ID</v>
      </c>
      <c r="D492" s="52"/>
      <c r="E492" s="43"/>
      <c r="F492" s="49"/>
      <c r="G492" s="50"/>
      <c r="H492" s="43"/>
    </row>
    <row r="493">
      <c r="A493" s="43"/>
      <c r="B493" s="38" t="str">
        <f>IFERROR(HYPERLINK(VLOOKUP(A493,Internal_lists_bugs!$A$2:$C$73,3,FALSE()), VLOOKUP(A493,Internal_lists_bugs!$A$2:$C$73,3,FALSE())&amp;Char(10) &amp; Char(10) &amp; VLOOKUP(A493,Internal_lists_bugs!$A$2:$Z$73,26,FALSE())),"please select a BUG ID")</f>
        <v>please select a BUG ID</v>
      </c>
      <c r="C493" s="51" t="str">
        <f>IFERROR(Hyperlink(VLOOKUP(A493,Internal_lists_bugs!$A$2:$G1014,7,FALSE()),"BIC: "&amp;VLOOKUP(A493,Internal_lists_bugs!$A$2:$G1014,7,FALSE())&amp;CHAR(10)&amp;"Intro.Issues: "&amp;VLOOKUP(A493,Internal_lists_bugs!$A$2:$P1014,16,FALSE())),"please select a BUG ID")</f>
        <v>please select a BUG ID</v>
      </c>
      <c r="D493" s="52"/>
      <c r="E493" s="43"/>
      <c r="F493" s="49"/>
      <c r="G493" s="50"/>
      <c r="H493" s="43"/>
    </row>
    <row r="494">
      <c r="A494" s="43"/>
      <c r="B494" s="38" t="str">
        <f>IFERROR(HYPERLINK(VLOOKUP(A494,Internal_lists_bugs!$A$2:$C$73,3,FALSE()), VLOOKUP(A494,Internal_lists_bugs!$A$2:$C$73,3,FALSE())&amp;Char(10) &amp; Char(10) &amp; VLOOKUP(A494,Internal_lists_bugs!$A$2:$Z$73,26,FALSE())),"please select a BUG ID")</f>
        <v>please select a BUG ID</v>
      </c>
      <c r="C494" s="51" t="str">
        <f>IFERROR(Hyperlink(VLOOKUP(A494,Internal_lists_bugs!$A$2:$G1014,7,FALSE()),"BIC: "&amp;VLOOKUP(A494,Internal_lists_bugs!$A$2:$G1014,7,FALSE())&amp;CHAR(10)&amp;"Intro.Issues: "&amp;VLOOKUP(A494,Internal_lists_bugs!$A$2:$P1014,16,FALSE())),"please select a BUG ID")</f>
        <v>please select a BUG ID</v>
      </c>
      <c r="D494" s="52"/>
      <c r="E494" s="43"/>
      <c r="F494" s="49"/>
      <c r="G494" s="50"/>
      <c r="H494" s="43"/>
    </row>
    <row r="495">
      <c r="A495" s="43"/>
      <c r="B495" s="38" t="str">
        <f>IFERROR(HYPERLINK(VLOOKUP(A495,Internal_lists_bugs!$A$2:$C$73,3,FALSE()), VLOOKUP(A495,Internal_lists_bugs!$A$2:$C$73,3,FALSE())&amp;Char(10) &amp; Char(10) &amp; VLOOKUP(A495,Internal_lists_bugs!$A$2:$Z$73,26,FALSE())),"please select a BUG ID")</f>
        <v>please select a BUG ID</v>
      </c>
      <c r="C495" s="51" t="str">
        <f>IFERROR(Hyperlink(VLOOKUP(A495,Internal_lists_bugs!$A$2:$G1014,7,FALSE()),"BIC: "&amp;VLOOKUP(A495,Internal_lists_bugs!$A$2:$G1014,7,FALSE())&amp;CHAR(10)&amp;"Intro.Issues: "&amp;VLOOKUP(A495,Internal_lists_bugs!$A$2:$P1014,16,FALSE())),"please select a BUG ID")</f>
        <v>please select a BUG ID</v>
      </c>
      <c r="D495" s="52"/>
      <c r="E495" s="43"/>
      <c r="F495" s="49"/>
      <c r="G495" s="50"/>
      <c r="H495" s="43"/>
    </row>
    <row r="496">
      <c r="A496" s="43"/>
      <c r="B496" s="38" t="str">
        <f>IFERROR(HYPERLINK(VLOOKUP(A496,Internal_lists_bugs!$A$2:$C$73,3,FALSE()), VLOOKUP(A496,Internal_lists_bugs!$A$2:$C$73,3,FALSE())&amp;Char(10) &amp; Char(10) &amp; VLOOKUP(A496,Internal_lists_bugs!$A$2:$Z$73,26,FALSE())),"please select a BUG ID")</f>
        <v>please select a BUG ID</v>
      </c>
      <c r="C496" s="51" t="str">
        <f>IFERROR(Hyperlink(VLOOKUP(A496,Internal_lists_bugs!$A$2:$G1014,7,FALSE()),"BIC: "&amp;VLOOKUP(A496,Internal_lists_bugs!$A$2:$G1014,7,FALSE())&amp;CHAR(10)&amp;"Intro.Issues: "&amp;VLOOKUP(A496,Internal_lists_bugs!$A$2:$P1014,16,FALSE())),"please select a BUG ID")</f>
        <v>please select a BUG ID</v>
      </c>
      <c r="D496" s="52"/>
      <c r="E496" s="43"/>
      <c r="F496" s="49"/>
      <c r="G496" s="50"/>
      <c r="H496" s="43"/>
    </row>
    <row r="497">
      <c r="A497" s="43"/>
      <c r="B497" s="38" t="str">
        <f>IFERROR(HYPERLINK(VLOOKUP(A497,Internal_lists_bugs!$A$2:$C$73,3,FALSE()), VLOOKUP(A497,Internal_lists_bugs!$A$2:$C$73,3,FALSE())&amp;Char(10) &amp; Char(10) &amp; VLOOKUP(A497,Internal_lists_bugs!$A$2:$Z$73,26,FALSE())),"please select a BUG ID")</f>
        <v>please select a BUG ID</v>
      </c>
      <c r="C497" s="51" t="str">
        <f>IFERROR(Hyperlink(VLOOKUP(A497,Internal_lists_bugs!$A$2:$G1014,7,FALSE()),"BIC: "&amp;VLOOKUP(A497,Internal_lists_bugs!$A$2:$G1014,7,FALSE())&amp;CHAR(10)&amp;"Intro.Issues: "&amp;VLOOKUP(A497,Internal_lists_bugs!$A$2:$P1014,16,FALSE())),"please select a BUG ID")</f>
        <v>please select a BUG ID</v>
      </c>
      <c r="D497" s="52"/>
      <c r="E497" s="43"/>
      <c r="F497" s="49"/>
      <c r="G497" s="50"/>
      <c r="H497" s="43"/>
    </row>
    <row r="498">
      <c r="A498" s="43"/>
      <c r="B498" s="38" t="str">
        <f>IFERROR(HYPERLINK(VLOOKUP(A498,Internal_lists_bugs!$A$2:$C$73,3,FALSE()), VLOOKUP(A498,Internal_lists_bugs!$A$2:$C$73,3,FALSE())&amp;Char(10) &amp; Char(10) &amp; VLOOKUP(A498,Internal_lists_bugs!$A$2:$Z$73,26,FALSE())),"please select a BUG ID")</f>
        <v>please select a BUG ID</v>
      </c>
      <c r="C498" s="51" t="str">
        <f>IFERROR(Hyperlink(VLOOKUP(A498,Internal_lists_bugs!$A$2:$G1014,7,FALSE()),"BIC: "&amp;VLOOKUP(A498,Internal_lists_bugs!$A$2:$G1014,7,FALSE())&amp;CHAR(10)&amp;"Intro.Issues: "&amp;VLOOKUP(A498,Internal_lists_bugs!$A$2:$P1014,16,FALSE())),"please select a BUG ID")</f>
        <v>please select a BUG ID</v>
      </c>
      <c r="D498" s="52"/>
      <c r="E498" s="43"/>
      <c r="F498" s="49"/>
      <c r="G498" s="50"/>
      <c r="H498" s="43"/>
    </row>
    <row r="499">
      <c r="A499" s="43"/>
      <c r="B499" s="38" t="str">
        <f>IFERROR(HYPERLINK(VLOOKUP(A499,Internal_lists_bugs!$A$2:$C$73,3,FALSE()), VLOOKUP(A499,Internal_lists_bugs!$A$2:$C$73,3,FALSE())&amp;Char(10) &amp; Char(10) &amp; VLOOKUP(A499,Internal_lists_bugs!$A$2:$Z$73,26,FALSE())),"please select a BUG ID")</f>
        <v>please select a BUG ID</v>
      </c>
      <c r="C499" s="51" t="str">
        <f>IFERROR(Hyperlink(VLOOKUP(A499,Internal_lists_bugs!$A$2:$G1014,7,FALSE()),"BIC: "&amp;VLOOKUP(A499,Internal_lists_bugs!$A$2:$G1014,7,FALSE())&amp;CHAR(10)&amp;"Intro.Issues: "&amp;VLOOKUP(A499,Internal_lists_bugs!$A$2:$P1014,16,FALSE())),"please select a BUG ID")</f>
        <v>please select a BUG ID</v>
      </c>
      <c r="D499" s="52"/>
      <c r="E499" s="43"/>
      <c r="F499" s="49"/>
      <c r="G499" s="50"/>
      <c r="H499" s="43"/>
    </row>
    <row r="500">
      <c r="A500" s="43"/>
      <c r="B500" s="38" t="str">
        <f>IFERROR(HYPERLINK(VLOOKUP(A500,Internal_lists_bugs!$A$2:$C$73,3,FALSE()), VLOOKUP(A500,Internal_lists_bugs!$A$2:$C$73,3,FALSE())&amp;Char(10) &amp; Char(10) &amp; VLOOKUP(A500,Internal_lists_bugs!$A$2:$Z$73,26,FALSE())),"please select a BUG ID")</f>
        <v>please select a BUG ID</v>
      </c>
      <c r="C500" s="51" t="str">
        <f>IFERROR(Hyperlink(VLOOKUP(A500,Internal_lists_bugs!$A$2:$G1014,7,FALSE()),"BIC: "&amp;VLOOKUP(A500,Internal_lists_bugs!$A$2:$G1014,7,FALSE())&amp;CHAR(10)&amp;"Intro.Issues: "&amp;VLOOKUP(A500,Internal_lists_bugs!$A$2:$P1014,16,FALSE())),"please select a BUG ID")</f>
        <v>please select a BUG ID</v>
      </c>
      <c r="D500" s="52"/>
      <c r="E500" s="43"/>
      <c r="F500" s="49"/>
      <c r="G500" s="50"/>
      <c r="H500" s="43"/>
    </row>
    <row r="501">
      <c r="A501" s="43"/>
      <c r="B501" s="38" t="str">
        <f>IFERROR(HYPERLINK(VLOOKUP(A501,Internal_lists_bugs!$A$2:$C$73,3,FALSE()), VLOOKUP(A501,Internal_lists_bugs!$A$2:$C$73,3,FALSE())&amp;Char(10) &amp; Char(10) &amp; VLOOKUP(A501,Internal_lists_bugs!$A$2:$Z$73,26,FALSE())),"please select a BUG ID")</f>
        <v>please select a BUG ID</v>
      </c>
      <c r="C501" s="51" t="str">
        <f>IFERROR(Hyperlink(VLOOKUP(A501,Internal_lists_bugs!$A$2:$G1014,7,FALSE()),"BIC: "&amp;VLOOKUP(A501,Internal_lists_bugs!$A$2:$G1014,7,FALSE())&amp;CHAR(10)&amp;"Intro.Issues: "&amp;VLOOKUP(A501,Internal_lists_bugs!$A$2:$P1014,16,FALSE())),"please select a BUG ID")</f>
        <v>please select a BUG ID</v>
      </c>
      <c r="D501" s="52"/>
      <c r="E501" s="43"/>
      <c r="F501" s="49"/>
      <c r="G501" s="50"/>
      <c r="H501" s="43"/>
    </row>
    <row r="502">
      <c r="A502" s="43"/>
      <c r="B502" s="38" t="str">
        <f>IFERROR(HYPERLINK(VLOOKUP(A502,Internal_lists_bugs!$A$2:$C$73,3,FALSE()), VLOOKUP(A502,Internal_lists_bugs!$A$2:$C$73,3,FALSE())&amp;Char(10) &amp; Char(10) &amp; VLOOKUP(A502,Internal_lists_bugs!$A$2:$Z$73,26,FALSE())),"please select a BUG ID")</f>
        <v>please select a BUG ID</v>
      </c>
      <c r="C502" s="51" t="str">
        <f>IFERROR(Hyperlink(VLOOKUP(A502,Internal_lists_bugs!$A$2:$G1014,7,FALSE()),"BIC: "&amp;VLOOKUP(A502,Internal_lists_bugs!$A$2:$G1014,7,FALSE())&amp;CHAR(10)&amp;"Intro.Issues: "&amp;VLOOKUP(A502,Internal_lists_bugs!$A$2:$P1014,16,FALSE())),"please select a BUG ID")</f>
        <v>please select a BUG ID</v>
      </c>
      <c r="D502" s="52"/>
      <c r="E502" s="43"/>
      <c r="F502" s="49"/>
      <c r="G502" s="50"/>
      <c r="H502" s="43"/>
    </row>
    <row r="503">
      <c r="A503" s="43"/>
      <c r="B503" s="38" t="str">
        <f>IFERROR(HYPERLINK(VLOOKUP(A503,Internal_lists_bugs!$A$2:$C$73,3,FALSE()), VLOOKUP(A503,Internal_lists_bugs!$A$2:$C$73,3,FALSE())&amp;Char(10) &amp; Char(10) &amp; VLOOKUP(A503,Internal_lists_bugs!$A$2:$Z$73,26,FALSE())),"please select a BUG ID")</f>
        <v>please select a BUG ID</v>
      </c>
      <c r="C503" s="51" t="str">
        <f>IFERROR(Hyperlink(VLOOKUP(A503,Internal_lists_bugs!$A$2:$G1014,7,FALSE()),"BIC: "&amp;VLOOKUP(A503,Internal_lists_bugs!$A$2:$G1014,7,FALSE())&amp;CHAR(10)&amp;"Intro.Issues: "&amp;VLOOKUP(A503,Internal_lists_bugs!$A$2:$P1014,16,FALSE())),"please select a BUG ID")</f>
        <v>please select a BUG ID</v>
      </c>
      <c r="D503" s="52"/>
      <c r="E503" s="43"/>
      <c r="F503" s="49"/>
      <c r="G503" s="50"/>
      <c r="H503" s="43"/>
    </row>
    <row r="504">
      <c r="A504" s="43"/>
      <c r="B504" s="38" t="str">
        <f>IFERROR(HYPERLINK(VLOOKUP(A504,Internal_lists_bugs!$A$2:$C$73,3,FALSE()), VLOOKUP(A504,Internal_lists_bugs!$A$2:$C$73,3,FALSE())&amp;Char(10) &amp; Char(10) &amp; VLOOKUP(A504,Internal_lists_bugs!$A$2:$Z$73,26,FALSE())),"please select a BUG ID")</f>
        <v>please select a BUG ID</v>
      </c>
      <c r="C504" s="51" t="str">
        <f>IFERROR(Hyperlink(VLOOKUP(A504,Internal_lists_bugs!$A$2:$G1014,7,FALSE()),"BIC: "&amp;VLOOKUP(A504,Internal_lists_bugs!$A$2:$G1014,7,FALSE())&amp;CHAR(10)&amp;"Intro.Issues: "&amp;VLOOKUP(A504,Internal_lists_bugs!$A$2:$P1014,16,FALSE())),"please select a BUG ID")</f>
        <v>please select a BUG ID</v>
      </c>
      <c r="D504" s="52"/>
      <c r="E504" s="43"/>
      <c r="F504" s="49"/>
      <c r="G504" s="50"/>
      <c r="H504" s="43"/>
    </row>
    <row r="505">
      <c r="A505" s="43"/>
      <c r="B505" s="38" t="str">
        <f>IFERROR(HYPERLINK(VLOOKUP(A505,Internal_lists_bugs!$A$2:$C$73,3,FALSE()), VLOOKUP(A505,Internal_lists_bugs!$A$2:$C$73,3,FALSE())&amp;Char(10) &amp; Char(10) &amp; VLOOKUP(A505,Internal_lists_bugs!$A$2:$Z$73,26,FALSE())),"please select a BUG ID")</f>
        <v>please select a BUG ID</v>
      </c>
      <c r="C505" s="51" t="str">
        <f>IFERROR(Hyperlink(VLOOKUP(A505,Internal_lists_bugs!$A$2:$G1014,7,FALSE()),"BIC: "&amp;VLOOKUP(A505,Internal_lists_bugs!$A$2:$G1014,7,FALSE())&amp;CHAR(10)&amp;"Intro.Issues: "&amp;VLOOKUP(A505,Internal_lists_bugs!$A$2:$P1014,16,FALSE())),"please select a BUG ID")</f>
        <v>please select a BUG ID</v>
      </c>
      <c r="D505" s="52"/>
      <c r="E505" s="43"/>
      <c r="F505" s="49"/>
      <c r="G505" s="50"/>
      <c r="H505" s="43"/>
    </row>
    <row r="506">
      <c r="A506" s="43"/>
      <c r="B506" s="38" t="str">
        <f>IFERROR(HYPERLINK(VLOOKUP(A506,Internal_lists_bugs!$A$2:$C$73,3,FALSE()), VLOOKUP(A506,Internal_lists_bugs!$A$2:$C$73,3,FALSE())&amp;Char(10) &amp; Char(10) &amp; VLOOKUP(A506,Internal_lists_bugs!$A$2:$Z$73,26,FALSE())),"please select a BUG ID")</f>
        <v>please select a BUG ID</v>
      </c>
      <c r="C506" s="51" t="str">
        <f>IFERROR(Hyperlink(VLOOKUP(A506,Internal_lists_bugs!$A$2:$G1014,7,FALSE()),"BIC: "&amp;VLOOKUP(A506,Internal_lists_bugs!$A$2:$G1014,7,FALSE())&amp;CHAR(10)&amp;"Intro.Issues: "&amp;VLOOKUP(A506,Internal_lists_bugs!$A$2:$P1014,16,FALSE())),"please select a BUG ID")</f>
        <v>please select a BUG ID</v>
      </c>
      <c r="D506" s="52"/>
      <c r="E506" s="43"/>
      <c r="F506" s="49"/>
      <c r="G506" s="50"/>
      <c r="H506" s="43"/>
    </row>
    <row r="507">
      <c r="A507" s="43"/>
      <c r="B507" s="38" t="str">
        <f>IFERROR(HYPERLINK(VLOOKUP(A507,Internal_lists_bugs!$A$2:$C$73,3,FALSE()), VLOOKUP(A507,Internal_lists_bugs!$A$2:$C$73,3,FALSE())&amp;Char(10) &amp; Char(10) &amp; VLOOKUP(A507,Internal_lists_bugs!$A$2:$Z$73,26,FALSE())),"please select a BUG ID")</f>
        <v>please select a BUG ID</v>
      </c>
      <c r="C507" s="51" t="str">
        <f>IFERROR(Hyperlink(VLOOKUP(A507,Internal_lists_bugs!$A$2:$G1014,7,FALSE()),"BIC: "&amp;VLOOKUP(A507,Internal_lists_bugs!$A$2:$G1014,7,FALSE())&amp;CHAR(10)&amp;"Intro.Issues: "&amp;VLOOKUP(A507,Internal_lists_bugs!$A$2:$P1014,16,FALSE())),"please select a BUG ID")</f>
        <v>please select a BUG ID</v>
      </c>
      <c r="D507" s="52"/>
      <c r="E507" s="43"/>
      <c r="F507" s="49"/>
      <c r="G507" s="50"/>
      <c r="H507" s="43"/>
    </row>
    <row r="508">
      <c r="A508" s="43"/>
      <c r="B508" s="38" t="str">
        <f>IFERROR(HYPERLINK(VLOOKUP(A508,Internal_lists_bugs!$A$2:$C$73,3,FALSE()), VLOOKUP(A508,Internal_lists_bugs!$A$2:$C$73,3,FALSE())&amp;Char(10) &amp; Char(10) &amp; VLOOKUP(A508,Internal_lists_bugs!$A$2:$Z$73,26,FALSE())),"please select a BUG ID")</f>
        <v>please select a BUG ID</v>
      </c>
      <c r="C508" s="51" t="str">
        <f>IFERROR(Hyperlink(VLOOKUP(A508,Internal_lists_bugs!$A$2:$G1014,7,FALSE()),"BIC: "&amp;VLOOKUP(A508,Internal_lists_bugs!$A$2:$G1014,7,FALSE())&amp;CHAR(10)&amp;"Intro.Issues: "&amp;VLOOKUP(A508,Internal_lists_bugs!$A$2:$P1014,16,FALSE())),"please select a BUG ID")</f>
        <v>please select a BUG ID</v>
      </c>
      <c r="D508" s="52"/>
      <c r="E508" s="43"/>
      <c r="F508" s="49"/>
      <c r="G508" s="50"/>
      <c r="H508" s="43"/>
    </row>
    <row r="509">
      <c r="A509" s="43"/>
      <c r="B509" s="38" t="str">
        <f>IFERROR(HYPERLINK(VLOOKUP(A509,Internal_lists_bugs!$A$2:$C$73,3,FALSE()), VLOOKUP(A509,Internal_lists_bugs!$A$2:$C$73,3,FALSE())&amp;Char(10) &amp; Char(10) &amp; VLOOKUP(A509,Internal_lists_bugs!$A$2:$Z$73,26,FALSE())),"please select a BUG ID")</f>
        <v>please select a BUG ID</v>
      </c>
      <c r="C509" s="51" t="str">
        <f>IFERROR(Hyperlink(VLOOKUP(A509,Internal_lists_bugs!$A$2:$G1014,7,FALSE()),"BIC: "&amp;VLOOKUP(A509,Internal_lists_bugs!$A$2:$G1014,7,FALSE())&amp;CHAR(10)&amp;"Intro.Issues: "&amp;VLOOKUP(A509,Internal_lists_bugs!$A$2:$P1014,16,FALSE())),"please select a BUG ID")</f>
        <v>please select a BUG ID</v>
      </c>
      <c r="D509" s="52"/>
      <c r="E509" s="43"/>
      <c r="F509" s="49"/>
      <c r="G509" s="50"/>
      <c r="H509" s="43"/>
    </row>
    <row r="510">
      <c r="A510" s="43"/>
      <c r="B510" s="38" t="str">
        <f>IFERROR(HYPERLINK(VLOOKUP(A510,Internal_lists_bugs!$A$2:$C$73,3,FALSE()), VLOOKUP(A510,Internal_lists_bugs!$A$2:$C$73,3,FALSE())&amp;Char(10) &amp; Char(10) &amp; VLOOKUP(A510,Internal_lists_bugs!$A$2:$Z$73,26,FALSE())),"please select a BUG ID")</f>
        <v>please select a BUG ID</v>
      </c>
      <c r="C510" s="51" t="str">
        <f>IFERROR(Hyperlink(VLOOKUP(A510,Internal_lists_bugs!$A$2:$G1014,7,FALSE()),"BIC: "&amp;VLOOKUP(A510,Internal_lists_bugs!$A$2:$G1014,7,FALSE())&amp;CHAR(10)&amp;"Intro.Issues: "&amp;VLOOKUP(A510,Internal_lists_bugs!$A$2:$P1014,16,FALSE())),"please select a BUG ID")</f>
        <v>please select a BUG ID</v>
      </c>
      <c r="D510" s="52"/>
      <c r="E510" s="43"/>
      <c r="F510" s="49"/>
      <c r="G510" s="50"/>
      <c r="H510" s="43"/>
    </row>
    <row r="511">
      <c r="A511" s="43"/>
      <c r="B511" s="38" t="str">
        <f>IFERROR(HYPERLINK(VLOOKUP(A511,Internal_lists_bugs!$A$2:$C$73,3,FALSE()), VLOOKUP(A511,Internal_lists_bugs!$A$2:$C$73,3,FALSE())&amp;Char(10) &amp; Char(10) &amp; VLOOKUP(A511,Internal_lists_bugs!$A$2:$Z$73,26,FALSE())),"please select a BUG ID")</f>
        <v>please select a BUG ID</v>
      </c>
      <c r="C511" s="51" t="str">
        <f>IFERROR(Hyperlink(VLOOKUP(A511,Internal_lists_bugs!$A$2:$G1014,7,FALSE()),"BIC: "&amp;VLOOKUP(A511,Internal_lists_bugs!$A$2:$G1014,7,FALSE())&amp;CHAR(10)&amp;"Intro.Issues: "&amp;VLOOKUP(A511,Internal_lists_bugs!$A$2:$P1014,16,FALSE())),"please select a BUG ID")</f>
        <v>please select a BUG ID</v>
      </c>
      <c r="D511" s="52"/>
      <c r="E511" s="43"/>
      <c r="F511" s="49"/>
      <c r="G511" s="50"/>
      <c r="H511" s="43"/>
    </row>
    <row r="512">
      <c r="A512" s="43"/>
      <c r="B512" s="38" t="str">
        <f>IFERROR(HYPERLINK(VLOOKUP(A512,Internal_lists_bugs!$A$2:$C$73,3,FALSE()), VLOOKUP(A512,Internal_lists_bugs!$A$2:$C$73,3,FALSE())&amp;Char(10) &amp; Char(10) &amp; VLOOKUP(A512,Internal_lists_bugs!$A$2:$Z$73,26,FALSE())),"please select a BUG ID")</f>
        <v>please select a BUG ID</v>
      </c>
      <c r="C512" s="51" t="str">
        <f>IFERROR(Hyperlink(VLOOKUP(A512,Internal_lists_bugs!$A$2:$G1014,7,FALSE()),"BIC: "&amp;VLOOKUP(A512,Internal_lists_bugs!$A$2:$G1014,7,FALSE())&amp;CHAR(10)&amp;"Intro.Issues: "&amp;VLOOKUP(A512,Internal_lists_bugs!$A$2:$P1014,16,FALSE())),"please select a BUG ID")</f>
        <v>please select a BUG ID</v>
      </c>
      <c r="D512" s="52"/>
      <c r="E512" s="43"/>
      <c r="F512" s="49"/>
      <c r="G512" s="50"/>
      <c r="H512" s="43"/>
    </row>
    <row r="513">
      <c r="A513" s="43"/>
      <c r="B513" s="38" t="str">
        <f>IFERROR(HYPERLINK(VLOOKUP(A513,Internal_lists_bugs!$A$2:$C$73,3,FALSE()), VLOOKUP(A513,Internal_lists_bugs!$A$2:$C$73,3,FALSE())&amp;Char(10) &amp; Char(10) &amp; VLOOKUP(A513,Internal_lists_bugs!$A$2:$Z$73,26,FALSE())),"please select a BUG ID")</f>
        <v>please select a BUG ID</v>
      </c>
      <c r="C513" s="51" t="str">
        <f>IFERROR(Hyperlink(VLOOKUP(A513,Internal_lists_bugs!$A$2:$G1014,7,FALSE()),"BIC: "&amp;VLOOKUP(A513,Internal_lists_bugs!$A$2:$G1014,7,FALSE())&amp;CHAR(10)&amp;"Intro.Issues: "&amp;VLOOKUP(A513,Internal_lists_bugs!$A$2:$P1014,16,FALSE())),"please select a BUG ID")</f>
        <v>please select a BUG ID</v>
      </c>
      <c r="D513" s="52"/>
      <c r="E513" s="43"/>
      <c r="F513" s="49"/>
      <c r="G513" s="50"/>
      <c r="H513" s="43"/>
    </row>
    <row r="514">
      <c r="A514" s="43"/>
      <c r="B514" s="38" t="str">
        <f>IFERROR(HYPERLINK(VLOOKUP(A514,Internal_lists_bugs!$A$2:$C$73,3,FALSE()), VLOOKUP(A514,Internal_lists_bugs!$A$2:$C$73,3,FALSE())&amp;Char(10) &amp; Char(10) &amp; VLOOKUP(A514,Internal_lists_bugs!$A$2:$Z$73,26,FALSE())),"please select a BUG ID")</f>
        <v>please select a BUG ID</v>
      </c>
      <c r="C514" s="51" t="str">
        <f>IFERROR(Hyperlink(VLOOKUP(A514,Internal_lists_bugs!$A$2:$G1014,7,FALSE()),"BIC: "&amp;VLOOKUP(A514,Internal_lists_bugs!$A$2:$G1014,7,FALSE())&amp;CHAR(10)&amp;"Intro.Issues: "&amp;VLOOKUP(A514,Internal_lists_bugs!$A$2:$P1014,16,FALSE())),"please select a BUG ID")</f>
        <v>please select a BUG ID</v>
      </c>
      <c r="D514" s="52"/>
      <c r="E514" s="43"/>
      <c r="F514" s="49"/>
      <c r="G514" s="50"/>
      <c r="H514" s="43"/>
    </row>
    <row r="515">
      <c r="A515" s="43"/>
      <c r="B515" s="38" t="str">
        <f>IFERROR(HYPERLINK(VLOOKUP(A515,Internal_lists_bugs!$A$2:$C$73,3,FALSE()), VLOOKUP(A515,Internal_lists_bugs!$A$2:$C$73,3,FALSE())&amp;Char(10) &amp; Char(10) &amp; VLOOKUP(A515,Internal_lists_bugs!$A$2:$Z$73,26,FALSE())),"please select a BUG ID")</f>
        <v>please select a BUG ID</v>
      </c>
      <c r="C515" s="51" t="str">
        <f>IFERROR(Hyperlink(VLOOKUP(A515,Internal_lists_bugs!$A$2:$G1014,7,FALSE()),"BIC: "&amp;VLOOKUP(A515,Internal_lists_bugs!$A$2:$G1014,7,FALSE())&amp;CHAR(10)&amp;"Intro.Issues: "&amp;VLOOKUP(A515,Internal_lists_bugs!$A$2:$P1014,16,FALSE())),"please select a BUG ID")</f>
        <v>please select a BUG ID</v>
      </c>
      <c r="D515" s="52"/>
      <c r="E515" s="43"/>
      <c r="F515" s="49"/>
      <c r="G515" s="50"/>
      <c r="H515" s="43"/>
    </row>
    <row r="516">
      <c r="A516" s="43"/>
      <c r="B516" s="38" t="str">
        <f>IFERROR(HYPERLINK(VLOOKUP(A516,Internal_lists_bugs!$A$2:$C$73,3,FALSE()), VLOOKUP(A516,Internal_lists_bugs!$A$2:$C$73,3,FALSE())&amp;Char(10) &amp; Char(10) &amp; VLOOKUP(A516,Internal_lists_bugs!$A$2:$Z$73,26,FALSE())),"please select a BUG ID")</f>
        <v>please select a BUG ID</v>
      </c>
      <c r="C516" s="51" t="str">
        <f>IFERROR(Hyperlink(VLOOKUP(A516,Internal_lists_bugs!$A$2:$G1014,7,FALSE()),"BIC: "&amp;VLOOKUP(A516,Internal_lists_bugs!$A$2:$G1014,7,FALSE())&amp;CHAR(10)&amp;"Intro.Issues: "&amp;VLOOKUP(A516,Internal_lists_bugs!$A$2:$P1014,16,FALSE())),"please select a BUG ID")</f>
        <v>please select a BUG ID</v>
      </c>
      <c r="D516" s="52"/>
      <c r="E516" s="43"/>
      <c r="F516" s="49"/>
      <c r="G516" s="50"/>
      <c r="H516" s="43"/>
    </row>
    <row r="517">
      <c r="A517" s="43"/>
      <c r="B517" s="38" t="str">
        <f>IFERROR(HYPERLINK(VLOOKUP(A517,Internal_lists_bugs!$A$2:$C$73,3,FALSE()), VLOOKUP(A517,Internal_lists_bugs!$A$2:$C$73,3,FALSE())&amp;Char(10) &amp; Char(10) &amp; VLOOKUP(A517,Internal_lists_bugs!$A$2:$Z$73,26,FALSE())),"please select a BUG ID")</f>
        <v>please select a BUG ID</v>
      </c>
      <c r="C517" s="51" t="str">
        <f>IFERROR(Hyperlink(VLOOKUP(A517,Internal_lists_bugs!$A$2:$G1014,7,FALSE()),"BIC: "&amp;VLOOKUP(A517,Internal_lists_bugs!$A$2:$G1014,7,FALSE())&amp;CHAR(10)&amp;"Intro.Issues: "&amp;VLOOKUP(A517,Internal_lists_bugs!$A$2:$P1014,16,FALSE())),"please select a BUG ID")</f>
        <v>please select a BUG ID</v>
      </c>
      <c r="D517" s="52"/>
      <c r="E517" s="43"/>
      <c r="F517" s="49"/>
      <c r="G517" s="50"/>
      <c r="H517" s="43"/>
    </row>
    <row r="518">
      <c r="A518" s="43"/>
      <c r="B518" s="38" t="str">
        <f>IFERROR(HYPERLINK(VLOOKUP(A518,Internal_lists_bugs!$A$2:$C$73,3,FALSE()), VLOOKUP(A518,Internal_lists_bugs!$A$2:$C$73,3,FALSE())&amp;Char(10) &amp; Char(10) &amp; VLOOKUP(A518,Internal_lists_bugs!$A$2:$Z$73,26,FALSE())),"please select a BUG ID")</f>
        <v>please select a BUG ID</v>
      </c>
      <c r="C518" s="51" t="str">
        <f>IFERROR(Hyperlink(VLOOKUP(A518,Internal_lists_bugs!$A$2:$G1014,7,FALSE()),"BIC: "&amp;VLOOKUP(A518,Internal_lists_bugs!$A$2:$G1014,7,FALSE())&amp;CHAR(10)&amp;"Intro.Issues: "&amp;VLOOKUP(A518,Internal_lists_bugs!$A$2:$P1014,16,FALSE())),"please select a BUG ID")</f>
        <v>please select a BUG ID</v>
      </c>
      <c r="D518" s="52"/>
      <c r="E518" s="43"/>
      <c r="F518" s="49"/>
      <c r="G518" s="50"/>
      <c r="H518" s="43"/>
    </row>
    <row r="519">
      <c r="A519" s="43"/>
      <c r="B519" s="38" t="str">
        <f>IFERROR(HYPERLINK(VLOOKUP(A519,Internal_lists_bugs!$A$2:$C$73,3,FALSE()), VLOOKUP(A519,Internal_lists_bugs!$A$2:$C$73,3,FALSE())&amp;Char(10) &amp; Char(10) &amp; VLOOKUP(A519,Internal_lists_bugs!$A$2:$Z$73,26,FALSE())),"please select a BUG ID")</f>
        <v>please select a BUG ID</v>
      </c>
      <c r="C519" s="51" t="str">
        <f>IFERROR(Hyperlink(VLOOKUP(A519,Internal_lists_bugs!$A$2:$G1014,7,FALSE()),"BIC: "&amp;VLOOKUP(A519,Internal_lists_bugs!$A$2:$G1014,7,FALSE())&amp;CHAR(10)&amp;"Intro.Issues: "&amp;VLOOKUP(A519,Internal_lists_bugs!$A$2:$P1014,16,FALSE())),"please select a BUG ID")</f>
        <v>please select a BUG ID</v>
      </c>
      <c r="D519" s="52"/>
      <c r="E519" s="43"/>
      <c r="F519" s="49"/>
      <c r="G519" s="50"/>
      <c r="H519" s="43"/>
    </row>
    <row r="520">
      <c r="A520" s="43"/>
      <c r="B520" s="38" t="str">
        <f>IFERROR(HYPERLINK(VLOOKUP(A520,Internal_lists_bugs!$A$2:$C$73,3,FALSE()), VLOOKUP(A520,Internal_lists_bugs!$A$2:$C$73,3,FALSE())&amp;Char(10) &amp; Char(10) &amp; VLOOKUP(A520,Internal_lists_bugs!$A$2:$Z$73,26,FALSE())),"please select a BUG ID")</f>
        <v>please select a BUG ID</v>
      </c>
      <c r="C520" s="51" t="str">
        <f>IFERROR(Hyperlink(VLOOKUP(A520,Internal_lists_bugs!$A$2:$G1014,7,FALSE()),"BIC: "&amp;VLOOKUP(A520,Internal_lists_bugs!$A$2:$G1014,7,FALSE())&amp;CHAR(10)&amp;"Intro.Issues: "&amp;VLOOKUP(A520,Internal_lists_bugs!$A$2:$P1014,16,FALSE())),"please select a BUG ID")</f>
        <v>please select a BUG ID</v>
      </c>
      <c r="D520" s="52"/>
      <c r="E520" s="43"/>
      <c r="F520" s="49"/>
      <c r="G520" s="50"/>
      <c r="H520" s="43"/>
    </row>
    <row r="521">
      <c r="A521" s="43"/>
      <c r="B521" s="38" t="str">
        <f>IFERROR(HYPERLINK(VLOOKUP(A521,Internal_lists_bugs!$A$2:$C$73,3,FALSE()), VLOOKUP(A521,Internal_lists_bugs!$A$2:$C$73,3,FALSE())&amp;Char(10) &amp; Char(10) &amp; VLOOKUP(A521,Internal_lists_bugs!$A$2:$Z$73,26,FALSE())),"please select a BUG ID")</f>
        <v>please select a BUG ID</v>
      </c>
      <c r="C521" s="51" t="str">
        <f>IFERROR(Hyperlink(VLOOKUP(A521,Internal_lists_bugs!$A$2:$G1014,7,FALSE()),"BIC: "&amp;VLOOKUP(A521,Internal_lists_bugs!$A$2:$G1014,7,FALSE())&amp;CHAR(10)&amp;"Intro.Issues: "&amp;VLOOKUP(A521,Internal_lists_bugs!$A$2:$P1014,16,FALSE())),"please select a BUG ID")</f>
        <v>please select a BUG ID</v>
      </c>
      <c r="D521" s="52"/>
      <c r="E521" s="43"/>
      <c r="F521" s="49"/>
      <c r="G521" s="50"/>
      <c r="H521" s="43"/>
    </row>
    <row r="522">
      <c r="A522" s="43"/>
      <c r="B522" s="38" t="str">
        <f>IFERROR(HYPERLINK(VLOOKUP(A522,Internal_lists_bugs!$A$2:$C$73,3,FALSE()), VLOOKUP(A522,Internal_lists_bugs!$A$2:$C$73,3,FALSE())&amp;Char(10) &amp; Char(10) &amp; VLOOKUP(A522,Internal_lists_bugs!$A$2:$Z$73,26,FALSE())),"please select a BUG ID")</f>
        <v>please select a BUG ID</v>
      </c>
      <c r="C522" s="51" t="str">
        <f>IFERROR(Hyperlink(VLOOKUP(A522,Internal_lists_bugs!$A$2:$G1014,7,FALSE()),"BIC: "&amp;VLOOKUP(A522,Internal_lists_bugs!$A$2:$G1014,7,FALSE())&amp;CHAR(10)&amp;"Intro.Issues: "&amp;VLOOKUP(A522,Internal_lists_bugs!$A$2:$P1014,16,FALSE())),"please select a BUG ID")</f>
        <v>please select a BUG ID</v>
      </c>
      <c r="D522" s="52"/>
      <c r="E522" s="43"/>
      <c r="F522" s="49"/>
      <c r="G522" s="50"/>
      <c r="H522" s="43"/>
    </row>
    <row r="523">
      <c r="A523" s="43"/>
      <c r="B523" s="38" t="str">
        <f>IFERROR(HYPERLINK(VLOOKUP(A523,Internal_lists_bugs!$A$2:$C$73,3,FALSE()), VLOOKUP(A523,Internal_lists_bugs!$A$2:$C$73,3,FALSE())&amp;Char(10) &amp; Char(10) &amp; VLOOKUP(A523,Internal_lists_bugs!$A$2:$Z$73,26,FALSE())),"please select a BUG ID")</f>
        <v>please select a BUG ID</v>
      </c>
      <c r="C523" s="51" t="str">
        <f>IFERROR(Hyperlink(VLOOKUP(A523,Internal_lists_bugs!$A$2:$G1014,7,FALSE()),"BIC: "&amp;VLOOKUP(A523,Internal_lists_bugs!$A$2:$G1014,7,FALSE())&amp;CHAR(10)&amp;"Intro.Issues: "&amp;VLOOKUP(A523,Internal_lists_bugs!$A$2:$P1014,16,FALSE())),"please select a BUG ID")</f>
        <v>please select a BUG ID</v>
      </c>
      <c r="D523" s="52"/>
      <c r="E523" s="43"/>
      <c r="F523" s="49"/>
      <c r="G523" s="50"/>
      <c r="H523" s="43"/>
    </row>
    <row r="524">
      <c r="A524" s="43"/>
      <c r="B524" s="38" t="str">
        <f>IFERROR(HYPERLINK(VLOOKUP(A524,Internal_lists_bugs!$A$2:$C$73,3,FALSE()), VLOOKUP(A524,Internal_lists_bugs!$A$2:$C$73,3,FALSE())&amp;Char(10) &amp; Char(10) &amp; VLOOKUP(A524,Internal_lists_bugs!$A$2:$Z$73,26,FALSE())),"please select a BUG ID")</f>
        <v>please select a BUG ID</v>
      </c>
      <c r="C524" s="51" t="str">
        <f>IFERROR(Hyperlink(VLOOKUP(A524,Internal_lists_bugs!$A$2:$G1014,7,FALSE()),"BIC: "&amp;VLOOKUP(A524,Internal_lists_bugs!$A$2:$G1014,7,FALSE())&amp;CHAR(10)&amp;"Intro.Issues: "&amp;VLOOKUP(A524,Internal_lists_bugs!$A$2:$P1014,16,FALSE())),"please select a BUG ID")</f>
        <v>please select a BUG ID</v>
      </c>
      <c r="D524" s="52"/>
      <c r="E524" s="43"/>
      <c r="F524" s="49"/>
      <c r="G524" s="50"/>
      <c r="H524" s="43"/>
    </row>
    <row r="525">
      <c r="A525" s="43"/>
      <c r="B525" s="38" t="str">
        <f>IFERROR(HYPERLINK(VLOOKUP(A525,Internal_lists_bugs!$A$2:$C$73,3,FALSE()), VLOOKUP(A525,Internal_lists_bugs!$A$2:$C$73,3,FALSE())&amp;Char(10) &amp; Char(10) &amp; VLOOKUP(A525,Internal_lists_bugs!$A$2:$Z$73,26,FALSE())),"please select a BUG ID")</f>
        <v>please select a BUG ID</v>
      </c>
      <c r="C525" s="51" t="str">
        <f>IFERROR(Hyperlink(VLOOKUP(A525,Internal_lists_bugs!$A$2:$G1014,7,FALSE()),"BIC: "&amp;VLOOKUP(A525,Internal_lists_bugs!$A$2:$G1014,7,FALSE())&amp;CHAR(10)&amp;"Intro.Issues: "&amp;VLOOKUP(A525,Internal_lists_bugs!$A$2:$P1014,16,FALSE())),"please select a BUG ID")</f>
        <v>please select a BUG ID</v>
      </c>
      <c r="D525" s="52"/>
      <c r="E525" s="43"/>
      <c r="F525" s="49"/>
      <c r="G525" s="50"/>
      <c r="H525" s="43"/>
    </row>
    <row r="526">
      <c r="A526" s="43"/>
      <c r="B526" s="38" t="str">
        <f>IFERROR(HYPERLINK(VLOOKUP(A526,Internal_lists_bugs!$A$2:$C$73,3,FALSE()), VLOOKUP(A526,Internal_lists_bugs!$A$2:$C$73,3,FALSE())&amp;Char(10) &amp; Char(10) &amp; VLOOKUP(A526,Internal_lists_bugs!$A$2:$Z$73,26,FALSE())),"please select a BUG ID")</f>
        <v>please select a BUG ID</v>
      </c>
      <c r="C526" s="51" t="str">
        <f>IFERROR(Hyperlink(VLOOKUP(A526,Internal_lists_bugs!$A$2:$G1014,7,FALSE()),"BIC: "&amp;VLOOKUP(A526,Internal_lists_bugs!$A$2:$G1014,7,FALSE())&amp;CHAR(10)&amp;"Intro.Issues: "&amp;VLOOKUP(A526,Internal_lists_bugs!$A$2:$P1014,16,FALSE())),"please select a BUG ID")</f>
        <v>please select a BUG ID</v>
      </c>
      <c r="D526" s="52"/>
      <c r="E526" s="43"/>
      <c r="F526" s="49"/>
      <c r="G526" s="50"/>
      <c r="H526" s="43"/>
    </row>
    <row r="527">
      <c r="A527" s="43"/>
      <c r="B527" s="38" t="str">
        <f>IFERROR(HYPERLINK(VLOOKUP(A527,Internal_lists_bugs!$A$2:$C$73,3,FALSE()), VLOOKUP(A527,Internal_lists_bugs!$A$2:$C$73,3,FALSE())&amp;Char(10) &amp; Char(10) &amp; VLOOKUP(A527,Internal_lists_bugs!$A$2:$Z$73,26,FALSE())),"please select a BUG ID")</f>
        <v>please select a BUG ID</v>
      </c>
      <c r="C527" s="51" t="str">
        <f>IFERROR(Hyperlink(VLOOKUP(A527,Internal_lists_bugs!$A$2:$G1014,7,FALSE()),"BIC: "&amp;VLOOKUP(A527,Internal_lists_bugs!$A$2:$G1014,7,FALSE())&amp;CHAR(10)&amp;"Intro.Issues: "&amp;VLOOKUP(A527,Internal_lists_bugs!$A$2:$P1014,16,FALSE())),"please select a BUG ID")</f>
        <v>please select a BUG ID</v>
      </c>
      <c r="D527" s="52"/>
      <c r="E527" s="43"/>
      <c r="F527" s="49"/>
      <c r="G527" s="50"/>
      <c r="H527" s="43"/>
    </row>
    <row r="528">
      <c r="A528" s="43"/>
      <c r="B528" s="38" t="str">
        <f>IFERROR(HYPERLINK(VLOOKUP(A528,Internal_lists_bugs!$A$2:$C$73,3,FALSE()), VLOOKUP(A528,Internal_lists_bugs!$A$2:$C$73,3,FALSE())&amp;Char(10) &amp; Char(10) &amp; VLOOKUP(A528,Internal_lists_bugs!$A$2:$Z$73,26,FALSE())),"please select a BUG ID")</f>
        <v>please select a BUG ID</v>
      </c>
      <c r="C528" s="51" t="str">
        <f>IFERROR(Hyperlink(VLOOKUP(A528,Internal_lists_bugs!$A$2:$G1014,7,FALSE()),"BIC: "&amp;VLOOKUP(A528,Internal_lists_bugs!$A$2:$G1014,7,FALSE())&amp;CHAR(10)&amp;"Intro.Issues: "&amp;VLOOKUP(A528,Internal_lists_bugs!$A$2:$P1014,16,FALSE())),"please select a BUG ID")</f>
        <v>please select a BUG ID</v>
      </c>
      <c r="D528" s="52"/>
      <c r="E528" s="43"/>
      <c r="F528" s="49"/>
      <c r="G528" s="50"/>
      <c r="H528" s="43"/>
    </row>
    <row r="529">
      <c r="A529" s="43"/>
      <c r="B529" s="38" t="str">
        <f>IFERROR(HYPERLINK(VLOOKUP(A529,Internal_lists_bugs!$A$2:$C$73,3,FALSE()), VLOOKUP(A529,Internal_lists_bugs!$A$2:$C$73,3,FALSE())&amp;Char(10) &amp; Char(10) &amp; VLOOKUP(A529,Internal_lists_bugs!$A$2:$Z$73,26,FALSE())),"please select a BUG ID")</f>
        <v>please select a BUG ID</v>
      </c>
      <c r="C529" s="51" t="str">
        <f>IFERROR(Hyperlink(VLOOKUP(A529,Internal_lists_bugs!$A$2:$G1014,7,FALSE()),"BIC: "&amp;VLOOKUP(A529,Internal_lists_bugs!$A$2:$G1014,7,FALSE())&amp;CHAR(10)&amp;"Intro.Issues: "&amp;VLOOKUP(A529,Internal_lists_bugs!$A$2:$P1014,16,FALSE())),"please select a BUG ID")</f>
        <v>please select a BUG ID</v>
      </c>
      <c r="D529" s="52"/>
      <c r="E529" s="43"/>
      <c r="F529" s="49"/>
      <c r="G529" s="50"/>
      <c r="H529" s="43"/>
    </row>
    <row r="530">
      <c r="A530" s="43"/>
      <c r="B530" s="38" t="str">
        <f>IFERROR(HYPERLINK(VLOOKUP(A530,Internal_lists_bugs!$A$2:$C$73,3,FALSE()), VLOOKUP(A530,Internal_lists_bugs!$A$2:$C$73,3,FALSE())&amp;Char(10) &amp; Char(10) &amp; VLOOKUP(A530,Internal_lists_bugs!$A$2:$Z$73,26,FALSE())),"please select a BUG ID")</f>
        <v>please select a BUG ID</v>
      </c>
      <c r="C530" s="51" t="str">
        <f>IFERROR(Hyperlink(VLOOKUP(A530,Internal_lists_bugs!$A$2:$G1014,7,FALSE()),"BIC: "&amp;VLOOKUP(A530,Internal_lists_bugs!$A$2:$G1014,7,FALSE())&amp;CHAR(10)&amp;"Intro.Issues: "&amp;VLOOKUP(A530,Internal_lists_bugs!$A$2:$P1014,16,FALSE())),"please select a BUG ID")</f>
        <v>please select a BUG ID</v>
      </c>
      <c r="D530" s="52"/>
      <c r="E530" s="43"/>
      <c r="F530" s="49"/>
      <c r="G530" s="50"/>
      <c r="H530" s="43"/>
    </row>
    <row r="531">
      <c r="A531" s="43"/>
      <c r="B531" s="38" t="str">
        <f>IFERROR(HYPERLINK(VLOOKUP(A531,Internal_lists_bugs!$A$2:$C$73,3,FALSE()), VLOOKUP(A531,Internal_lists_bugs!$A$2:$C$73,3,FALSE())&amp;Char(10) &amp; Char(10) &amp; VLOOKUP(A531,Internal_lists_bugs!$A$2:$Z$73,26,FALSE())),"please select a BUG ID")</f>
        <v>please select a BUG ID</v>
      </c>
      <c r="C531" s="51" t="str">
        <f>IFERROR(Hyperlink(VLOOKUP(A531,Internal_lists_bugs!$A$2:$G1014,7,FALSE()),"BIC: "&amp;VLOOKUP(A531,Internal_lists_bugs!$A$2:$G1014,7,FALSE())&amp;CHAR(10)&amp;"Intro.Issues: "&amp;VLOOKUP(A531,Internal_lists_bugs!$A$2:$P1014,16,FALSE())),"please select a BUG ID")</f>
        <v>please select a BUG ID</v>
      </c>
      <c r="D531" s="52"/>
      <c r="E531" s="43"/>
      <c r="F531" s="49"/>
      <c r="G531" s="50"/>
      <c r="H531" s="43"/>
    </row>
    <row r="532">
      <c r="A532" s="43"/>
      <c r="B532" s="38" t="str">
        <f>IFERROR(HYPERLINK(VLOOKUP(A532,Internal_lists_bugs!$A$2:$C$73,3,FALSE()), VLOOKUP(A532,Internal_lists_bugs!$A$2:$C$73,3,FALSE())&amp;Char(10) &amp; Char(10) &amp; VLOOKUP(A532,Internal_lists_bugs!$A$2:$Z$73,26,FALSE())),"please select a BUG ID")</f>
        <v>please select a BUG ID</v>
      </c>
      <c r="C532" s="51" t="str">
        <f>IFERROR(Hyperlink(VLOOKUP(A532,Internal_lists_bugs!$A$2:$G1014,7,FALSE()),"BIC: "&amp;VLOOKUP(A532,Internal_lists_bugs!$A$2:$G1014,7,FALSE())&amp;CHAR(10)&amp;"Intro.Issues: "&amp;VLOOKUP(A532,Internal_lists_bugs!$A$2:$P1014,16,FALSE())),"please select a BUG ID")</f>
        <v>please select a BUG ID</v>
      </c>
      <c r="D532" s="52"/>
      <c r="E532" s="43"/>
      <c r="F532" s="49"/>
      <c r="G532" s="50"/>
      <c r="H532" s="43"/>
    </row>
    <row r="533">
      <c r="A533" s="43"/>
      <c r="B533" s="38" t="str">
        <f>IFERROR(HYPERLINK(VLOOKUP(A533,Internal_lists_bugs!$A$2:$C$73,3,FALSE()), VLOOKUP(A533,Internal_lists_bugs!$A$2:$C$73,3,FALSE())&amp;Char(10) &amp; Char(10) &amp; VLOOKUP(A533,Internal_lists_bugs!$A$2:$Z$73,26,FALSE())),"please select a BUG ID")</f>
        <v>please select a BUG ID</v>
      </c>
      <c r="C533" s="51" t="str">
        <f>IFERROR(Hyperlink(VLOOKUP(A533,Internal_lists_bugs!$A$2:$G1014,7,FALSE()),"BIC: "&amp;VLOOKUP(A533,Internal_lists_bugs!$A$2:$G1014,7,FALSE())&amp;CHAR(10)&amp;"Intro.Issues: "&amp;VLOOKUP(A533,Internal_lists_bugs!$A$2:$P1014,16,FALSE())),"please select a BUG ID")</f>
        <v>please select a BUG ID</v>
      </c>
      <c r="D533" s="52"/>
      <c r="E533" s="43"/>
      <c r="F533" s="49"/>
      <c r="G533" s="50"/>
      <c r="H533" s="43"/>
    </row>
    <row r="534">
      <c r="A534" s="43"/>
      <c r="B534" s="38" t="str">
        <f>IFERROR(HYPERLINK(VLOOKUP(A534,Internal_lists_bugs!$A$2:$C$73,3,FALSE()), VLOOKUP(A534,Internal_lists_bugs!$A$2:$C$73,3,FALSE())&amp;Char(10) &amp; Char(10) &amp; VLOOKUP(A534,Internal_lists_bugs!$A$2:$Z$73,26,FALSE())),"please select a BUG ID")</f>
        <v>please select a BUG ID</v>
      </c>
      <c r="C534" s="51" t="str">
        <f>IFERROR(Hyperlink(VLOOKUP(A534,Internal_lists_bugs!$A$2:$G1014,7,FALSE()),"BIC: "&amp;VLOOKUP(A534,Internal_lists_bugs!$A$2:$G1014,7,FALSE())&amp;CHAR(10)&amp;"Intro.Issues: "&amp;VLOOKUP(A534,Internal_lists_bugs!$A$2:$P1014,16,FALSE())),"please select a BUG ID")</f>
        <v>please select a BUG ID</v>
      </c>
      <c r="D534" s="52"/>
      <c r="E534" s="43"/>
      <c r="F534" s="49"/>
      <c r="G534" s="50"/>
      <c r="H534" s="43"/>
    </row>
    <row r="535">
      <c r="A535" s="43"/>
      <c r="B535" s="38" t="str">
        <f>IFERROR(HYPERLINK(VLOOKUP(A535,Internal_lists_bugs!$A$2:$C$73,3,FALSE()), VLOOKUP(A535,Internal_lists_bugs!$A$2:$C$73,3,FALSE())&amp;Char(10) &amp; Char(10) &amp; VLOOKUP(A535,Internal_lists_bugs!$A$2:$Z$73,26,FALSE())),"please select a BUG ID")</f>
        <v>please select a BUG ID</v>
      </c>
      <c r="C535" s="51" t="str">
        <f>IFERROR(Hyperlink(VLOOKUP(A535,Internal_lists_bugs!$A$2:$G1014,7,FALSE()),"BIC: "&amp;VLOOKUP(A535,Internal_lists_bugs!$A$2:$G1014,7,FALSE())&amp;CHAR(10)&amp;"Intro.Issues: "&amp;VLOOKUP(A535,Internal_lists_bugs!$A$2:$P1014,16,FALSE())),"please select a BUG ID")</f>
        <v>please select a BUG ID</v>
      </c>
      <c r="D535" s="52"/>
      <c r="E535" s="43"/>
      <c r="F535" s="49"/>
      <c r="G535" s="50"/>
      <c r="H535" s="43"/>
    </row>
    <row r="536">
      <c r="A536" s="43"/>
      <c r="B536" s="38" t="str">
        <f>IFERROR(HYPERLINK(VLOOKUP(A536,Internal_lists_bugs!$A$2:$C$73,3,FALSE()), VLOOKUP(A536,Internal_lists_bugs!$A$2:$C$73,3,FALSE())&amp;Char(10) &amp; Char(10) &amp; VLOOKUP(A536,Internal_lists_bugs!$A$2:$Z$73,26,FALSE())),"please select a BUG ID")</f>
        <v>please select a BUG ID</v>
      </c>
      <c r="C536" s="51" t="str">
        <f>IFERROR(Hyperlink(VLOOKUP(A536,Internal_lists_bugs!$A$2:$G1014,7,FALSE()),"BIC: "&amp;VLOOKUP(A536,Internal_lists_bugs!$A$2:$G1014,7,FALSE())&amp;CHAR(10)&amp;"Intro.Issues: "&amp;VLOOKUP(A536,Internal_lists_bugs!$A$2:$P1014,16,FALSE())),"please select a BUG ID")</f>
        <v>please select a BUG ID</v>
      </c>
      <c r="D536" s="52"/>
      <c r="E536" s="43"/>
      <c r="F536" s="49"/>
      <c r="G536" s="50"/>
      <c r="H536" s="43"/>
    </row>
    <row r="537">
      <c r="A537" s="43"/>
      <c r="B537" s="38" t="str">
        <f>IFERROR(HYPERLINK(VLOOKUP(A537,Internal_lists_bugs!$A$2:$C$73,3,FALSE()), VLOOKUP(A537,Internal_lists_bugs!$A$2:$C$73,3,FALSE())&amp;Char(10) &amp; Char(10) &amp; VLOOKUP(A537,Internal_lists_bugs!$A$2:$Z$73,26,FALSE())),"please select a BUG ID")</f>
        <v>please select a BUG ID</v>
      </c>
      <c r="C537" s="51" t="str">
        <f>IFERROR(Hyperlink(VLOOKUP(A537,Internal_lists_bugs!$A$2:$G1014,7,FALSE()),"BIC: "&amp;VLOOKUP(A537,Internal_lists_bugs!$A$2:$G1014,7,FALSE())&amp;CHAR(10)&amp;"Intro.Issues: "&amp;VLOOKUP(A537,Internal_lists_bugs!$A$2:$P1014,16,FALSE())),"please select a BUG ID")</f>
        <v>please select a BUG ID</v>
      </c>
      <c r="D537" s="52"/>
      <c r="E537" s="43"/>
      <c r="F537" s="49"/>
      <c r="G537" s="50"/>
      <c r="H537" s="43"/>
    </row>
    <row r="538">
      <c r="A538" s="43"/>
      <c r="B538" s="38" t="str">
        <f>IFERROR(HYPERLINK(VLOOKUP(A538,Internal_lists_bugs!$A$2:$C$73,3,FALSE()), VLOOKUP(A538,Internal_lists_bugs!$A$2:$C$73,3,FALSE())&amp;Char(10) &amp; Char(10) &amp; VLOOKUP(A538,Internal_lists_bugs!$A$2:$Z$73,26,FALSE())),"please select a BUG ID")</f>
        <v>please select a BUG ID</v>
      </c>
      <c r="C538" s="51" t="str">
        <f>IFERROR(Hyperlink(VLOOKUP(A538,Internal_lists_bugs!$A$2:$G1014,7,FALSE()),"BIC: "&amp;VLOOKUP(A538,Internal_lists_bugs!$A$2:$G1014,7,FALSE())&amp;CHAR(10)&amp;"Intro.Issues: "&amp;VLOOKUP(A538,Internal_lists_bugs!$A$2:$P1014,16,FALSE())),"please select a BUG ID")</f>
        <v>please select a BUG ID</v>
      </c>
      <c r="D538" s="52"/>
      <c r="E538" s="43"/>
      <c r="F538" s="49"/>
      <c r="G538" s="50"/>
      <c r="H538" s="43"/>
    </row>
    <row r="539">
      <c r="A539" s="43"/>
      <c r="B539" s="38" t="str">
        <f>IFERROR(HYPERLINK(VLOOKUP(A539,Internal_lists_bugs!$A$2:$C$73,3,FALSE()), VLOOKUP(A539,Internal_lists_bugs!$A$2:$C$73,3,FALSE())&amp;Char(10) &amp; Char(10) &amp; VLOOKUP(A539,Internal_lists_bugs!$A$2:$Z$73,26,FALSE())),"please select a BUG ID")</f>
        <v>please select a BUG ID</v>
      </c>
      <c r="C539" s="51" t="str">
        <f>IFERROR(Hyperlink(VLOOKUP(A539,Internal_lists_bugs!$A$2:$G1014,7,FALSE()),"BIC: "&amp;VLOOKUP(A539,Internal_lists_bugs!$A$2:$G1014,7,FALSE())&amp;CHAR(10)&amp;"Intro.Issues: "&amp;VLOOKUP(A539,Internal_lists_bugs!$A$2:$P1014,16,FALSE())),"please select a BUG ID")</f>
        <v>please select a BUG ID</v>
      </c>
      <c r="D539" s="52"/>
      <c r="E539" s="43"/>
      <c r="F539" s="49"/>
      <c r="G539" s="50"/>
      <c r="H539" s="43"/>
    </row>
    <row r="540">
      <c r="A540" s="43"/>
      <c r="B540" s="38" t="str">
        <f>IFERROR(HYPERLINK(VLOOKUP(A540,Internal_lists_bugs!$A$2:$C$73,3,FALSE()), VLOOKUP(A540,Internal_lists_bugs!$A$2:$C$73,3,FALSE())&amp;Char(10) &amp; Char(10) &amp; VLOOKUP(A540,Internal_lists_bugs!$A$2:$Z$73,26,FALSE())),"please select a BUG ID")</f>
        <v>please select a BUG ID</v>
      </c>
      <c r="C540" s="51" t="str">
        <f>IFERROR(Hyperlink(VLOOKUP(A540,Internal_lists_bugs!$A$2:$G1014,7,FALSE()),"BIC: "&amp;VLOOKUP(A540,Internal_lists_bugs!$A$2:$G1014,7,FALSE())&amp;CHAR(10)&amp;"Intro.Issues: "&amp;VLOOKUP(A540,Internal_lists_bugs!$A$2:$P1014,16,FALSE())),"please select a BUG ID")</f>
        <v>please select a BUG ID</v>
      </c>
      <c r="D540" s="52"/>
      <c r="E540" s="43"/>
      <c r="F540" s="49"/>
      <c r="G540" s="50"/>
      <c r="H540" s="43"/>
    </row>
    <row r="541">
      <c r="A541" s="43"/>
      <c r="B541" s="38" t="str">
        <f>IFERROR(HYPERLINK(VLOOKUP(A541,Internal_lists_bugs!$A$2:$C$73,3,FALSE()), VLOOKUP(A541,Internal_lists_bugs!$A$2:$C$73,3,FALSE())&amp;Char(10) &amp; Char(10) &amp; VLOOKUP(A541,Internal_lists_bugs!$A$2:$Z$73,26,FALSE())),"please select a BUG ID")</f>
        <v>please select a BUG ID</v>
      </c>
      <c r="C541" s="51" t="str">
        <f>IFERROR(Hyperlink(VLOOKUP(A541,Internal_lists_bugs!$A$2:$G1014,7,FALSE()),"BIC: "&amp;VLOOKUP(A541,Internal_lists_bugs!$A$2:$G1014,7,FALSE())&amp;CHAR(10)&amp;"Intro.Issues: "&amp;VLOOKUP(A541,Internal_lists_bugs!$A$2:$P1014,16,FALSE())),"please select a BUG ID")</f>
        <v>please select a BUG ID</v>
      </c>
      <c r="D541" s="52"/>
      <c r="E541" s="43"/>
      <c r="F541" s="49"/>
      <c r="G541" s="50"/>
      <c r="H541" s="43"/>
    </row>
    <row r="542">
      <c r="A542" s="43"/>
      <c r="B542" s="38" t="str">
        <f>IFERROR(HYPERLINK(VLOOKUP(A542,Internal_lists_bugs!$A$2:$C$73,3,FALSE()), VLOOKUP(A542,Internal_lists_bugs!$A$2:$C$73,3,FALSE())&amp;Char(10) &amp; Char(10) &amp; VLOOKUP(A542,Internal_lists_bugs!$A$2:$Z$73,26,FALSE())),"please select a BUG ID")</f>
        <v>please select a BUG ID</v>
      </c>
      <c r="C542" s="51" t="str">
        <f>IFERROR(Hyperlink(VLOOKUP(A542,Internal_lists_bugs!$A$2:$G1014,7,FALSE()),"BIC: "&amp;VLOOKUP(A542,Internal_lists_bugs!$A$2:$G1014,7,FALSE())&amp;CHAR(10)&amp;"Intro.Issues: "&amp;VLOOKUP(A542,Internal_lists_bugs!$A$2:$P1014,16,FALSE())),"please select a BUG ID")</f>
        <v>please select a BUG ID</v>
      </c>
      <c r="D542" s="52"/>
      <c r="E542" s="43"/>
      <c r="F542" s="49"/>
      <c r="G542" s="50"/>
      <c r="H542" s="43"/>
    </row>
    <row r="543">
      <c r="A543" s="43"/>
      <c r="B543" s="38" t="str">
        <f>IFERROR(HYPERLINK(VLOOKUP(A543,Internal_lists_bugs!$A$2:$C$73,3,FALSE()), VLOOKUP(A543,Internal_lists_bugs!$A$2:$C$73,3,FALSE())&amp;Char(10) &amp; Char(10) &amp; VLOOKUP(A543,Internal_lists_bugs!$A$2:$Z$73,26,FALSE())),"please select a BUG ID")</f>
        <v>please select a BUG ID</v>
      </c>
      <c r="C543" s="51" t="str">
        <f>IFERROR(Hyperlink(VLOOKUP(A543,Internal_lists_bugs!$A$2:$G1014,7,FALSE()),"BIC: "&amp;VLOOKUP(A543,Internal_lists_bugs!$A$2:$G1014,7,FALSE())&amp;CHAR(10)&amp;"Intro.Issues: "&amp;VLOOKUP(A543,Internal_lists_bugs!$A$2:$P1014,16,FALSE())),"please select a BUG ID")</f>
        <v>please select a BUG ID</v>
      </c>
      <c r="D543" s="52"/>
      <c r="E543" s="43"/>
      <c r="F543" s="49"/>
      <c r="G543" s="50"/>
      <c r="H543" s="43"/>
    </row>
    <row r="544">
      <c r="A544" s="43"/>
      <c r="B544" s="38" t="str">
        <f>IFERROR(HYPERLINK(VLOOKUP(A544,Internal_lists_bugs!$A$2:$C$73,3,FALSE()), VLOOKUP(A544,Internal_lists_bugs!$A$2:$C$73,3,FALSE())&amp;Char(10) &amp; Char(10) &amp; VLOOKUP(A544,Internal_lists_bugs!$A$2:$Z$73,26,FALSE())),"please select a BUG ID")</f>
        <v>please select a BUG ID</v>
      </c>
      <c r="C544" s="51" t="str">
        <f>IFERROR(Hyperlink(VLOOKUP(A544,Internal_lists_bugs!$A$2:$G1014,7,FALSE()),"BIC: "&amp;VLOOKUP(A544,Internal_lists_bugs!$A$2:$G1014,7,FALSE())&amp;CHAR(10)&amp;"Intro.Issues: "&amp;VLOOKUP(A544,Internal_lists_bugs!$A$2:$P1014,16,FALSE())),"please select a BUG ID")</f>
        <v>please select a BUG ID</v>
      </c>
      <c r="D544" s="52"/>
      <c r="E544" s="43"/>
      <c r="F544" s="49"/>
      <c r="G544" s="50"/>
      <c r="H544" s="43"/>
    </row>
    <row r="545">
      <c r="A545" s="43"/>
      <c r="B545" s="38" t="str">
        <f>IFERROR(HYPERLINK(VLOOKUP(A545,Internal_lists_bugs!$A$2:$C$73,3,FALSE()), VLOOKUP(A545,Internal_lists_bugs!$A$2:$C$73,3,FALSE())&amp;Char(10) &amp; Char(10) &amp; VLOOKUP(A545,Internal_lists_bugs!$A$2:$Z$73,26,FALSE())),"please select a BUG ID")</f>
        <v>please select a BUG ID</v>
      </c>
      <c r="C545" s="51" t="str">
        <f>IFERROR(Hyperlink(VLOOKUP(A545,Internal_lists_bugs!$A$2:$G1014,7,FALSE()),"BIC: "&amp;VLOOKUP(A545,Internal_lists_bugs!$A$2:$G1014,7,FALSE())&amp;CHAR(10)&amp;"Intro.Issues: "&amp;VLOOKUP(A545,Internal_lists_bugs!$A$2:$P1014,16,FALSE())),"please select a BUG ID")</f>
        <v>please select a BUG ID</v>
      </c>
      <c r="D545" s="52"/>
      <c r="E545" s="43"/>
      <c r="F545" s="49"/>
      <c r="G545" s="50"/>
      <c r="H545" s="43"/>
    </row>
    <row r="546">
      <c r="A546" s="43"/>
      <c r="B546" s="38" t="str">
        <f>IFERROR(HYPERLINK(VLOOKUP(A546,Internal_lists_bugs!$A$2:$C$73,3,FALSE()), VLOOKUP(A546,Internal_lists_bugs!$A$2:$C$73,3,FALSE())&amp;Char(10) &amp; Char(10) &amp; VLOOKUP(A546,Internal_lists_bugs!$A$2:$Z$73,26,FALSE())),"please select a BUG ID")</f>
        <v>please select a BUG ID</v>
      </c>
      <c r="C546" s="51" t="str">
        <f>IFERROR(Hyperlink(VLOOKUP(A546,Internal_lists_bugs!$A$2:$G1014,7,FALSE()),"BIC: "&amp;VLOOKUP(A546,Internal_lists_bugs!$A$2:$G1014,7,FALSE())&amp;CHAR(10)&amp;"Intro.Issues: "&amp;VLOOKUP(A546,Internal_lists_bugs!$A$2:$P1014,16,FALSE())),"please select a BUG ID")</f>
        <v>please select a BUG ID</v>
      </c>
      <c r="D546" s="52"/>
      <c r="E546" s="43"/>
      <c r="F546" s="49"/>
      <c r="G546" s="50"/>
      <c r="H546" s="43"/>
    </row>
    <row r="547">
      <c r="A547" s="43"/>
      <c r="B547" s="38" t="str">
        <f>IFERROR(HYPERLINK(VLOOKUP(A547,Internal_lists_bugs!$A$2:$C$73,3,FALSE()), VLOOKUP(A547,Internal_lists_bugs!$A$2:$C$73,3,FALSE())&amp;Char(10) &amp; Char(10) &amp; VLOOKUP(A547,Internal_lists_bugs!$A$2:$Z$73,26,FALSE())),"please select a BUG ID")</f>
        <v>please select a BUG ID</v>
      </c>
      <c r="C547" s="51" t="str">
        <f>IFERROR(Hyperlink(VLOOKUP(A547,Internal_lists_bugs!$A$2:$G1014,7,FALSE()),"BIC: "&amp;VLOOKUP(A547,Internal_lists_bugs!$A$2:$G1014,7,FALSE())&amp;CHAR(10)&amp;"Intro.Issues: "&amp;VLOOKUP(A547,Internal_lists_bugs!$A$2:$P1014,16,FALSE())),"please select a BUG ID")</f>
        <v>please select a BUG ID</v>
      </c>
      <c r="D547" s="52"/>
      <c r="E547" s="43"/>
      <c r="F547" s="49"/>
      <c r="G547" s="50"/>
      <c r="H547" s="43"/>
    </row>
    <row r="548">
      <c r="A548" s="43"/>
      <c r="B548" s="38" t="str">
        <f>IFERROR(HYPERLINK(VLOOKUP(A548,Internal_lists_bugs!$A$2:$C$73,3,FALSE()), VLOOKUP(A548,Internal_lists_bugs!$A$2:$C$73,3,FALSE())&amp;Char(10) &amp; Char(10) &amp; VLOOKUP(A548,Internal_lists_bugs!$A$2:$Z$73,26,FALSE())),"please select a BUG ID")</f>
        <v>please select a BUG ID</v>
      </c>
      <c r="C548" s="51" t="str">
        <f>IFERROR(Hyperlink(VLOOKUP(A548,Internal_lists_bugs!$A$2:$G1014,7,FALSE()),"BIC: "&amp;VLOOKUP(A548,Internal_lists_bugs!$A$2:$G1014,7,FALSE())&amp;CHAR(10)&amp;"Intro.Issues: "&amp;VLOOKUP(A548,Internal_lists_bugs!$A$2:$P1014,16,FALSE())),"please select a BUG ID")</f>
        <v>please select a BUG ID</v>
      </c>
      <c r="D548" s="52"/>
      <c r="E548" s="43"/>
      <c r="F548" s="49"/>
      <c r="G548" s="50"/>
      <c r="H548" s="43"/>
    </row>
    <row r="549">
      <c r="A549" s="43"/>
      <c r="B549" s="38" t="str">
        <f>IFERROR(HYPERLINK(VLOOKUP(A549,Internal_lists_bugs!$A$2:$C$73,3,FALSE()), VLOOKUP(A549,Internal_lists_bugs!$A$2:$C$73,3,FALSE())&amp;Char(10) &amp; Char(10) &amp; VLOOKUP(A549,Internal_lists_bugs!$A$2:$Z$73,26,FALSE())),"please select a BUG ID")</f>
        <v>please select a BUG ID</v>
      </c>
      <c r="C549" s="51" t="str">
        <f>IFERROR(Hyperlink(VLOOKUP(A549,Internal_lists_bugs!$A$2:$G1014,7,FALSE()),"BIC: "&amp;VLOOKUP(A549,Internal_lists_bugs!$A$2:$G1014,7,FALSE())&amp;CHAR(10)&amp;"Intro.Issues: "&amp;VLOOKUP(A549,Internal_lists_bugs!$A$2:$P1014,16,FALSE())),"please select a BUG ID")</f>
        <v>please select a BUG ID</v>
      </c>
      <c r="D549" s="52"/>
      <c r="E549" s="43"/>
      <c r="F549" s="49"/>
      <c r="G549" s="50"/>
      <c r="H549" s="43"/>
    </row>
    <row r="550">
      <c r="A550" s="43"/>
      <c r="B550" s="38" t="str">
        <f>IFERROR(HYPERLINK(VLOOKUP(A550,Internal_lists_bugs!$A$2:$C$73,3,FALSE()), VLOOKUP(A550,Internal_lists_bugs!$A$2:$C$73,3,FALSE())&amp;Char(10) &amp; Char(10) &amp; VLOOKUP(A550,Internal_lists_bugs!$A$2:$Z$73,26,FALSE())),"please select a BUG ID")</f>
        <v>please select a BUG ID</v>
      </c>
      <c r="C550" s="51" t="str">
        <f>IFERROR(Hyperlink(VLOOKUP(A550,Internal_lists_bugs!$A$2:$G1014,7,FALSE()),"BIC: "&amp;VLOOKUP(A550,Internal_lists_bugs!$A$2:$G1014,7,FALSE())&amp;CHAR(10)&amp;"Intro.Issues: "&amp;VLOOKUP(A550,Internal_lists_bugs!$A$2:$P1014,16,FALSE())),"please select a BUG ID")</f>
        <v>please select a BUG ID</v>
      </c>
      <c r="D550" s="52"/>
      <c r="E550" s="43"/>
      <c r="F550" s="49"/>
      <c r="G550" s="50"/>
      <c r="H550" s="43"/>
    </row>
    <row r="551">
      <c r="A551" s="43"/>
      <c r="B551" s="38" t="str">
        <f>IFERROR(HYPERLINK(VLOOKUP(A551,Internal_lists_bugs!$A$2:$C$73,3,FALSE()), VLOOKUP(A551,Internal_lists_bugs!$A$2:$C$73,3,FALSE())&amp;Char(10) &amp; Char(10) &amp; VLOOKUP(A551,Internal_lists_bugs!$A$2:$Z$73,26,FALSE())),"please select a BUG ID")</f>
        <v>please select a BUG ID</v>
      </c>
      <c r="C551" s="51" t="str">
        <f>IFERROR(Hyperlink(VLOOKUP(A551,Internal_lists_bugs!$A$2:$G1014,7,FALSE()),"BIC: "&amp;VLOOKUP(A551,Internal_lists_bugs!$A$2:$G1014,7,FALSE())&amp;CHAR(10)&amp;"Intro.Issues: "&amp;VLOOKUP(A551,Internal_lists_bugs!$A$2:$P1014,16,FALSE())),"please select a BUG ID")</f>
        <v>please select a BUG ID</v>
      </c>
      <c r="D551" s="52"/>
      <c r="E551" s="43"/>
      <c r="F551" s="49"/>
      <c r="G551" s="50"/>
      <c r="H551" s="43"/>
    </row>
    <row r="552">
      <c r="A552" s="43"/>
      <c r="B552" s="38" t="str">
        <f>IFERROR(HYPERLINK(VLOOKUP(A552,Internal_lists_bugs!$A$2:$C$73,3,FALSE()), VLOOKUP(A552,Internal_lists_bugs!$A$2:$C$73,3,FALSE())&amp;Char(10) &amp; Char(10) &amp; VLOOKUP(A552,Internal_lists_bugs!$A$2:$Z$73,26,FALSE())),"please select a BUG ID")</f>
        <v>please select a BUG ID</v>
      </c>
      <c r="C552" s="51" t="str">
        <f>IFERROR(Hyperlink(VLOOKUP(A552,Internal_lists_bugs!$A$2:$G1014,7,FALSE()),"BIC: "&amp;VLOOKUP(A552,Internal_lists_bugs!$A$2:$G1014,7,FALSE())&amp;CHAR(10)&amp;"Intro.Issues: "&amp;VLOOKUP(A552,Internal_lists_bugs!$A$2:$P1014,16,FALSE())),"please select a BUG ID")</f>
        <v>please select a BUG ID</v>
      </c>
      <c r="D552" s="52"/>
      <c r="E552" s="43"/>
      <c r="F552" s="49"/>
      <c r="G552" s="50"/>
      <c r="H552" s="43"/>
    </row>
    <row r="553">
      <c r="A553" s="43"/>
      <c r="B553" s="38" t="str">
        <f>IFERROR(HYPERLINK(VLOOKUP(A553,Internal_lists_bugs!$A$2:$C$73,3,FALSE()), VLOOKUP(A553,Internal_lists_bugs!$A$2:$C$73,3,FALSE())&amp;Char(10) &amp; Char(10) &amp; VLOOKUP(A553,Internal_lists_bugs!$A$2:$Z$73,26,FALSE())),"please select a BUG ID")</f>
        <v>please select a BUG ID</v>
      </c>
      <c r="C553" s="51" t="str">
        <f>IFERROR(Hyperlink(VLOOKUP(A553,Internal_lists_bugs!$A$2:$G1014,7,FALSE()),"BIC: "&amp;VLOOKUP(A553,Internal_lists_bugs!$A$2:$G1014,7,FALSE())&amp;CHAR(10)&amp;"Intro.Issues: "&amp;VLOOKUP(A553,Internal_lists_bugs!$A$2:$P1014,16,FALSE())),"please select a BUG ID")</f>
        <v>please select a BUG ID</v>
      </c>
      <c r="D553" s="52"/>
      <c r="E553" s="43"/>
      <c r="F553" s="49"/>
      <c r="G553" s="50"/>
      <c r="H553" s="43"/>
    </row>
    <row r="554">
      <c r="A554" s="43"/>
      <c r="B554" s="38" t="str">
        <f>IFERROR(HYPERLINK(VLOOKUP(A554,Internal_lists_bugs!$A$2:$C$73,3,FALSE()), VLOOKUP(A554,Internal_lists_bugs!$A$2:$C$73,3,FALSE())&amp;Char(10) &amp; Char(10) &amp; VLOOKUP(A554,Internal_lists_bugs!$A$2:$Z$73,26,FALSE())),"please select a BUG ID")</f>
        <v>please select a BUG ID</v>
      </c>
      <c r="C554" s="51" t="str">
        <f>IFERROR(Hyperlink(VLOOKUP(A554,Internal_lists_bugs!$A$2:$G1014,7,FALSE()),"BIC: "&amp;VLOOKUP(A554,Internal_lists_bugs!$A$2:$G1014,7,FALSE())&amp;CHAR(10)&amp;"Intro.Issues: "&amp;VLOOKUP(A554,Internal_lists_bugs!$A$2:$P1014,16,FALSE())),"please select a BUG ID")</f>
        <v>please select a BUG ID</v>
      </c>
      <c r="D554" s="52"/>
      <c r="E554" s="43"/>
      <c r="F554" s="49"/>
      <c r="G554" s="50"/>
      <c r="H554" s="43"/>
    </row>
    <row r="555">
      <c r="A555" s="43"/>
      <c r="B555" s="38" t="str">
        <f>IFERROR(HYPERLINK(VLOOKUP(A555,Internal_lists_bugs!$A$2:$C$73,3,FALSE()), VLOOKUP(A555,Internal_lists_bugs!$A$2:$C$73,3,FALSE())&amp;Char(10) &amp; Char(10) &amp; VLOOKUP(A555,Internal_lists_bugs!$A$2:$Z$73,26,FALSE())),"please select a BUG ID")</f>
        <v>please select a BUG ID</v>
      </c>
      <c r="C555" s="51" t="str">
        <f>IFERROR(Hyperlink(VLOOKUP(A555,Internal_lists_bugs!$A$2:$G1014,7,FALSE()),"BIC: "&amp;VLOOKUP(A555,Internal_lists_bugs!$A$2:$G1014,7,FALSE())&amp;CHAR(10)&amp;"Intro.Issues: "&amp;VLOOKUP(A555,Internal_lists_bugs!$A$2:$P1014,16,FALSE())),"please select a BUG ID")</f>
        <v>please select a BUG ID</v>
      </c>
      <c r="D555" s="52"/>
      <c r="E555" s="43"/>
      <c r="F555" s="49"/>
      <c r="G555" s="50"/>
      <c r="H555" s="43"/>
    </row>
    <row r="556">
      <c r="A556" s="43"/>
      <c r="B556" s="38" t="str">
        <f>IFERROR(HYPERLINK(VLOOKUP(A556,Internal_lists_bugs!$A$2:$C$73,3,FALSE()), VLOOKUP(A556,Internal_lists_bugs!$A$2:$C$73,3,FALSE())&amp;Char(10) &amp; Char(10) &amp; VLOOKUP(A556,Internal_lists_bugs!$A$2:$Z$73,26,FALSE())),"please select a BUG ID")</f>
        <v>please select a BUG ID</v>
      </c>
      <c r="C556" s="51" t="str">
        <f>IFERROR(Hyperlink(VLOOKUP(A556,Internal_lists_bugs!$A$2:$G1014,7,FALSE()),"BIC: "&amp;VLOOKUP(A556,Internal_lists_bugs!$A$2:$G1014,7,FALSE())&amp;CHAR(10)&amp;"Intro.Issues: "&amp;VLOOKUP(A556,Internal_lists_bugs!$A$2:$P1014,16,FALSE())),"please select a BUG ID")</f>
        <v>please select a BUG ID</v>
      </c>
      <c r="D556" s="52"/>
      <c r="E556" s="43"/>
      <c r="F556" s="49"/>
      <c r="G556" s="50"/>
      <c r="H556" s="43"/>
    </row>
    <row r="557">
      <c r="A557" s="43"/>
      <c r="B557" s="38" t="str">
        <f>IFERROR(HYPERLINK(VLOOKUP(A557,Internal_lists_bugs!$A$2:$C$73,3,FALSE()), VLOOKUP(A557,Internal_lists_bugs!$A$2:$C$73,3,FALSE())&amp;Char(10) &amp; Char(10) &amp; VLOOKUP(A557,Internal_lists_bugs!$A$2:$Z$73,26,FALSE())),"please select a BUG ID")</f>
        <v>please select a BUG ID</v>
      </c>
      <c r="C557" s="51" t="str">
        <f>IFERROR(Hyperlink(VLOOKUP(A557,Internal_lists_bugs!$A$2:$G1014,7,FALSE()),"BIC: "&amp;VLOOKUP(A557,Internal_lists_bugs!$A$2:$G1014,7,FALSE())&amp;CHAR(10)&amp;"Intro.Issues: "&amp;VLOOKUP(A557,Internal_lists_bugs!$A$2:$P1014,16,FALSE())),"please select a BUG ID")</f>
        <v>please select a BUG ID</v>
      </c>
      <c r="D557" s="52"/>
      <c r="E557" s="43"/>
      <c r="F557" s="49"/>
      <c r="G557" s="50"/>
      <c r="H557" s="43"/>
    </row>
    <row r="558">
      <c r="A558" s="43"/>
      <c r="B558" s="38" t="str">
        <f>IFERROR(HYPERLINK(VLOOKUP(A558,Internal_lists_bugs!$A$2:$C$73,3,FALSE()), VLOOKUP(A558,Internal_lists_bugs!$A$2:$C$73,3,FALSE())&amp;Char(10) &amp; Char(10) &amp; VLOOKUP(A558,Internal_lists_bugs!$A$2:$Z$73,26,FALSE())),"please select a BUG ID")</f>
        <v>please select a BUG ID</v>
      </c>
      <c r="C558" s="51" t="str">
        <f>IFERROR(Hyperlink(VLOOKUP(A558,Internal_lists_bugs!$A$2:$G1014,7,FALSE()),"BIC: "&amp;VLOOKUP(A558,Internal_lists_bugs!$A$2:$G1014,7,FALSE())&amp;CHAR(10)&amp;"Intro.Issues: "&amp;VLOOKUP(A558,Internal_lists_bugs!$A$2:$P1014,16,FALSE())),"please select a BUG ID")</f>
        <v>please select a BUG ID</v>
      </c>
      <c r="D558" s="52"/>
      <c r="E558" s="43"/>
      <c r="F558" s="49"/>
      <c r="G558" s="50"/>
      <c r="H558" s="43"/>
    </row>
    <row r="559">
      <c r="A559" s="43"/>
      <c r="B559" s="38" t="str">
        <f>IFERROR(HYPERLINK(VLOOKUP(A559,Internal_lists_bugs!$A$2:$C$73,3,FALSE()), VLOOKUP(A559,Internal_lists_bugs!$A$2:$C$73,3,FALSE())&amp;Char(10) &amp; Char(10) &amp; VLOOKUP(A559,Internal_lists_bugs!$A$2:$Z$73,26,FALSE())),"please select a BUG ID")</f>
        <v>please select a BUG ID</v>
      </c>
      <c r="C559" s="51" t="str">
        <f>IFERROR(Hyperlink(VLOOKUP(A559,Internal_lists_bugs!$A$2:$G1014,7,FALSE()),"BIC: "&amp;VLOOKUP(A559,Internal_lists_bugs!$A$2:$G1014,7,FALSE())&amp;CHAR(10)&amp;"Intro.Issues: "&amp;VLOOKUP(A559,Internal_lists_bugs!$A$2:$P1014,16,FALSE())),"please select a BUG ID")</f>
        <v>please select a BUG ID</v>
      </c>
      <c r="D559" s="52"/>
      <c r="E559" s="43"/>
      <c r="F559" s="49"/>
      <c r="G559" s="50"/>
      <c r="H559" s="43"/>
    </row>
    <row r="560">
      <c r="A560" s="43"/>
      <c r="B560" s="38" t="str">
        <f>IFERROR(HYPERLINK(VLOOKUP(A560,Internal_lists_bugs!$A$2:$C$73,3,FALSE()), VLOOKUP(A560,Internal_lists_bugs!$A$2:$C$73,3,FALSE())&amp;Char(10) &amp; Char(10) &amp; VLOOKUP(A560,Internal_lists_bugs!$A$2:$Z$73,26,FALSE())),"please select a BUG ID")</f>
        <v>please select a BUG ID</v>
      </c>
      <c r="C560" s="51" t="str">
        <f>IFERROR(Hyperlink(VLOOKUP(A560,Internal_lists_bugs!$A$2:$G1014,7,FALSE()),"BIC: "&amp;VLOOKUP(A560,Internal_lists_bugs!$A$2:$G1014,7,FALSE())&amp;CHAR(10)&amp;"Intro.Issues: "&amp;VLOOKUP(A560,Internal_lists_bugs!$A$2:$P1014,16,FALSE())),"please select a BUG ID")</f>
        <v>please select a BUG ID</v>
      </c>
      <c r="D560" s="52"/>
      <c r="E560" s="43"/>
      <c r="F560" s="49"/>
      <c r="G560" s="50"/>
      <c r="H560" s="43"/>
    </row>
    <row r="561">
      <c r="A561" s="43"/>
      <c r="B561" s="38" t="str">
        <f>IFERROR(HYPERLINK(VLOOKUP(A561,Internal_lists_bugs!$A$2:$C$73,3,FALSE()), VLOOKUP(A561,Internal_lists_bugs!$A$2:$C$73,3,FALSE())&amp;Char(10) &amp; Char(10) &amp; VLOOKUP(A561,Internal_lists_bugs!$A$2:$Z$73,26,FALSE())),"please select a BUG ID")</f>
        <v>please select a BUG ID</v>
      </c>
      <c r="C561" s="51" t="str">
        <f>IFERROR(Hyperlink(VLOOKUP(A561,Internal_lists_bugs!$A$2:$G1014,7,FALSE()),"BIC: "&amp;VLOOKUP(A561,Internal_lists_bugs!$A$2:$G1014,7,FALSE())&amp;CHAR(10)&amp;"Intro.Issues: "&amp;VLOOKUP(A561,Internal_lists_bugs!$A$2:$P1014,16,FALSE())),"please select a BUG ID")</f>
        <v>please select a BUG ID</v>
      </c>
      <c r="D561" s="52"/>
      <c r="E561" s="43"/>
      <c r="F561" s="49"/>
      <c r="G561" s="50"/>
      <c r="H561" s="43"/>
    </row>
    <row r="562">
      <c r="A562" s="43"/>
      <c r="B562" s="38" t="str">
        <f>IFERROR(HYPERLINK(VLOOKUP(A562,Internal_lists_bugs!$A$2:$C$73,3,FALSE()), VLOOKUP(A562,Internal_lists_bugs!$A$2:$C$73,3,FALSE())&amp;Char(10) &amp; Char(10) &amp; VLOOKUP(A562,Internal_lists_bugs!$A$2:$Z$73,26,FALSE())),"please select a BUG ID")</f>
        <v>please select a BUG ID</v>
      </c>
      <c r="C562" s="51" t="str">
        <f>IFERROR(Hyperlink(VLOOKUP(A562,Internal_lists_bugs!$A$2:$G1014,7,FALSE()),"BIC: "&amp;VLOOKUP(A562,Internal_lists_bugs!$A$2:$G1014,7,FALSE())&amp;CHAR(10)&amp;"Intro.Issues: "&amp;VLOOKUP(A562,Internal_lists_bugs!$A$2:$P1014,16,FALSE())),"please select a BUG ID")</f>
        <v>please select a BUG ID</v>
      </c>
      <c r="D562" s="52"/>
      <c r="E562" s="43"/>
      <c r="F562" s="49"/>
      <c r="G562" s="50"/>
      <c r="H562" s="43"/>
    </row>
    <row r="563">
      <c r="A563" s="43"/>
      <c r="B563" s="38" t="str">
        <f>IFERROR(HYPERLINK(VLOOKUP(A563,Internal_lists_bugs!$A$2:$C$73,3,FALSE()), VLOOKUP(A563,Internal_lists_bugs!$A$2:$C$73,3,FALSE())&amp;Char(10) &amp; Char(10) &amp; VLOOKUP(A563,Internal_lists_bugs!$A$2:$Z$73,26,FALSE())),"please select a BUG ID")</f>
        <v>please select a BUG ID</v>
      </c>
      <c r="C563" s="51" t="str">
        <f>IFERROR(Hyperlink(VLOOKUP(A563,Internal_lists_bugs!$A$2:$G1014,7,FALSE()),"BIC: "&amp;VLOOKUP(A563,Internal_lists_bugs!$A$2:$G1014,7,FALSE())&amp;CHAR(10)&amp;"Intro.Issues: "&amp;VLOOKUP(A563,Internal_lists_bugs!$A$2:$P1014,16,FALSE())),"please select a BUG ID")</f>
        <v>please select a BUG ID</v>
      </c>
      <c r="D563" s="52"/>
      <c r="E563" s="43"/>
      <c r="F563" s="49"/>
      <c r="G563" s="50"/>
      <c r="H563" s="43"/>
    </row>
    <row r="564">
      <c r="A564" s="43"/>
      <c r="B564" s="38" t="str">
        <f>IFERROR(HYPERLINK(VLOOKUP(A564,Internal_lists_bugs!$A$2:$C$73,3,FALSE()), VLOOKUP(A564,Internal_lists_bugs!$A$2:$C$73,3,FALSE())&amp;Char(10) &amp; Char(10) &amp; VLOOKUP(A564,Internal_lists_bugs!$A$2:$Z$73,26,FALSE())),"please select a BUG ID")</f>
        <v>please select a BUG ID</v>
      </c>
      <c r="C564" s="51" t="str">
        <f>IFERROR(Hyperlink(VLOOKUP(A564,Internal_lists_bugs!$A$2:$G1014,7,FALSE()),"BIC: "&amp;VLOOKUP(A564,Internal_lists_bugs!$A$2:$G1014,7,FALSE())&amp;CHAR(10)&amp;"Intro.Issues: "&amp;VLOOKUP(A564,Internal_lists_bugs!$A$2:$P1014,16,FALSE())),"please select a BUG ID")</f>
        <v>please select a BUG ID</v>
      </c>
      <c r="D564" s="52"/>
      <c r="E564" s="43"/>
      <c r="F564" s="49"/>
      <c r="G564" s="50"/>
      <c r="H564" s="43"/>
    </row>
    <row r="565">
      <c r="A565" s="43"/>
      <c r="B565" s="38" t="str">
        <f>IFERROR(HYPERLINK(VLOOKUP(A565,Internal_lists_bugs!$A$2:$C$73,3,FALSE()), VLOOKUP(A565,Internal_lists_bugs!$A$2:$C$73,3,FALSE())&amp;Char(10) &amp; Char(10) &amp; VLOOKUP(A565,Internal_lists_bugs!$A$2:$Z$73,26,FALSE())),"please select a BUG ID")</f>
        <v>please select a BUG ID</v>
      </c>
      <c r="C565" s="51" t="str">
        <f>IFERROR(Hyperlink(VLOOKUP(A565,Internal_lists_bugs!$A$2:$G1014,7,FALSE()),"BIC: "&amp;VLOOKUP(A565,Internal_lists_bugs!$A$2:$G1014,7,FALSE())&amp;CHAR(10)&amp;"Intro.Issues: "&amp;VLOOKUP(A565,Internal_lists_bugs!$A$2:$P1014,16,FALSE())),"please select a BUG ID")</f>
        <v>please select a BUG ID</v>
      </c>
      <c r="D565" s="52"/>
      <c r="E565" s="43"/>
      <c r="F565" s="49"/>
      <c r="G565" s="50"/>
      <c r="H565" s="43"/>
    </row>
    <row r="566">
      <c r="A566" s="43"/>
      <c r="B566" s="38" t="str">
        <f>IFERROR(HYPERLINK(VLOOKUP(A566,Internal_lists_bugs!$A$2:$C$73,3,FALSE()), VLOOKUP(A566,Internal_lists_bugs!$A$2:$C$73,3,FALSE())&amp;Char(10) &amp; Char(10) &amp; VLOOKUP(A566,Internal_lists_bugs!$A$2:$Z$73,26,FALSE())),"please select a BUG ID")</f>
        <v>please select a BUG ID</v>
      </c>
      <c r="C566" s="51" t="str">
        <f>IFERROR(Hyperlink(VLOOKUP(A566,Internal_lists_bugs!$A$2:$G1014,7,FALSE()),"BIC: "&amp;VLOOKUP(A566,Internal_lists_bugs!$A$2:$G1014,7,FALSE())&amp;CHAR(10)&amp;"Intro.Issues: "&amp;VLOOKUP(A566,Internal_lists_bugs!$A$2:$P1014,16,FALSE())),"please select a BUG ID")</f>
        <v>please select a BUG ID</v>
      </c>
      <c r="D566" s="52"/>
      <c r="E566" s="43"/>
      <c r="F566" s="49"/>
      <c r="G566" s="50"/>
      <c r="H566" s="43"/>
    </row>
    <row r="567">
      <c r="A567" s="43"/>
      <c r="B567" s="38" t="str">
        <f>IFERROR(HYPERLINK(VLOOKUP(A567,Internal_lists_bugs!$A$2:$C$73,3,FALSE()), VLOOKUP(A567,Internal_lists_bugs!$A$2:$C$73,3,FALSE())&amp;Char(10) &amp; Char(10) &amp; VLOOKUP(A567,Internal_lists_bugs!$A$2:$Z$73,26,FALSE())),"please select a BUG ID")</f>
        <v>please select a BUG ID</v>
      </c>
      <c r="C567" s="51" t="str">
        <f>IFERROR(Hyperlink(VLOOKUP(A567,Internal_lists_bugs!$A$2:$G1014,7,FALSE()),"BIC: "&amp;VLOOKUP(A567,Internal_lists_bugs!$A$2:$G1014,7,FALSE())&amp;CHAR(10)&amp;"Intro.Issues: "&amp;VLOOKUP(A567,Internal_lists_bugs!$A$2:$P1014,16,FALSE())),"please select a BUG ID")</f>
        <v>please select a BUG ID</v>
      </c>
      <c r="D567" s="52"/>
      <c r="E567" s="43"/>
      <c r="F567" s="49"/>
      <c r="G567" s="50"/>
      <c r="H567" s="43"/>
    </row>
    <row r="568">
      <c r="A568" s="43"/>
      <c r="B568" s="38" t="str">
        <f>IFERROR(HYPERLINK(VLOOKUP(A568,Internal_lists_bugs!$A$2:$C$73,3,FALSE()), VLOOKUP(A568,Internal_lists_bugs!$A$2:$C$73,3,FALSE())&amp;Char(10) &amp; Char(10) &amp; VLOOKUP(A568,Internal_lists_bugs!$A$2:$Z$73,26,FALSE())),"please select a BUG ID")</f>
        <v>please select a BUG ID</v>
      </c>
      <c r="C568" s="51" t="str">
        <f>IFERROR(Hyperlink(VLOOKUP(A568,Internal_lists_bugs!$A$2:$G1014,7,FALSE()),"BIC: "&amp;VLOOKUP(A568,Internal_lists_bugs!$A$2:$G1014,7,FALSE())&amp;CHAR(10)&amp;"Intro.Issues: "&amp;VLOOKUP(A568,Internal_lists_bugs!$A$2:$P1014,16,FALSE())),"please select a BUG ID")</f>
        <v>please select a BUG ID</v>
      </c>
      <c r="D568" s="52"/>
      <c r="E568" s="43"/>
      <c r="F568" s="49"/>
      <c r="G568" s="50"/>
      <c r="H568" s="43"/>
    </row>
    <row r="569">
      <c r="A569" s="43"/>
      <c r="B569" s="38" t="str">
        <f>IFERROR(HYPERLINK(VLOOKUP(A569,Internal_lists_bugs!$A$2:$C$73,3,FALSE()), VLOOKUP(A569,Internal_lists_bugs!$A$2:$C$73,3,FALSE())&amp;Char(10) &amp; Char(10) &amp; VLOOKUP(A569,Internal_lists_bugs!$A$2:$Z$73,26,FALSE())),"please select a BUG ID")</f>
        <v>please select a BUG ID</v>
      </c>
      <c r="C569" s="51" t="str">
        <f>IFERROR(Hyperlink(VLOOKUP(A569,Internal_lists_bugs!$A$2:$G1014,7,FALSE()),"BIC: "&amp;VLOOKUP(A569,Internal_lists_bugs!$A$2:$G1014,7,FALSE())&amp;CHAR(10)&amp;"Intro.Issues: "&amp;VLOOKUP(A569,Internal_lists_bugs!$A$2:$P1014,16,FALSE())),"please select a BUG ID")</f>
        <v>please select a BUG ID</v>
      </c>
      <c r="D569" s="52"/>
      <c r="E569" s="43"/>
      <c r="F569" s="49"/>
      <c r="G569" s="50"/>
      <c r="H569" s="43"/>
    </row>
    <row r="570">
      <c r="A570" s="43"/>
      <c r="B570" s="38" t="str">
        <f>IFERROR(HYPERLINK(VLOOKUP(A570,Internal_lists_bugs!$A$2:$C$73,3,FALSE()), VLOOKUP(A570,Internal_lists_bugs!$A$2:$C$73,3,FALSE())&amp;Char(10) &amp; Char(10) &amp; VLOOKUP(A570,Internal_lists_bugs!$A$2:$Z$73,26,FALSE())),"please select a BUG ID")</f>
        <v>please select a BUG ID</v>
      </c>
      <c r="C570" s="51" t="str">
        <f>IFERROR(Hyperlink(VLOOKUP(A570,Internal_lists_bugs!$A$2:$G1014,7,FALSE()),"BIC: "&amp;VLOOKUP(A570,Internal_lists_bugs!$A$2:$G1014,7,FALSE())&amp;CHAR(10)&amp;"Intro.Issues: "&amp;VLOOKUP(A570,Internal_lists_bugs!$A$2:$P1014,16,FALSE())),"please select a BUG ID")</f>
        <v>please select a BUG ID</v>
      </c>
      <c r="D570" s="52"/>
      <c r="E570" s="43"/>
      <c r="F570" s="49"/>
      <c r="G570" s="50"/>
      <c r="H570" s="43"/>
    </row>
    <row r="571">
      <c r="A571" s="43"/>
      <c r="B571" s="38" t="str">
        <f>IFERROR(HYPERLINK(VLOOKUP(A571,Internal_lists_bugs!$A$2:$C$73,3,FALSE()), VLOOKUP(A571,Internal_lists_bugs!$A$2:$C$73,3,FALSE())&amp;Char(10) &amp; Char(10) &amp; VLOOKUP(A571,Internal_lists_bugs!$A$2:$Z$73,26,FALSE())),"please select a BUG ID")</f>
        <v>please select a BUG ID</v>
      </c>
      <c r="C571" s="51" t="str">
        <f>IFERROR(Hyperlink(VLOOKUP(A571,Internal_lists_bugs!$A$2:$G1014,7,FALSE()),"BIC: "&amp;VLOOKUP(A571,Internal_lists_bugs!$A$2:$G1014,7,FALSE())&amp;CHAR(10)&amp;"Intro.Issues: "&amp;VLOOKUP(A571,Internal_lists_bugs!$A$2:$P1014,16,FALSE())),"please select a BUG ID")</f>
        <v>please select a BUG ID</v>
      </c>
      <c r="D571" s="52"/>
      <c r="E571" s="43"/>
      <c r="F571" s="49"/>
      <c r="G571" s="50"/>
      <c r="H571" s="43"/>
    </row>
    <row r="572">
      <c r="A572" s="43"/>
      <c r="B572" s="38" t="str">
        <f>IFERROR(HYPERLINK(VLOOKUP(A572,Internal_lists_bugs!$A$2:$C$73,3,FALSE()), VLOOKUP(A572,Internal_lists_bugs!$A$2:$C$73,3,FALSE())&amp;Char(10) &amp; Char(10) &amp; VLOOKUP(A572,Internal_lists_bugs!$A$2:$Z$73,26,FALSE())),"please select a BUG ID")</f>
        <v>please select a BUG ID</v>
      </c>
      <c r="C572" s="51" t="str">
        <f>IFERROR(Hyperlink(VLOOKUP(A572,Internal_lists_bugs!$A$2:$G1014,7,FALSE()),"BIC: "&amp;VLOOKUP(A572,Internal_lists_bugs!$A$2:$G1014,7,FALSE())&amp;CHAR(10)&amp;"Intro.Issues: "&amp;VLOOKUP(A572,Internal_lists_bugs!$A$2:$P1014,16,FALSE())),"please select a BUG ID")</f>
        <v>please select a BUG ID</v>
      </c>
      <c r="D572" s="52"/>
      <c r="E572" s="43"/>
      <c r="F572" s="49"/>
      <c r="G572" s="50"/>
      <c r="H572" s="43"/>
    </row>
    <row r="573">
      <c r="A573" s="43"/>
      <c r="B573" s="38" t="str">
        <f>IFERROR(HYPERLINK(VLOOKUP(A573,Internal_lists_bugs!$A$2:$C$73,3,FALSE()), VLOOKUP(A573,Internal_lists_bugs!$A$2:$C$73,3,FALSE())&amp;Char(10) &amp; Char(10) &amp; VLOOKUP(A573,Internal_lists_bugs!$A$2:$Z$73,26,FALSE())),"please select a BUG ID")</f>
        <v>please select a BUG ID</v>
      </c>
      <c r="C573" s="51" t="str">
        <f>IFERROR(Hyperlink(VLOOKUP(A573,Internal_lists_bugs!$A$2:$G1014,7,FALSE()),"BIC: "&amp;VLOOKUP(A573,Internal_lists_bugs!$A$2:$G1014,7,FALSE())&amp;CHAR(10)&amp;"Intro.Issues: "&amp;VLOOKUP(A573,Internal_lists_bugs!$A$2:$P1014,16,FALSE())),"please select a BUG ID")</f>
        <v>please select a BUG ID</v>
      </c>
      <c r="D573" s="52"/>
      <c r="E573" s="43"/>
      <c r="F573" s="49"/>
      <c r="G573" s="50"/>
      <c r="H573" s="43"/>
    </row>
    <row r="574">
      <c r="A574" s="43"/>
      <c r="B574" s="38" t="str">
        <f>IFERROR(HYPERLINK(VLOOKUP(A574,Internal_lists_bugs!$A$2:$C$73,3,FALSE()), VLOOKUP(A574,Internal_lists_bugs!$A$2:$C$73,3,FALSE())&amp;Char(10) &amp; Char(10) &amp; VLOOKUP(A574,Internal_lists_bugs!$A$2:$Z$73,26,FALSE())),"please select a BUG ID")</f>
        <v>please select a BUG ID</v>
      </c>
      <c r="C574" s="51" t="str">
        <f>IFERROR(Hyperlink(VLOOKUP(A574,Internal_lists_bugs!$A$2:$G1014,7,FALSE()),"BIC: "&amp;VLOOKUP(A574,Internal_lists_bugs!$A$2:$G1014,7,FALSE())&amp;CHAR(10)&amp;"Intro.Issues: "&amp;VLOOKUP(A574,Internal_lists_bugs!$A$2:$P1014,16,FALSE())),"please select a BUG ID")</f>
        <v>please select a BUG ID</v>
      </c>
      <c r="D574" s="52"/>
      <c r="E574" s="43"/>
      <c r="F574" s="49"/>
      <c r="G574" s="50"/>
      <c r="H574" s="43"/>
    </row>
    <row r="575">
      <c r="A575" s="43"/>
      <c r="B575" s="38" t="str">
        <f>IFERROR(HYPERLINK(VLOOKUP(A575,Internal_lists_bugs!$A$2:$C$73,3,FALSE()), VLOOKUP(A575,Internal_lists_bugs!$A$2:$C$73,3,FALSE())&amp;Char(10) &amp; Char(10) &amp; VLOOKUP(A575,Internal_lists_bugs!$A$2:$Z$73,26,FALSE())),"please select a BUG ID")</f>
        <v>please select a BUG ID</v>
      </c>
      <c r="C575" s="51" t="str">
        <f>IFERROR(Hyperlink(VLOOKUP(A575,Internal_lists_bugs!$A$2:$G1014,7,FALSE()),"BIC: "&amp;VLOOKUP(A575,Internal_lists_bugs!$A$2:$G1014,7,FALSE())&amp;CHAR(10)&amp;"Intro.Issues: "&amp;VLOOKUP(A575,Internal_lists_bugs!$A$2:$P1014,16,FALSE())),"please select a BUG ID")</f>
        <v>please select a BUG ID</v>
      </c>
      <c r="D575" s="52"/>
      <c r="E575" s="43"/>
      <c r="F575" s="49"/>
      <c r="G575" s="50"/>
      <c r="H575" s="43"/>
    </row>
    <row r="576">
      <c r="A576" s="43"/>
      <c r="B576" s="38" t="str">
        <f>IFERROR(HYPERLINK(VLOOKUP(A576,Internal_lists_bugs!$A$2:$C$73,3,FALSE()), VLOOKUP(A576,Internal_lists_bugs!$A$2:$C$73,3,FALSE())&amp;Char(10) &amp; Char(10) &amp; VLOOKUP(A576,Internal_lists_bugs!$A$2:$Z$73,26,FALSE())),"please select a BUG ID")</f>
        <v>please select a BUG ID</v>
      </c>
      <c r="C576" s="51" t="str">
        <f>IFERROR(Hyperlink(VLOOKUP(A576,Internal_lists_bugs!$A$2:$G1014,7,FALSE()),"BIC: "&amp;VLOOKUP(A576,Internal_lists_bugs!$A$2:$G1014,7,FALSE())&amp;CHAR(10)&amp;"Intro.Issues: "&amp;VLOOKUP(A576,Internal_lists_bugs!$A$2:$P1014,16,FALSE())),"please select a BUG ID")</f>
        <v>please select a BUG ID</v>
      </c>
      <c r="D576" s="52"/>
      <c r="E576" s="43"/>
      <c r="F576" s="49"/>
      <c r="G576" s="50"/>
      <c r="H576" s="43"/>
    </row>
    <row r="577">
      <c r="A577" s="43"/>
      <c r="B577" s="38" t="str">
        <f>IFERROR(HYPERLINK(VLOOKUP(A577,Internal_lists_bugs!$A$2:$C$73,3,FALSE()), VLOOKUP(A577,Internal_lists_bugs!$A$2:$C$73,3,FALSE())&amp;Char(10) &amp; Char(10) &amp; VLOOKUP(A577,Internal_lists_bugs!$A$2:$Z$73,26,FALSE())),"please select a BUG ID")</f>
        <v>please select a BUG ID</v>
      </c>
      <c r="C577" s="51" t="str">
        <f>IFERROR(Hyperlink(VLOOKUP(A577,Internal_lists_bugs!$A$2:$G1014,7,FALSE()),"BIC: "&amp;VLOOKUP(A577,Internal_lists_bugs!$A$2:$G1014,7,FALSE())&amp;CHAR(10)&amp;"Intro.Issues: "&amp;VLOOKUP(A577,Internal_lists_bugs!$A$2:$P1014,16,FALSE())),"please select a BUG ID")</f>
        <v>please select a BUG ID</v>
      </c>
      <c r="D577" s="52"/>
      <c r="E577" s="43"/>
      <c r="F577" s="49"/>
      <c r="G577" s="50"/>
      <c r="H577" s="43"/>
    </row>
    <row r="578">
      <c r="A578" s="43"/>
      <c r="B578" s="38" t="str">
        <f>IFERROR(HYPERLINK(VLOOKUP(A578,Internal_lists_bugs!$A$2:$C$73,3,FALSE()), VLOOKUP(A578,Internal_lists_bugs!$A$2:$C$73,3,FALSE())&amp;Char(10) &amp; Char(10) &amp; VLOOKUP(A578,Internal_lists_bugs!$A$2:$Z$73,26,FALSE())),"please select a BUG ID")</f>
        <v>please select a BUG ID</v>
      </c>
      <c r="C578" s="51" t="str">
        <f>IFERROR(Hyperlink(VLOOKUP(A578,Internal_lists_bugs!$A$2:$G1014,7,FALSE()),"BIC: "&amp;VLOOKUP(A578,Internal_lists_bugs!$A$2:$G1014,7,FALSE())&amp;CHAR(10)&amp;"Intro.Issues: "&amp;VLOOKUP(A578,Internal_lists_bugs!$A$2:$P1014,16,FALSE())),"please select a BUG ID")</f>
        <v>please select a BUG ID</v>
      </c>
      <c r="D578" s="52"/>
      <c r="E578" s="43"/>
      <c r="F578" s="49"/>
      <c r="G578" s="50"/>
      <c r="H578" s="43"/>
    </row>
    <row r="579">
      <c r="A579" s="43"/>
      <c r="B579" s="38" t="str">
        <f>IFERROR(HYPERLINK(VLOOKUP(A579,Internal_lists_bugs!$A$2:$C$73,3,FALSE()), VLOOKUP(A579,Internal_lists_bugs!$A$2:$C$73,3,FALSE())&amp;Char(10) &amp; Char(10) &amp; VLOOKUP(A579,Internal_lists_bugs!$A$2:$Z$73,26,FALSE())),"please select a BUG ID")</f>
        <v>please select a BUG ID</v>
      </c>
      <c r="C579" s="51" t="str">
        <f>IFERROR(Hyperlink(VLOOKUP(A579,Internal_lists_bugs!$A$2:$G1014,7,FALSE()),"BIC: "&amp;VLOOKUP(A579,Internal_lists_bugs!$A$2:$G1014,7,FALSE())&amp;CHAR(10)&amp;"Intro.Issues: "&amp;VLOOKUP(A579,Internal_lists_bugs!$A$2:$P1014,16,FALSE())),"please select a BUG ID")</f>
        <v>please select a BUG ID</v>
      </c>
      <c r="D579" s="52"/>
      <c r="E579" s="43"/>
      <c r="F579" s="49"/>
      <c r="G579" s="50"/>
      <c r="H579" s="43"/>
    </row>
    <row r="580">
      <c r="A580" s="43"/>
      <c r="B580" s="38" t="str">
        <f>IFERROR(HYPERLINK(VLOOKUP(A580,Internal_lists_bugs!$A$2:$C$73,3,FALSE()), VLOOKUP(A580,Internal_lists_bugs!$A$2:$C$73,3,FALSE())&amp;Char(10) &amp; Char(10) &amp; VLOOKUP(A580,Internal_lists_bugs!$A$2:$Z$73,26,FALSE())),"please select a BUG ID")</f>
        <v>please select a BUG ID</v>
      </c>
      <c r="C580" s="51" t="str">
        <f>IFERROR(Hyperlink(VLOOKUP(A580,Internal_lists_bugs!$A$2:$G1014,7,FALSE()),"BIC: "&amp;VLOOKUP(A580,Internal_lists_bugs!$A$2:$G1014,7,FALSE())&amp;CHAR(10)&amp;"Intro.Issues: "&amp;VLOOKUP(A580,Internal_lists_bugs!$A$2:$P1014,16,FALSE())),"please select a BUG ID")</f>
        <v>please select a BUG ID</v>
      </c>
      <c r="D580" s="52"/>
      <c r="E580" s="43"/>
      <c r="F580" s="49"/>
      <c r="G580" s="50"/>
      <c r="H580" s="43"/>
    </row>
    <row r="581">
      <c r="A581" s="43"/>
      <c r="B581" s="38" t="str">
        <f>IFERROR(HYPERLINK(VLOOKUP(A581,Internal_lists_bugs!$A$2:$C$73,3,FALSE()), VLOOKUP(A581,Internal_lists_bugs!$A$2:$C$73,3,FALSE())&amp;Char(10) &amp; Char(10) &amp; VLOOKUP(A581,Internal_lists_bugs!$A$2:$Z$73,26,FALSE())),"please select a BUG ID")</f>
        <v>please select a BUG ID</v>
      </c>
      <c r="C581" s="51" t="str">
        <f>IFERROR(Hyperlink(VLOOKUP(A581,Internal_lists_bugs!$A$2:$G1014,7,FALSE()),"BIC: "&amp;VLOOKUP(A581,Internal_lists_bugs!$A$2:$G1014,7,FALSE())&amp;CHAR(10)&amp;"Intro.Issues: "&amp;VLOOKUP(A581,Internal_lists_bugs!$A$2:$P1014,16,FALSE())),"please select a BUG ID")</f>
        <v>please select a BUG ID</v>
      </c>
      <c r="D581" s="52"/>
      <c r="E581" s="43"/>
      <c r="F581" s="49"/>
      <c r="G581" s="50"/>
      <c r="H581" s="43"/>
    </row>
    <row r="582">
      <c r="A582" s="43"/>
      <c r="B582" s="38" t="str">
        <f>IFERROR(HYPERLINK(VLOOKUP(A582,Internal_lists_bugs!$A$2:$C$73,3,FALSE()), VLOOKUP(A582,Internal_lists_bugs!$A$2:$C$73,3,FALSE())&amp;Char(10) &amp; Char(10) &amp; VLOOKUP(A582,Internal_lists_bugs!$A$2:$Z$73,26,FALSE())),"please select a BUG ID")</f>
        <v>please select a BUG ID</v>
      </c>
      <c r="C582" s="51" t="str">
        <f>IFERROR(Hyperlink(VLOOKUP(A582,Internal_lists_bugs!$A$2:$G1014,7,FALSE()),"BIC: "&amp;VLOOKUP(A582,Internal_lists_bugs!$A$2:$G1014,7,FALSE())&amp;CHAR(10)&amp;"Intro.Issues: "&amp;VLOOKUP(A582,Internal_lists_bugs!$A$2:$P1014,16,FALSE())),"please select a BUG ID")</f>
        <v>please select a BUG ID</v>
      </c>
      <c r="D582" s="52"/>
      <c r="E582" s="43"/>
      <c r="F582" s="49"/>
      <c r="G582" s="50"/>
      <c r="H582" s="43"/>
    </row>
    <row r="583">
      <c r="A583" s="43"/>
      <c r="B583" s="38" t="str">
        <f>IFERROR(HYPERLINK(VLOOKUP(A583,Internal_lists_bugs!$A$2:$C$73,3,FALSE()), VLOOKUP(A583,Internal_lists_bugs!$A$2:$C$73,3,FALSE())&amp;Char(10) &amp; Char(10) &amp; VLOOKUP(A583,Internal_lists_bugs!$A$2:$Z$73,26,FALSE())),"please select a BUG ID")</f>
        <v>please select a BUG ID</v>
      </c>
      <c r="C583" s="51" t="str">
        <f>IFERROR(Hyperlink(VLOOKUP(A583,Internal_lists_bugs!$A$2:$G1014,7,FALSE()),"BIC: "&amp;VLOOKUP(A583,Internal_lists_bugs!$A$2:$G1014,7,FALSE())&amp;CHAR(10)&amp;"Intro.Issues: "&amp;VLOOKUP(A583,Internal_lists_bugs!$A$2:$P1014,16,FALSE())),"please select a BUG ID")</f>
        <v>please select a BUG ID</v>
      </c>
      <c r="D583" s="52"/>
      <c r="E583" s="43"/>
      <c r="F583" s="49"/>
      <c r="G583" s="50"/>
      <c r="H583" s="43"/>
    </row>
    <row r="584">
      <c r="A584" s="43"/>
      <c r="B584" s="38" t="str">
        <f>IFERROR(HYPERLINK(VLOOKUP(A584,Internal_lists_bugs!$A$2:$C$73,3,FALSE()), VLOOKUP(A584,Internal_lists_bugs!$A$2:$C$73,3,FALSE())&amp;Char(10) &amp; Char(10) &amp; VLOOKUP(A584,Internal_lists_bugs!$A$2:$Z$73,26,FALSE())),"please select a BUG ID")</f>
        <v>please select a BUG ID</v>
      </c>
      <c r="C584" s="51" t="str">
        <f>IFERROR(Hyperlink(VLOOKUP(A584,Internal_lists_bugs!$A$2:$G1014,7,FALSE()),"BIC: "&amp;VLOOKUP(A584,Internal_lists_bugs!$A$2:$G1014,7,FALSE())&amp;CHAR(10)&amp;"Intro.Issues: "&amp;VLOOKUP(A584,Internal_lists_bugs!$A$2:$P1014,16,FALSE())),"please select a BUG ID")</f>
        <v>please select a BUG ID</v>
      </c>
      <c r="D584" s="52"/>
      <c r="E584" s="43"/>
      <c r="F584" s="49"/>
      <c r="G584" s="50"/>
      <c r="H584" s="43"/>
    </row>
    <row r="585">
      <c r="A585" s="43"/>
      <c r="B585" s="38" t="str">
        <f>IFERROR(HYPERLINK(VLOOKUP(A585,Internal_lists_bugs!$A$2:$C$73,3,FALSE()), VLOOKUP(A585,Internal_lists_bugs!$A$2:$C$73,3,FALSE())&amp;Char(10) &amp; Char(10) &amp; VLOOKUP(A585,Internal_lists_bugs!$A$2:$Z$73,26,FALSE())),"please select a BUG ID")</f>
        <v>please select a BUG ID</v>
      </c>
      <c r="C585" s="51" t="str">
        <f>IFERROR(Hyperlink(VLOOKUP(A585,Internal_lists_bugs!$A$2:$G1014,7,FALSE()),"BIC: "&amp;VLOOKUP(A585,Internal_lists_bugs!$A$2:$G1014,7,FALSE())&amp;CHAR(10)&amp;"Intro.Issues: "&amp;VLOOKUP(A585,Internal_lists_bugs!$A$2:$P1014,16,FALSE())),"please select a BUG ID")</f>
        <v>please select a BUG ID</v>
      </c>
      <c r="D585" s="52"/>
      <c r="E585" s="43"/>
      <c r="F585" s="49"/>
      <c r="G585" s="50"/>
      <c r="H585" s="43"/>
    </row>
    <row r="586">
      <c r="A586" s="43"/>
      <c r="B586" s="38" t="str">
        <f>IFERROR(HYPERLINK(VLOOKUP(A586,Internal_lists_bugs!$A$2:$C$73,3,FALSE()), VLOOKUP(A586,Internal_lists_bugs!$A$2:$C$73,3,FALSE())&amp;Char(10) &amp; Char(10) &amp; VLOOKUP(A586,Internal_lists_bugs!$A$2:$Z$73,26,FALSE())),"please select a BUG ID")</f>
        <v>please select a BUG ID</v>
      </c>
      <c r="C586" s="51" t="str">
        <f>IFERROR(Hyperlink(VLOOKUP(A586,Internal_lists_bugs!$A$2:$G1014,7,FALSE()),"BIC: "&amp;VLOOKUP(A586,Internal_lists_bugs!$A$2:$G1014,7,FALSE())&amp;CHAR(10)&amp;"Intro.Issues: "&amp;VLOOKUP(A586,Internal_lists_bugs!$A$2:$P1014,16,FALSE())),"please select a BUG ID")</f>
        <v>please select a BUG ID</v>
      </c>
      <c r="D586" s="52"/>
      <c r="E586" s="43"/>
      <c r="F586" s="49"/>
      <c r="G586" s="50"/>
      <c r="H586" s="43"/>
    </row>
    <row r="587">
      <c r="A587" s="43"/>
      <c r="B587" s="38" t="str">
        <f>IFERROR(HYPERLINK(VLOOKUP(A587,Internal_lists_bugs!$A$2:$C$73,3,FALSE()), VLOOKUP(A587,Internal_lists_bugs!$A$2:$C$73,3,FALSE())&amp;Char(10) &amp; Char(10) &amp; VLOOKUP(A587,Internal_lists_bugs!$A$2:$Z$73,26,FALSE())),"please select a BUG ID")</f>
        <v>please select a BUG ID</v>
      </c>
      <c r="C587" s="51" t="str">
        <f>IFERROR(Hyperlink(VLOOKUP(A587,Internal_lists_bugs!$A$2:$G1014,7,FALSE()),"BIC: "&amp;VLOOKUP(A587,Internal_lists_bugs!$A$2:$G1014,7,FALSE())&amp;CHAR(10)&amp;"Intro.Issues: "&amp;VLOOKUP(A587,Internal_lists_bugs!$A$2:$P1014,16,FALSE())),"please select a BUG ID")</f>
        <v>please select a BUG ID</v>
      </c>
      <c r="D587" s="52"/>
      <c r="E587" s="43"/>
      <c r="F587" s="49"/>
      <c r="G587" s="50"/>
      <c r="H587" s="43"/>
    </row>
    <row r="588">
      <c r="A588" s="43"/>
      <c r="B588" s="38" t="str">
        <f>IFERROR(HYPERLINK(VLOOKUP(A588,Internal_lists_bugs!$A$2:$C$73,3,FALSE()), VLOOKUP(A588,Internal_lists_bugs!$A$2:$C$73,3,FALSE())&amp;Char(10) &amp; Char(10) &amp; VLOOKUP(A588,Internal_lists_bugs!$A$2:$Z$73,26,FALSE())),"please select a BUG ID")</f>
        <v>please select a BUG ID</v>
      </c>
      <c r="C588" s="51" t="str">
        <f>IFERROR(Hyperlink(VLOOKUP(A588,Internal_lists_bugs!$A$2:$G1014,7,FALSE()),"BIC: "&amp;VLOOKUP(A588,Internal_lists_bugs!$A$2:$G1014,7,FALSE())&amp;CHAR(10)&amp;"Intro.Issues: "&amp;VLOOKUP(A588,Internal_lists_bugs!$A$2:$P1014,16,FALSE())),"please select a BUG ID")</f>
        <v>please select a BUG ID</v>
      </c>
      <c r="D588" s="52"/>
      <c r="E588" s="43"/>
      <c r="F588" s="49"/>
      <c r="G588" s="50"/>
      <c r="H588" s="43"/>
    </row>
    <row r="589">
      <c r="A589" s="43"/>
      <c r="B589" s="38" t="str">
        <f>IFERROR(HYPERLINK(VLOOKUP(A589,Internal_lists_bugs!$A$2:$C$73,3,FALSE()), VLOOKUP(A589,Internal_lists_bugs!$A$2:$C$73,3,FALSE())&amp;Char(10) &amp; Char(10) &amp; VLOOKUP(A589,Internal_lists_bugs!$A$2:$Z$73,26,FALSE())),"please select a BUG ID")</f>
        <v>please select a BUG ID</v>
      </c>
      <c r="C589" s="51" t="str">
        <f>IFERROR(Hyperlink(VLOOKUP(A589,Internal_lists_bugs!$A$2:$G1014,7,FALSE()),"BIC: "&amp;VLOOKUP(A589,Internal_lists_bugs!$A$2:$G1014,7,FALSE())&amp;CHAR(10)&amp;"Intro.Issues: "&amp;VLOOKUP(A589,Internal_lists_bugs!$A$2:$P1014,16,FALSE())),"please select a BUG ID")</f>
        <v>please select a BUG ID</v>
      </c>
      <c r="D589" s="52"/>
      <c r="E589" s="43"/>
      <c r="F589" s="49"/>
      <c r="G589" s="50"/>
      <c r="H589" s="43"/>
    </row>
    <row r="590">
      <c r="A590" s="43"/>
      <c r="B590" s="38" t="str">
        <f>IFERROR(HYPERLINK(VLOOKUP(A590,Internal_lists_bugs!$A$2:$C$73,3,FALSE()), VLOOKUP(A590,Internal_lists_bugs!$A$2:$C$73,3,FALSE())&amp;Char(10) &amp; Char(10) &amp; VLOOKUP(A590,Internal_lists_bugs!$A$2:$Z$73,26,FALSE())),"please select a BUG ID")</f>
        <v>please select a BUG ID</v>
      </c>
      <c r="C590" s="51" t="str">
        <f>IFERROR(Hyperlink(VLOOKUP(A590,Internal_lists_bugs!$A$2:$G1014,7,FALSE()),"BIC: "&amp;VLOOKUP(A590,Internal_lists_bugs!$A$2:$G1014,7,FALSE())&amp;CHAR(10)&amp;"Intro.Issues: "&amp;VLOOKUP(A590,Internal_lists_bugs!$A$2:$P1014,16,FALSE())),"please select a BUG ID")</f>
        <v>please select a BUG ID</v>
      </c>
      <c r="D590" s="52"/>
      <c r="E590" s="43"/>
      <c r="F590" s="49"/>
      <c r="G590" s="50"/>
      <c r="H590" s="43"/>
    </row>
    <row r="591">
      <c r="A591" s="43"/>
      <c r="B591" s="38" t="str">
        <f>IFERROR(HYPERLINK(VLOOKUP(A591,Internal_lists_bugs!$A$2:$C$73,3,FALSE()), VLOOKUP(A591,Internal_lists_bugs!$A$2:$C$73,3,FALSE())&amp;Char(10) &amp; Char(10) &amp; VLOOKUP(A591,Internal_lists_bugs!$A$2:$Z$73,26,FALSE())),"please select a BUG ID")</f>
        <v>please select a BUG ID</v>
      </c>
      <c r="C591" s="51" t="str">
        <f>IFERROR(Hyperlink(VLOOKUP(A591,Internal_lists_bugs!$A$2:$G1014,7,FALSE()),"BIC: "&amp;VLOOKUP(A591,Internal_lists_bugs!$A$2:$G1014,7,FALSE())&amp;CHAR(10)&amp;"Intro.Issues: "&amp;VLOOKUP(A591,Internal_lists_bugs!$A$2:$P1014,16,FALSE())),"please select a BUG ID")</f>
        <v>please select a BUG ID</v>
      </c>
      <c r="D591" s="52"/>
      <c r="E591" s="43"/>
      <c r="F591" s="49"/>
      <c r="G591" s="50"/>
      <c r="H591" s="43"/>
    </row>
    <row r="592">
      <c r="A592" s="43"/>
      <c r="B592" s="38" t="str">
        <f>IFERROR(HYPERLINK(VLOOKUP(A592,Internal_lists_bugs!$A$2:$C$73,3,FALSE()), VLOOKUP(A592,Internal_lists_bugs!$A$2:$C$73,3,FALSE())&amp;Char(10) &amp; Char(10) &amp; VLOOKUP(A592,Internal_lists_bugs!$A$2:$Z$73,26,FALSE())),"please select a BUG ID")</f>
        <v>please select a BUG ID</v>
      </c>
      <c r="C592" s="51" t="str">
        <f>IFERROR(Hyperlink(VLOOKUP(A592,Internal_lists_bugs!$A$2:$G1014,7,FALSE()),"BIC: "&amp;VLOOKUP(A592,Internal_lists_bugs!$A$2:$G1014,7,FALSE())&amp;CHAR(10)&amp;"Intro.Issues: "&amp;VLOOKUP(A592,Internal_lists_bugs!$A$2:$P1014,16,FALSE())),"please select a BUG ID")</f>
        <v>please select a BUG ID</v>
      </c>
      <c r="D592" s="52"/>
      <c r="E592" s="43"/>
      <c r="F592" s="49"/>
      <c r="G592" s="50"/>
      <c r="H592" s="43"/>
    </row>
    <row r="593">
      <c r="A593" s="43"/>
      <c r="B593" s="38" t="str">
        <f>IFERROR(HYPERLINK(VLOOKUP(A593,Internal_lists_bugs!$A$2:$C$73,3,FALSE()), VLOOKUP(A593,Internal_lists_bugs!$A$2:$C$73,3,FALSE())&amp;Char(10) &amp; Char(10) &amp; VLOOKUP(A593,Internal_lists_bugs!$A$2:$Z$73,26,FALSE())),"please select a BUG ID")</f>
        <v>please select a BUG ID</v>
      </c>
      <c r="C593" s="51" t="str">
        <f>IFERROR(Hyperlink(VLOOKUP(A593,Internal_lists_bugs!$A$2:$G1014,7,FALSE()),"BIC: "&amp;VLOOKUP(A593,Internal_lists_bugs!$A$2:$G1014,7,FALSE())&amp;CHAR(10)&amp;"Intro.Issues: "&amp;VLOOKUP(A593,Internal_lists_bugs!$A$2:$P1014,16,FALSE())),"please select a BUG ID")</f>
        <v>please select a BUG ID</v>
      </c>
      <c r="D593" s="52"/>
      <c r="E593" s="43"/>
      <c r="F593" s="49"/>
      <c r="G593" s="50"/>
      <c r="H593" s="43"/>
    </row>
    <row r="594">
      <c r="A594" s="43"/>
      <c r="B594" s="38" t="str">
        <f>IFERROR(HYPERLINK(VLOOKUP(A594,Internal_lists_bugs!$A$2:$C$73,3,FALSE()), VLOOKUP(A594,Internal_lists_bugs!$A$2:$C$73,3,FALSE())&amp;Char(10) &amp; Char(10) &amp; VLOOKUP(A594,Internal_lists_bugs!$A$2:$Z$73,26,FALSE())),"please select a BUG ID")</f>
        <v>please select a BUG ID</v>
      </c>
      <c r="C594" s="51" t="str">
        <f>IFERROR(Hyperlink(VLOOKUP(A594,Internal_lists_bugs!$A$2:$G1014,7,FALSE()),"BIC: "&amp;VLOOKUP(A594,Internal_lists_bugs!$A$2:$G1014,7,FALSE())&amp;CHAR(10)&amp;"Intro.Issues: "&amp;VLOOKUP(A594,Internal_lists_bugs!$A$2:$P1014,16,FALSE())),"please select a BUG ID")</f>
        <v>please select a BUG ID</v>
      </c>
      <c r="D594" s="52"/>
      <c r="E594" s="43"/>
      <c r="F594" s="49"/>
      <c r="G594" s="50"/>
      <c r="H594" s="43"/>
    </row>
    <row r="595">
      <c r="A595" s="43"/>
      <c r="B595" s="38" t="str">
        <f>IFERROR(HYPERLINK(VLOOKUP(A595,Internal_lists_bugs!$A$2:$C$73,3,FALSE()), VLOOKUP(A595,Internal_lists_bugs!$A$2:$C$73,3,FALSE())&amp;Char(10) &amp; Char(10) &amp; VLOOKUP(A595,Internal_lists_bugs!$A$2:$Z$73,26,FALSE())),"please select a BUG ID")</f>
        <v>please select a BUG ID</v>
      </c>
      <c r="C595" s="51" t="str">
        <f>IFERROR(Hyperlink(VLOOKUP(A595,Internal_lists_bugs!$A$2:$G1014,7,FALSE()),"BIC: "&amp;VLOOKUP(A595,Internal_lists_bugs!$A$2:$G1014,7,FALSE())&amp;CHAR(10)&amp;"Intro.Issues: "&amp;VLOOKUP(A595,Internal_lists_bugs!$A$2:$P1014,16,FALSE())),"please select a BUG ID")</f>
        <v>please select a BUG ID</v>
      </c>
      <c r="D595" s="52"/>
      <c r="E595" s="43"/>
      <c r="F595" s="49"/>
      <c r="G595" s="50"/>
      <c r="H595" s="43"/>
    </row>
    <row r="596">
      <c r="A596" s="43"/>
      <c r="B596" s="38" t="str">
        <f>IFERROR(HYPERLINK(VLOOKUP(A596,Internal_lists_bugs!$A$2:$C$73,3,FALSE()), VLOOKUP(A596,Internal_lists_bugs!$A$2:$C$73,3,FALSE())&amp;Char(10) &amp; Char(10) &amp; VLOOKUP(A596,Internal_lists_bugs!$A$2:$Z$73,26,FALSE())),"please select a BUG ID")</f>
        <v>please select a BUG ID</v>
      </c>
      <c r="C596" s="51" t="str">
        <f>IFERROR(Hyperlink(VLOOKUP(A596,Internal_lists_bugs!$A$2:$G1014,7,FALSE()),"BIC: "&amp;VLOOKUP(A596,Internal_lists_bugs!$A$2:$G1014,7,FALSE())&amp;CHAR(10)&amp;"Intro.Issues: "&amp;VLOOKUP(A596,Internal_lists_bugs!$A$2:$P1014,16,FALSE())),"please select a BUG ID")</f>
        <v>please select a BUG ID</v>
      </c>
      <c r="D596" s="52"/>
      <c r="E596" s="43"/>
      <c r="F596" s="49"/>
      <c r="G596" s="50"/>
      <c r="H596" s="43"/>
    </row>
    <row r="597">
      <c r="A597" s="43"/>
      <c r="B597" s="38" t="str">
        <f>IFERROR(HYPERLINK(VLOOKUP(A597,Internal_lists_bugs!$A$2:$C$73,3,FALSE()), VLOOKUP(A597,Internal_lists_bugs!$A$2:$C$73,3,FALSE())&amp;Char(10) &amp; Char(10) &amp; VLOOKUP(A597,Internal_lists_bugs!$A$2:$Z$73,26,FALSE())),"please select a BUG ID")</f>
        <v>please select a BUG ID</v>
      </c>
      <c r="C597" s="51" t="str">
        <f>IFERROR(Hyperlink(VLOOKUP(A597,Internal_lists_bugs!$A$2:$G1014,7,FALSE()),"BIC: "&amp;VLOOKUP(A597,Internal_lists_bugs!$A$2:$G1014,7,FALSE())&amp;CHAR(10)&amp;"Intro.Issues: "&amp;VLOOKUP(A597,Internal_lists_bugs!$A$2:$P1014,16,FALSE())),"please select a BUG ID")</f>
        <v>please select a BUG ID</v>
      </c>
      <c r="D597" s="52"/>
      <c r="E597" s="43"/>
      <c r="F597" s="49"/>
      <c r="G597" s="50"/>
      <c r="H597" s="43"/>
    </row>
    <row r="598">
      <c r="A598" s="43"/>
      <c r="B598" s="38" t="str">
        <f>IFERROR(HYPERLINK(VLOOKUP(A598,Internal_lists_bugs!$A$2:$C$73,3,FALSE()), VLOOKUP(A598,Internal_lists_bugs!$A$2:$C$73,3,FALSE())&amp;Char(10) &amp; Char(10) &amp; VLOOKUP(A598,Internal_lists_bugs!$A$2:$Z$73,26,FALSE())),"please select a BUG ID")</f>
        <v>please select a BUG ID</v>
      </c>
      <c r="C598" s="51" t="str">
        <f>IFERROR(Hyperlink(VLOOKUP(A598,Internal_lists_bugs!$A$2:$G1014,7,FALSE()),"BIC: "&amp;VLOOKUP(A598,Internal_lists_bugs!$A$2:$G1014,7,FALSE())&amp;CHAR(10)&amp;"Intro.Issues: "&amp;VLOOKUP(A598,Internal_lists_bugs!$A$2:$P1014,16,FALSE())),"please select a BUG ID")</f>
        <v>please select a BUG ID</v>
      </c>
      <c r="D598" s="52"/>
      <c r="E598" s="43"/>
      <c r="F598" s="49"/>
      <c r="G598" s="50"/>
      <c r="H598" s="43"/>
    </row>
    <row r="599">
      <c r="A599" s="43"/>
      <c r="B599" s="38" t="str">
        <f>IFERROR(HYPERLINK(VLOOKUP(A599,Internal_lists_bugs!$A$2:$C$73,3,FALSE()), VLOOKUP(A599,Internal_lists_bugs!$A$2:$C$73,3,FALSE())&amp;Char(10) &amp; Char(10) &amp; VLOOKUP(A599,Internal_lists_bugs!$A$2:$Z$73,26,FALSE())),"please select a BUG ID")</f>
        <v>please select a BUG ID</v>
      </c>
      <c r="C599" s="51" t="str">
        <f>IFERROR(Hyperlink(VLOOKUP(A599,Internal_lists_bugs!$A$2:$G1014,7,FALSE()),"BIC: "&amp;VLOOKUP(A599,Internal_lists_bugs!$A$2:$G1014,7,FALSE())&amp;CHAR(10)&amp;"Intro.Issues: "&amp;VLOOKUP(A599,Internal_lists_bugs!$A$2:$P1014,16,FALSE())),"please select a BUG ID")</f>
        <v>please select a BUG ID</v>
      </c>
      <c r="D599" s="52"/>
      <c r="E599" s="43"/>
      <c r="F599" s="49"/>
      <c r="G599" s="50"/>
      <c r="H599" s="43"/>
    </row>
    <row r="600">
      <c r="A600" s="43"/>
      <c r="B600" s="38" t="str">
        <f>IFERROR(HYPERLINK(VLOOKUP(A600,Internal_lists_bugs!$A$2:$C$73,3,FALSE()), VLOOKUP(A600,Internal_lists_bugs!$A$2:$C$73,3,FALSE())&amp;Char(10) &amp; Char(10) &amp; VLOOKUP(A600,Internal_lists_bugs!$A$2:$Z$73,26,FALSE())),"please select a BUG ID")</f>
        <v>please select a BUG ID</v>
      </c>
      <c r="C600" s="51" t="str">
        <f>IFERROR(Hyperlink(VLOOKUP(A600,Internal_lists_bugs!$A$2:$G1014,7,FALSE()),"BIC: "&amp;VLOOKUP(A600,Internal_lists_bugs!$A$2:$G1014,7,FALSE())&amp;CHAR(10)&amp;"Intro.Issues: "&amp;VLOOKUP(A600,Internal_lists_bugs!$A$2:$P1014,16,FALSE())),"please select a BUG ID")</f>
        <v>please select a BUG ID</v>
      </c>
      <c r="D600" s="52"/>
      <c r="E600" s="43"/>
      <c r="F600" s="49"/>
      <c r="G600" s="50"/>
      <c r="H600" s="43"/>
    </row>
    <row r="601">
      <c r="A601" s="43"/>
      <c r="B601" s="38" t="str">
        <f>IFERROR(HYPERLINK(VLOOKUP(A601,Internal_lists_bugs!$A$2:$C$73,3,FALSE()), VLOOKUP(A601,Internal_lists_bugs!$A$2:$C$73,3,FALSE())&amp;Char(10) &amp; Char(10) &amp; VLOOKUP(A601,Internal_lists_bugs!$A$2:$Z$73,26,FALSE())),"please select a BUG ID")</f>
        <v>please select a BUG ID</v>
      </c>
      <c r="C601" s="51" t="str">
        <f>IFERROR(Hyperlink(VLOOKUP(A601,Internal_lists_bugs!$A$2:$G1014,7,FALSE()),"BIC: "&amp;VLOOKUP(A601,Internal_lists_bugs!$A$2:$G1014,7,FALSE())&amp;CHAR(10)&amp;"Intro.Issues: "&amp;VLOOKUP(A601,Internal_lists_bugs!$A$2:$P1014,16,FALSE())),"please select a BUG ID")</f>
        <v>please select a BUG ID</v>
      </c>
      <c r="D601" s="52"/>
      <c r="E601" s="43"/>
      <c r="F601" s="49"/>
      <c r="G601" s="50"/>
      <c r="H601" s="43"/>
    </row>
    <row r="602">
      <c r="A602" s="43"/>
      <c r="B602" s="38" t="str">
        <f>IFERROR(HYPERLINK(VLOOKUP(A602,Internal_lists_bugs!$A$2:$C$73,3,FALSE()), VLOOKUP(A602,Internal_lists_bugs!$A$2:$C$73,3,FALSE())&amp;Char(10) &amp; Char(10) &amp; VLOOKUP(A602,Internal_lists_bugs!$A$2:$Z$73,26,FALSE())),"please select a BUG ID")</f>
        <v>please select a BUG ID</v>
      </c>
      <c r="C602" s="51" t="str">
        <f>IFERROR(Hyperlink(VLOOKUP(A602,Internal_lists_bugs!$A$2:$G1014,7,FALSE()),"BIC: "&amp;VLOOKUP(A602,Internal_lists_bugs!$A$2:$G1014,7,FALSE())&amp;CHAR(10)&amp;"Intro.Issues: "&amp;VLOOKUP(A602,Internal_lists_bugs!$A$2:$P1014,16,FALSE())),"please select a BUG ID")</f>
        <v>please select a BUG ID</v>
      </c>
      <c r="D602" s="52"/>
      <c r="E602" s="43"/>
      <c r="F602" s="49"/>
      <c r="G602" s="50"/>
      <c r="H602" s="43"/>
    </row>
    <row r="603">
      <c r="A603" s="43"/>
      <c r="B603" s="38" t="str">
        <f>IFERROR(HYPERLINK(VLOOKUP(A603,Internal_lists_bugs!$A$2:$C$73,3,FALSE()), VLOOKUP(A603,Internal_lists_bugs!$A$2:$C$73,3,FALSE())&amp;Char(10) &amp; Char(10) &amp; VLOOKUP(A603,Internal_lists_bugs!$A$2:$Z$73,26,FALSE())),"please select a BUG ID")</f>
        <v>please select a BUG ID</v>
      </c>
      <c r="C603" s="51" t="str">
        <f>IFERROR(Hyperlink(VLOOKUP(A603,Internal_lists_bugs!$A$2:$G1014,7,FALSE()),"BIC: "&amp;VLOOKUP(A603,Internal_lists_bugs!$A$2:$G1014,7,FALSE())&amp;CHAR(10)&amp;"Intro.Issues: "&amp;VLOOKUP(A603,Internal_lists_bugs!$A$2:$P1014,16,FALSE())),"please select a BUG ID")</f>
        <v>please select a BUG ID</v>
      </c>
      <c r="D603" s="52"/>
      <c r="E603" s="43"/>
      <c r="F603" s="49"/>
      <c r="G603" s="50"/>
      <c r="H603" s="43"/>
    </row>
    <row r="604">
      <c r="A604" s="43"/>
      <c r="B604" s="38" t="str">
        <f>IFERROR(HYPERLINK(VLOOKUP(A604,Internal_lists_bugs!$A$2:$C$73,3,FALSE()), VLOOKUP(A604,Internal_lists_bugs!$A$2:$C$73,3,FALSE())&amp;Char(10) &amp; Char(10) &amp; VLOOKUP(A604,Internal_lists_bugs!$A$2:$Z$73,26,FALSE())),"please select a BUG ID")</f>
        <v>please select a BUG ID</v>
      </c>
      <c r="C604" s="51" t="str">
        <f>IFERROR(Hyperlink(VLOOKUP(A604,Internal_lists_bugs!$A$2:$G1014,7,FALSE()),"BIC: "&amp;VLOOKUP(A604,Internal_lists_bugs!$A$2:$G1014,7,FALSE())&amp;CHAR(10)&amp;"Intro.Issues: "&amp;VLOOKUP(A604,Internal_lists_bugs!$A$2:$P1014,16,FALSE())),"please select a BUG ID")</f>
        <v>please select a BUG ID</v>
      </c>
      <c r="D604" s="52"/>
      <c r="E604" s="43"/>
      <c r="F604" s="49"/>
      <c r="G604" s="50"/>
      <c r="H604" s="43"/>
    </row>
    <row r="605">
      <c r="A605" s="43"/>
      <c r="B605" s="38" t="str">
        <f>IFERROR(HYPERLINK(VLOOKUP(A605,Internal_lists_bugs!$A$2:$C$73,3,FALSE()), VLOOKUP(A605,Internal_lists_bugs!$A$2:$C$73,3,FALSE())&amp;Char(10) &amp; Char(10) &amp; VLOOKUP(A605,Internal_lists_bugs!$A$2:$Z$73,26,FALSE())),"please select a BUG ID")</f>
        <v>please select a BUG ID</v>
      </c>
      <c r="C605" s="51" t="str">
        <f>IFERROR(Hyperlink(VLOOKUP(A605,Internal_lists_bugs!$A$2:$G1014,7,FALSE()),"BIC: "&amp;VLOOKUP(A605,Internal_lists_bugs!$A$2:$G1014,7,FALSE())&amp;CHAR(10)&amp;"Intro.Issues: "&amp;VLOOKUP(A605,Internal_lists_bugs!$A$2:$P1014,16,FALSE())),"please select a BUG ID")</f>
        <v>please select a BUG ID</v>
      </c>
      <c r="D605" s="52"/>
      <c r="E605" s="43"/>
      <c r="F605" s="49"/>
      <c r="G605" s="50"/>
      <c r="H605" s="43"/>
    </row>
    <row r="606">
      <c r="A606" s="43"/>
      <c r="B606" s="38" t="str">
        <f>IFERROR(HYPERLINK(VLOOKUP(A606,Internal_lists_bugs!$A$2:$C$73,3,FALSE()), VLOOKUP(A606,Internal_lists_bugs!$A$2:$C$73,3,FALSE())&amp;Char(10) &amp; Char(10) &amp; VLOOKUP(A606,Internal_lists_bugs!$A$2:$Z$73,26,FALSE())),"please select a BUG ID")</f>
        <v>please select a BUG ID</v>
      </c>
      <c r="C606" s="51" t="str">
        <f>IFERROR(Hyperlink(VLOOKUP(A606,Internal_lists_bugs!$A$2:$G1014,7,FALSE()),"BIC: "&amp;VLOOKUP(A606,Internal_lists_bugs!$A$2:$G1014,7,FALSE())&amp;CHAR(10)&amp;"Intro.Issues: "&amp;VLOOKUP(A606,Internal_lists_bugs!$A$2:$P1014,16,FALSE())),"please select a BUG ID")</f>
        <v>please select a BUG ID</v>
      </c>
      <c r="D606" s="52"/>
      <c r="E606" s="43"/>
      <c r="F606" s="49"/>
      <c r="G606" s="50"/>
      <c r="H606" s="43"/>
    </row>
    <row r="607">
      <c r="A607" s="43"/>
      <c r="B607" s="38" t="str">
        <f>IFERROR(HYPERLINK(VLOOKUP(A607,Internal_lists_bugs!$A$2:$C$73,3,FALSE()), VLOOKUP(A607,Internal_lists_bugs!$A$2:$C$73,3,FALSE())&amp;Char(10) &amp; Char(10) &amp; VLOOKUP(A607,Internal_lists_bugs!$A$2:$Z$73,26,FALSE())),"please select a BUG ID")</f>
        <v>please select a BUG ID</v>
      </c>
      <c r="C607" s="51" t="str">
        <f>IFERROR(Hyperlink(VLOOKUP(A607,Internal_lists_bugs!$A$2:$G1014,7,FALSE()),"BIC: "&amp;VLOOKUP(A607,Internal_lists_bugs!$A$2:$G1014,7,FALSE())&amp;CHAR(10)&amp;"Intro.Issues: "&amp;VLOOKUP(A607,Internal_lists_bugs!$A$2:$P1014,16,FALSE())),"please select a BUG ID")</f>
        <v>please select a BUG ID</v>
      </c>
      <c r="D607" s="52"/>
      <c r="E607" s="43"/>
      <c r="F607" s="49"/>
      <c r="G607" s="50"/>
      <c r="H607" s="43"/>
    </row>
    <row r="608">
      <c r="A608" s="43"/>
      <c r="B608" s="38" t="str">
        <f>IFERROR(HYPERLINK(VLOOKUP(A608,Internal_lists_bugs!$A$2:$C$73,3,FALSE()), VLOOKUP(A608,Internal_lists_bugs!$A$2:$C$73,3,FALSE())&amp;Char(10) &amp; Char(10) &amp; VLOOKUP(A608,Internal_lists_bugs!$A$2:$Z$73,26,FALSE())),"please select a BUG ID")</f>
        <v>please select a BUG ID</v>
      </c>
      <c r="C608" s="51" t="str">
        <f>IFERROR(Hyperlink(VLOOKUP(A608,Internal_lists_bugs!$A$2:$G1014,7,FALSE()),"BIC: "&amp;VLOOKUP(A608,Internal_lists_bugs!$A$2:$G1014,7,FALSE())&amp;CHAR(10)&amp;"Intro.Issues: "&amp;VLOOKUP(A608,Internal_lists_bugs!$A$2:$P1014,16,FALSE())),"please select a BUG ID")</f>
        <v>please select a BUG ID</v>
      </c>
      <c r="D608" s="52"/>
      <c r="E608" s="43"/>
      <c r="F608" s="49"/>
      <c r="G608" s="50"/>
      <c r="H608" s="43"/>
    </row>
    <row r="609">
      <c r="A609" s="43"/>
      <c r="B609" s="38" t="str">
        <f>IFERROR(HYPERLINK(VLOOKUP(A609,Internal_lists_bugs!$A$2:$C$73,3,FALSE()), VLOOKUP(A609,Internal_lists_bugs!$A$2:$C$73,3,FALSE())&amp;Char(10) &amp; Char(10) &amp; VLOOKUP(A609,Internal_lists_bugs!$A$2:$Z$73,26,FALSE())),"please select a BUG ID")</f>
        <v>please select a BUG ID</v>
      </c>
      <c r="C609" s="51" t="str">
        <f>IFERROR(Hyperlink(VLOOKUP(A609,Internal_lists_bugs!$A$2:$G1014,7,FALSE()),"BIC: "&amp;VLOOKUP(A609,Internal_lists_bugs!$A$2:$G1014,7,FALSE())&amp;CHAR(10)&amp;"Intro.Issues: "&amp;VLOOKUP(A609,Internal_lists_bugs!$A$2:$P1014,16,FALSE())),"please select a BUG ID")</f>
        <v>please select a BUG ID</v>
      </c>
      <c r="D609" s="52"/>
      <c r="E609" s="43"/>
      <c r="F609" s="49"/>
      <c r="G609" s="50"/>
      <c r="H609" s="43"/>
    </row>
    <row r="610">
      <c r="A610" s="43"/>
      <c r="B610" s="38" t="str">
        <f>IFERROR(HYPERLINK(VLOOKUP(A610,Internal_lists_bugs!$A$2:$C$73,3,FALSE()), VLOOKUP(A610,Internal_lists_bugs!$A$2:$C$73,3,FALSE())&amp;Char(10) &amp; Char(10) &amp; VLOOKUP(A610,Internal_lists_bugs!$A$2:$Z$73,26,FALSE())),"please select a BUG ID")</f>
        <v>please select a BUG ID</v>
      </c>
      <c r="C610" s="51" t="str">
        <f>IFERROR(Hyperlink(VLOOKUP(A610,Internal_lists_bugs!$A$2:$G1014,7,FALSE()),"BIC: "&amp;VLOOKUP(A610,Internal_lists_bugs!$A$2:$G1014,7,FALSE())&amp;CHAR(10)&amp;"Intro.Issues: "&amp;VLOOKUP(A610,Internal_lists_bugs!$A$2:$P1014,16,FALSE())),"please select a BUG ID")</f>
        <v>please select a BUG ID</v>
      </c>
      <c r="D610" s="52"/>
      <c r="E610" s="43"/>
      <c r="F610" s="49"/>
      <c r="G610" s="50"/>
      <c r="H610" s="43"/>
    </row>
    <row r="611">
      <c r="A611" s="43"/>
      <c r="B611" s="38" t="str">
        <f>IFERROR(HYPERLINK(VLOOKUP(A611,Internal_lists_bugs!$A$2:$C$73,3,FALSE()), VLOOKUP(A611,Internal_lists_bugs!$A$2:$C$73,3,FALSE())&amp;Char(10) &amp; Char(10) &amp; VLOOKUP(A611,Internal_lists_bugs!$A$2:$Z$73,26,FALSE())),"please select a BUG ID")</f>
        <v>please select a BUG ID</v>
      </c>
      <c r="C611" s="51" t="str">
        <f>IFERROR(Hyperlink(VLOOKUP(A611,Internal_lists_bugs!$A$2:$G1014,7,FALSE()),"BIC: "&amp;VLOOKUP(A611,Internal_lists_bugs!$A$2:$G1014,7,FALSE())&amp;CHAR(10)&amp;"Intro.Issues: "&amp;VLOOKUP(A611,Internal_lists_bugs!$A$2:$P1014,16,FALSE())),"please select a BUG ID")</f>
        <v>please select a BUG ID</v>
      </c>
      <c r="D611" s="52"/>
      <c r="E611" s="43"/>
      <c r="F611" s="49"/>
      <c r="G611" s="50"/>
      <c r="H611" s="43"/>
    </row>
    <row r="612">
      <c r="A612" s="43"/>
      <c r="B612" s="38" t="str">
        <f>IFERROR(HYPERLINK(VLOOKUP(A612,Internal_lists_bugs!$A$2:$C$73,3,FALSE()), VLOOKUP(A612,Internal_lists_bugs!$A$2:$C$73,3,FALSE())&amp;Char(10) &amp; Char(10) &amp; VLOOKUP(A612,Internal_lists_bugs!$A$2:$Z$73,26,FALSE())),"please select a BUG ID")</f>
        <v>please select a BUG ID</v>
      </c>
      <c r="C612" s="51" t="str">
        <f>IFERROR(Hyperlink(VLOOKUP(A612,Internal_lists_bugs!$A$2:$G1014,7,FALSE()),"BIC: "&amp;VLOOKUP(A612,Internal_lists_bugs!$A$2:$G1014,7,FALSE())&amp;CHAR(10)&amp;"Intro.Issues: "&amp;VLOOKUP(A612,Internal_lists_bugs!$A$2:$P1014,16,FALSE())),"please select a BUG ID")</f>
        <v>please select a BUG ID</v>
      </c>
      <c r="D612" s="52"/>
      <c r="E612" s="43"/>
      <c r="F612" s="49"/>
      <c r="G612" s="50"/>
      <c r="H612" s="43"/>
    </row>
    <row r="613">
      <c r="A613" s="43"/>
      <c r="B613" s="38" t="str">
        <f>IFERROR(HYPERLINK(VLOOKUP(A613,Internal_lists_bugs!$A$2:$C$73,3,FALSE()), VLOOKUP(A613,Internal_lists_bugs!$A$2:$C$73,3,FALSE())&amp;Char(10) &amp; Char(10) &amp; VLOOKUP(A613,Internal_lists_bugs!$A$2:$Z$73,26,FALSE())),"please select a BUG ID")</f>
        <v>please select a BUG ID</v>
      </c>
      <c r="C613" s="51" t="str">
        <f>IFERROR(Hyperlink(VLOOKUP(A613,Internal_lists_bugs!$A$2:$G1014,7,FALSE()),"BIC: "&amp;VLOOKUP(A613,Internal_lists_bugs!$A$2:$G1014,7,FALSE())&amp;CHAR(10)&amp;"Intro.Issues: "&amp;VLOOKUP(A613,Internal_lists_bugs!$A$2:$P1014,16,FALSE())),"please select a BUG ID")</f>
        <v>please select a BUG ID</v>
      </c>
      <c r="D613" s="52"/>
      <c r="E613" s="43"/>
      <c r="F613" s="49"/>
      <c r="G613" s="50"/>
      <c r="H613" s="43"/>
    </row>
    <row r="614">
      <c r="A614" s="43"/>
      <c r="B614" s="38" t="str">
        <f>IFERROR(HYPERLINK(VLOOKUP(A614,Internal_lists_bugs!$A$2:$C$73,3,FALSE()), VLOOKUP(A614,Internal_lists_bugs!$A$2:$C$73,3,FALSE())&amp;Char(10) &amp; Char(10) &amp; VLOOKUP(A614,Internal_lists_bugs!$A$2:$Z$73,26,FALSE())),"please select a BUG ID")</f>
        <v>please select a BUG ID</v>
      </c>
      <c r="C614" s="51" t="str">
        <f>IFERROR(Hyperlink(VLOOKUP(A614,Internal_lists_bugs!$A$2:$G1014,7,FALSE()),"BIC: "&amp;VLOOKUP(A614,Internal_lists_bugs!$A$2:$G1014,7,FALSE())&amp;CHAR(10)&amp;"Intro.Issues: "&amp;VLOOKUP(A614,Internal_lists_bugs!$A$2:$P1014,16,FALSE())),"please select a BUG ID")</f>
        <v>please select a BUG ID</v>
      </c>
      <c r="D614" s="52"/>
      <c r="E614" s="43"/>
      <c r="F614" s="49"/>
      <c r="G614" s="50"/>
      <c r="H614" s="43"/>
    </row>
    <row r="615">
      <c r="A615" s="43"/>
      <c r="B615" s="38" t="str">
        <f>IFERROR(HYPERLINK(VLOOKUP(A615,Internal_lists_bugs!$A$2:$C$73,3,FALSE()), VLOOKUP(A615,Internal_lists_bugs!$A$2:$C$73,3,FALSE())&amp;Char(10) &amp; Char(10) &amp; VLOOKUP(A615,Internal_lists_bugs!$A$2:$Z$73,26,FALSE())),"please select a BUG ID")</f>
        <v>please select a BUG ID</v>
      </c>
      <c r="C615" s="51" t="str">
        <f>IFERROR(Hyperlink(VLOOKUP(A615,Internal_lists_bugs!$A$2:$G1014,7,FALSE()),"BIC: "&amp;VLOOKUP(A615,Internal_lists_bugs!$A$2:$G1014,7,FALSE())&amp;CHAR(10)&amp;"Intro.Issues: "&amp;VLOOKUP(A615,Internal_lists_bugs!$A$2:$P1014,16,FALSE())),"please select a BUG ID")</f>
        <v>please select a BUG ID</v>
      </c>
      <c r="D615" s="52"/>
      <c r="E615" s="43"/>
      <c r="F615" s="49"/>
      <c r="G615" s="50"/>
      <c r="H615" s="43"/>
    </row>
    <row r="616">
      <c r="A616" s="43"/>
      <c r="B616" s="38" t="str">
        <f>IFERROR(HYPERLINK(VLOOKUP(A616,Internal_lists_bugs!$A$2:$C$73,3,FALSE()), VLOOKUP(A616,Internal_lists_bugs!$A$2:$C$73,3,FALSE())&amp;Char(10) &amp; Char(10) &amp; VLOOKUP(A616,Internal_lists_bugs!$A$2:$Z$73,26,FALSE())),"please select a BUG ID")</f>
        <v>please select a BUG ID</v>
      </c>
      <c r="C616" s="51" t="str">
        <f>IFERROR(Hyperlink(VLOOKUP(A616,Internal_lists_bugs!$A$2:$G1014,7,FALSE()),"BIC: "&amp;VLOOKUP(A616,Internal_lists_bugs!$A$2:$G1014,7,FALSE())&amp;CHAR(10)&amp;"Intro.Issues: "&amp;VLOOKUP(A616,Internal_lists_bugs!$A$2:$P1014,16,FALSE())),"please select a BUG ID")</f>
        <v>please select a BUG ID</v>
      </c>
      <c r="D616" s="52"/>
      <c r="E616" s="43"/>
      <c r="F616" s="49"/>
      <c r="G616" s="50"/>
      <c r="H616" s="43"/>
    </row>
    <row r="617">
      <c r="A617" s="43"/>
      <c r="B617" s="38" t="str">
        <f>IFERROR(HYPERLINK(VLOOKUP(A617,Internal_lists_bugs!$A$2:$C$73,3,FALSE()), VLOOKUP(A617,Internal_lists_bugs!$A$2:$C$73,3,FALSE())&amp;Char(10) &amp; Char(10) &amp; VLOOKUP(A617,Internal_lists_bugs!$A$2:$Z$73,26,FALSE())),"please select a BUG ID")</f>
        <v>please select a BUG ID</v>
      </c>
      <c r="C617" s="51" t="str">
        <f>IFERROR(Hyperlink(VLOOKUP(A617,Internal_lists_bugs!$A$2:$G1014,7,FALSE()),"BIC: "&amp;VLOOKUP(A617,Internal_lists_bugs!$A$2:$G1014,7,FALSE())&amp;CHAR(10)&amp;"Intro.Issues: "&amp;VLOOKUP(A617,Internal_lists_bugs!$A$2:$P1014,16,FALSE())),"please select a BUG ID")</f>
        <v>please select a BUG ID</v>
      </c>
      <c r="D617" s="52"/>
      <c r="E617" s="43"/>
      <c r="F617" s="49"/>
      <c r="G617" s="50"/>
      <c r="H617" s="43"/>
    </row>
    <row r="618">
      <c r="A618" s="43"/>
      <c r="B618" s="38" t="str">
        <f>IFERROR(HYPERLINK(VLOOKUP(A618,Internal_lists_bugs!$A$2:$C$73,3,FALSE()), VLOOKUP(A618,Internal_lists_bugs!$A$2:$C$73,3,FALSE())&amp;Char(10) &amp; Char(10) &amp; VLOOKUP(A618,Internal_lists_bugs!$A$2:$Z$73,26,FALSE())),"please select a BUG ID")</f>
        <v>please select a BUG ID</v>
      </c>
      <c r="C618" s="51" t="str">
        <f>IFERROR(Hyperlink(VLOOKUP(A618,Internal_lists_bugs!$A$2:$G1014,7,FALSE()),"BIC: "&amp;VLOOKUP(A618,Internal_lists_bugs!$A$2:$G1014,7,FALSE())&amp;CHAR(10)&amp;"Intro.Issues: "&amp;VLOOKUP(A618,Internal_lists_bugs!$A$2:$P1014,16,FALSE())),"please select a BUG ID")</f>
        <v>please select a BUG ID</v>
      </c>
      <c r="D618" s="52"/>
      <c r="E618" s="43"/>
      <c r="F618" s="49"/>
      <c r="G618" s="50"/>
      <c r="H618" s="43"/>
    </row>
    <row r="619">
      <c r="A619" s="43"/>
      <c r="B619" s="38" t="str">
        <f>IFERROR(HYPERLINK(VLOOKUP(A619,Internal_lists_bugs!$A$2:$C$73,3,FALSE()), VLOOKUP(A619,Internal_lists_bugs!$A$2:$C$73,3,FALSE())&amp;Char(10) &amp; Char(10) &amp; VLOOKUP(A619,Internal_lists_bugs!$A$2:$Z$73,26,FALSE())),"please select a BUG ID")</f>
        <v>please select a BUG ID</v>
      </c>
      <c r="C619" s="51" t="str">
        <f>IFERROR(Hyperlink(VLOOKUP(A619,Internal_lists_bugs!$A$2:$G1014,7,FALSE()),"BIC: "&amp;VLOOKUP(A619,Internal_lists_bugs!$A$2:$G1014,7,FALSE())&amp;CHAR(10)&amp;"Intro.Issues: "&amp;VLOOKUP(A619,Internal_lists_bugs!$A$2:$P1014,16,FALSE())),"please select a BUG ID")</f>
        <v>please select a BUG ID</v>
      </c>
      <c r="D619" s="52"/>
      <c r="E619" s="43"/>
      <c r="F619" s="49"/>
      <c r="G619" s="50"/>
      <c r="H619" s="43"/>
    </row>
    <row r="620">
      <c r="A620" s="43"/>
      <c r="B620" s="38" t="str">
        <f>IFERROR(HYPERLINK(VLOOKUP(A620,Internal_lists_bugs!$A$2:$C$73,3,FALSE()), VLOOKUP(A620,Internal_lists_bugs!$A$2:$C$73,3,FALSE())&amp;Char(10) &amp; Char(10) &amp; VLOOKUP(A620,Internal_lists_bugs!$A$2:$Z$73,26,FALSE())),"please select a BUG ID")</f>
        <v>please select a BUG ID</v>
      </c>
      <c r="C620" s="51" t="str">
        <f>IFERROR(Hyperlink(VLOOKUP(A620,Internal_lists_bugs!$A$2:$G1014,7,FALSE()),"BIC: "&amp;VLOOKUP(A620,Internal_lists_bugs!$A$2:$G1014,7,FALSE())&amp;CHAR(10)&amp;"Intro.Issues: "&amp;VLOOKUP(A620,Internal_lists_bugs!$A$2:$P1014,16,FALSE())),"please select a BUG ID")</f>
        <v>please select a BUG ID</v>
      </c>
      <c r="D620" s="52"/>
      <c r="E620" s="43"/>
      <c r="F620" s="49"/>
      <c r="G620" s="50"/>
      <c r="H620" s="43"/>
    </row>
    <row r="621">
      <c r="A621" s="43"/>
      <c r="B621" s="38" t="str">
        <f>IFERROR(HYPERLINK(VLOOKUP(A621,Internal_lists_bugs!$A$2:$C$73,3,FALSE()), VLOOKUP(A621,Internal_lists_bugs!$A$2:$C$73,3,FALSE())&amp;Char(10) &amp; Char(10) &amp; VLOOKUP(A621,Internal_lists_bugs!$A$2:$Z$73,26,FALSE())),"please select a BUG ID")</f>
        <v>please select a BUG ID</v>
      </c>
      <c r="C621" s="51" t="str">
        <f>IFERROR(Hyperlink(VLOOKUP(A621,Internal_lists_bugs!$A$2:$G1014,7,FALSE()),"BIC: "&amp;VLOOKUP(A621,Internal_lists_bugs!$A$2:$G1014,7,FALSE())&amp;CHAR(10)&amp;"Intro.Issues: "&amp;VLOOKUP(A621,Internal_lists_bugs!$A$2:$P1014,16,FALSE())),"please select a BUG ID")</f>
        <v>please select a BUG ID</v>
      </c>
      <c r="D621" s="52"/>
      <c r="E621" s="43"/>
      <c r="F621" s="49"/>
      <c r="G621" s="50"/>
      <c r="H621" s="43"/>
    </row>
    <row r="622">
      <c r="A622" s="43"/>
      <c r="B622" s="38" t="str">
        <f>IFERROR(HYPERLINK(VLOOKUP(A622,Internal_lists_bugs!$A$2:$C$73,3,FALSE()), VLOOKUP(A622,Internal_lists_bugs!$A$2:$C$73,3,FALSE())&amp;Char(10) &amp; Char(10) &amp; VLOOKUP(A622,Internal_lists_bugs!$A$2:$Z$73,26,FALSE())),"please select a BUG ID")</f>
        <v>please select a BUG ID</v>
      </c>
      <c r="C622" s="51" t="str">
        <f>IFERROR(Hyperlink(VLOOKUP(A622,Internal_lists_bugs!$A$2:$G1014,7,FALSE()),"BIC: "&amp;VLOOKUP(A622,Internal_lists_bugs!$A$2:$G1014,7,FALSE())&amp;CHAR(10)&amp;"Intro.Issues: "&amp;VLOOKUP(A622,Internal_lists_bugs!$A$2:$P1014,16,FALSE())),"please select a BUG ID")</f>
        <v>please select a BUG ID</v>
      </c>
      <c r="D622" s="52"/>
      <c r="E622" s="43"/>
      <c r="F622" s="49"/>
      <c r="G622" s="50"/>
      <c r="H622" s="43"/>
    </row>
    <row r="623">
      <c r="A623" s="43"/>
      <c r="B623" s="38" t="str">
        <f>IFERROR(HYPERLINK(VLOOKUP(A623,Internal_lists_bugs!$A$2:$C$73,3,FALSE()), VLOOKUP(A623,Internal_lists_bugs!$A$2:$C$73,3,FALSE())&amp;Char(10) &amp; Char(10) &amp; VLOOKUP(A623,Internal_lists_bugs!$A$2:$Z$73,26,FALSE())),"please select a BUG ID")</f>
        <v>please select a BUG ID</v>
      </c>
      <c r="C623" s="51" t="str">
        <f>IFERROR(Hyperlink(VLOOKUP(A623,Internal_lists_bugs!$A$2:$G1014,7,FALSE()),"BIC: "&amp;VLOOKUP(A623,Internal_lists_bugs!$A$2:$G1014,7,FALSE())&amp;CHAR(10)&amp;"Intro.Issues: "&amp;VLOOKUP(A623,Internal_lists_bugs!$A$2:$P1014,16,FALSE())),"please select a BUG ID")</f>
        <v>please select a BUG ID</v>
      </c>
      <c r="D623" s="52"/>
      <c r="E623" s="43"/>
      <c r="F623" s="49"/>
      <c r="G623" s="50"/>
      <c r="H623" s="43"/>
    </row>
    <row r="624">
      <c r="A624" s="43"/>
      <c r="B624" s="38" t="str">
        <f>IFERROR(HYPERLINK(VLOOKUP(A624,Internal_lists_bugs!$A$2:$C$73,3,FALSE()), VLOOKUP(A624,Internal_lists_bugs!$A$2:$C$73,3,FALSE())&amp;Char(10) &amp; Char(10) &amp; VLOOKUP(A624,Internal_lists_bugs!$A$2:$Z$73,26,FALSE())),"please select a BUG ID")</f>
        <v>please select a BUG ID</v>
      </c>
      <c r="C624" s="51" t="str">
        <f>IFERROR(Hyperlink(VLOOKUP(A624,Internal_lists_bugs!$A$2:$G1014,7,FALSE()),"BIC: "&amp;VLOOKUP(A624,Internal_lists_bugs!$A$2:$G1014,7,FALSE())&amp;CHAR(10)&amp;"Intro.Issues: "&amp;VLOOKUP(A624,Internal_lists_bugs!$A$2:$P1014,16,FALSE())),"please select a BUG ID")</f>
        <v>please select a BUG ID</v>
      </c>
      <c r="D624" s="52"/>
      <c r="E624" s="43"/>
      <c r="F624" s="49"/>
      <c r="G624" s="50"/>
      <c r="H624" s="43"/>
    </row>
    <row r="625">
      <c r="A625" s="43"/>
      <c r="B625" s="38" t="str">
        <f>IFERROR(HYPERLINK(VLOOKUP(A625,Internal_lists_bugs!$A$2:$C$73,3,FALSE()), VLOOKUP(A625,Internal_lists_bugs!$A$2:$C$73,3,FALSE())&amp;Char(10) &amp; Char(10) &amp; VLOOKUP(A625,Internal_lists_bugs!$A$2:$Z$73,26,FALSE())),"please select a BUG ID")</f>
        <v>please select a BUG ID</v>
      </c>
      <c r="C625" s="51" t="str">
        <f>IFERROR(Hyperlink(VLOOKUP(A625,Internal_lists_bugs!$A$2:$G1014,7,FALSE()),"BIC: "&amp;VLOOKUP(A625,Internal_lists_bugs!$A$2:$G1014,7,FALSE())&amp;CHAR(10)&amp;"Intro.Issues: "&amp;VLOOKUP(A625,Internal_lists_bugs!$A$2:$P1014,16,FALSE())),"please select a BUG ID")</f>
        <v>please select a BUG ID</v>
      </c>
      <c r="D625" s="52"/>
      <c r="E625" s="43"/>
      <c r="F625" s="49"/>
      <c r="G625" s="50"/>
      <c r="H625" s="43"/>
    </row>
    <row r="626">
      <c r="A626" s="43"/>
      <c r="B626" s="38" t="str">
        <f>IFERROR(HYPERLINK(VLOOKUP(A626,Internal_lists_bugs!$A$2:$C$73,3,FALSE()), VLOOKUP(A626,Internal_lists_bugs!$A$2:$C$73,3,FALSE())&amp;Char(10) &amp; Char(10) &amp; VLOOKUP(A626,Internal_lists_bugs!$A$2:$Z$73,26,FALSE())),"please select a BUG ID")</f>
        <v>please select a BUG ID</v>
      </c>
      <c r="C626" s="51" t="str">
        <f>IFERROR(Hyperlink(VLOOKUP(A626,Internal_lists_bugs!$A$2:$G1014,7,FALSE()),"BIC: "&amp;VLOOKUP(A626,Internal_lists_bugs!$A$2:$G1014,7,FALSE())&amp;CHAR(10)&amp;"Intro.Issues: "&amp;VLOOKUP(A626,Internal_lists_bugs!$A$2:$P1014,16,FALSE())),"please select a BUG ID")</f>
        <v>please select a BUG ID</v>
      </c>
      <c r="D626" s="52"/>
      <c r="E626" s="43"/>
      <c r="F626" s="49"/>
      <c r="G626" s="50"/>
      <c r="H626" s="43"/>
    </row>
    <row r="627">
      <c r="A627" s="43"/>
      <c r="B627" s="38" t="str">
        <f>IFERROR(HYPERLINK(VLOOKUP(A627,Internal_lists_bugs!$A$2:$C$73,3,FALSE()), VLOOKUP(A627,Internal_lists_bugs!$A$2:$C$73,3,FALSE())&amp;Char(10) &amp; Char(10) &amp; VLOOKUP(A627,Internal_lists_bugs!$A$2:$Z$73,26,FALSE())),"please select a BUG ID")</f>
        <v>please select a BUG ID</v>
      </c>
      <c r="C627" s="51" t="str">
        <f>IFERROR(Hyperlink(VLOOKUP(A627,Internal_lists_bugs!$A$2:$G1014,7,FALSE()),"BIC: "&amp;VLOOKUP(A627,Internal_lists_bugs!$A$2:$G1014,7,FALSE())&amp;CHAR(10)&amp;"Intro.Issues: "&amp;VLOOKUP(A627,Internal_lists_bugs!$A$2:$P1014,16,FALSE())),"please select a BUG ID")</f>
        <v>please select a BUG ID</v>
      </c>
      <c r="D627" s="52"/>
      <c r="E627" s="43"/>
      <c r="F627" s="49"/>
      <c r="G627" s="50"/>
      <c r="H627" s="43"/>
    </row>
    <row r="628">
      <c r="A628" s="43"/>
      <c r="B628" s="38" t="str">
        <f>IFERROR(HYPERLINK(VLOOKUP(A628,Internal_lists_bugs!$A$2:$C$73,3,FALSE()), VLOOKUP(A628,Internal_lists_bugs!$A$2:$C$73,3,FALSE())&amp;Char(10) &amp; Char(10) &amp; VLOOKUP(A628,Internal_lists_bugs!$A$2:$Z$73,26,FALSE())),"please select a BUG ID")</f>
        <v>please select a BUG ID</v>
      </c>
      <c r="C628" s="51" t="str">
        <f>IFERROR(Hyperlink(VLOOKUP(A628,Internal_lists_bugs!$A$2:$G1014,7,FALSE()),"BIC: "&amp;VLOOKUP(A628,Internal_lists_bugs!$A$2:$G1014,7,FALSE())&amp;CHAR(10)&amp;"Intro.Issues: "&amp;VLOOKUP(A628,Internal_lists_bugs!$A$2:$P1014,16,FALSE())),"please select a BUG ID")</f>
        <v>please select a BUG ID</v>
      </c>
      <c r="D628" s="52"/>
      <c r="E628" s="43"/>
      <c r="F628" s="49"/>
      <c r="G628" s="50"/>
      <c r="H628" s="43"/>
    </row>
    <row r="629">
      <c r="A629" s="43"/>
      <c r="B629" s="38" t="str">
        <f>IFERROR(HYPERLINK(VLOOKUP(A629,Internal_lists_bugs!$A$2:$C$73,3,FALSE()), VLOOKUP(A629,Internal_lists_bugs!$A$2:$C$73,3,FALSE())&amp;Char(10) &amp; Char(10) &amp; VLOOKUP(A629,Internal_lists_bugs!$A$2:$Z$73,26,FALSE())),"please select a BUG ID")</f>
        <v>please select a BUG ID</v>
      </c>
      <c r="C629" s="51" t="str">
        <f>IFERROR(Hyperlink(VLOOKUP(A629,Internal_lists_bugs!$A$2:$G1014,7,FALSE()),"BIC: "&amp;VLOOKUP(A629,Internal_lists_bugs!$A$2:$G1014,7,FALSE())&amp;CHAR(10)&amp;"Intro.Issues: "&amp;VLOOKUP(A629,Internal_lists_bugs!$A$2:$P1014,16,FALSE())),"please select a BUG ID")</f>
        <v>please select a BUG ID</v>
      </c>
      <c r="D629" s="52"/>
      <c r="E629" s="43"/>
      <c r="F629" s="49"/>
      <c r="G629" s="50"/>
      <c r="H629" s="43"/>
    </row>
    <row r="630">
      <c r="A630" s="43"/>
      <c r="B630" s="38" t="str">
        <f>IFERROR(HYPERLINK(VLOOKUP(A630,Internal_lists_bugs!$A$2:$C$73,3,FALSE()), VLOOKUP(A630,Internal_lists_bugs!$A$2:$C$73,3,FALSE())&amp;Char(10) &amp; Char(10) &amp; VLOOKUP(A630,Internal_lists_bugs!$A$2:$Z$73,26,FALSE())),"please select a BUG ID")</f>
        <v>please select a BUG ID</v>
      </c>
      <c r="C630" s="51" t="str">
        <f>IFERROR(Hyperlink(VLOOKUP(A630,Internal_lists_bugs!$A$2:$G1014,7,FALSE()),"BIC: "&amp;VLOOKUP(A630,Internal_lists_bugs!$A$2:$G1014,7,FALSE())&amp;CHAR(10)&amp;"Intro.Issues: "&amp;VLOOKUP(A630,Internal_lists_bugs!$A$2:$P1014,16,FALSE())),"please select a BUG ID")</f>
        <v>please select a BUG ID</v>
      </c>
      <c r="D630" s="52"/>
      <c r="E630" s="43"/>
      <c r="F630" s="49"/>
      <c r="G630" s="50"/>
      <c r="H630" s="43"/>
    </row>
    <row r="631">
      <c r="A631" s="43"/>
      <c r="B631" s="38" t="str">
        <f>IFERROR(HYPERLINK(VLOOKUP(A631,Internal_lists_bugs!$A$2:$C$73,3,FALSE()), VLOOKUP(A631,Internal_lists_bugs!$A$2:$C$73,3,FALSE())&amp;Char(10) &amp; Char(10) &amp; VLOOKUP(A631,Internal_lists_bugs!$A$2:$Z$73,26,FALSE())),"please select a BUG ID")</f>
        <v>please select a BUG ID</v>
      </c>
      <c r="C631" s="51" t="str">
        <f>IFERROR(Hyperlink(VLOOKUP(A631,Internal_lists_bugs!$A$2:$G1014,7,FALSE()),"BIC: "&amp;VLOOKUP(A631,Internal_lists_bugs!$A$2:$G1014,7,FALSE())&amp;CHAR(10)&amp;"Intro.Issues: "&amp;VLOOKUP(A631,Internal_lists_bugs!$A$2:$P1014,16,FALSE())),"please select a BUG ID")</f>
        <v>please select a BUG ID</v>
      </c>
      <c r="D631" s="52"/>
      <c r="E631" s="43"/>
      <c r="F631" s="49"/>
      <c r="G631" s="50"/>
      <c r="H631" s="43"/>
    </row>
    <row r="632">
      <c r="A632" s="43"/>
      <c r="B632" s="38" t="str">
        <f>IFERROR(HYPERLINK(VLOOKUP(A632,Internal_lists_bugs!$A$2:$C$73,3,FALSE()), VLOOKUP(A632,Internal_lists_bugs!$A$2:$C$73,3,FALSE())&amp;Char(10) &amp; Char(10) &amp; VLOOKUP(A632,Internal_lists_bugs!$A$2:$Z$73,26,FALSE())),"please select a BUG ID")</f>
        <v>please select a BUG ID</v>
      </c>
      <c r="C632" s="51" t="str">
        <f>IFERROR(Hyperlink(VLOOKUP(A632,Internal_lists_bugs!$A$2:$G1014,7,FALSE()),"BIC: "&amp;VLOOKUP(A632,Internal_lists_bugs!$A$2:$G1014,7,FALSE())&amp;CHAR(10)&amp;"Intro.Issues: "&amp;VLOOKUP(A632,Internal_lists_bugs!$A$2:$P1014,16,FALSE())),"please select a BUG ID")</f>
        <v>please select a BUG ID</v>
      </c>
      <c r="D632" s="52"/>
      <c r="E632" s="43"/>
      <c r="F632" s="49"/>
      <c r="G632" s="50"/>
      <c r="H632" s="43"/>
    </row>
    <row r="633">
      <c r="A633" s="43"/>
      <c r="B633" s="38" t="str">
        <f>IFERROR(HYPERLINK(VLOOKUP(A633,Internal_lists_bugs!$A$2:$C$73,3,FALSE()), VLOOKUP(A633,Internal_lists_bugs!$A$2:$C$73,3,FALSE())&amp;Char(10) &amp; Char(10) &amp; VLOOKUP(A633,Internal_lists_bugs!$A$2:$Z$73,26,FALSE())),"please select a BUG ID")</f>
        <v>please select a BUG ID</v>
      </c>
      <c r="C633" s="51" t="str">
        <f>IFERROR(Hyperlink(VLOOKUP(A633,Internal_lists_bugs!$A$2:$G1014,7,FALSE()),"BIC: "&amp;VLOOKUP(A633,Internal_lists_bugs!$A$2:$G1014,7,FALSE())&amp;CHAR(10)&amp;"Intro.Issues: "&amp;VLOOKUP(A633,Internal_lists_bugs!$A$2:$P1014,16,FALSE())),"please select a BUG ID")</f>
        <v>please select a BUG ID</v>
      </c>
      <c r="D633" s="52"/>
      <c r="E633" s="43"/>
      <c r="F633" s="49"/>
      <c r="G633" s="50"/>
      <c r="H633" s="43"/>
    </row>
    <row r="634">
      <c r="A634" s="43"/>
      <c r="B634" s="38" t="str">
        <f>IFERROR(HYPERLINK(VLOOKUP(A634,Internal_lists_bugs!$A$2:$C$73,3,FALSE()), VLOOKUP(A634,Internal_lists_bugs!$A$2:$C$73,3,FALSE())&amp;Char(10) &amp; Char(10) &amp; VLOOKUP(A634,Internal_lists_bugs!$A$2:$Z$73,26,FALSE())),"please select a BUG ID")</f>
        <v>please select a BUG ID</v>
      </c>
      <c r="C634" s="51" t="str">
        <f>IFERROR(Hyperlink(VLOOKUP(A634,Internal_lists_bugs!$A$2:$G1014,7,FALSE()),"BIC: "&amp;VLOOKUP(A634,Internal_lists_bugs!$A$2:$G1014,7,FALSE())&amp;CHAR(10)&amp;"Intro.Issues: "&amp;VLOOKUP(A634,Internal_lists_bugs!$A$2:$P1014,16,FALSE())),"please select a BUG ID")</f>
        <v>please select a BUG ID</v>
      </c>
      <c r="D634" s="52"/>
      <c r="E634" s="43"/>
      <c r="F634" s="49"/>
      <c r="G634" s="50"/>
      <c r="H634" s="43"/>
    </row>
    <row r="635">
      <c r="A635" s="43"/>
      <c r="B635" s="38" t="str">
        <f>IFERROR(HYPERLINK(VLOOKUP(A635,Internal_lists_bugs!$A$2:$C$73,3,FALSE()), VLOOKUP(A635,Internal_lists_bugs!$A$2:$C$73,3,FALSE())&amp;Char(10) &amp; Char(10) &amp; VLOOKUP(A635,Internal_lists_bugs!$A$2:$Z$73,26,FALSE())),"please select a BUG ID")</f>
        <v>please select a BUG ID</v>
      </c>
      <c r="C635" s="51" t="str">
        <f>IFERROR(Hyperlink(VLOOKUP(A635,Internal_lists_bugs!$A$2:$G1014,7,FALSE()),"BIC: "&amp;VLOOKUP(A635,Internal_lists_bugs!$A$2:$G1014,7,FALSE())&amp;CHAR(10)&amp;"Intro.Issues: "&amp;VLOOKUP(A635,Internal_lists_bugs!$A$2:$P1014,16,FALSE())),"please select a BUG ID")</f>
        <v>please select a BUG ID</v>
      </c>
      <c r="D635" s="52"/>
      <c r="E635" s="43"/>
      <c r="F635" s="49"/>
      <c r="G635" s="50"/>
      <c r="H635" s="43"/>
    </row>
    <row r="636">
      <c r="A636" s="43"/>
      <c r="B636" s="38" t="str">
        <f>IFERROR(HYPERLINK(VLOOKUP(A636,Internal_lists_bugs!$A$2:$C$73,3,FALSE()), VLOOKUP(A636,Internal_lists_bugs!$A$2:$C$73,3,FALSE())&amp;Char(10) &amp; Char(10) &amp; VLOOKUP(A636,Internal_lists_bugs!$A$2:$Z$73,26,FALSE())),"please select a BUG ID")</f>
        <v>please select a BUG ID</v>
      </c>
      <c r="C636" s="51" t="str">
        <f>IFERROR(Hyperlink(VLOOKUP(A636,Internal_lists_bugs!$A$2:$G1014,7,FALSE()),"BIC: "&amp;VLOOKUP(A636,Internal_lists_bugs!$A$2:$G1014,7,FALSE())&amp;CHAR(10)&amp;"Intro.Issues: "&amp;VLOOKUP(A636,Internal_lists_bugs!$A$2:$P1014,16,FALSE())),"please select a BUG ID")</f>
        <v>please select a BUG ID</v>
      </c>
      <c r="D636" s="52"/>
      <c r="E636" s="43"/>
      <c r="F636" s="49"/>
      <c r="G636" s="50"/>
      <c r="H636" s="43"/>
    </row>
    <row r="637">
      <c r="A637" s="43"/>
      <c r="B637" s="38" t="str">
        <f>IFERROR(HYPERLINK(VLOOKUP(A637,Internal_lists_bugs!$A$2:$C$73,3,FALSE()), VLOOKUP(A637,Internal_lists_bugs!$A$2:$C$73,3,FALSE())&amp;Char(10) &amp; Char(10) &amp; VLOOKUP(A637,Internal_lists_bugs!$A$2:$Z$73,26,FALSE())),"please select a BUG ID")</f>
        <v>please select a BUG ID</v>
      </c>
      <c r="C637" s="51" t="str">
        <f>IFERROR(Hyperlink(VLOOKUP(A637,Internal_lists_bugs!$A$2:$G1014,7,FALSE()),"BIC: "&amp;VLOOKUP(A637,Internal_lists_bugs!$A$2:$G1014,7,FALSE())&amp;CHAR(10)&amp;"Intro.Issues: "&amp;VLOOKUP(A637,Internal_lists_bugs!$A$2:$P1014,16,FALSE())),"please select a BUG ID")</f>
        <v>please select a BUG ID</v>
      </c>
      <c r="D637" s="52"/>
      <c r="E637" s="43"/>
      <c r="F637" s="49"/>
      <c r="G637" s="50"/>
      <c r="H637" s="43"/>
    </row>
    <row r="638">
      <c r="A638" s="43"/>
      <c r="B638" s="38" t="str">
        <f>IFERROR(HYPERLINK(VLOOKUP(A638,Internal_lists_bugs!$A$2:$C$73,3,FALSE()), VLOOKUP(A638,Internal_lists_bugs!$A$2:$C$73,3,FALSE())&amp;Char(10) &amp; Char(10) &amp; VLOOKUP(A638,Internal_lists_bugs!$A$2:$Z$73,26,FALSE())),"please select a BUG ID")</f>
        <v>please select a BUG ID</v>
      </c>
      <c r="C638" s="51" t="str">
        <f>IFERROR(Hyperlink(VLOOKUP(A638,Internal_lists_bugs!$A$2:$G1014,7,FALSE()),"BIC: "&amp;VLOOKUP(A638,Internal_lists_bugs!$A$2:$G1014,7,FALSE())&amp;CHAR(10)&amp;"Intro.Issues: "&amp;VLOOKUP(A638,Internal_lists_bugs!$A$2:$P1014,16,FALSE())),"please select a BUG ID")</f>
        <v>please select a BUG ID</v>
      </c>
      <c r="D638" s="52"/>
      <c r="E638" s="43"/>
      <c r="F638" s="49"/>
      <c r="G638" s="50"/>
      <c r="H638" s="43"/>
    </row>
    <row r="639">
      <c r="A639" s="43"/>
      <c r="B639" s="38" t="str">
        <f>IFERROR(HYPERLINK(VLOOKUP(A639,Internal_lists_bugs!$A$2:$C$73,3,FALSE()), VLOOKUP(A639,Internal_lists_bugs!$A$2:$C$73,3,FALSE())&amp;Char(10) &amp; Char(10) &amp; VLOOKUP(A639,Internal_lists_bugs!$A$2:$Z$73,26,FALSE())),"please select a BUG ID")</f>
        <v>please select a BUG ID</v>
      </c>
      <c r="C639" s="51" t="str">
        <f>IFERROR(Hyperlink(VLOOKUP(A639,Internal_lists_bugs!$A$2:$G1014,7,FALSE()),"BIC: "&amp;VLOOKUP(A639,Internal_lists_bugs!$A$2:$G1014,7,FALSE())&amp;CHAR(10)&amp;"Intro.Issues: "&amp;VLOOKUP(A639,Internal_lists_bugs!$A$2:$P1014,16,FALSE())),"please select a BUG ID")</f>
        <v>please select a BUG ID</v>
      </c>
      <c r="D639" s="52"/>
      <c r="E639" s="43"/>
      <c r="F639" s="49"/>
      <c r="G639" s="50"/>
      <c r="H639" s="43"/>
    </row>
    <row r="640">
      <c r="A640" s="43"/>
      <c r="B640" s="38" t="str">
        <f>IFERROR(HYPERLINK(VLOOKUP(A640,Internal_lists_bugs!$A$2:$C$73,3,FALSE()), VLOOKUP(A640,Internal_lists_bugs!$A$2:$C$73,3,FALSE())&amp;Char(10) &amp; Char(10) &amp; VLOOKUP(A640,Internal_lists_bugs!$A$2:$Z$73,26,FALSE())),"please select a BUG ID")</f>
        <v>please select a BUG ID</v>
      </c>
      <c r="C640" s="51" t="str">
        <f>IFERROR(Hyperlink(VLOOKUP(A640,Internal_lists_bugs!$A$2:$G1014,7,FALSE()),"BIC: "&amp;VLOOKUP(A640,Internal_lists_bugs!$A$2:$G1014,7,FALSE())&amp;CHAR(10)&amp;"Intro.Issues: "&amp;VLOOKUP(A640,Internal_lists_bugs!$A$2:$P1014,16,FALSE())),"please select a BUG ID")</f>
        <v>please select a BUG ID</v>
      </c>
      <c r="D640" s="52"/>
      <c r="E640" s="43"/>
      <c r="F640" s="49"/>
      <c r="G640" s="50"/>
      <c r="H640" s="43"/>
    </row>
    <row r="641">
      <c r="A641" s="43"/>
      <c r="B641" s="38" t="str">
        <f>IFERROR(HYPERLINK(VLOOKUP(A641,Internal_lists_bugs!$A$2:$C$73,3,FALSE()), VLOOKUP(A641,Internal_lists_bugs!$A$2:$C$73,3,FALSE())&amp;Char(10) &amp; Char(10) &amp; VLOOKUP(A641,Internal_lists_bugs!$A$2:$Z$73,26,FALSE())),"please select a BUG ID")</f>
        <v>please select a BUG ID</v>
      </c>
      <c r="C641" s="51" t="str">
        <f>IFERROR(Hyperlink(VLOOKUP(A641,Internal_lists_bugs!$A$2:$G1014,7,FALSE()),"BIC: "&amp;VLOOKUP(A641,Internal_lists_bugs!$A$2:$G1014,7,FALSE())&amp;CHAR(10)&amp;"Intro.Issues: "&amp;VLOOKUP(A641,Internal_lists_bugs!$A$2:$P1014,16,FALSE())),"please select a BUG ID")</f>
        <v>please select a BUG ID</v>
      </c>
      <c r="D641" s="52"/>
      <c r="E641" s="43"/>
      <c r="F641" s="49"/>
      <c r="G641" s="50"/>
      <c r="H641" s="43"/>
    </row>
    <row r="642">
      <c r="A642" s="43"/>
      <c r="B642" s="38" t="str">
        <f>IFERROR(HYPERLINK(VLOOKUP(A642,Internal_lists_bugs!$A$2:$C$73,3,FALSE()), VLOOKUP(A642,Internal_lists_bugs!$A$2:$C$73,3,FALSE())&amp;Char(10) &amp; Char(10) &amp; VLOOKUP(A642,Internal_lists_bugs!$A$2:$Z$73,26,FALSE())),"please select a BUG ID")</f>
        <v>please select a BUG ID</v>
      </c>
      <c r="C642" s="51" t="str">
        <f>IFERROR(Hyperlink(VLOOKUP(A642,Internal_lists_bugs!$A$2:$G1014,7,FALSE()),"BIC: "&amp;VLOOKUP(A642,Internal_lists_bugs!$A$2:$G1014,7,FALSE())&amp;CHAR(10)&amp;"Intro.Issues: "&amp;VLOOKUP(A642,Internal_lists_bugs!$A$2:$P1014,16,FALSE())),"please select a BUG ID")</f>
        <v>please select a BUG ID</v>
      </c>
      <c r="D642" s="52"/>
      <c r="E642" s="43"/>
      <c r="F642" s="49"/>
      <c r="G642" s="50"/>
      <c r="H642" s="43"/>
    </row>
    <row r="643">
      <c r="A643" s="43"/>
      <c r="B643" s="38" t="str">
        <f>IFERROR(HYPERLINK(VLOOKUP(A643,Internal_lists_bugs!$A$2:$C$73,3,FALSE()), VLOOKUP(A643,Internal_lists_bugs!$A$2:$C$73,3,FALSE())&amp;Char(10) &amp; Char(10) &amp; VLOOKUP(A643,Internal_lists_bugs!$A$2:$Z$73,26,FALSE())),"please select a BUG ID")</f>
        <v>please select a BUG ID</v>
      </c>
      <c r="C643" s="51" t="str">
        <f>IFERROR(Hyperlink(VLOOKUP(A643,Internal_lists_bugs!$A$2:$G1014,7,FALSE()),"BIC: "&amp;VLOOKUP(A643,Internal_lists_bugs!$A$2:$G1014,7,FALSE())&amp;CHAR(10)&amp;"Intro.Issues: "&amp;VLOOKUP(A643,Internal_lists_bugs!$A$2:$P1014,16,FALSE())),"please select a BUG ID")</f>
        <v>please select a BUG ID</v>
      </c>
      <c r="D643" s="52"/>
      <c r="E643" s="43"/>
      <c r="F643" s="49"/>
      <c r="G643" s="50"/>
      <c r="H643" s="43"/>
    </row>
    <row r="644">
      <c r="A644" s="43"/>
      <c r="B644" s="38" t="str">
        <f>IFERROR(HYPERLINK(VLOOKUP(A644,Internal_lists_bugs!$A$2:$C$73,3,FALSE()), VLOOKUP(A644,Internal_lists_bugs!$A$2:$C$73,3,FALSE())&amp;Char(10) &amp; Char(10) &amp; VLOOKUP(A644,Internal_lists_bugs!$A$2:$Z$73,26,FALSE())),"please select a BUG ID")</f>
        <v>please select a BUG ID</v>
      </c>
      <c r="C644" s="51" t="str">
        <f>IFERROR(Hyperlink(VLOOKUP(A644,Internal_lists_bugs!$A$2:$G1014,7,FALSE()),"BIC: "&amp;VLOOKUP(A644,Internal_lists_bugs!$A$2:$G1014,7,FALSE())&amp;CHAR(10)&amp;"Intro.Issues: "&amp;VLOOKUP(A644,Internal_lists_bugs!$A$2:$P1014,16,FALSE())),"please select a BUG ID")</f>
        <v>please select a BUG ID</v>
      </c>
      <c r="D644" s="52"/>
      <c r="E644" s="43"/>
      <c r="F644" s="49"/>
      <c r="G644" s="50"/>
      <c r="H644" s="43"/>
    </row>
    <row r="645">
      <c r="A645" s="43"/>
      <c r="B645" s="38" t="str">
        <f>IFERROR(HYPERLINK(VLOOKUP(A645,Internal_lists_bugs!$A$2:$C$73,3,FALSE()), VLOOKUP(A645,Internal_lists_bugs!$A$2:$C$73,3,FALSE())&amp;Char(10) &amp; Char(10) &amp; VLOOKUP(A645,Internal_lists_bugs!$A$2:$Z$73,26,FALSE())),"please select a BUG ID")</f>
        <v>please select a BUG ID</v>
      </c>
      <c r="C645" s="51" t="str">
        <f>IFERROR(Hyperlink(VLOOKUP(A645,Internal_lists_bugs!$A$2:$G1014,7,FALSE()),"BIC: "&amp;VLOOKUP(A645,Internal_lists_bugs!$A$2:$G1014,7,FALSE())&amp;CHAR(10)&amp;"Intro.Issues: "&amp;VLOOKUP(A645,Internal_lists_bugs!$A$2:$P1014,16,FALSE())),"please select a BUG ID")</f>
        <v>please select a BUG ID</v>
      </c>
      <c r="D645" s="52"/>
      <c r="E645" s="43"/>
      <c r="F645" s="49"/>
      <c r="G645" s="50"/>
      <c r="H645" s="43"/>
    </row>
    <row r="646">
      <c r="A646" s="43"/>
      <c r="B646" s="38" t="str">
        <f>IFERROR(HYPERLINK(VLOOKUP(A646,Internal_lists_bugs!$A$2:$C$73,3,FALSE()), VLOOKUP(A646,Internal_lists_bugs!$A$2:$C$73,3,FALSE())&amp;Char(10) &amp; Char(10) &amp; VLOOKUP(A646,Internal_lists_bugs!$A$2:$Z$73,26,FALSE())),"please select a BUG ID")</f>
        <v>please select a BUG ID</v>
      </c>
      <c r="C646" s="51" t="str">
        <f>IFERROR(Hyperlink(VLOOKUP(A646,Internal_lists_bugs!$A$2:$G1014,7,FALSE()),"BIC: "&amp;VLOOKUP(A646,Internal_lists_bugs!$A$2:$G1014,7,FALSE())&amp;CHAR(10)&amp;"Intro.Issues: "&amp;VLOOKUP(A646,Internal_lists_bugs!$A$2:$P1014,16,FALSE())),"please select a BUG ID")</f>
        <v>please select a BUG ID</v>
      </c>
      <c r="D646" s="52"/>
      <c r="E646" s="43"/>
      <c r="F646" s="49"/>
      <c r="G646" s="50"/>
      <c r="H646" s="43"/>
    </row>
    <row r="647">
      <c r="A647" s="43"/>
      <c r="B647" s="38" t="str">
        <f>IFERROR(HYPERLINK(VLOOKUP(A647,Internal_lists_bugs!$A$2:$C$73,3,FALSE()), VLOOKUP(A647,Internal_lists_bugs!$A$2:$C$73,3,FALSE())&amp;Char(10) &amp; Char(10) &amp; VLOOKUP(A647,Internal_lists_bugs!$A$2:$Z$73,26,FALSE())),"please select a BUG ID")</f>
        <v>please select a BUG ID</v>
      </c>
      <c r="C647" s="51" t="str">
        <f>IFERROR(Hyperlink(VLOOKUP(A647,Internal_lists_bugs!$A$2:$G1014,7,FALSE()),"BIC: "&amp;VLOOKUP(A647,Internal_lists_bugs!$A$2:$G1014,7,FALSE())&amp;CHAR(10)&amp;"Intro.Issues: "&amp;VLOOKUP(A647,Internal_lists_bugs!$A$2:$P1014,16,FALSE())),"please select a BUG ID")</f>
        <v>please select a BUG ID</v>
      </c>
      <c r="D647" s="52"/>
      <c r="E647" s="43"/>
      <c r="F647" s="49"/>
      <c r="G647" s="50"/>
      <c r="H647" s="43"/>
    </row>
    <row r="648">
      <c r="A648" s="43"/>
      <c r="B648" s="38" t="str">
        <f>IFERROR(HYPERLINK(VLOOKUP(A648,Internal_lists_bugs!$A$2:$C$73,3,FALSE()), VLOOKUP(A648,Internal_lists_bugs!$A$2:$C$73,3,FALSE())&amp;Char(10) &amp; Char(10) &amp; VLOOKUP(A648,Internal_lists_bugs!$A$2:$Z$73,26,FALSE())),"please select a BUG ID")</f>
        <v>please select a BUG ID</v>
      </c>
      <c r="C648" s="51" t="str">
        <f>IFERROR(Hyperlink(VLOOKUP(A648,Internal_lists_bugs!$A$2:$G1014,7,FALSE()),"BIC: "&amp;VLOOKUP(A648,Internal_lists_bugs!$A$2:$G1014,7,FALSE())&amp;CHAR(10)&amp;"Intro.Issues: "&amp;VLOOKUP(A648,Internal_lists_bugs!$A$2:$P1014,16,FALSE())),"please select a BUG ID")</f>
        <v>please select a BUG ID</v>
      </c>
      <c r="D648" s="52"/>
      <c r="E648" s="43"/>
      <c r="F648" s="49"/>
      <c r="G648" s="50"/>
      <c r="H648" s="43"/>
    </row>
    <row r="649">
      <c r="A649" s="43"/>
      <c r="B649" s="38" t="str">
        <f>IFERROR(HYPERLINK(VLOOKUP(A649,Internal_lists_bugs!$A$2:$C$73,3,FALSE()), VLOOKUP(A649,Internal_lists_bugs!$A$2:$C$73,3,FALSE())&amp;Char(10) &amp; Char(10) &amp; VLOOKUP(A649,Internal_lists_bugs!$A$2:$Z$73,26,FALSE())),"please select a BUG ID")</f>
        <v>please select a BUG ID</v>
      </c>
      <c r="C649" s="51" t="str">
        <f>IFERROR(Hyperlink(VLOOKUP(A649,Internal_lists_bugs!$A$2:$G1014,7,FALSE()),"BIC: "&amp;VLOOKUP(A649,Internal_lists_bugs!$A$2:$G1014,7,FALSE())&amp;CHAR(10)&amp;"Intro.Issues: "&amp;VLOOKUP(A649,Internal_lists_bugs!$A$2:$P1014,16,FALSE())),"please select a BUG ID")</f>
        <v>please select a BUG ID</v>
      </c>
      <c r="D649" s="52"/>
      <c r="E649" s="43"/>
      <c r="F649" s="49"/>
      <c r="G649" s="50"/>
      <c r="H649" s="43"/>
    </row>
    <row r="650">
      <c r="A650" s="43"/>
      <c r="B650" s="38" t="str">
        <f>IFERROR(HYPERLINK(VLOOKUP(A650,Internal_lists_bugs!$A$2:$C$73,3,FALSE()), VLOOKUP(A650,Internal_lists_bugs!$A$2:$C$73,3,FALSE())&amp;Char(10) &amp; Char(10) &amp; VLOOKUP(A650,Internal_lists_bugs!$A$2:$Z$73,26,FALSE())),"please select a BUG ID")</f>
        <v>please select a BUG ID</v>
      </c>
      <c r="C650" s="51" t="str">
        <f>IFERROR(Hyperlink(VLOOKUP(A650,Internal_lists_bugs!$A$2:$G1014,7,FALSE()),"BIC: "&amp;VLOOKUP(A650,Internal_lists_bugs!$A$2:$G1014,7,FALSE())&amp;CHAR(10)&amp;"Intro.Issues: "&amp;VLOOKUP(A650,Internal_lists_bugs!$A$2:$P1014,16,FALSE())),"please select a BUG ID")</f>
        <v>please select a BUG ID</v>
      </c>
      <c r="D650" s="52"/>
      <c r="E650" s="43"/>
      <c r="F650" s="49"/>
      <c r="G650" s="50"/>
      <c r="H650" s="43"/>
    </row>
    <row r="651">
      <c r="A651" s="43"/>
      <c r="B651" s="38" t="str">
        <f>IFERROR(HYPERLINK(VLOOKUP(A651,Internal_lists_bugs!$A$2:$C$73,3,FALSE()), VLOOKUP(A651,Internal_lists_bugs!$A$2:$C$73,3,FALSE())&amp;Char(10) &amp; Char(10) &amp; VLOOKUP(A651,Internal_lists_bugs!$A$2:$Z$73,26,FALSE())),"please select a BUG ID")</f>
        <v>please select a BUG ID</v>
      </c>
      <c r="C651" s="51" t="str">
        <f>IFERROR(Hyperlink(VLOOKUP(A651,Internal_lists_bugs!$A$2:$G1014,7,FALSE()),"BIC: "&amp;VLOOKUP(A651,Internal_lists_bugs!$A$2:$G1014,7,FALSE())&amp;CHAR(10)&amp;"Intro.Issues: "&amp;VLOOKUP(A651,Internal_lists_bugs!$A$2:$P1014,16,FALSE())),"please select a BUG ID")</f>
        <v>please select a BUG ID</v>
      </c>
      <c r="D651" s="52"/>
      <c r="E651" s="43"/>
      <c r="F651" s="49"/>
      <c r="G651" s="50"/>
      <c r="H651" s="43"/>
    </row>
    <row r="652">
      <c r="A652" s="43"/>
      <c r="B652" s="38" t="str">
        <f>IFERROR(HYPERLINK(VLOOKUP(A652,Internal_lists_bugs!$A$2:$C$73,3,FALSE()), VLOOKUP(A652,Internal_lists_bugs!$A$2:$C$73,3,FALSE())&amp;Char(10) &amp; Char(10) &amp; VLOOKUP(A652,Internal_lists_bugs!$A$2:$Z$73,26,FALSE())),"please select a BUG ID")</f>
        <v>please select a BUG ID</v>
      </c>
      <c r="C652" s="51" t="str">
        <f>IFERROR(Hyperlink(VLOOKUP(A652,Internal_lists_bugs!$A$2:$G1014,7,FALSE()),"BIC: "&amp;VLOOKUP(A652,Internal_lists_bugs!$A$2:$G1014,7,FALSE())&amp;CHAR(10)&amp;"Intro.Issues: "&amp;VLOOKUP(A652,Internal_lists_bugs!$A$2:$P1014,16,FALSE())),"please select a BUG ID")</f>
        <v>please select a BUG ID</v>
      </c>
      <c r="D652" s="52"/>
      <c r="E652" s="43"/>
      <c r="F652" s="49"/>
      <c r="G652" s="50"/>
      <c r="H652" s="43"/>
    </row>
    <row r="653">
      <c r="A653" s="43"/>
      <c r="B653" s="38" t="str">
        <f>IFERROR(HYPERLINK(VLOOKUP(A653,Internal_lists_bugs!$A$2:$C$73,3,FALSE()), VLOOKUP(A653,Internal_lists_bugs!$A$2:$C$73,3,FALSE())&amp;Char(10) &amp; Char(10) &amp; VLOOKUP(A653,Internal_lists_bugs!$A$2:$Z$73,26,FALSE())),"please select a BUG ID")</f>
        <v>please select a BUG ID</v>
      </c>
      <c r="C653" s="51" t="str">
        <f>IFERROR(Hyperlink(VLOOKUP(A653,Internal_lists_bugs!$A$2:$G1014,7,FALSE()),"BIC: "&amp;VLOOKUP(A653,Internal_lists_bugs!$A$2:$G1014,7,FALSE())&amp;CHAR(10)&amp;"Intro.Issues: "&amp;VLOOKUP(A653,Internal_lists_bugs!$A$2:$P1014,16,FALSE())),"please select a BUG ID")</f>
        <v>please select a BUG ID</v>
      </c>
      <c r="D653" s="52"/>
      <c r="E653" s="43"/>
      <c r="F653" s="49"/>
      <c r="G653" s="50"/>
      <c r="H653" s="43"/>
    </row>
    <row r="654">
      <c r="A654" s="43"/>
      <c r="B654" s="38" t="str">
        <f>IFERROR(HYPERLINK(VLOOKUP(A654,Internal_lists_bugs!$A$2:$C$73,3,FALSE()), VLOOKUP(A654,Internal_lists_bugs!$A$2:$C$73,3,FALSE())&amp;Char(10) &amp; Char(10) &amp; VLOOKUP(A654,Internal_lists_bugs!$A$2:$Z$73,26,FALSE())),"please select a BUG ID")</f>
        <v>please select a BUG ID</v>
      </c>
      <c r="C654" s="51" t="str">
        <f>IFERROR(Hyperlink(VLOOKUP(A654,Internal_lists_bugs!$A$2:$G1014,7,FALSE()),"BIC: "&amp;VLOOKUP(A654,Internal_lists_bugs!$A$2:$G1014,7,FALSE())&amp;CHAR(10)&amp;"Intro.Issues: "&amp;VLOOKUP(A654,Internal_lists_bugs!$A$2:$P1014,16,FALSE())),"please select a BUG ID")</f>
        <v>please select a BUG ID</v>
      </c>
      <c r="D654" s="52"/>
      <c r="E654" s="43"/>
      <c r="F654" s="49"/>
      <c r="G654" s="50"/>
      <c r="H654" s="43"/>
    </row>
    <row r="655">
      <c r="A655" s="43"/>
      <c r="B655" s="38" t="str">
        <f>IFERROR(HYPERLINK(VLOOKUP(A655,Internal_lists_bugs!$A$2:$C$73,3,FALSE()), VLOOKUP(A655,Internal_lists_bugs!$A$2:$C$73,3,FALSE())&amp;Char(10) &amp; Char(10) &amp; VLOOKUP(A655,Internal_lists_bugs!$A$2:$Z$73,26,FALSE())),"please select a BUG ID")</f>
        <v>please select a BUG ID</v>
      </c>
      <c r="C655" s="51" t="str">
        <f>IFERROR(Hyperlink(VLOOKUP(A655,Internal_lists_bugs!$A$2:$G1014,7,FALSE()),"BIC: "&amp;VLOOKUP(A655,Internal_lists_bugs!$A$2:$G1014,7,FALSE())&amp;CHAR(10)&amp;"Intro.Issues: "&amp;VLOOKUP(A655,Internal_lists_bugs!$A$2:$P1014,16,FALSE())),"please select a BUG ID")</f>
        <v>please select a BUG ID</v>
      </c>
      <c r="D655" s="52"/>
      <c r="E655" s="43"/>
      <c r="F655" s="49"/>
      <c r="G655" s="50"/>
      <c r="H655" s="43"/>
    </row>
    <row r="656">
      <c r="A656" s="43"/>
      <c r="B656" s="38" t="str">
        <f>IFERROR(HYPERLINK(VLOOKUP(A656,Internal_lists_bugs!$A$2:$C$73,3,FALSE()), VLOOKUP(A656,Internal_lists_bugs!$A$2:$C$73,3,FALSE())&amp;Char(10) &amp; Char(10) &amp; VLOOKUP(A656,Internal_lists_bugs!$A$2:$Z$73,26,FALSE())),"please select a BUG ID")</f>
        <v>please select a BUG ID</v>
      </c>
      <c r="C656" s="51" t="str">
        <f>IFERROR(Hyperlink(VLOOKUP(A656,Internal_lists_bugs!$A$2:$G1014,7,FALSE()),"BIC: "&amp;VLOOKUP(A656,Internal_lists_bugs!$A$2:$G1014,7,FALSE())&amp;CHAR(10)&amp;"Intro.Issues: "&amp;VLOOKUP(A656,Internal_lists_bugs!$A$2:$P1014,16,FALSE())),"please select a BUG ID")</f>
        <v>please select a BUG ID</v>
      </c>
      <c r="D656" s="52"/>
      <c r="E656" s="43"/>
      <c r="F656" s="49"/>
      <c r="G656" s="50"/>
      <c r="H656" s="43"/>
    </row>
    <row r="657">
      <c r="A657" s="43"/>
      <c r="B657" s="38" t="str">
        <f>IFERROR(HYPERLINK(VLOOKUP(A657,Internal_lists_bugs!$A$2:$C$73,3,FALSE()), VLOOKUP(A657,Internal_lists_bugs!$A$2:$C$73,3,FALSE())&amp;Char(10) &amp; Char(10) &amp; VLOOKUP(A657,Internal_lists_bugs!$A$2:$Z$73,26,FALSE())),"please select a BUG ID")</f>
        <v>please select a BUG ID</v>
      </c>
      <c r="C657" s="51" t="str">
        <f>IFERROR(Hyperlink(VLOOKUP(A657,Internal_lists_bugs!$A$2:$G1014,7,FALSE()),"BIC: "&amp;VLOOKUP(A657,Internal_lists_bugs!$A$2:$G1014,7,FALSE())&amp;CHAR(10)&amp;"Intro.Issues: "&amp;VLOOKUP(A657,Internal_lists_bugs!$A$2:$P1014,16,FALSE())),"please select a BUG ID")</f>
        <v>please select a BUG ID</v>
      </c>
      <c r="D657" s="52"/>
      <c r="E657" s="43"/>
      <c r="F657" s="49"/>
      <c r="G657" s="50"/>
      <c r="H657" s="43"/>
    </row>
    <row r="658">
      <c r="A658" s="43"/>
      <c r="B658" s="38" t="str">
        <f>IFERROR(HYPERLINK(VLOOKUP(A658,Internal_lists_bugs!$A$2:$C$73,3,FALSE()), VLOOKUP(A658,Internal_lists_bugs!$A$2:$C$73,3,FALSE())&amp;Char(10) &amp; Char(10) &amp; VLOOKUP(A658,Internal_lists_bugs!$A$2:$Z$73,26,FALSE())),"please select a BUG ID")</f>
        <v>please select a BUG ID</v>
      </c>
      <c r="C658" s="51" t="str">
        <f>IFERROR(Hyperlink(VLOOKUP(A658,Internal_lists_bugs!$A$2:$G1014,7,FALSE()),"BIC: "&amp;VLOOKUP(A658,Internal_lists_bugs!$A$2:$G1014,7,FALSE())&amp;CHAR(10)&amp;"Intro.Issues: "&amp;VLOOKUP(A658,Internal_lists_bugs!$A$2:$P1014,16,FALSE())),"please select a BUG ID")</f>
        <v>please select a BUG ID</v>
      </c>
      <c r="D658" s="52"/>
      <c r="E658" s="43"/>
      <c r="F658" s="49"/>
      <c r="G658" s="50"/>
      <c r="H658" s="43"/>
    </row>
    <row r="659">
      <c r="A659" s="43"/>
      <c r="B659" s="38" t="str">
        <f>IFERROR(HYPERLINK(VLOOKUP(A659,Internal_lists_bugs!$A$2:$C$73,3,FALSE()), VLOOKUP(A659,Internal_lists_bugs!$A$2:$C$73,3,FALSE())&amp;Char(10) &amp; Char(10) &amp; VLOOKUP(A659,Internal_lists_bugs!$A$2:$Z$73,26,FALSE())),"please select a BUG ID")</f>
        <v>please select a BUG ID</v>
      </c>
      <c r="C659" s="51" t="str">
        <f>IFERROR(Hyperlink(VLOOKUP(A659,Internal_lists_bugs!$A$2:$G1014,7,FALSE()),"BIC: "&amp;VLOOKUP(A659,Internal_lists_bugs!$A$2:$G1014,7,FALSE())&amp;CHAR(10)&amp;"Intro.Issues: "&amp;VLOOKUP(A659,Internal_lists_bugs!$A$2:$P1014,16,FALSE())),"please select a BUG ID")</f>
        <v>please select a BUG ID</v>
      </c>
      <c r="D659" s="52"/>
      <c r="E659" s="43"/>
      <c r="F659" s="49"/>
      <c r="G659" s="50"/>
      <c r="H659" s="43"/>
    </row>
    <row r="660">
      <c r="A660" s="43"/>
      <c r="B660" s="38" t="str">
        <f>IFERROR(HYPERLINK(VLOOKUP(A660,Internal_lists_bugs!$A$2:$C$73,3,FALSE()), VLOOKUP(A660,Internal_lists_bugs!$A$2:$C$73,3,FALSE())&amp;Char(10) &amp; Char(10) &amp; VLOOKUP(A660,Internal_lists_bugs!$A$2:$Z$73,26,FALSE())),"please select a BUG ID")</f>
        <v>please select a BUG ID</v>
      </c>
      <c r="C660" s="51" t="str">
        <f>IFERROR(Hyperlink(VLOOKUP(A660,Internal_lists_bugs!$A$2:$G1014,7,FALSE()),"BIC: "&amp;VLOOKUP(A660,Internal_lists_bugs!$A$2:$G1014,7,FALSE())&amp;CHAR(10)&amp;"Intro.Issues: "&amp;VLOOKUP(A660,Internal_lists_bugs!$A$2:$P1014,16,FALSE())),"please select a BUG ID")</f>
        <v>please select a BUG ID</v>
      </c>
      <c r="D660" s="52"/>
      <c r="E660" s="43"/>
      <c r="F660" s="49"/>
      <c r="G660" s="50"/>
      <c r="H660" s="43"/>
    </row>
    <row r="661">
      <c r="A661" s="43"/>
      <c r="B661" s="38" t="str">
        <f>IFERROR(HYPERLINK(VLOOKUP(A661,Internal_lists_bugs!$A$2:$C$73,3,FALSE()), VLOOKUP(A661,Internal_lists_bugs!$A$2:$C$73,3,FALSE())&amp;Char(10) &amp; Char(10) &amp; VLOOKUP(A661,Internal_lists_bugs!$A$2:$Z$73,26,FALSE())),"please select a BUG ID")</f>
        <v>please select a BUG ID</v>
      </c>
      <c r="C661" s="51" t="str">
        <f>IFERROR(Hyperlink(VLOOKUP(A661,Internal_lists_bugs!$A$2:$G1014,7,FALSE()),"BIC: "&amp;VLOOKUP(A661,Internal_lists_bugs!$A$2:$G1014,7,FALSE())&amp;CHAR(10)&amp;"Intro.Issues: "&amp;VLOOKUP(A661,Internal_lists_bugs!$A$2:$P1014,16,FALSE())),"please select a BUG ID")</f>
        <v>please select a BUG ID</v>
      </c>
      <c r="D661" s="52"/>
      <c r="E661" s="43"/>
      <c r="F661" s="49"/>
      <c r="G661" s="50"/>
      <c r="H661" s="43"/>
    </row>
    <row r="662">
      <c r="A662" s="43"/>
      <c r="B662" s="38" t="str">
        <f>IFERROR(HYPERLINK(VLOOKUP(A662,Internal_lists_bugs!$A$2:$C$73,3,FALSE()), VLOOKUP(A662,Internal_lists_bugs!$A$2:$C$73,3,FALSE())&amp;Char(10) &amp; Char(10) &amp; VLOOKUP(A662,Internal_lists_bugs!$A$2:$Z$73,26,FALSE())),"please select a BUG ID")</f>
        <v>please select a BUG ID</v>
      </c>
      <c r="C662" s="51" t="str">
        <f>IFERROR(Hyperlink(VLOOKUP(A662,Internal_lists_bugs!$A$2:$G1014,7,FALSE()),"BIC: "&amp;VLOOKUP(A662,Internal_lists_bugs!$A$2:$G1014,7,FALSE())&amp;CHAR(10)&amp;"Intro.Issues: "&amp;VLOOKUP(A662,Internal_lists_bugs!$A$2:$P1014,16,FALSE())),"please select a BUG ID")</f>
        <v>please select a BUG ID</v>
      </c>
      <c r="D662" s="52"/>
      <c r="E662" s="43"/>
      <c r="F662" s="49"/>
      <c r="G662" s="50"/>
      <c r="H662" s="43"/>
    </row>
    <row r="663">
      <c r="A663" s="43"/>
      <c r="B663" s="38" t="str">
        <f>IFERROR(HYPERLINK(VLOOKUP(A663,Internal_lists_bugs!$A$2:$C$73,3,FALSE()), VLOOKUP(A663,Internal_lists_bugs!$A$2:$C$73,3,FALSE())&amp;Char(10) &amp; Char(10) &amp; VLOOKUP(A663,Internal_lists_bugs!$A$2:$Z$73,26,FALSE())),"please select a BUG ID")</f>
        <v>please select a BUG ID</v>
      </c>
      <c r="C663" s="51" t="str">
        <f>IFERROR(Hyperlink(VLOOKUP(A663,Internal_lists_bugs!$A$2:$G1014,7,FALSE()),"BIC: "&amp;VLOOKUP(A663,Internal_lists_bugs!$A$2:$G1014,7,FALSE())&amp;CHAR(10)&amp;"Intro.Issues: "&amp;VLOOKUP(A663,Internal_lists_bugs!$A$2:$P1014,16,FALSE())),"please select a BUG ID")</f>
        <v>please select a BUG ID</v>
      </c>
      <c r="D663" s="52"/>
      <c r="E663" s="43"/>
      <c r="F663" s="49"/>
      <c r="G663" s="50"/>
      <c r="H663" s="43"/>
    </row>
    <row r="664">
      <c r="A664" s="43"/>
      <c r="B664" s="38" t="str">
        <f>IFERROR(HYPERLINK(VLOOKUP(A664,Internal_lists_bugs!$A$2:$C$73,3,FALSE()), VLOOKUP(A664,Internal_lists_bugs!$A$2:$C$73,3,FALSE())&amp;Char(10) &amp; Char(10) &amp; VLOOKUP(A664,Internal_lists_bugs!$A$2:$Z$73,26,FALSE())),"please select a BUG ID")</f>
        <v>please select a BUG ID</v>
      </c>
      <c r="C664" s="51" t="str">
        <f>IFERROR(Hyperlink(VLOOKUP(A664,Internal_lists_bugs!$A$2:$G1014,7,FALSE()),"BIC: "&amp;VLOOKUP(A664,Internal_lists_bugs!$A$2:$G1014,7,FALSE())&amp;CHAR(10)&amp;"Intro.Issues: "&amp;VLOOKUP(A664,Internal_lists_bugs!$A$2:$P1014,16,FALSE())),"please select a BUG ID")</f>
        <v>please select a BUG ID</v>
      </c>
      <c r="D664" s="52"/>
      <c r="E664" s="43"/>
      <c r="F664" s="49"/>
      <c r="G664" s="50"/>
      <c r="H664" s="43"/>
    </row>
    <row r="665">
      <c r="A665" s="43"/>
      <c r="B665" s="38" t="str">
        <f>IFERROR(HYPERLINK(VLOOKUP(A665,Internal_lists_bugs!$A$2:$C$73,3,FALSE()), VLOOKUP(A665,Internal_lists_bugs!$A$2:$C$73,3,FALSE())&amp;Char(10) &amp; Char(10) &amp; VLOOKUP(A665,Internal_lists_bugs!$A$2:$Z$73,26,FALSE())),"please select a BUG ID")</f>
        <v>please select a BUG ID</v>
      </c>
      <c r="C665" s="51" t="str">
        <f>IFERROR(Hyperlink(VLOOKUP(A665,Internal_lists_bugs!$A$2:$G1014,7,FALSE()),"BIC: "&amp;VLOOKUP(A665,Internal_lists_bugs!$A$2:$G1014,7,FALSE())&amp;CHAR(10)&amp;"Intro.Issues: "&amp;VLOOKUP(A665,Internal_lists_bugs!$A$2:$P1014,16,FALSE())),"please select a BUG ID")</f>
        <v>please select a BUG ID</v>
      </c>
      <c r="D665" s="52"/>
      <c r="E665" s="43"/>
      <c r="F665" s="49"/>
      <c r="G665" s="50"/>
      <c r="H665" s="43"/>
    </row>
    <row r="666">
      <c r="A666" s="43"/>
      <c r="B666" s="38" t="str">
        <f>IFERROR(HYPERLINK(VLOOKUP(A666,Internal_lists_bugs!$A$2:$C$73,3,FALSE()), VLOOKUP(A666,Internal_lists_bugs!$A$2:$C$73,3,FALSE())&amp;Char(10) &amp; Char(10) &amp; VLOOKUP(A666,Internal_lists_bugs!$A$2:$Z$73,26,FALSE())),"please select a BUG ID")</f>
        <v>please select a BUG ID</v>
      </c>
      <c r="C666" s="51" t="str">
        <f>IFERROR(Hyperlink(VLOOKUP(A666,Internal_lists_bugs!$A$2:$G1014,7,FALSE()),"BIC: "&amp;VLOOKUP(A666,Internal_lists_bugs!$A$2:$G1014,7,FALSE())&amp;CHAR(10)&amp;"Intro.Issues: "&amp;VLOOKUP(A666,Internal_lists_bugs!$A$2:$P1014,16,FALSE())),"please select a BUG ID")</f>
        <v>please select a BUG ID</v>
      </c>
      <c r="D666" s="52"/>
      <c r="E666" s="43"/>
      <c r="F666" s="49"/>
      <c r="G666" s="50"/>
      <c r="H666" s="43"/>
    </row>
    <row r="667">
      <c r="A667" s="43"/>
      <c r="B667" s="38" t="str">
        <f>IFERROR(HYPERLINK(VLOOKUP(A667,Internal_lists_bugs!$A$2:$C$73,3,FALSE()), VLOOKUP(A667,Internal_lists_bugs!$A$2:$C$73,3,FALSE())&amp;Char(10) &amp; Char(10) &amp; VLOOKUP(A667,Internal_lists_bugs!$A$2:$Z$73,26,FALSE())),"please select a BUG ID")</f>
        <v>please select a BUG ID</v>
      </c>
      <c r="C667" s="51" t="str">
        <f>IFERROR(Hyperlink(VLOOKUP(A667,Internal_lists_bugs!$A$2:$G1014,7,FALSE()),"BIC: "&amp;VLOOKUP(A667,Internal_lists_bugs!$A$2:$G1014,7,FALSE())&amp;CHAR(10)&amp;"Intro.Issues: "&amp;VLOOKUP(A667,Internal_lists_bugs!$A$2:$P1014,16,FALSE())),"please select a BUG ID")</f>
        <v>please select a BUG ID</v>
      </c>
      <c r="D667" s="52"/>
      <c r="E667" s="43"/>
      <c r="F667" s="49"/>
      <c r="G667" s="50"/>
      <c r="H667" s="43"/>
    </row>
    <row r="668">
      <c r="A668" s="43"/>
      <c r="B668" s="38" t="str">
        <f>IFERROR(HYPERLINK(VLOOKUP(A668,Internal_lists_bugs!$A$2:$C$73,3,FALSE()), VLOOKUP(A668,Internal_lists_bugs!$A$2:$C$73,3,FALSE())&amp;Char(10) &amp; Char(10) &amp; VLOOKUP(A668,Internal_lists_bugs!$A$2:$Z$73,26,FALSE())),"please select a BUG ID")</f>
        <v>please select a BUG ID</v>
      </c>
      <c r="C668" s="51" t="str">
        <f>IFERROR(Hyperlink(VLOOKUP(A668,Internal_lists_bugs!$A$2:$G1014,7,FALSE()),"BIC: "&amp;VLOOKUP(A668,Internal_lists_bugs!$A$2:$G1014,7,FALSE())&amp;CHAR(10)&amp;"Intro.Issues: "&amp;VLOOKUP(A668,Internal_lists_bugs!$A$2:$P1014,16,FALSE())),"please select a BUG ID")</f>
        <v>please select a BUG ID</v>
      </c>
      <c r="D668" s="52"/>
      <c r="E668" s="43"/>
      <c r="F668" s="49"/>
      <c r="G668" s="50"/>
      <c r="H668" s="43"/>
    </row>
    <row r="669">
      <c r="A669" s="43"/>
      <c r="B669" s="38" t="str">
        <f>IFERROR(HYPERLINK(VLOOKUP(A669,Internal_lists_bugs!$A$2:$C$73,3,FALSE()), VLOOKUP(A669,Internal_lists_bugs!$A$2:$C$73,3,FALSE())&amp;Char(10) &amp; Char(10) &amp; VLOOKUP(A669,Internal_lists_bugs!$A$2:$Z$73,26,FALSE())),"please select a BUG ID")</f>
        <v>please select a BUG ID</v>
      </c>
      <c r="C669" s="51" t="str">
        <f>IFERROR(Hyperlink(VLOOKUP(A669,Internal_lists_bugs!$A$2:$G1014,7,FALSE()),"BIC: "&amp;VLOOKUP(A669,Internal_lists_bugs!$A$2:$G1014,7,FALSE())&amp;CHAR(10)&amp;"Intro.Issues: "&amp;VLOOKUP(A669,Internal_lists_bugs!$A$2:$P1014,16,FALSE())),"please select a BUG ID")</f>
        <v>please select a BUG ID</v>
      </c>
      <c r="D669" s="52"/>
      <c r="E669" s="43"/>
      <c r="F669" s="49"/>
      <c r="G669" s="50"/>
      <c r="H669" s="43"/>
    </row>
    <row r="670">
      <c r="A670" s="43"/>
      <c r="B670" s="38" t="str">
        <f>IFERROR(HYPERLINK(VLOOKUP(A670,Internal_lists_bugs!$A$2:$C$73,3,FALSE()), VLOOKUP(A670,Internal_lists_bugs!$A$2:$C$73,3,FALSE())&amp;Char(10) &amp; Char(10) &amp; VLOOKUP(A670,Internal_lists_bugs!$A$2:$Z$73,26,FALSE())),"please select a BUG ID")</f>
        <v>please select a BUG ID</v>
      </c>
      <c r="C670" s="51" t="str">
        <f>IFERROR(Hyperlink(VLOOKUP(A670,Internal_lists_bugs!$A$2:$G1014,7,FALSE()),"BIC: "&amp;VLOOKUP(A670,Internal_lists_bugs!$A$2:$G1014,7,FALSE())&amp;CHAR(10)&amp;"Intro.Issues: "&amp;VLOOKUP(A670,Internal_lists_bugs!$A$2:$P1014,16,FALSE())),"please select a BUG ID")</f>
        <v>please select a BUG ID</v>
      </c>
      <c r="D670" s="52"/>
      <c r="E670" s="43"/>
      <c r="F670" s="49"/>
      <c r="G670" s="50"/>
      <c r="H670" s="43"/>
    </row>
    <row r="671">
      <c r="A671" s="43"/>
      <c r="B671" s="38" t="str">
        <f>IFERROR(HYPERLINK(VLOOKUP(A671,Internal_lists_bugs!$A$2:$C$73,3,FALSE()), VLOOKUP(A671,Internal_lists_bugs!$A$2:$C$73,3,FALSE())&amp;Char(10) &amp; Char(10) &amp; VLOOKUP(A671,Internal_lists_bugs!$A$2:$Z$73,26,FALSE())),"please select a BUG ID")</f>
        <v>please select a BUG ID</v>
      </c>
      <c r="C671" s="51" t="str">
        <f>IFERROR(Hyperlink(VLOOKUP(A671,Internal_lists_bugs!$A$2:$G1014,7,FALSE()),"BIC: "&amp;VLOOKUP(A671,Internal_lists_bugs!$A$2:$G1014,7,FALSE())&amp;CHAR(10)&amp;"Intro.Issues: "&amp;VLOOKUP(A671,Internal_lists_bugs!$A$2:$P1014,16,FALSE())),"please select a BUG ID")</f>
        <v>please select a BUG ID</v>
      </c>
      <c r="D671" s="52"/>
      <c r="E671" s="43"/>
      <c r="F671" s="49"/>
      <c r="G671" s="50"/>
      <c r="H671" s="43"/>
    </row>
    <row r="672">
      <c r="A672" s="43"/>
      <c r="B672" s="38" t="str">
        <f>IFERROR(HYPERLINK(VLOOKUP(A672,Internal_lists_bugs!$A$2:$C$73,3,FALSE()), VLOOKUP(A672,Internal_lists_bugs!$A$2:$C$73,3,FALSE())&amp;Char(10) &amp; Char(10) &amp; VLOOKUP(A672,Internal_lists_bugs!$A$2:$Z$73,26,FALSE())),"please select a BUG ID")</f>
        <v>please select a BUG ID</v>
      </c>
      <c r="C672" s="51" t="str">
        <f>IFERROR(Hyperlink(VLOOKUP(A672,Internal_lists_bugs!$A$2:$G1014,7,FALSE()),"BIC: "&amp;VLOOKUP(A672,Internal_lists_bugs!$A$2:$G1014,7,FALSE())&amp;CHAR(10)&amp;"Intro.Issues: "&amp;VLOOKUP(A672,Internal_lists_bugs!$A$2:$P1014,16,FALSE())),"please select a BUG ID")</f>
        <v>please select a BUG ID</v>
      </c>
      <c r="D672" s="52"/>
      <c r="E672" s="43"/>
      <c r="F672" s="49"/>
      <c r="G672" s="50"/>
      <c r="H672" s="43"/>
    </row>
    <row r="673">
      <c r="A673" s="43"/>
      <c r="B673" s="38" t="str">
        <f>IFERROR(HYPERLINK(VLOOKUP(A673,Internal_lists_bugs!$A$2:$C$73,3,FALSE()), VLOOKUP(A673,Internal_lists_bugs!$A$2:$C$73,3,FALSE())&amp;Char(10) &amp; Char(10) &amp; VLOOKUP(A673,Internal_lists_bugs!$A$2:$Z$73,26,FALSE())),"please select a BUG ID")</f>
        <v>please select a BUG ID</v>
      </c>
      <c r="C673" s="51" t="str">
        <f>IFERROR(Hyperlink(VLOOKUP(A673,Internal_lists_bugs!$A$2:$G1014,7,FALSE()),"BIC: "&amp;VLOOKUP(A673,Internal_lists_bugs!$A$2:$G1014,7,FALSE())&amp;CHAR(10)&amp;"Intro.Issues: "&amp;VLOOKUP(A673,Internal_lists_bugs!$A$2:$P1014,16,FALSE())),"please select a BUG ID")</f>
        <v>please select a BUG ID</v>
      </c>
      <c r="D673" s="52"/>
      <c r="E673" s="43"/>
      <c r="F673" s="49"/>
      <c r="G673" s="50"/>
      <c r="H673" s="43"/>
    </row>
    <row r="674">
      <c r="A674" s="43"/>
      <c r="B674" s="38" t="str">
        <f>IFERROR(HYPERLINK(VLOOKUP(A674,Internal_lists_bugs!$A$2:$C$73,3,FALSE()), VLOOKUP(A674,Internal_lists_bugs!$A$2:$C$73,3,FALSE())&amp;Char(10) &amp; Char(10) &amp; VLOOKUP(A674,Internal_lists_bugs!$A$2:$Z$73,26,FALSE())),"please select a BUG ID")</f>
        <v>please select a BUG ID</v>
      </c>
      <c r="C674" s="51" t="str">
        <f>IFERROR(Hyperlink(VLOOKUP(A674,Internal_lists_bugs!$A$2:$G1014,7,FALSE()),"BIC: "&amp;VLOOKUP(A674,Internal_lists_bugs!$A$2:$G1014,7,FALSE())&amp;CHAR(10)&amp;"Intro.Issues: "&amp;VLOOKUP(A674,Internal_lists_bugs!$A$2:$P1014,16,FALSE())),"please select a BUG ID")</f>
        <v>please select a BUG ID</v>
      </c>
      <c r="D674" s="52"/>
      <c r="E674" s="43"/>
      <c r="F674" s="49"/>
      <c r="G674" s="50"/>
      <c r="H674" s="43"/>
    </row>
    <row r="675">
      <c r="A675" s="43"/>
      <c r="B675" s="38" t="str">
        <f>IFERROR(HYPERLINK(VLOOKUP(A675,Internal_lists_bugs!$A$2:$C$73,3,FALSE()), VLOOKUP(A675,Internal_lists_bugs!$A$2:$C$73,3,FALSE())&amp;Char(10) &amp; Char(10) &amp; VLOOKUP(A675,Internal_lists_bugs!$A$2:$Z$73,26,FALSE())),"please select a BUG ID")</f>
        <v>please select a BUG ID</v>
      </c>
      <c r="C675" s="51" t="str">
        <f>IFERROR(Hyperlink(VLOOKUP(A675,Internal_lists_bugs!$A$2:$G1014,7,FALSE()),"BIC: "&amp;VLOOKUP(A675,Internal_lists_bugs!$A$2:$G1014,7,FALSE())&amp;CHAR(10)&amp;"Intro.Issues: "&amp;VLOOKUP(A675,Internal_lists_bugs!$A$2:$P1014,16,FALSE())),"please select a BUG ID")</f>
        <v>please select a BUG ID</v>
      </c>
      <c r="D675" s="52"/>
      <c r="E675" s="43"/>
      <c r="F675" s="49"/>
      <c r="G675" s="50"/>
      <c r="H675" s="43"/>
    </row>
    <row r="676">
      <c r="A676" s="43"/>
      <c r="B676" s="38" t="str">
        <f>IFERROR(HYPERLINK(VLOOKUP(A676,Internal_lists_bugs!$A$2:$C$73,3,FALSE()), VLOOKUP(A676,Internal_lists_bugs!$A$2:$C$73,3,FALSE())&amp;Char(10) &amp; Char(10) &amp; VLOOKUP(A676,Internal_lists_bugs!$A$2:$Z$73,26,FALSE())),"please select a BUG ID")</f>
        <v>please select a BUG ID</v>
      </c>
      <c r="C676" s="51" t="str">
        <f>IFERROR(Hyperlink(VLOOKUP(A676,Internal_lists_bugs!$A$2:$G1014,7,FALSE()),"BIC: "&amp;VLOOKUP(A676,Internal_lists_bugs!$A$2:$G1014,7,FALSE())&amp;CHAR(10)&amp;"Intro.Issues: "&amp;VLOOKUP(A676,Internal_lists_bugs!$A$2:$P1014,16,FALSE())),"please select a BUG ID")</f>
        <v>please select a BUG ID</v>
      </c>
      <c r="D676" s="52"/>
      <c r="E676" s="43"/>
      <c r="F676" s="49"/>
      <c r="G676" s="50"/>
      <c r="H676" s="43"/>
    </row>
    <row r="677">
      <c r="A677" s="43"/>
      <c r="B677" s="38" t="str">
        <f>IFERROR(HYPERLINK(VLOOKUP(A677,Internal_lists_bugs!$A$2:$C$73,3,FALSE()), VLOOKUP(A677,Internal_lists_bugs!$A$2:$C$73,3,FALSE())&amp;Char(10) &amp; Char(10) &amp; VLOOKUP(A677,Internal_lists_bugs!$A$2:$Z$73,26,FALSE())),"please select a BUG ID")</f>
        <v>please select a BUG ID</v>
      </c>
      <c r="C677" s="51" t="str">
        <f>IFERROR(Hyperlink(VLOOKUP(A677,Internal_lists_bugs!$A$2:$G1014,7,FALSE()),"BIC: "&amp;VLOOKUP(A677,Internal_lists_bugs!$A$2:$G1014,7,FALSE())&amp;CHAR(10)&amp;"Intro.Issues: "&amp;VLOOKUP(A677,Internal_lists_bugs!$A$2:$P1014,16,FALSE())),"please select a BUG ID")</f>
        <v>please select a BUG ID</v>
      </c>
      <c r="D677" s="52"/>
      <c r="E677" s="43"/>
      <c r="F677" s="49"/>
      <c r="G677" s="50"/>
      <c r="H677" s="43"/>
    </row>
    <row r="678">
      <c r="A678" s="43"/>
      <c r="B678" s="38" t="str">
        <f>IFERROR(HYPERLINK(VLOOKUP(A678,Internal_lists_bugs!$A$2:$C$73,3,FALSE()), VLOOKUP(A678,Internal_lists_bugs!$A$2:$C$73,3,FALSE())&amp;Char(10) &amp; Char(10) &amp; VLOOKUP(A678,Internal_lists_bugs!$A$2:$Z$73,26,FALSE())),"please select a BUG ID")</f>
        <v>please select a BUG ID</v>
      </c>
      <c r="C678" s="51" t="str">
        <f>IFERROR(Hyperlink(VLOOKUP(A678,Internal_lists_bugs!$A$2:$G1014,7,FALSE()),"BIC: "&amp;VLOOKUP(A678,Internal_lists_bugs!$A$2:$G1014,7,FALSE())&amp;CHAR(10)&amp;"Intro.Issues: "&amp;VLOOKUP(A678,Internal_lists_bugs!$A$2:$P1014,16,FALSE())),"please select a BUG ID")</f>
        <v>please select a BUG ID</v>
      </c>
      <c r="D678" s="52"/>
      <c r="E678" s="43"/>
      <c r="F678" s="49"/>
      <c r="G678" s="50"/>
      <c r="H678" s="43"/>
    </row>
    <row r="679">
      <c r="A679" s="43"/>
      <c r="B679" s="38" t="str">
        <f>IFERROR(HYPERLINK(VLOOKUP(A679,Internal_lists_bugs!$A$2:$C$73,3,FALSE()), VLOOKUP(A679,Internal_lists_bugs!$A$2:$C$73,3,FALSE())&amp;Char(10) &amp; Char(10) &amp; VLOOKUP(A679,Internal_lists_bugs!$A$2:$Z$73,26,FALSE())),"please select a BUG ID")</f>
        <v>please select a BUG ID</v>
      </c>
      <c r="C679" s="51" t="str">
        <f>IFERROR(Hyperlink(VLOOKUP(A679,Internal_lists_bugs!$A$2:$G1014,7,FALSE()),"BIC: "&amp;VLOOKUP(A679,Internal_lists_bugs!$A$2:$G1014,7,FALSE())&amp;CHAR(10)&amp;"Intro.Issues: "&amp;VLOOKUP(A679,Internal_lists_bugs!$A$2:$P1014,16,FALSE())),"please select a BUG ID")</f>
        <v>please select a BUG ID</v>
      </c>
      <c r="D679" s="52"/>
      <c r="E679" s="43"/>
      <c r="F679" s="49"/>
      <c r="G679" s="50"/>
      <c r="H679" s="43"/>
    </row>
    <row r="680">
      <c r="A680" s="43"/>
      <c r="B680" s="38" t="str">
        <f>IFERROR(HYPERLINK(VLOOKUP(A680,Internal_lists_bugs!$A$2:$C$73,3,FALSE()), VLOOKUP(A680,Internal_lists_bugs!$A$2:$C$73,3,FALSE())&amp;Char(10) &amp; Char(10) &amp; VLOOKUP(A680,Internal_lists_bugs!$A$2:$Z$73,26,FALSE())),"please select a BUG ID")</f>
        <v>please select a BUG ID</v>
      </c>
      <c r="C680" s="51" t="str">
        <f>IFERROR(Hyperlink(VLOOKUP(A680,Internal_lists_bugs!$A$2:$G1014,7,FALSE()),"BIC: "&amp;VLOOKUP(A680,Internal_lists_bugs!$A$2:$G1014,7,FALSE())&amp;CHAR(10)&amp;"Intro.Issues: "&amp;VLOOKUP(A680,Internal_lists_bugs!$A$2:$P1014,16,FALSE())),"please select a BUG ID")</f>
        <v>please select a BUG ID</v>
      </c>
      <c r="D680" s="52"/>
      <c r="E680" s="43"/>
      <c r="F680" s="49"/>
      <c r="G680" s="50"/>
      <c r="H680" s="43"/>
    </row>
    <row r="681">
      <c r="A681" s="43"/>
      <c r="B681" s="38" t="str">
        <f>IFERROR(HYPERLINK(VLOOKUP(A681,Internal_lists_bugs!$A$2:$C$73,3,FALSE()), VLOOKUP(A681,Internal_lists_bugs!$A$2:$C$73,3,FALSE())&amp;Char(10) &amp; Char(10) &amp; VLOOKUP(A681,Internal_lists_bugs!$A$2:$Z$73,26,FALSE())),"please select a BUG ID")</f>
        <v>please select a BUG ID</v>
      </c>
      <c r="C681" s="51" t="str">
        <f>IFERROR(Hyperlink(VLOOKUP(A681,Internal_lists_bugs!$A$2:$G1014,7,FALSE()),"BIC: "&amp;VLOOKUP(A681,Internal_lists_bugs!$A$2:$G1014,7,FALSE())&amp;CHAR(10)&amp;"Intro.Issues: "&amp;VLOOKUP(A681,Internal_lists_bugs!$A$2:$P1014,16,FALSE())),"please select a BUG ID")</f>
        <v>please select a BUG ID</v>
      </c>
      <c r="D681" s="52"/>
      <c r="E681" s="43"/>
      <c r="F681" s="49"/>
      <c r="G681" s="50"/>
      <c r="H681" s="43"/>
    </row>
    <row r="682">
      <c r="A682" s="43"/>
      <c r="B682" s="38" t="str">
        <f>IFERROR(HYPERLINK(VLOOKUP(A682,Internal_lists_bugs!$A$2:$C$73,3,FALSE()), VLOOKUP(A682,Internal_lists_bugs!$A$2:$C$73,3,FALSE())&amp;Char(10) &amp; Char(10) &amp; VLOOKUP(A682,Internal_lists_bugs!$A$2:$Z$73,26,FALSE())),"please select a BUG ID")</f>
        <v>please select a BUG ID</v>
      </c>
      <c r="C682" s="51" t="str">
        <f>IFERROR(Hyperlink(VLOOKUP(A682,Internal_lists_bugs!$A$2:$G1014,7,FALSE()),"BIC: "&amp;VLOOKUP(A682,Internal_lists_bugs!$A$2:$G1014,7,FALSE())&amp;CHAR(10)&amp;"Intro.Issues: "&amp;VLOOKUP(A682,Internal_lists_bugs!$A$2:$P1014,16,FALSE())),"please select a BUG ID")</f>
        <v>please select a BUG ID</v>
      </c>
      <c r="D682" s="52"/>
      <c r="E682" s="43"/>
      <c r="F682" s="49"/>
      <c r="G682" s="50"/>
      <c r="H682" s="43"/>
    </row>
    <row r="683">
      <c r="A683" s="43"/>
      <c r="B683" s="38" t="str">
        <f>IFERROR(HYPERLINK(VLOOKUP(A683,Internal_lists_bugs!$A$2:$C$73,3,FALSE()), VLOOKUP(A683,Internal_lists_bugs!$A$2:$C$73,3,FALSE())&amp;Char(10) &amp; Char(10) &amp; VLOOKUP(A683,Internal_lists_bugs!$A$2:$Z$73,26,FALSE())),"please select a BUG ID")</f>
        <v>please select a BUG ID</v>
      </c>
      <c r="C683" s="51" t="str">
        <f>IFERROR(Hyperlink(VLOOKUP(A683,Internal_lists_bugs!$A$2:$G1014,7,FALSE()),"BIC: "&amp;VLOOKUP(A683,Internal_lists_bugs!$A$2:$G1014,7,FALSE())&amp;CHAR(10)&amp;"Intro.Issues: "&amp;VLOOKUP(A683,Internal_lists_bugs!$A$2:$P1014,16,FALSE())),"please select a BUG ID")</f>
        <v>please select a BUG ID</v>
      </c>
      <c r="D683" s="52"/>
      <c r="E683" s="43"/>
      <c r="F683" s="49"/>
      <c r="G683" s="50"/>
      <c r="H683" s="43"/>
    </row>
    <row r="684">
      <c r="A684" s="43"/>
      <c r="B684" s="38" t="str">
        <f>IFERROR(HYPERLINK(VLOOKUP(A684,Internal_lists_bugs!$A$2:$C$73,3,FALSE()), VLOOKUP(A684,Internal_lists_bugs!$A$2:$C$73,3,FALSE())&amp;Char(10) &amp; Char(10) &amp; VLOOKUP(A684,Internal_lists_bugs!$A$2:$Z$73,26,FALSE())),"please select a BUG ID")</f>
        <v>please select a BUG ID</v>
      </c>
      <c r="C684" s="51" t="str">
        <f>IFERROR(Hyperlink(VLOOKUP(A684,Internal_lists_bugs!$A$2:$G1014,7,FALSE()),"BIC: "&amp;VLOOKUP(A684,Internal_lists_bugs!$A$2:$G1014,7,FALSE())&amp;CHAR(10)&amp;"Intro.Issues: "&amp;VLOOKUP(A684,Internal_lists_bugs!$A$2:$P1014,16,FALSE())),"please select a BUG ID")</f>
        <v>please select a BUG ID</v>
      </c>
      <c r="D684" s="52"/>
      <c r="E684" s="43"/>
      <c r="F684" s="49"/>
      <c r="G684" s="50"/>
      <c r="H684" s="43"/>
    </row>
    <row r="685">
      <c r="A685" s="43"/>
      <c r="B685" s="38" t="str">
        <f>IFERROR(HYPERLINK(VLOOKUP(A685,Internal_lists_bugs!$A$2:$C$73,3,FALSE()), VLOOKUP(A685,Internal_lists_bugs!$A$2:$C$73,3,FALSE())&amp;Char(10) &amp; Char(10) &amp; VLOOKUP(A685,Internal_lists_bugs!$A$2:$Z$73,26,FALSE())),"please select a BUG ID")</f>
        <v>please select a BUG ID</v>
      </c>
      <c r="C685" s="51" t="str">
        <f>IFERROR(Hyperlink(VLOOKUP(A685,Internal_lists_bugs!$A$2:$G1014,7,FALSE()),"BIC: "&amp;VLOOKUP(A685,Internal_lists_bugs!$A$2:$G1014,7,FALSE())&amp;CHAR(10)&amp;"Intro.Issues: "&amp;VLOOKUP(A685,Internal_lists_bugs!$A$2:$P1014,16,FALSE())),"please select a BUG ID")</f>
        <v>please select a BUG ID</v>
      </c>
      <c r="D685" s="52"/>
      <c r="E685" s="43"/>
      <c r="F685" s="49"/>
      <c r="G685" s="50"/>
      <c r="H685" s="43"/>
    </row>
    <row r="686">
      <c r="A686" s="43"/>
      <c r="B686" s="38" t="str">
        <f>IFERROR(HYPERLINK(VLOOKUP(A686,Internal_lists_bugs!$A$2:$C$73,3,FALSE()), VLOOKUP(A686,Internal_lists_bugs!$A$2:$C$73,3,FALSE())&amp;Char(10) &amp; Char(10) &amp; VLOOKUP(A686,Internal_lists_bugs!$A$2:$Z$73,26,FALSE())),"please select a BUG ID")</f>
        <v>please select a BUG ID</v>
      </c>
      <c r="C686" s="51" t="str">
        <f>IFERROR(Hyperlink(VLOOKUP(A686,Internal_lists_bugs!$A$2:$G1014,7,FALSE()),"BIC: "&amp;VLOOKUP(A686,Internal_lists_bugs!$A$2:$G1014,7,FALSE())&amp;CHAR(10)&amp;"Intro.Issues: "&amp;VLOOKUP(A686,Internal_lists_bugs!$A$2:$P1014,16,FALSE())),"please select a BUG ID")</f>
        <v>please select a BUG ID</v>
      </c>
      <c r="D686" s="52"/>
      <c r="E686" s="43"/>
      <c r="F686" s="49"/>
      <c r="G686" s="50"/>
      <c r="H686" s="43"/>
    </row>
    <row r="687">
      <c r="A687" s="43"/>
      <c r="B687" s="38" t="str">
        <f>IFERROR(HYPERLINK(VLOOKUP(A687,Internal_lists_bugs!$A$2:$C$73,3,FALSE()), VLOOKUP(A687,Internal_lists_bugs!$A$2:$C$73,3,FALSE())&amp;Char(10) &amp; Char(10) &amp; VLOOKUP(A687,Internal_lists_bugs!$A$2:$Z$73,26,FALSE())),"please select a BUG ID")</f>
        <v>please select a BUG ID</v>
      </c>
      <c r="C687" s="51" t="str">
        <f>IFERROR(Hyperlink(VLOOKUP(A687,Internal_lists_bugs!$A$2:$G1014,7,FALSE()),"BIC: "&amp;VLOOKUP(A687,Internal_lists_bugs!$A$2:$G1014,7,FALSE())&amp;CHAR(10)&amp;"Intro.Issues: "&amp;VLOOKUP(A687,Internal_lists_bugs!$A$2:$P1014,16,FALSE())),"please select a BUG ID")</f>
        <v>please select a BUG ID</v>
      </c>
      <c r="D687" s="52"/>
      <c r="E687" s="43"/>
      <c r="F687" s="49"/>
      <c r="G687" s="50"/>
      <c r="H687" s="43"/>
    </row>
    <row r="688">
      <c r="A688" s="43"/>
      <c r="B688" s="38" t="str">
        <f>IFERROR(HYPERLINK(VLOOKUP(A688,Internal_lists_bugs!$A$2:$C$73,3,FALSE()), VLOOKUP(A688,Internal_lists_bugs!$A$2:$C$73,3,FALSE())&amp;Char(10) &amp; Char(10) &amp; VLOOKUP(A688,Internal_lists_bugs!$A$2:$Z$73,26,FALSE())),"please select a BUG ID")</f>
        <v>please select a BUG ID</v>
      </c>
      <c r="C688" s="51" t="str">
        <f>IFERROR(Hyperlink(VLOOKUP(A688,Internal_lists_bugs!$A$2:$G1014,7,FALSE()),"BIC: "&amp;VLOOKUP(A688,Internal_lists_bugs!$A$2:$G1014,7,FALSE())&amp;CHAR(10)&amp;"Intro.Issues: "&amp;VLOOKUP(A688,Internal_lists_bugs!$A$2:$P1014,16,FALSE())),"please select a BUG ID")</f>
        <v>please select a BUG ID</v>
      </c>
      <c r="D688" s="52"/>
      <c r="E688" s="43"/>
      <c r="F688" s="49"/>
      <c r="G688" s="50"/>
      <c r="H688" s="43"/>
    </row>
    <row r="689">
      <c r="A689" s="43"/>
      <c r="B689" s="38" t="str">
        <f>IFERROR(HYPERLINK(VLOOKUP(A689,Internal_lists_bugs!$A$2:$C$73,3,FALSE()), VLOOKUP(A689,Internal_lists_bugs!$A$2:$C$73,3,FALSE())&amp;Char(10) &amp; Char(10) &amp; VLOOKUP(A689,Internal_lists_bugs!$A$2:$Z$73,26,FALSE())),"please select a BUG ID")</f>
        <v>please select a BUG ID</v>
      </c>
      <c r="C689" s="51" t="str">
        <f>IFERROR(Hyperlink(VLOOKUP(A689,Internal_lists_bugs!$A$2:$G1014,7,FALSE()),"BIC: "&amp;VLOOKUP(A689,Internal_lists_bugs!$A$2:$G1014,7,FALSE())&amp;CHAR(10)&amp;"Intro.Issues: "&amp;VLOOKUP(A689,Internal_lists_bugs!$A$2:$P1014,16,FALSE())),"please select a BUG ID")</f>
        <v>please select a BUG ID</v>
      </c>
      <c r="D689" s="52"/>
      <c r="E689" s="43"/>
      <c r="F689" s="49"/>
      <c r="G689" s="50"/>
      <c r="H689" s="43"/>
    </row>
    <row r="690">
      <c r="A690" s="43"/>
      <c r="B690" s="38" t="str">
        <f>IFERROR(HYPERLINK(VLOOKUP(A690,Internal_lists_bugs!$A$2:$C$73,3,FALSE()), VLOOKUP(A690,Internal_lists_bugs!$A$2:$C$73,3,FALSE())&amp;Char(10) &amp; Char(10) &amp; VLOOKUP(A690,Internal_lists_bugs!$A$2:$Z$73,26,FALSE())),"please select a BUG ID")</f>
        <v>please select a BUG ID</v>
      </c>
      <c r="C690" s="51" t="str">
        <f>IFERROR(Hyperlink(VLOOKUP(A690,Internal_lists_bugs!$A$2:$G1014,7,FALSE()),"BIC: "&amp;VLOOKUP(A690,Internal_lists_bugs!$A$2:$G1014,7,FALSE())&amp;CHAR(10)&amp;"Intro.Issues: "&amp;VLOOKUP(A690,Internal_lists_bugs!$A$2:$P1014,16,FALSE())),"please select a BUG ID")</f>
        <v>please select a BUG ID</v>
      </c>
      <c r="D690" s="52"/>
      <c r="E690" s="43"/>
      <c r="F690" s="49"/>
      <c r="G690" s="50"/>
      <c r="H690" s="43"/>
    </row>
    <row r="691">
      <c r="A691" s="43"/>
      <c r="B691" s="38" t="str">
        <f>IFERROR(HYPERLINK(VLOOKUP(A691,Internal_lists_bugs!$A$2:$C$73,3,FALSE()), VLOOKUP(A691,Internal_lists_bugs!$A$2:$C$73,3,FALSE())&amp;Char(10) &amp; Char(10) &amp; VLOOKUP(A691,Internal_lists_bugs!$A$2:$Z$73,26,FALSE())),"please select a BUG ID")</f>
        <v>please select a BUG ID</v>
      </c>
      <c r="C691" s="51" t="str">
        <f>IFERROR(Hyperlink(VLOOKUP(A691,Internal_lists_bugs!$A$2:$G1014,7,FALSE()),"BIC: "&amp;VLOOKUP(A691,Internal_lists_bugs!$A$2:$G1014,7,FALSE())&amp;CHAR(10)&amp;"Intro.Issues: "&amp;VLOOKUP(A691,Internal_lists_bugs!$A$2:$P1014,16,FALSE())),"please select a BUG ID")</f>
        <v>please select a BUG ID</v>
      </c>
      <c r="D691" s="52"/>
      <c r="E691" s="43"/>
      <c r="F691" s="49"/>
      <c r="G691" s="50"/>
      <c r="H691" s="43"/>
    </row>
    <row r="692">
      <c r="A692" s="43"/>
      <c r="B692" s="38" t="str">
        <f>IFERROR(HYPERLINK(VLOOKUP(A692,Internal_lists_bugs!$A$2:$C$73,3,FALSE()), VLOOKUP(A692,Internal_lists_bugs!$A$2:$C$73,3,FALSE())&amp;Char(10) &amp; Char(10) &amp; VLOOKUP(A692,Internal_lists_bugs!$A$2:$Z$73,26,FALSE())),"please select a BUG ID")</f>
        <v>please select a BUG ID</v>
      </c>
      <c r="C692" s="51" t="str">
        <f>IFERROR(Hyperlink(VLOOKUP(A692,Internal_lists_bugs!$A$2:$G1014,7,FALSE()),"BIC: "&amp;VLOOKUP(A692,Internal_lists_bugs!$A$2:$G1014,7,FALSE())&amp;CHAR(10)&amp;"Intro.Issues: "&amp;VLOOKUP(A692,Internal_lists_bugs!$A$2:$P1014,16,FALSE())),"please select a BUG ID")</f>
        <v>please select a BUG ID</v>
      </c>
      <c r="D692" s="52"/>
      <c r="E692" s="43"/>
      <c r="F692" s="49"/>
      <c r="G692" s="50"/>
      <c r="H692" s="43"/>
    </row>
    <row r="693">
      <c r="A693" s="43"/>
      <c r="B693" s="38" t="str">
        <f>IFERROR(HYPERLINK(VLOOKUP(A693,Internal_lists_bugs!$A$2:$C$73,3,FALSE()), VLOOKUP(A693,Internal_lists_bugs!$A$2:$C$73,3,FALSE())&amp;Char(10) &amp; Char(10) &amp; VLOOKUP(A693,Internal_lists_bugs!$A$2:$Z$73,26,FALSE())),"please select a BUG ID")</f>
        <v>please select a BUG ID</v>
      </c>
      <c r="C693" s="51" t="str">
        <f>IFERROR(Hyperlink(VLOOKUP(A693,Internal_lists_bugs!$A$2:$G1014,7,FALSE()),"BIC: "&amp;VLOOKUP(A693,Internal_lists_bugs!$A$2:$G1014,7,FALSE())&amp;CHAR(10)&amp;"Intro.Issues: "&amp;VLOOKUP(A693,Internal_lists_bugs!$A$2:$P1014,16,FALSE())),"please select a BUG ID")</f>
        <v>please select a BUG ID</v>
      </c>
      <c r="D693" s="52"/>
      <c r="E693" s="43"/>
      <c r="F693" s="49"/>
      <c r="G693" s="50"/>
      <c r="H693" s="43"/>
    </row>
    <row r="694">
      <c r="A694" s="43"/>
      <c r="B694" s="38" t="str">
        <f>IFERROR(HYPERLINK(VLOOKUP(A694,Internal_lists_bugs!$A$2:$C$73,3,FALSE()), VLOOKUP(A694,Internal_lists_bugs!$A$2:$C$73,3,FALSE())&amp;Char(10) &amp; Char(10) &amp; VLOOKUP(A694,Internal_lists_bugs!$A$2:$Z$73,26,FALSE())),"please select a BUG ID")</f>
        <v>please select a BUG ID</v>
      </c>
      <c r="C694" s="51" t="str">
        <f>IFERROR(Hyperlink(VLOOKUP(A694,Internal_lists_bugs!$A$2:$G1014,7,FALSE()),"BIC: "&amp;VLOOKUP(A694,Internal_lists_bugs!$A$2:$G1014,7,FALSE())&amp;CHAR(10)&amp;"Intro.Issues: "&amp;VLOOKUP(A694,Internal_lists_bugs!$A$2:$P1014,16,FALSE())),"please select a BUG ID")</f>
        <v>please select a BUG ID</v>
      </c>
      <c r="D694" s="52"/>
      <c r="E694" s="43"/>
      <c r="F694" s="49"/>
      <c r="G694" s="50"/>
      <c r="H694" s="43"/>
    </row>
    <row r="695">
      <c r="A695" s="43"/>
      <c r="B695" s="38" t="str">
        <f>IFERROR(HYPERLINK(VLOOKUP(A695,Internal_lists_bugs!$A$2:$C$73,3,FALSE()), VLOOKUP(A695,Internal_lists_bugs!$A$2:$C$73,3,FALSE())&amp;Char(10) &amp; Char(10) &amp; VLOOKUP(A695,Internal_lists_bugs!$A$2:$Z$73,26,FALSE())),"please select a BUG ID")</f>
        <v>please select a BUG ID</v>
      </c>
      <c r="C695" s="51" t="str">
        <f>IFERROR(Hyperlink(VLOOKUP(A695,Internal_lists_bugs!$A$2:$G1014,7,FALSE()),"BIC: "&amp;VLOOKUP(A695,Internal_lists_bugs!$A$2:$G1014,7,FALSE())&amp;CHAR(10)&amp;"Intro.Issues: "&amp;VLOOKUP(A695,Internal_lists_bugs!$A$2:$P1014,16,FALSE())),"please select a BUG ID")</f>
        <v>please select a BUG ID</v>
      </c>
      <c r="D695" s="52"/>
      <c r="E695" s="43"/>
      <c r="F695" s="49"/>
      <c r="G695" s="50"/>
      <c r="H695" s="43"/>
    </row>
    <row r="696">
      <c r="A696" s="43"/>
      <c r="B696" s="38" t="str">
        <f>IFERROR(HYPERLINK(VLOOKUP(A696,Internal_lists_bugs!$A$2:$C$73,3,FALSE()), VLOOKUP(A696,Internal_lists_bugs!$A$2:$C$73,3,FALSE())&amp;Char(10) &amp; Char(10) &amp; VLOOKUP(A696,Internal_lists_bugs!$A$2:$Z$73,26,FALSE())),"please select a BUG ID")</f>
        <v>please select a BUG ID</v>
      </c>
      <c r="C696" s="51" t="str">
        <f>IFERROR(Hyperlink(VLOOKUP(A696,Internal_lists_bugs!$A$2:$G1014,7,FALSE()),"BIC: "&amp;VLOOKUP(A696,Internal_lists_bugs!$A$2:$G1014,7,FALSE())&amp;CHAR(10)&amp;"Intro.Issues: "&amp;VLOOKUP(A696,Internal_lists_bugs!$A$2:$P1014,16,FALSE())),"please select a BUG ID")</f>
        <v>please select a BUG ID</v>
      </c>
      <c r="D696" s="52"/>
      <c r="E696" s="43"/>
      <c r="F696" s="49"/>
      <c r="G696" s="50"/>
      <c r="H696" s="43"/>
    </row>
    <row r="697">
      <c r="A697" s="43"/>
      <c r="B697" s="38" t="str">
        <f>IFERROR(HYPERLINK(VLOOKUP(A697,Internal_lists_bugs!$A$2:$C$73,3,FALSE()), VLOOKUP(A697,Internal_lists_bugs!$A$2:$C$73,3,FALSE())&amp;Char(10) &amp; Char(10) &amp; VLOOKUP(A697,Internal_lists_bugs!$A$2:$Z$73,26,FALSE())),"please select a BUG ID")</f>
        <v>please select a BUG ID</v>
      </c>
      <c r="C697" s="51" t="str">
        <f>IFERROR(Hyperlink(VLOOKUP(A697,Internal_lists_bugs!$A$2:$G1014,7,FALSE()),"BIC: "&amp;VLOOKUP(A697,Internal_lists_bugs!$A$2:$G1014,7,FALSE())&amp;CHAR(10)&amp;"Intro.Issues: "&amp;VLOOKUP(A697,Internal_lists_bugs!$A$2:$P1014,16,FALSE())),"please select a BUG ID")</f>
        <v>please select a BUG ID</v>
      </c>
      <c r="D697" s="52"/>
      <c r="E697" s="43"/>
      <c r="F697" s="49"/>
      <c r="G697" s="50"/>
      <c r="H697" s="43"/>
    </row>
    <row r="698">
      <c r="A698" s="43"/>
      <c r="B698" s="38" t="str">
        <f>IFERROR(HYPERLINK(VLOOKUP(A698,Internal_lists_bugs!$A$2:$C$73,3,FALSE()), VLOOKUP(A698,Internal_lists_bugs!$A$2:$C$73,3,FALSE())&amp;Char(10) &amp; Char(10) &amp; VLOOKUP(A698,Internal_lists_bugs!$A$2:$Z$73,26,FALSE())),"please select a BUG ID")</f>
        <v>please select a BUG ID</v>
      </c>
      <c r="C698" s="51" t="str">
        <f>IFERROR(Hyperlink(VLOOKUP(A698,Internal_lists_bugs!$A$2:$G1014,7,FALSE()),"BIC: "&amp;VLOOKUP(A698,Internal_lists_bugs!$A$2:$G1014,7,FALSE())&amp;CHAR(10)&amp;"Intro.Issues: "&amp;VLOOKUP(A698,Internal_lists_bugs!$A$2:$P1014,16,FALSE())),"please select a BUG ID")</f>
        <v>please select a BUG ID</v>
      </c>
      <c r="D698" s="52"/>
      <c r="E698" s="43"/>
      <c r="F698" s="49"/>
      <c r="G698" s="50"/>
      <c r="H698" s="43"/>
    </row>
    <row r="699">
      <c r="A699" s="43"/>
      <c r="B699" s="38" t="str">
        <f>IFERROR(HYPERLINK(VLOOKUP(A699,Internal_lists_bugs!$A$2:$C$73,3,FALSE()), VLOOKUP(A699,Internal_lists_bugs!$A$2:$C$73,3,FALSE())&amp;Char(10) &amp; Char(10) &amp; VLOOKUP(A699,Internal_lists_bugs!$A$2:$Z$73,26,FALSE())),"please select a BUG ID")</f>
        <v>please select a BUG ID</v>
      </c>
      <c r="C699" s="51" t="str">
        <f>IFERROR(Hyperlink(VLOOKUP(A699,Internal_lists_bugs!$A$2:$G1014,7,FALSE()),"BIC: "&amp;VLOOKUP(A699,Internal_lists_bugs!$A$2:$G1014,7,FALSE())&amp;CHAR(10)&amp;"Intro.Issues: "&amp;VLOOKUP(A699,Internal_lists_bugs!$A$2:$P1014,16,FALSE())),"please select a BUG ID")</f>
        <v>please select a BUG ID</v>
      </c>
      <c r="D699" s="52"/>
      <c r="E699" s="43"/>
      <c r="F699" s="49"/>
      <c r="G699" s="50"/>
      <c r="H699" s="43"/>
    </row>
    <row r="700">
      <c r="A700" s="43"/>
      <c r="B700" s="38" t="str">
        <f>IFERROR(HYPERLINK(VLOOKUP(A700,Internal_lists_bugs!$A$2:$C$73,3,FALSE()), VLOOKUP(A700,Internal_lists_bugs!$A$2:$C$73,3,FALSE())&amp;Char(10) &amp; Char(10) &amp; VLOOKUP(A700,Internal_lists_bugs!$A$2:$Z$73,26,FALSE())),"please select a BUG ID")</f>
        <v>please select a BUG ID</v>
      </c>
      <c r="C700" s="51" t="str">
        <f>IFERROR(Hyperlink(VLOOKUP(A700,Internal_lists_bugs!$A$2:$G1014,7,FALSE()),"BIC: "&amp;VLOOKUP(A700,Internal_lists_bugs!$A$2:$G1014,7,FALSE())&amp;CHAR(10)&amp;"Intro.Issues: "&amp;VLOOKUP(A700,Internal_lists_bugs!$A$2:$P1014,16,FALSE())),"please select a BUG ID")</f>
        <v>please select a BUG ID</v>
      </c>
      <c r="D700" s="52"/>
      <c r="E700" s="43"/>
      <c r="F700" s="49"/>
      <c r="G700" s="50"/>
      <c r="H700" s="43"/>
    </row>
    <row r="701">
      <c r="A701" s="43"/>
      <c r="B701" s="38" t="str">
        <f>IFERROR(HYPERLINK(VLOOKUP(A701,Internal_lists_bugs!$A$2:$C$73,3,FALSE()), VLOOKUP(A701,Internal_lists_bugs!$A$2:$C$73,3,FALSE())&amp;Char(10) &amp; Char(10) &amp; VLOOKUP(A701,Internal_lists_bugs!$A$2:$Z$73,26,FALSE())),"please select a BUG ID")</f>
        <v>please select a BUG ID</v>
      </c>
      <c r="C701" s="51" t="str">
        <f>IFERROR(Hyperlink(VLOOKUP(A701,Internal_lists_bugs!$A$2:$G1014,7,FALSE()),"BIC: "&amp;VLOOKUP(A701,Internal_lists_bugs!$A$2:$G1014,7,FALSE())&amp;CHAR(10)&amp;"Intro.Issues: "&amp;VLOOKUP(A701,Internal_lists_bugs!$A$2:$P1014,16,FALSE())),"please select a BUG ID")</f>
        <v>please select a BUG ID</v>
      </c>
      <c r="D701" s="52"/>
      <c r="E701" s="43"/>
      <c r="F701" s="49"/>
      <c r="G701" s="50"/>
      <c r="H701" s="43"/>
    </row>
    <row r="702">
      <c r="A702" s="43"/>
      <c r="B702" s="38" t="str">
        <f>IFERROR(HYPERLINK(VLOOKUP(A702,Internal_lists_bugs!$A$2:$C$73,3,FALSE()), VLOOKUP(A702,Internal_lists_bugs!$A$2:$C$73,3,FALSE())&amp;Char(10) &amp; Char(10) &amp; VLOOKUP(A702,Internal_lists_bugs!$A$2:$Z$73,26,FALSE())),"please select a BUG ID")</f>
        <v>please select a BUG ID</v>
      </c>
      <c r="C702" s="51" t="str">
        <f>IFERROR(Hyperlink(VLOOKUP(A702,Internal_lists_bugs!$A$2:$G1014,7,FALSE()),"BIC: "&amp;VLOOKUP(A702,Internal_lists_bugs!$A$2:$G1014,7,FALSE())&amp;CHAR(10)&amp;"Intro.Issues: "&amp;VLOOKUP(A702,Internal_lists_bugs!$A$2:$P1014,16,FALSE())),"please select a BUG ID")</f>
        <v>please select a BUG ID</v>
      </c>
      <c r="D702" s="52"/>
      <c r="E702" s="43"/>
      <c r="F702" s="49"/>
      <c r="G702" s="50"/>
      <c r="H702" s="43"/>
    </row>
    <row r="703">
      <c r="A703" s="43"/>
      <c r="B703" s="38" t="str">
        <f>IFERROR(HYPERLINK(VLOOKUP(A703,Internal_lists_bugs!$A$2:$C$73,3,FALSE()), VLOOKUP(A703,Internal_lists_bugs!$A$2:$C$73,3,FALSE())&amp;Char(10) &amp; Char(10) &amp; VLOOKUP(A703,Internal_lists_bugs!$A$2:$Z$73,26,FALSE())),"please select a BUG ID")</f>
        <v>please select a BUG ID</v>
      </c>
      <c r="C703" s="51" t="str">
        <f>IFERROR(Hyperlink(VLOOKUP(A703,Internal_lists_bugs!$A$2:$G1014,7,FALSE()),"BIC: "&amp;VLOOKUP(A703,Internal_lists_bugs!$A$2:$G1014,7,FALSE())&amp;CHAR(10)&amp;"Intro.Issues: "&amp;VLOOKUP(A703,Internal_lists_bugs!$A$2:$P1014,16,FALSE())),"please select a BUG ID")</f>
        <v>please select a BUG ID</v>
      </c>
      <c r="D703" s="52"/>
      <c r="E703" s="43"/>
      <c r="F703" s="49"/>
      <c r="G703" s="50"/>
      <c r="H703" s="43"/>
    </row>
    <row r="704">
      <c r="A704" s="43"/>
      <c r="B704" s="38" t="str">
        <f>IFERROR(HYPERLINK(VLOOKUP(A704,Internal_lists_bugs!$A$2:$C$73,3,FALSE()), VLOOKUP(A704,Internal_lists_bugs!$A$2:$C$73,3,FALSE())&amp;Char(10) &amp; Char(10) &amp; VLOOKUP(A704,Internal_lists_bugs!$A$2:$Z$73,26,FALSE())),"please select a BUG ID")</f>
        <v>please select a BUG ID</v>
      </c>
      <c r="C704" s="51" t="str">
        <f>IFERROR(Hyperlink(VLOOKUP(A704,Internal_lists_bugs!$A$2:$G1014,7,FALSE()),"BIC: "&amp;VLOOKUP(A704,Internal_lists_bugs!$A$2:$G1014,7,FALSE())&amp;CHAR(10)&amp;"Intro.Issues: "&amp;VLOOKUP(A704,Internal_lists_bugs!$A$2:$P1014,16,FALSE())),"please select a BUG ID")</f>
        <v>please select a BUG ID</v>
      </c>
      <c r="D704" s="52"/>
      <c r="E704" s="43"/>
      <c r="F704" s="49"/>
      <c r="G704" s="50"/>
      <c r="H704" s="43"/>
    </row>
    <row r="705">
      <c r="A705" s="43"/>
      <c r="B705" s="38" t="str">
        <f>IFERROR(HYPERLINK(VLOOKUP(A705,Internal_lists_bugs!$A$2:$C$73,3,FALSE()), VLOOKUP(A705,Internal_lists_bugs!$A$2:$C$73,3,FALSE())&amp;Char(10) &amp; Char(10) &amp; VLOOKUP(A705,Internal_lists_bugs!$A$2:$Z$73,26,FALSE())),"please select a BUG ID")</f>
        <v>please select a BUG ID</v>
      </c>
      <c r="C705" s="51" t="str">
        <f>IFERROR(Hyperlink(VLOOKUP(A705,Internal_lists_bugs!$A$2:$G1014,7,FALSE()),"BIC: "&amp;VLOOKUP(A705,Internal_lists_bugs!$A$2:$G1014,7,FALSE())&amp;CHAR(10)&amp;"Intro.Issues: "&amp;VLOOKUP(A705,Internal_lists_bugs!$A$2:$P1014,16,FALSE())),"please select a BUG ID")</f>
        <v>please select a BUG ID</v>
      </c>
      <c r="D705" s="52"/>
      <c r="E705" s="43"/>
      <c r="F705" s="49"/>
      <c r="G705" s="50"/>
      <c r="H705" s="43"/>
    </row>
    <row r="706">
      <c r="A706" s="43"/>
      <c r="B706" s="38" t="str">
        <f>IFERROR(HYPERLINK(VLOOKUP(A706,Internal_lists_bugs!$A$2:$C$73,3,FALSE()), VLOOKUP(A706,Internal_lists_bugs!$A$2:$C$73,3,FALSE())&amp;Char(10) &amp; Char(10) &amp; VLOOKUP(A706,Internal_lists_bugs!$A$2:$Z$73,26,FALSE())),"please select a BUG ID")</f>
        <v>please select a BUG ID</v>
      </c>
      <c r="C706" s="51" t="str">
        <f>IFERROR(Hyperlink(VLOOKUP(A706,Internal_lists_bugs!$A$2:$G1014,7,FALSE()),"BIC: "&amp;VLOOKUP(A706,Internal_lists_bugs!$A$2:$G1014,7,FALSE())&amp;CHAR(10)&amp;"Intro.Issues: "&amp;VLOOKUP(A706,Internal_lists_bugs!$A$2:$P1014,16,FALSE())),"please select a BUG ID")</f>
        <v>please select a BUG ID</v>
      </c>
      <c r="D706" s="52"/>
      <c r="E706" s="43"/>
      <c r="F706" s="49"/>
      <c r="G706" s="50"/>
      <c r="H706" s="43"/>
    </row>
    <row r="707">
      <c r="A707" s="43"/>
      <c r="B707" s="38" t="str">
        <f>IFERROR(HYPERLINK(VLOOKUP(A707,Internal_lists_bugs!$A$2:$C$73,3,FALSE()), VLOOKUP(A707,Internal_lists_bugs!$A$2:$C$73,3,FALSE())&amp;Char(10) &amp; Char(10) &amp; VLOOKUP(A707,Internal_lists_bugs!$A$2:$Z$73,26,FALSE())),"please select a BUG ID")</f>
        <v>please select a BUG ID</v>
      </c>
      <c r="C707" s="51" t="str">
        <f>IFERROR(Hyperlink(VLOOKUP(A707,Internal_lists_bugs!$A$2:$G1014,7,FALSE()),"BIC: "&amp;VLOOKUP(A707,Internal_lists_bugs!$A$2:$G1014,7,FALSE())&amp;CHAR(10)&amp;"Intro.Issues: "&amp;VLOOKUP(A707,Internal_lists_bugs!$A$2:$P1014,16,FALSE())),"please select a BUG ID")</f>
        <v>please select a BUG ID</v>
      </c>
      <c r="D707" s="52"/>
      <c r="E707" s="43"/>
      <c r="F707" s="49"/>
      <c r="G707" s="50"/>
      <c r="H707" s="43"/>
    </row>
    <row r="708">
      <c r="A708" s="43"/>
      <c r="B708" s="38" t="str">
        <f>IFERROR(HYPERLINK(VLOOKUP(A708,Internal_lists_bugs!$A$2:$C$73,3,FALSE()), VLOOKUP(A708,Internal_lists_bugs!$A$2:$C$73,3,FALSE())&amp;Char(10) &amp; Char(10) &amp; VLOOKUP(A708,Internal_lists_bugs!$A$2:$Z$73,26,FALSE())),"please select a BUG ID")</f>
        <v>please select a BUG ID</v>
      </c>
      <c r="C708" s="51" t="str">
        <f>IFERROR(Hyperlink(VLOOKUP(A708,Internal_lists_bugs!$A$2:$G1014,7,FALSE()),"BIC: "&amp;VLOOKUP(A708,Internal_lists_bugs!$A$2:$G1014,7,FALSE())&amp;CHAR(10)&amp;"Intro.Issues: "&amp;VLOOKUP(A708,Internal_lists_bugs!$A$2:$P1014,16,FALSE())),"please select a BUG ID")</f>
        <v>please select a BUG ID</v>
      </c>
      <c r="D708" s="52"/>
      <c r="E708" s="43"/>
      <c r="F708" s="49"/>
      <c r="G708" s="50"/>
      <c r="H708" s="43"/>
    </row>
    <row r="709">
      <c r="A709" s="43"/>
      <c r="B709" s="38" t="str">
        <f>IFERROR(HYPERLINK(VLOOKUP(A709,Internal_lists_bugs!$A$2:$C$73,3,FALSE()), VLOOKUP(A709,Internal_lists_bugs!$A$2:$C$73,3,FALSE())&amp;Char(10) &amp; Char(10) &amp; VLOOKUP(A709,Internal_lists_bugs!$A$2:$Z$73,26,FALSE())),"please select a BUG ID")</f>
        <v>please select a BUG ID</v>
      </c>
      <c r="C709" s="51" t="str">
        <f>IFERROR(Hyperlink(VLOOKUP(A709,Internal_lists_bugs!$A$2:$G1014,7,FALSE()),"BIC: "&amp;VLOOKUP(A709,Internal_lists_bugs!$A$2:$G1014,7,FALSE())&amp;CHAR(10)&amp;"Intro.Issues: "&amp;VLOOKUP(A709,Internal_lists_bugs!$A$2:$P1014,16,FALSE())),"please select a BUG ID")</f>
        <v>please select a BUG ID</v>
      </c>
      <c r="D709" s="52"/>
      <c r="E709" s="43"/>
      <c r="F709" s="49"/>
      <c r="G709" s="50"/>
      <c r="H709" s="43"/>
    </row>
    <row r="710">
      <c r="A710" s="43"/>
      <c r="B710" s="38" t="str">
        <f>IFERROR(HYPERLINK(VLOOKUP(A710,Internal_lists_bugs!$A$2:$C$73,3,FALSE()), VLOOKUP(A710,Internal_lists_bugs!$A$2:$C$73,3,FALSE())&amp;Char(10) &amp; Char(10) &amp; VLOOKUP(A710,Internal_lists_bugs!$A$2:$Z$73,26,FALSE())),"please select a BUG ID")</f>
        <v>please select a BUG ID</v>
      </c>
      <c r="C710" s="51" t="str">
        <f>IFERROR(Hyperlink(VLOOKUP(A710,Internal_lists_bugs!$A$2:$G1014,7,FALSE()),"BIC: "&amp;VLOOKUP(A710,Internal_lists_bugs!$A$2:$G1014,7,FALSE())&amp;CHAR(10)&amp;"Intro.Issues: "&amp;VLOOKUP(A710,Internal_lists_bugs!$A$2:$P1014,16,FALSE())),"please select a BUG ID")</f>
        <v>please select a BUG ID</v>
      </c>
      <c r="D710" s="52"/>
      <c r="E710" s="43"/>
      <c r="F710" s="49"/>
      <c r="G710" s="50"/>
      <c r="H710" s="43"/>
    </row>
    <row r="711">
      <c r="A711" s="43"/>
      <c r="B711" s="38" t="str">
        <f>IFERROR(HYPERLINK(VLOOKUP(A711,Internal_lists_bugs!$A$2:$C$73,3,FALSE()), VLOOKUP(A711,Internal_lists_bugs!$A$2:$C$73,3,FALSE())&amp;Char(10) &amp; Char(10) &amp; VLOOKUP(A711,Internal_lists_bugs!$A$2:$Z$73,26,FALSE())),"please select a BUG ID")</f>
        <v>please select a BUG ID</v>
      </c>
      <c r="C711" s="51" t="str">
        <f>IFERROR(Hyperlink(VLOOKUP(A711,Internal_lists_bugs!$A$2:$G1014,7,FALSE()),"BIC: "&amp;VLOOKUP(A711,Internal_lists_bugs!$A$2:$G1014,7,FALSE())&amp;CHAR(10)&amp;"Intro.Issues: "&amp;VLOOKUP(A711,Internal_lists_bugs!$A$2:$P1014,16,FALSE())),"please select a BUG ID")</f>
        <v>please select a BUG ID</v>
      </c>
      <c r="D711" s="52"/>
      <c r="E711" s="43"/>
      <c r="F711" s="49"/>
      <c r="G711" s="50"/>
      <c r="H711" s="43"/>
    </row>
    <row r="712">
      <c r="A712" s="43"/>
      <c r="B712" s="38" t="str">
        <f>IFERROR(HYPERLINK(VLOOKUP(A712,Internal_lists_bugs!$A$2:$C$73,3,FALSE()), VLOOKUP(A712,Internal_lists_bugs!$A$2:$C$73,3,FALSE())&amp;Char(10) &amp; Char(10) &amp; VLOOKUP(A712,Internal_lists_bugs!$A$2:$Z$73,26,FALSE())),"please select a BUG ID")</f>
        <v>please select a BUG ID</v>
      </c>
      <c r="C712" s="51" t="str">
        <f>IFERROR(Hyperlink(VLOOKUP(A712,Internal_lists_bugs!$A$2:$G1014,7,FALSE()),"BIC: "&amp;VLOOKUP(A712,Internal_lists_bugs!$A$2:$G1014,7,FALSE())&amp;CHAR(10)&amp;"Intro.Issues: "&amp;VLOOKUP(A712,Internal_lists_bugs!$A$2:$P1014,16,FALSE())),"please select a BUG ID")</f>
        <v>please select a BUG ID</v>
      </c>
      <c r="D712" s="52"/>
      <c r="E712" s="43"/>
      <c r="F712" s="49"/>
      <c r="G712" s="50"/>
      <c r="H712" s="43"/>
    </row>
    <row r="713">
      <c r="A713" s="43"/>
      <c r="B713" s="38" t="str">
        <f>IFERROR(HYPERLINK(VLOOKUP(A713,Internal_lists_bugs!$A$2:$C$73,3,FALSE()), VLOOKUP(A713,Internal_lists_bugs!$A$2:$C$73,3,FALSE())&amp;Char(10) &amp; Char(10) &amp; VLOOKUP(A713,Internal_lists_bugs!$A$2:$Z$73,26,FALSE())),"please select a BUG ID")</f>
        <v>please select a BUG ID</v>
      </c>
      <c r="C713" s="51" t="str">
        <f>IFERROR(Hyperlink(VLOOKUP(A713,Internal_lists_bugs!$A$2:$G1014,7,FALSE()),"BIC: "&amp;VLOOKUP(A713,Internal_lists_bugs!$A$2:$G1014,7,FALSE())&amp;CHAR(10)&amp;"Intro.Issues: "&amp;VLOOKUP(A713,Internal_lists_bugs!$A$2:$P1014,16,FALSE())),"please select a BUG ID")</f>
        <v>please select a BUG ID</v>
      </c>
      <c r="D713" s="52"/>
      <c r="E713" s="43"/>
      <c r="F713" s="49"/>
      <c r="G713" s="50"/>
      <c r="H713" s="43"/>
    </row>
    <row r="714">
      <c r="A714" s="43"/>
      <c r="B714" s="38" t="str">
        <f>IFERROR(HYPERLINK(VLOOKUP(A714,Internal_lists_bugs!$A$2:$C$73,3,FALSE()), VLOOKUP(A714,Internal_lists_bugs!$A$2:$C$73,3,FALSE())&amp;Char(10) &amp; Char(10) &amp; VLOOKUP(A714,Internal_lists_bugs!$A$2:$Z$73,26,FALSE())),"please select a BUG ID")</f>
        <v>please select a BUG ID</v>
      </c>
      <c r="C714" s="51" t="str">
        <f>IFERROR(Hyperlink(VLOOKUP(A714,Internal_lists_bugs!$A$2:$G1014,7,FALSE()),"BIC: "&amp;VLOOKUP(A714,Internal_lists_bugs!$A$2:$G1014,7,FALSE())&amp;CHAR(10)&amp;"Intro.Issues: "&amp;VLOOKUP(A714,Internal_lists_bugs!$A$2:$P1014,16,FALSE())),"please select a BUG ID")</f>
        <v>please select a BUG ID</v>
      </c>
      <c r="D714" s="52"/>
      <c r="E714" s="43"/>
      <c r="F714" s="49"/>
      <c r="G714" s="50"/>
      <c r="H714" s="43"/>
    </row>
    <row r="715">
      <c r="A715" s="43"/>
      <c r="B715" s="38" t="str">
        <f>IFERROR(HYPERLINK(VLOOKUP(A715,Internal_lists_bugs!$A$2:$C$73,3,FALSE()), VLOOKUP(A715,Internal_lists_bugs!$A$2:$C$73,3,FALSE())&amp;Char(10) &amp; Char(10) &amp; VLOOKUP(A715,Internal_lists_bugs!$A$2:$Z$73,26,FALSE())),"please select a BUG ID")</f>
        <v>please select a BUG ID</v>
      </c>
      <c r="C715" s="51" t="str">
        <f>IFERROR(Hyperlink(VLOOKUP(A715,Internal_lists_bugs!$A$2:$G1014,7,FALSE()),"BIC: "&amp;VLOOKUP(A715,Internal_lists_bugs!$A$2:$G1014,7,FALSE())&amp;CHAR(10)&amp;"Intro.Issues: "&amp;VLOOKUP(A715,Internal_lists_bugs!$A$2:$P1014,16,FALSE())),"please select a BUG ID")</f>
        <v>please select a BUG ID</v>
      </c>
      <c r="D715" s="52"/>
      <c r="E715" s="43"/>
      <c r="F715" s="49"/>
      <c r="G715" s="50"/>
      <c r="H715" s="43"/>
    </row>
    <row r="716">
      <c r="A716" s="43"/>
      <c r="B716" s="38" t="str">
        <f>IFERROR(HYPERLINK(VLOOKUP(A716,Internal_lists_bugs!$A$2:$C$73,3,FALSE()), VLOOKUP(A716,Internal_lists_bugs!$A$2:$C$73,3,FALSE())&amp;Char(10) &amp; Char(10) &amp; VLOOKUP(A716,Internal_lists_bugs!$A$2:$Z$73,26,FALSE())),"please select a BUG ID")</f>
        <v>please select a BUG ID</v>
      </c>
      <c r="C716" s="51" t="str">
        <f>IFERROR(Hyperlink(VLOOKUP(A716,Internal_lists_bugs!$A$2:$G1014,7,FALSE()),"BIC: "&amp;VLOOKUP(A716,Internal_lists_bugs!$A$2:$G1014,7,FALSE())&amp;CHAR(10)&amp;"Intro.Issues: "&amp;VLOOKUP(A716,Internal_lists_bugs!$A$2:$P1014,16,FALSE())),"please select a BUG ID")</f>
        <v>please select a BUG ID</v>
      </c>
      <c r="D716" s="52"/>
      <c r="E716" s="43"/>
      <c r="F716" s="49"/>
      <c r="G716" s="50"/>
      <c r="H716" s="43"/>
    </row>
    <row r="717">
      <c r="A717" s="43"/>
      <c r="B717" s="38" t="str">
        <f>IFERROR(HYPERLINK(VLOOKUP(A717,Internal_lists_bugs!$A$2:$C$73,3,FALSE()), VLOOKUP(A717,Internal_lists_bugs!$A$2:$C$73,3,FALSE())&amp;Char(10) &amp; Char(10) &amp; VLOOKUP(A717,Internal_lists_bugs!$A$2:$Z$73,26,FALSE())),"please select a BUG ID")</f>
        <v>please select a BUG ID</v>
      </c>
      <c r="C717" s="51" t="str">
        <f>IFERROR(Hyperlink(VLOOKUP(A717,Internal_lists_bugs!$A$2:$G1014,7,FALSE()),"BIC: "&amp;VLOOKUP(A717,Internal_lists_bugs!$A$2:$G1014,7,FALSE())&amp;CHAR(10)&amp;"Intro.Issues: "&amp;VLOOKUP(A717,Internal_lists_bugs!$A$2:$P1014,16,FALSE())),"please select a BUG ID")</f>
        <v>please select a BUG ID</v>
      </c>
      <c r="D717" s="52"/>
      <c r="E717" s="43"/>
      <c r="F717" s="49"/>
      <c r="G717" s="50"/>
      <c r="H717" s="43"/>
    </row>
    <row r="718">
      <c r="A718" s="43"/>
      <c r="B718" s="38" t="str">
        <f>IFERROR(HYPERLINK(VLOOKUP(A718,Internal_lists_bugs!$A$2:$C$73,3,FALSE()), VLOOKUP(A718,Internal_lists_bugs!$A$2:$C$73,3,FALSE())&amp;Char(10) &amp; Char(10) &amp; VLOOKUP(A718,Internal_lists_bugs!$A$2:$Z$73,26,FALSE())),"please select a BUG ID")</f>
        <v>please select a BUG ID</v>
      </c>
      <c r="C718" s="51" t="str">
        <f>IFERROR(Hyperlink(VLOOKUP(A718,Internal_lists_bugs!$A$2:$G1014,7,FALSE()),"BIC: "&amp;VLOOKUP(A718,Internal_lists_bugs!$A$2:$G1014,7,FALSE())&amp;CHAR(10)&amp;"Intro.Issues: "&amp;VLOOKUP(A718,Internal_lists_bugs!$A$2:$P1014,16,FALSE())),"please select a BUG ID")</f>
        <v>please select a BUG ID</v>
      </c>
      <c r="D718" s="52"/>
      <c r="E718" s="43"/>
      <c r="F718" s="49"/>
      <c r="G718" s="50"/>
      <c r="H718" s="43"/>
    </row>
    <row r="719">
      <c r="A719" s="43"/>
      <c r="B719" s="38" t="str">
        <f>IFERROR(HYPERLINK(VLOOKUP(A719,Internal_lists_bugs!$A$2:$C$73,3,FALSE()), VLOOKUP(A719,Internal_lists_bugs!$A$2:$C$73,3,FALSE())&amp;Char(10) &amp; Char(10) &amp; VLOOKUP(A719,Internal_lists_bugs!$A$2:$Z$73,26,FALSE())),"please select a BUG ID")</f>
        <v>please select a BUG ID</v>
      </c>
      <c r="C719" s="51" t="str">
        <f>IFERROR(Hyperlink(VLOOKUP(A719,Internal_lists_bugs!$A$2:$G1014,7,FALSE()),"BIC: "&amp;VLOOKUP(A719,Internal_lists_bugs!$A$2:$G1014,7,FALSE())&amp;CHAR(10)&amp;"Intro.Issues: "&amp;VLOOKUP(A719,Internal_lists_bugs!$A$2:$P1014,16,FALSE())),"please select a BUG ID")</f>
        <v>please select a BUG ID</v>
      </c>
      <c r="D719" s="52"/>
      <c r="E719" s="43"/>
      <c r="F719" s="49"/>
      <c r="G719" s="50"/>
      <c r="H719" s="43"/>
    </row>
    <row r="720">
      <c r="A720" s="43"/>
      <c r="B720" s="38" t="str">
        <f>IFERROR(HYPERLINK(VLOOKUP(A720,Internal_lists_bugs!$A$2:$C$73,3,FALSE()), VLOOKUP(A720,Internal_lists_bugs!$A$2:$C$73,3,FALSE())&amp;Char(10) &amp; Char(10) &amp; VLOOKUP(A720,Internal_lists_bugs!$A$2:$Z$73,26,FALSE())),"please select a BUG ID")</f>
        <v>please select a BUG ID</v>
      </c>
      <c r="C720" s="51" t="str">
        <f>IFERROR(Hyperlink(VLOOKUP(A720,Internal_lists_bugs!$A$2:$G1014,7,FALSE()),"BIC: "&amp;VLOOKUP(A720,Internal_lists_bugs!$A$2:$G1014,7,FALSE())&amp;CHAR(10)&amp;"Intro.Issues: "&amp;VLOOKUP(A720,Internal_lists_bugs!$A$2:$P1014,16,FALSE())),"please select a BUG ID")</f>
        <v>please select a BUG ID</v>
      </c>
      <c r="D720" s="52"/>
      <c r="E720" s="43"/>
      <c r="F720" s="49"/>
      <c r="G720" s="50"/>
      <c r="H720" s="43"/>
    </row>
    <row r="721">
      <c r="A721" s="43"/>
      <c r="B721" s="38" t="str">
        <f>IFERROR(HYPERLINK(VLOOKUP(A721,Internal_lists_bugs!$A$2:$C$73,3,FALSE()), VLOOKUP(A721,Internal_lists_bugs!$A$2:$C$73,3,FALSE())&amp;Char(10) &amp; Char(10) &amp; VLOOKUP(A721,Internal_lists_bugs!$A$2:$Z$73,26,FALSE())),"please select a BUG ID")</f>
        <v>please select a BUG ID</v>
      </c>
      <c r="C721" s="51" t="str">
        <f>IFERROR(Hyperlink(VLOOKUP(A721,Internal_lists_bugs!$A$2:$G1014,7,FALSE()),"BIC: "&amp;VLOOKUP(A721,Internal_lists_bugs!$A$2:$G1014,7,FALSE())&amp;CHAR(10)&amp;"Intro.Issues: "&amp;VLOOKUP(A721,Internal_lists_bugs!$A$2:$P1014,16,FALSE())),"please select a BUG ID")</f>
        <v>please select a BUG ID</v>
      </c>
      <c r="D721" s="52"/>
      <c r="E721" s="43"/>
      <c r="F721" s="49"/>
      <c r="G721" s="50"/>
      <c r="H721" s="43"/>
    </row>
    <row r="722">
      <c r="A722" s="43"/>
      <c r="B722" s="38" t="str">
        <f>IFERROR(HYPERLINK(VLOOKUP(A722,Internal_lists_bugs!$A$2:$C$73,3,FALSE()), VLOOKUP(A722,Internal_lists_bugs!$A$2:$C$73,3,FALSE())&amp;Char(10) &amp; Char(10) &amp; VLOOKUP(A722,Internal_lists_bugs!$A$2:$Z$73,26,FALSE())),"please select a BUG ID")</f>
        <v>please select a BUG ID</v>
      </c>
      <c r="C722" s="51" t="str">
        <f>IFERROR(Hyperlink(VLOOKUP(A722,Internal_lists_bugs!$A$2:$G1014,7,FALSE()),"BIC: "&amp;VLOOKUP(A722,Internal_lists_bugs!$A$2:$G1014,7,FALSE())&amp;CHAR(10)&amp;"Intro.Issues: "&amp;VLOOKUP(A722,Internal_lists_bugs!$A$2:$P1014,16,FALSE())),"please select a BUG ID")</f>
        <v>please select a BUG ID</v>
      </c>
      <c r="D722" s="52"/>
      <c r="E722" s="43"/>
      <c r="F722" s="49"/>
      <c r="G722" s="50"/>
      <c r="H722" s="43"/>
    </row>
    <row r="723">
      <c r="A723" s="43"/>
      <c r="B723" s="38" t="str">
        <f>IFERROR(HYPERLINK(VLOOKUP(A723,Internal_lists_bugs!$A$2:$C$73,3,FALSE()), VLOOKUP(A723,Internal_lists_bugs!$A$2:$C$73,3,FALSE())&amp;Char(10) &amp; Char(10) &amp; VLOOKUP(A723,Internal_lists_bugs!$A$2:$Z$73,26,FALSE())),"please select a BUG ID")</f>
        <v>please select a BUG ID</v>
      </c>
      <c r="C723" s="51" t="str">
        <f>IFERROR(Hyperlink(VLOOKUP(A723,Internal_lists_bugs!$A$2:$G1014,7,FALSE()),"BIC: "&amp;VLOOKUP(A723,Internal_lists_bugs!$A$2:$G1014,7,FALSE())&amp;CHAR(10)&amp;"Intro.Issues: "&amp;VLOOKUP(A723,Internal_lists_bugs!$A$2:$P1014,16,FALSE())),"please select a BUG ID")</f>
        <v>please select a BUG ID</v>
      </c>
      <c r="D723" s="52"/>
      <c r="E723" s="43"/>
      <c r="F723" s="49"/>
      <c r="G723" s="50"/>
      <c r="H723" s="43"/>
    </row>
    <row r="724">
      <c r="A724" s="43"/>
      <c r="B724" s="38" t="str">
        <f>IFERROR(HYPERLINK(VLOOKUP(A724,Internal_lists_bugs!$A$2:$C$73,3,FALSE()), VLOOKUP(A724,Internal_lists_bugs!$A$2:$C$73,3,FALSE())&amp;Char(10) &amp; Char(10) &amp; VLOOKUP(A724,Internal_lists_bugs!$A$2:$Z$73,26,FALSE())),"please select a BUG ID")</f>
        <v>please select a BUG ID</v>
      </c>
      <c r="C724" s="51" t="str">
        <f>IFERROR(Hyperlink(VLOOKUP(A724,Internal_lists_bugs!$A$2:$G1014,7,FALSE()),"BIC: "&amp;VLOOKUP(A724,Internal_lists_bugs!$A$2:$G1014,7,FALSE())&amp;CHAR(10)&amp;"Intro.Issues: "&amp;VLOOKUP(A724,Internal_lists_bugs!$A$2:$P1014,16,FALSE())),"please select a BUG ID")</f>
        <v>please select a BUG ID</v>
      </c>
      <c r="D724" s="52"/>
      <c r="E724" s="43"/>
      <c r="F724" s="49"/>
      <c r="G724" s="50"/>
      <c r="H724" s="43"/>
    </row>
    <row r="725">
      <c r="A725" s="43"/>
      <c r="B725" s="38" t="str">
        <f>IFERROR(HYPERLINK(VLOOKUP(A725,Internal_lists_bugs!$A$2:$C$73,3,FALSE()), VLOOKUP(A725,Internal_lists_bugs!$A$2:$C$73,3,FALSE())&amp;Char(10) &amp; Char(10) &amp; VLOOKUP(A725,Internal_lists_bugs!$A$2:$Z$73,26,FALSE())),"please select a BUG ID")</f>
        <v>please select a BUG ID</v>
      </c>
      <c r="C725" s="51" t="str">
        <f>IFERROR(Hyperlink(VLOOKUP(A725,Internal_lists_bugs!$A$2:$G1014,7,FALSE()),"BIC: "&amp;VLOOKUP(A725,Internal_lists_bugs!$A$2:$G1014,7,FALSE())&amp;CHAR(10)&amp;"Intro.Issues: "&amp;VLOOKUP(A725,Internal_lists_bugs!$A$2:$P1014,16,FALSE())),"please select a BUG ID")</f>
        <v>please select a BUG ID</v>
      </c>
      <c r="D725" s="52"/>
      <c r="E725" s="43"/>
      <c r="F725" s="49"/>
      <c r="G725" s="50"/>
      <c r="H725" s="43"/>
    </row>
    <row r="726">
      <c r="A726" s="43"/>
      <c r="B726" s="38" t="str">
        <f>IFERROR(HYPERLINK(VLOOKUP(A726,Internal_lists_bugs!$A$2:$C$73,3,FALSE()), VLOOKUP(A726,Internal_lists_bugs!$A$2:$C$73,3,FALSE())&amp;Char(10) &amp; Char(10) &amp; VLOOKUP(A726,Internal_lists_bugs!$A$2:$Z$73,26,FALSE())),"please select a BUG ID")</f>
        <v>please select a BUG ID</v>
      </c>
      <c r="C726" s="51" t="str">
        <f>IFERROR(Hyperlink(VLOOKUP(A726,Internal_lists_bugs!$A$2:$G1014,7,FALSE()),"BIC: "&amp;VLOOKUP(A726,Internal_lists_bugs!$A$2:$G1014,7,FALSE())&amp;CHAR(10)&amp;"Intro.Issues: "&amp;VLOOKUP(A726,Internal_lists_bugs!$A$2:$P1014,16,FALSE())),"please select a BUG ID")</f>
        <v>please select a BUG ID</v>
      </c>
      <c r="D726" s="52"/>
      <c r="E726" s="43"/>
      <c r="F726" s="49"/>
      <c r="G726" s="50"/>
      <c r="H726" s="43"/>
    </row>
    <row r="727">
      <c r="A727" s="43"/>
      <c r="B727" s="38" t="str">
        <f>IFERROR(HYPERLINK(VLOOKUP(A727,Internal_lists_bugs!$A$2:$C$73,3,FALSE()), VLOOKUP(A727,Internal_lists_bugs!$A$2:$C$73,3,FALSE())&amp;Char(10) &amp; Char(10) &amp; VLOOKUP(A727,Internal_lists_bugs!$A$2:$Z$73,26,FALSE())),"please select a BUG ID")</f>
        <v>please select a BUG ID</v>
      </c>
      <c r="C727" s="51" t="str">
        <f>IFERROR(Hyperlink(VLOOKUP(A727,Internal_lists_bugs!$A$2:$G1014,7,FALSE()),"BIC: "&amp;VLOOKUP(A727,Internal_lists_bugs!$A$2:$G1014,7,FALSE())&amp;CHAR(10)&amp;"Intro.Issues: "&amp;VLOOKUP(A727,Internal_lists_bugs!$A$2:$P1014,16,FALSE())),"please select a BUG ID")</f>
        <v>please select a BUG ID</v>
      </c>
      <c r="D727" s="52"/>
      <c r="E727" s="43"/>
      <c r="F727" s="49"/>
      <c r="G727" s="50"/>
      <c r="H727" s="43"/>
    </row>
    <row r="728">
      <c r="A728" s="43"/>
      <c r="B728" s="38" t="str">
        <f>IFERROR(HYPERLINK(VLOOKUP(A728,Internal_lists_bugs!$A$2:$C$73,3,FALSE()), VLOOKUP(A728,Internal_lists_bugs!$A$2:$C$73,3,FALSE())&amp;Char(10) &amp; Char(10) &amp; VLOOKUP(A728,Internal_lists_bugs!$A$2:$Z$73,26,FALSE())),"please select a BUG ID")</f>
        <v>please select a BUG ID</v>
      </c>
      <c r="C728" s="51" t="str">
        <f>IFERROR(Hyperlink(VLOOKUP(A728,Internal_lists_bugs!$A$2:$G1014,7,FALSE()),"BIC: "&amp;VLOOKUP(A728,Internal_lists_bugs!$A$2:$G1014,7,FALSE())&amp;CHAR(10)&amp;"Intro.Issues: "&amp;VLOOKUP(A728,Internal_lists_bugs!$A$2:$P1014,16,FALSE())),"please select a BUG ID")</f>
        <v>please select a BUG ID</v>
      </c>
      <c r="D728" s="52"/>
      <c r="E728" s="43"/>
      <c r="F728" s="49"/>
      <c r="G728" s="50"/>
      <c r="H728" s="43"/>
    </row>
    <row r="729">
      <c r="A729" s="43"/>
      <c r="B729" s="38" t="str">
        <f>IFERROR(HYPERLINK(VLOOKUP(A729,Internal_lists_bugs!$A$2:$C$73,3,FALSE()), VLOOKUP(A729,Internal_lists_bugs!$A$2:$C$73,3,FALSE())&amp;Char(10) &amp; Char(10) &amp; VLOOKUP(A729,Internal_lists_bugs!$A$2:$Z$73,26,FALSE())),"please select a BUG ID")</f>
        <v>please select a BUG ID</v>
      </c>
      <c r="C729" s="51" t="str">
        <f>IFERROR(Hyperlink(VLOOKUP(A729,Internal_lists_bugs!$A$2:$G1014,7,FALSE()),"BIC: "&amp;VLOOKUP(A729,Internal_lists_bugs!$A$2:$G1014,7,FALSE())&amp;CHAR(10)&amp;"Intro.Issues: "&amp;VLOOKUP(A729,Internal_lists_bugs!$A$2:$P1014,16,FALSE())),"please select a BUG ID")</f>
        <v>please select a BUG ID</v>
      </c>
      <c r="D729" s="52"/>
      <c r="E729" s="43"/>
      <c r="F729" s="49"/>
      <c r="G729" s="50"/>
      <c r="H729" s="43"/>
    </row>
    <row r="730">
      <c r="A730" s="43"/>
      <c r="B730" s="38" t="str">
        <f>IFERROR(HYPERLINK(VLOOKUP(A730,Internal_lists_bugs!$A$2:$C$73,3,FALSE()), VLOOKUP(A730,Internal_lists_bugs!$A$2:$C$73,3,FALSE())&amp;Char(10) &amp; Char(10) &amp; VLOOKUP(A730,Internal_lists_bugs!$A$2:$Z$73,26,FALSE())),"please select a BUG ID")</f>
        <v>please select a BUG ID</v>
      </c>
      <c r="C730" s="51" t="str">
        <f>IFERROR(Hyperlink(VLOOKUP(A730,Internal_lists_bugs!$A$2:$G1014,7,FALSE()),"BIC: "&amp;VLOOKUP(A730,Internal_lists_bugs!$A$2:$G1014,7,FALSE())&amp;CHAR(10)&amp;"Intro.Issues: "&amp;VLOOKUP(A730,Internal_lists_bugs!$A$2:$P1014,16,FALSE())),"please select a BUG ID")</f>
        <v>please select a BUG ID</v>
      </c>
      <c r="D730" s="52"/>
      <c r="E730" s="43"/>
      <c r="F730" s="49"/>
      <c r="G730" s="50"/>
      <c r="H730" s="43"/>
    </row>
    <row r="731">
      <c r="A731" s="43"/>
      <c r="B731" s="38" t="str">
        <f>IFERROR(HYPERLINK(VLOOKUP(A731,Internal_lists_bugs!$A$2:$C$73,3,FALSE()), VLOOKUP(A731,Internal_lists_bugs!$A$2:$C$73,3,FALSE())&amp;Char(10) &amp; Char(10) &amp; VLOOKUP(A731,Internal_lists_bugs!$A$2:$Z$73,26,FALSE())),"please select a BUG ID")</f>
        <v>please select a BUG ID</v>
      </c>
      <c r="C731" s="51" t="str">
        <f>IFERROR(Hyperlink(VLOOKUP(A731,Internal_lists_bugs!$A$2:$G1014,7,FALSE()),"BIC: "&amp;VLOOKUP(A731,Internal_lists_bugs!$A$2:$G1014,7,FALSE())&amp;CHAR(10)&amp;"Intro.Issues: "&amp;VLOOKUP(A731,Internal_lists_bugs!$A$2:$P1014,16,FALSE())),"please select a BUG ID")</f>
        <v>please select a BUG ID</v>
      </c>
      <c r="D731" s="52"/>
      <c r="E731" s="43"/>
      <c r="F731" s="49"/>
      <c r="G731" s="50"/>
      <c r="H731" s="43"/>
    </row>
    <row r="732">
      <c r="A732" s="43"/>
      <c r="B732" s="38" t="str">
        <f>IFERROR(HYPERLINK(VLOOKUP(A732,Internal_lists_bugs!$A$2:$C$73,3,FALSE()), VLOOKUP(A732,Internal_lists_bugs!$A$2:$C$73,3,FALSE())&amp;Char(10) &amp; Char(10) &amp; VLOOKUP(A732,Internal_lists_bugs!$A$2:$Z$73,26,FALSE())),"please select a BUG ID")</f>
        <v>please select a BUG ID</v>
      </c>
      <c r="C732" s="51" t="str">
        <f>IFERROR(Hyperlink(VLOOKUP(A732,Internal_lists_bugs!$A$2:$G1014,7,FALSE()),"BIC: "&amp;VLOOKUP(A732,Internal_lists_bugs!$A$2:$G1014,7,FALSE())&amp;CHAR(10)&amp;"Intro.Issues: "&amp;VLOOKUP(A732,Internal_lists_bugs!$A$2:$P1014,16,FALSE())),"please select a BUG ID")</f>
        <v>please select a BUG ID</v>
      </c>
      <c r="D732" s="52"/>
      <c r="E732" s="43"/>
      <c r="F732" s="49"/>
      <c r="G732" s="50"/>
      <c r="H732" s="43"/>
    </row>
    <row r="733">
      <c r="A733" s="43"/>
      <c r="B733" s="38" t="str">
        <f>IFERROR(HYPERLINK(VLOOKUP(A733,Internal_lists_bugs!$A$2:$C$73,3,FALSE()), VLOOKUP(A733,Internal_lists_bugs!$A$2:$C$73,3,FALSE())&amp;Char(10) &amp; Char(10) &amp; VLOOKUP(A733,Internal_lists_bugs!$A$2:$Z$73,26,FALSE())),"please select a BUG ID")</f>
        <v>please select a BUG ID</v>
      </c>
      <c r="C733" s="51" t="str">
        <f>IFERROR(Hyperlink(VLOOKUP(A733,Internal_lists_bugs!$A$2:$G1014,7,FALSE()),"BIC: "&amp;VLOOKUP(A733,Internal_lists_bugs!$A$2:$G1014,7,FALSE())&amp;CHAR(10)&amp;"Intro.Issues: "&amp;VLOOKUP(A733,Internal_lists_bugs!$A$2:$P1014,16,FALSE())),"please select a BUG ID")</f>
        <v>please select a BUG ID</v>
      </c>
      <c r="D733" s="52"/>
      <c r="E733" s="43"/>
      <c r="F733" s="49"/>
      <c r="G733" s="50"/>
      <c r="H733" s="43"/>
    </row>
    <row r="734">
      <c r="A734" s="43"/>
      <c r="B734" s="38" t="str">
        <f>IFERROR(HYPERLINK(VLOOKUP(A734,Internal_lists_bugs!$A$2:$C$73,3,FALSE()), VLOOKUP(A734,Internal_lists_bugs!$A$2:$C$73,3,FALSE())&amp;Char(10) &amp; Char(10) &amp; VLOOKUP(A734,Internal_lists_bugs!$A$2:$Z$73,26,FALSE())),"please select a BUG ID")</f>
        <v>please select a BUG ID</v>
      </c>
      <c r="C734" s="51" t="str">
        <f>IFERROR(Hyperlink(VLOOKUP(A734,Internal_lists_bugs!$A$2:$G1014,7,FALSE()),"BIC: "&amp;VLOOKUP(A734,Internal_lists_bugs!$A$2:$G1014,7,FALSE())&amp;CHAR(10)&amp;"Intro.Issues: "&amp;VLOOKUP(A734,Internal_lists_bugs!$A$2:$P1014,16,FALSE())),"please select a BUG ID")</f>
        <v>please select a BUG ID</v>
      </c>
      <c r="D734" s="52"/>
      <c r="E734" s="43"/>
      <c r="F734" s="49"/>
      <c r="G734" s="50"/>
      <c r="H734" s="43"/>
    </row>
    <row r="735">
      <c r="A735" s="43"/>
      <c r="B735" s="38" t="str">
        <f>IFERROR(HYPERLINK(VLOOKUP(A735,Internal_lists_bugs!$A$2:$C$73,3,FALSE()), VLOOKUP(A735,Internal_lists_bugs!$A$2:$C$73,3,FALSE())&amp;Char(10) &amp; Char(10) &amp; VLOOKUP(A735,Internal_lists_bugs!$A$2:$Z$73,26,FALSE())),"please select a BUG ID")</f>
        <v>please select a BUG ID</v>
      </c>
      <c r="C735" s="51" t="str">
        <f>IFERROR(Hyperlink(VLOOKUP(A735,Internal_lists_bugs!$A$2:$G1014,7,FALSE()),"BIC: "&amp;VLOOKUP(A735,Internal_lists_bugs!$A$2:$G1014,7,FALSE())&amp;CHAR(10)&amp;"Intro.Issues: "&amp;VLOOKUP(A735,Internal_lists_bugs!$A$2:$P1014,16,FALSE())),"please select a BUG ID")</f>
        <v>please select a BUG ID</v>
      </c>
      <c r="D735" s="52"/>
      <c r="E735" s="43"/>
      <c r="F735" s="49"/>
      <c r="G735" s="50"/>
      <c r="H735" s="43"/>
    </row>
    <row r="736">
      <c r="A736" s="43"/>
      <c r="B736" s="38" t="str">
        <f>IFERROR(HYPERLINK(VLOOKUP(A736,Internal_lists_bugs!$A$2:$C$73,3,FALSE()), VLOOKUP(A736,Internal_lists_bugs!$A$2:$C$73,3,FALSE())&amp;Char(10) &amp; Char(10) &amp; VLOOKUP(A736,Internal_lists_bugs!$A$2:$Z$73,26,FALSE())),"please select a BUG ID")</f>
        <v>please select a BUG ID</v>
      </c>
      <c r="C736" s="51" t="str">
        <f>IFERROR(Hyperlink(VLOOKUP(A736,Internal_lists_bugs!$A$2:$G1014,7,FALSE()),"BIC: "&amp;VLOOKUP(A736,Internal_lists_bugs!$A$2:$G1014,7,FALSE())&amp;CHAR(10)&amp;"Intro.Issues: "&amp;VLOOKUP(A736,Internal_lists_bugs!$A$2:$P1014,16,FALSE())),"please select a BUG ID")</f>
        <v>please select a BUG ID</v>
      </c>
      <c r="D736" s="52"/>
      <c r="E736" s="43"/>
      <c r="F736" s="49"/>
      <c r="G736" s="50"/>
      <c r="H736" s="43"/>
    </row>
    <row r="737">
      <c r="A737" s="43"/>
      <c r="B737" s="38" t="str">
        <f>IFERROR(HYPERLINK(VLOOKUP(A737,Internal_lists_bugs!$A$2:$C$73,3,FALSE()), VLOOKUP(A737,Internal_lists_bugs!$A$2:$C$73,3,FALSE())&amp;Char(10) &amp; Char(10) &amp; VLOOKUP(A737,Internal_lists_bugs!$A$2:$Z$73,26,FALSE())),"please select a BUG ID")</f>
        <v>please select a BUG ID</v>
      </c>
      <c r="C737" s="51" t="str">
        <f>IFERROR(Hyperlink(VLOOKUP(A737,Internal_lists_bugs!$A$2:$G1014,7,FALSE()),"BIC: "&amp;VLOOKUP(A737,Internal_lists_bugs!$A$2:$G1014,7,FALSE())&amp;CHAR(10)&amp;"Intro.Issues: "&amp;VLOOKUP(A737,Internal_lists_bugs!$A$2:$P1014,16,FALSE())),"please select a BUG ID")</f>
        <v>please select a BUG ID</v>
      </c>
      <c r="D737" s="52"/>
      <c r="E737" s="43"/>
      <c r="F737" s="49"/>
      <c r="G737" s="50"/>
      <c r="H737" s="43"/>
    </row>
    <row r="738">
      <c r="A738" s="43"/>
      <c r="B738" s="38" t="str">
        <f>IFERROR(HYPERLINK(VLOOKUP(A738,Internal_lists_bugs!$A$2:$C$73,3,FALSE()), VLOOKUP(A738,Internal_lists_bugs!$A$2:$C$73,3,FALSE())&amp;Char(10) &amp; Char(10) &amp; VLOOKUP(A738,Internal_lists_bugs!$A$2:$Z$73,26,FALSE())),"please select a BUG ID")</f>
        <v>please select a BUG ID</v>
      </c>
      <c r="C738" s="51" t="str">
        <f>IFERROR(Hyperlink(VLOOKUP(A738,Internal_lists_bugs!$A$2:$G1014,7,FALSE()),"BIC: "&amp;VLOOKUP(A738,Internal_lists_bugs!$A$2:$G1014,7,FALSE())&amp;CHAR(10)&amp;"Intro.Issues: "&amp;VLOOKUP(A738,Internal_lists_bugs!$A$2:$P1014,16,FALSE())),"please select a BUG ID")</f>
        <v>please select a BUG ID</v>
      </c>
      <c r="D738" s="52"/>
      <c r="E738" s="43"/>
      <c r="F738" s="49"/>
      <c r="G738" s="50"/>
      <c r="H738" s="43"/>
    </row>
    <row r="739">
      <c r="A739" s="43"/>
      <c r="B739" s="38" t="str">
        <f>IFERROR(HYPERLINK(VLOOKUP(A739,Internal_lists_bugs!$A$2:$C$73,3,FALSE()), VLOOKUP(A739,Internal_lists_bugs!$A$2:$C$73,3,FALSE())&amp;Char(10) &amp; Char(10) &amp; VLOOKUP(A739,Internal_lists_bugs!$A$2:$Z$73,26,FALSE())),"please select a BUG ID")</f>
        <v>please select a BUG ID</v>
      </c>
      <c r="C739" s="51" t="str">
        <f>IFERROR(Hyperlink(VLOOKUP(A739,Internal_lists_bugs!$A$2:$G1014,7,FALSE()),"BIC: "&amp;VLOOKUP(A739,Internal_lists_bugs!$A$2:$G1014,7,FALSE())&amp;CHAR(10)&amp;"Intro.Issues: "&amp;VLOOKUP(A739,Internal_lists_bugs!$A$2:$P1014,16,FALSE())),"please select a BUG ID")</f>
        <v>please select a BUG ID</v>
      </c>
      <c r="D739" s="52"/>
      <c r="E739" s="43"/>
      <c r="F739" s="49"/>
      <c r="G739" s="50"/>
      <c r="H739" s="43"/>
    </row>
    <row r="740">
      <c r="A740" s="43"/>
      <c r="B740" s="38" t="str">
        <f>IFERROR(HYPERLINK(VLOOKUP(A740,Internal_lists_bugs!$A$2:$C$73,3,FALSE()), VLOOKUP(A740,Internal_lists_bugs!$A$2:$C$73,3,FALSE())&amp;Char(10) &amp; Char(10) &amp; VLOOKUP(A740,Internal_lists_bugs!$A$2:$Z$73,26,FALSE())),"please select a BUG ID")</f>
        <v>please select a BUG ID</v>
      </c>
      <c r="C740" s="51" t="str">
        <f>IFERROR(Hyperlink(VLOOKUP(A740,Internal_lists_bugs!$A$2:$G1014,7,FALSE()),"BIC: "&amp;VLOOKUP(A740,Internal_lists_bugs!$A$2:$G1014,7,FALSE())&amp;CHAR(10)&amp;"Intro.Issues: "&amp;VLOOKUP(A740,Internal_lists_bugs!$A$2:$P1014,16,FALSE())),"please select a BUG ID")</f>
        <v>please select a BUG ID</v>
      </c>
      <c r="D740" s="52"/>
      <c r="E740" s="43"/>
      <c r="F740" s="49"/>
      <c r="G740" s="50"/>
      <c r="H740" s="43"/>
    </row>
    <row r="741">
      <c r="A741" s="43"/>
      <c r="B741" s="38" t="str">
        <f>IFERROR(HYPERLINK(VLOOKUP(A741,Internal_lists_bugs!$A$2:$C$73,3,FALSE()), VLOOKUP(A741,Internal_lists_bugs!$A$2:$C$73,3,FALSE())&amp;Char(10) &amp; Char(10) &amp; VLOOKUP(A741,Internal_lists_bugs!$A$2:$Z$73,26,FALSE())),"please select a BUG ID")</f>
        <v>please select a BUG ID</v>
      </c>
      <c r="C741" s="51" t="str">
        <f>IFERROR(Hyperlink(VLOOKUP(A741,Internal_lists_bugs!$A$2:$G1014,7,FALSE()),"BIC: "&amp;VLOOKUP(A741,Internal_lists_bugs!$A$2:$G1014,7,FALSE())&amp;CHAR(10)&amp;"Intro.Issues: "&amp;VLOOKUP(A741,Internal_lists_bugs!$A$2:$P1014,16,FALSE())),"please select a BUG ID")</f>
        <v>please select a BUG ID</v>
      </c>
      <c r="D741" s="52"/>
      <c r="E741" s="43"/>
      <c r="F741" s="49"/>
      <c r="G741" s="50"/>
      <c r="H741" s="43"/>
    </row>
    <row r="742">
      <c r="A742" s="43"/>
      <c r="B742" s="38" t="str">
        <f>IFERROR(HYPERLINK(VLOOKUP(A742,Internal_lists_bugs!$A$2:$C$73,3,FALSE()), VLOOKUP(A742,Internal_lists_bugs!$A$2:$C$73,3,FALSE())&amp;Char(10) &amp; Char(10) &amp; VLOOKUP(A742,Internal_lists_bugs!$A$2:$Z$73,26,FALSE())),"please select a BUG ID")</f>
        <v>please select a BUG ID</v>
      </c>
      <c r="C742" s="51" t="str">
        <f>IFERROR(Hyperlink(VLOOKUP(A742,Internal_lists_bugs!$A$2:$G1014,7,FALSE()),"BIC: "&amp;VLOOKUP(A742,Internal_lists_bugs!$A$2:$G1014,7,FALSE())&amp;CHAR(10)&amp;"Intro.Issues: "&amp;VLOOKUP(A742,Internal_lists_bugs!$A$2:$P1014,16,FALSE())),"please select a BUG ID")</f>
        <v>please select a BUG ID</v>
      </c>
      <c r="D742" s="52"/>
      <c r="E742" s="43"/>
      <c r="F742" s="49"/>
      <c r="G742" s="50"/>
      <c r="H742" s="43"/>
    </row>
    <row r="743">
      <c r="A743" s="43"/>
      <c r="B743" s="38" t="str">
        <f>IFERROR(HYPERLINK(VLOOKUP(A743,Internal_lists_bugs!$A$2:$C$73,3,FALSE()), VLOOKUP(A743,Internal_lists_bugs!$A$2:$C$73,3,FALSE())&amp;Char(10) &amp; Char(10) &amp; VLOOKUP(A743,Internal_lists_bugs!$A$2:$Z$73,26,FALSE())),"please select a BUG ID")</f>
        <v>please select a BUG ID</v>
      </c>
      <c r="C743" s="51" t="str">
        <f>IFERROR(Hyperlink(VLOOKUP(A743,Internal_lists_bugs!$A$2:$G1014,7,FALSE()),"BIC: "&amp;VLOOKUP(A743,Internal_lists_bugs!$A$2:$G1014,7,FALSE())&amp;CHAR(10)&amp;"Intro.Issues: "&amp;VLOOKUP(A743,Internal_lists_bugs!$A$2:$P1014,16,FALSE())),"please select a BUG ID")</f>
        <v>please select a BUG ID</v>
      </c>
      <c r="D743" s="52"/>
      <c r="E743" s="43"/>
      <c r="F743" s="49"/>
      <c r="G743" s="50"/>
      <c r="H743" s="43"/>
    </row>
    <row r="744">
      <c r="A744" s="43"/>
      <c r="B744" s="38" t="str">
        <f>IFERROR(HYPERLINK(VLOOKUP(A744,Internal_lists_bugs!$A$2:$C$73,3,FALSE()), VLOOKUP(A744,Internal_lists_bugs!$A$2:$C$73,3,FALSE())&amp;Char(10) &amp; Char(10) &amp; VLOOKUP(A744,Internal_lists_bugs!$A$2:$Z$73,26,FALSE())),"please select a BUG ID")</f>
        <v>please select a BUG ID</v>
      </c>
      <c r="C744" s="51" t="str">
        <f>IFERROR(Hyperlink(VLOOKUP(A744,Internal_lists_bugs!$A$2:$G1014,7,FALSE()),"BIC: "&amp;VLOOKUP(A744,Internal_lists_bugs!$A$2:$G1014,7,FALSE())&amp;CHAR(10)&amp;"Intro.Issues: "&amp;VLOOKUP(A744,Internal_lists_bugs!$A$2:$P1014,16,FALSE())),"please select a BUG ID")</f>
        <v>please select a BUG ID</v>
      </c>
      <c r="D744" s="52"/>
      <c r="E744" s="43"/>
      <c r="F744" s="49"/>
      <c r="G744" s="50"/>
      <c r="H744" s="43"/>
    </row>
    <row r="745">
      <c r="A745" s="43"/>
      <c r="B745" s="38" t="str">
        <f>IFERROR(HYPERLINK(VLOOKUP(A745,Internal_lists_bugs!$A$2:$C$73,3,FALSE()), VLOOKUP(A745,Internal_lists_bugs!$A$2:$C$73,3,FALSE())&amp;Char(10) &amp; Char(10) &amp; VLOOKUP(A745,Internal_lists_bugs!$A$2:$Z$73,26,FALSE())),"please select a BUG ID")</f>
        <v>please select a BUG ID</v>
      </c>
      <c r="C745" s="51" t="str">
        <f>IFERROR(Hyperlink(VLOOKUP(A745,Internal_lists_bugs!$A$2:$G1014,7,FALSE()),"BIC: "&amp;VLOOKUP(A745,Internal_lists_bugs!$A$2:$G1014,7,FALSE())&amp;CHAR(10)&amp;"Intro.Issues: "&amp;VLOOKUP(A745,Internal_lists_bugs!$A$2:$P1014,16,FALSE())),"please select a BUG ID")</f>
        <v>please select a BUG ID</v>
      </c>
      <c r="D745" s="52"/>
      <c r="E745" s="43"/>
      <c r="F745" s="49"/>
      <c r="G745" s="50"/>
      <c r="H745" s="43"/>
    </row>
    <row r="746">
      <c r="A746" s="43"/>
      <c r="B746" s="38" t="str">
        <f>IFERROR(HYPERLINK(VLOOKUP(A746,Internal_lists_bugs!$A$2:$C$73,3,FALSE()), VLOOKUP(A746,Internal_lists_bugs!$A$2:$C$73,3,FALSE())&amp;Char(10) &amp; Char(10) &amp; VLOOKUP(A746,Internal_lists_bugs!$A$2:$Z$73,26,FALSE())),"please select a BUG ID")</f>
        <v>please select a BUG ID</v>
      </c>
      <c r="C746" s="51" t="str">
        <f>IFERROR(Hyperlink(VLOOKUP(A746,Internal_lists_bugs!$A$2:$G1014,7,FALSE()),"BIC: "&amp;VLOOKUP(A746,Internal_lists_bugs!$A$2:$G1014,7,FALSE())&amp;CHAR(10)&amp;"Intro.Issues: "&amp;VLOOKUP(A746,Internal_lists_bugs!$A$2:$P1014,16,FALSE())),"please select a BUG ID")</f>
        <v>please select a BUG ID</v>
      </c>
      <c r="D746" s="52"/>
      <c r="E746" s="43"/>
      <c r="F746" s="49"/>
      <c r="G746" s="50"/>
      <c r="H746" s="43"/>
    </row>
    <row r="747">
      <c r="A747" s="43"/>
      <c r="B747" s="38" t="str">
        <f>IFERROR(HYPERLINK(VLOOKUP(A747,Internal_lists_bugs!$A$2:$C$73,3,FALSE()), VLOOKUP(A747,Internal_lists_bugs!$A$2:$C$73,3,FALSE())&amp;Char(10) &amp; Char(10) &amp; VLOOKUP(A747,Internal_lists_bugs!$A$2:$Z$73,26,FALSE())),"please select a BUG ID")</f>
        <v>please select a BUG ID</v>
      </c>
      <c r="C747" s="51" t="str">
        <f>IFERROR(Hyperlink(VLOOKUP(A747,Internal_lists_bugs!$A$2:$G1014,7,FALSE()),"BIC: "&amp;VLOOKUP(A747,Internal_lists_bugs!$A$2:$G1014,7,FALSE())&amp;CHAR(10)&amp;"Intro.Issues: "&amp;VLOOKUP(A747,Internal_lists_bugs!$A$2:$P1014,16,FALSE())),"please select a BUG ID")</f>
        <v>please select a BUG ID</v>
      </c>
      <c r="D747" s="52"/>
      <c r="E747" s="43"/>
      <c r="F747" s="49"/>
      <c r="G747" s="50"/>
      <c r="H747" s="43"/>
    </row>
    <row r="748">
      <c r="A748" s="43"/>
      <c r="B748" s="38" t="str">
        <f>IFERROR(HYPERLINK(VLOOKUP(A748,Internal_lists_bugs!$A$2:$C$73,3,FALSE()), VLOOKUP(A748,Internal_lists_bugs!$A$2:$C$73,3,FALSE())&amp;Char(10) &amp; Char(10) &amp; VLOOKUP(A748,Internal_lists_bugs!$A$2:$Z$73,26,FALSE())),"please select a BUG ID")</f>
        <v>please select a BUG ID</v>
      </c>
      <c r="C748" s="51" t="str">
        <f>IFERROR(Hyperlink(VLOOKUP(A748,Internal_lists_bugs!$A$2:$G1014,7,FALSE()),"BIC: "&amp;VLOOKUP(A748,Internal_lists_bugs!$A$2:$G1014,7,FALSE())&amp;CHAR(10)&amp;"Intro.Issues: "&amp;VLOOKUP(A748,Internal_lists_bugs!$A$2:$P1014,16,FALSE())),"please select a BUG ID")</f>
        <v>please select a BUG ID</v>
      </c>
      <c r="D748" s="52"/>
      <c r="E748" s="43"/>
      <c r="F748" s="49"/>
      <c r="G748" s="50"/>
      <c r="H748" s="43"/>
    </row>
    <row r="749">
      <c r="A749" s="43"/>
      <c r="B749" s="38" t="str">
        <f>IFERROR(HYPERLINK(VLOOKUP(A749,Internal_lists_bugs!$A$2:$C$73,3,FALSE()), VLOOKUP(A749,Internal_lists_bugs!$A$2:$C$73,3,FALSE())&amp;Char(10) &amp; Char(10) &amp; VLOOKUP(A749,Internal_lists_bugs!$A$2:$Z$73,26,FALSE())),"please select a BUG ID")</f>
        <v>please select a BUG ID</v>
      </c>
      <c r="C749" s="51" t="str">
        <f>IFERROR(Hyperlink(VLOOKUP(A749,Internal_lists_bugs!$A$2:$G1014,7,FALSE()),"BIC: "&amp;VLOOKUP(A749,Internal_lists_bugs!$A$2:$G1014,7,FALSE())&amp;CHAR(10)&amp;"Intro.Issues: "&amp;VLOOKUP(A749,Internal_lists_bugs!$A$2:$P1014,16,FALSE())),"please select a BUG ID")</f>
        <v>please select a BUG ID</v>
      </c>
      <c r="D749" s="52"/>
      <c r="E749" s="43"/>
      <c r="F749" s="49"/>
      <c r="G749" s="50"/>
      <c r="H749" s="43"/>
    </row>
    <row r="750">
      <c r="A750" s="43"/>
      <c r="B750" s="38" t="str">
        <f>IFERROR(HYPERLINK(VLOOKUP(A750,Internal_lists_bugs!$A$2:$C$73,3,FALSE()), VLOOKUP(A750,Internal_lists_bugs!$A$2:$C$73,3,FALSE())&amp;Char(10) &amp; Char(10) &amp; VLOOKUP(A750,Internal_lists_bugs!$A$2:$Z$73,26,FALSE())),"please select a BUG ID")</f>
        <v>please select a BUG ID</v>
      </c>
      <c r="C750" s="51" t="str">
        <f>IFERROR(Hyperlink(VLOOKUP(A750,Internal_lists_bugs!$A$2:$G1014,7,FALSE()),"BIC: "&amp;VLOOKUP(A750,Internal_lists_bugs!$A$2:$G1014,7,FALSE())&amp;CHAR(10)&amp;"Intro.Issues: "&amp;VLOOKUP(A750,Internal_lists_bugs!$A$2:$P1014,16,FALSE())),"please select a BUG ID")</f>
        <v>please select a BUG ID</v>
      </c>
      <c r="D750" s="52"/>
      <c r="E750" s="43"/>
      <c r="F750" s="49"/>
      <c r="G750" s="50"/>
      <c r="H750" s="43"/>
    </row>
    <row r="751">
      <c r="A751" s="43"/>
      <c r="B751" s="38" t="str">
        <f>IFERROR(HYPERLINK(VLOOKUP(A751,Internal_lists_bugs!$A$2:$C$73,3,FALSE()), VLOOKUP(A751,Internal_lists_bugs!$A$2:$C$73,3,FALSE())&amp;Char(10) &amp; Char(10) &amp; VLOOKUP(A751,Internal_lists_bugs!$A$2:$Z$73,26,FALSE())),"please select a BUG ID")</f>
        <v>please select a BUG ID</v>
      </c>
      <c r="C751" s="51" t="str">
        <f>IFERROR(Hyperlink(VLOOKUP(A751,Internal_lists_bugs!$A$2:$G1014,7,FALSE()),"BIC: "&amp;VLOOKUP(A751,Internal_lists_bugs!$A$2:$G1014,7,FALSE())&amp;CHAR(10)&amp;"Intro.Issues: "&amp;VLOOKUP(A751,Internal_lists_bugs!$A$2:$P1014,16,FALSE())),"please select a BUG ID")</f>
        <v>please select a BUG ID</v>
      </c>
      <c r="D751" s="52"/>
      <c r="E751" s="43"/>
      <c r="F751" s="49"/>
      <c r="G751" s="50"/>
      <c r="H751" s="43"/>
    </row>
    <row r="752">
      <c r="A752" s="43"/>
      <c r="B752" s="38" t="str">
        <f>IFERROR(HYPERLINK(VLOOKUP(A752,Internal_lists_bugs!$A$2:$C$73,3,FALSE()), VLOOKUP(A752,Internal_lists_bugs!$A$2:$C$73,3,FALSE())&amp;Char(10) &amp; Char(10) &amp; VLOOKUP(A752,Internal_lists_bugs!$A$2:$Z$73,26,FALSE())),"please select a BUG ID")</f>
        <v>please select a BUG ID</v>
      </c>
      <c r="C752" s="51" t="str">
        <f>IFERROR(Hyperlink(VLOOKUP(A752,Internal_lists_bugs!$A$2:$G1014,7,FALSE()),"BIC: "&amp;VLOOKUP(A752,Internal_lists_bugs!$A$2:$G1014,7,FALSE())&amp;CHAR(10)&amp;"Intro.Issues: "&amp;VLOOKUP(A752,Internal_lists_bugs!$A$2:$P1014,16,FALSE())),"please select a BUG ID")</f>
        <v>please select a BUG ID</v>
      </c>
      <c r="D752" s="52"/>
      <c r="E752" s="43"/>
      <c r="F752" s="49"/>
      <c r="G752" s="50"/>
      <c r="H752" s="43"/>
    </row>
    <row r="753">
      <c r="A753" s="43"/>
      <c r="B753" s="38" t="str">
        <f>IFERROR(HYPERLINK(VLOOKUP(A753,Internal_lists_bugs!$A$2:$C$73,3,FALSE()), VLOOKUP(A753,Internal_lists_bugs!$A$2:$C$73,3,FALSE())&amp;Char(10) &amp; Char(10) &amp; VLOOKUP(A753,Internal_lists_bugs!$A$2:$Z$73,26,FALSE())),"please select a BUG ID")</f>
        <v>please select a BUG ID</v>
      </c>
      <c r="C753" s="51" t="str">
        <f>IFERROR(Hyperlink(VLOOKUP(A753,Internal_lists_bugs!$A$2:$G1014,7,FALSE()),"BIC: "&amp;VLOOKUP(A753,Internal_lists_bugs!$A$2:$G1014,7,FALSE())&amp;CHAR(10)&amp;"Intro.Issues: "&amp;VLOOKUP(A753,Internal_lists_bugs!$A$2:$P1014,16,FALSE())),"please select a BUG ID")</f>
        <v>please select a BUG ID</v>
      </c>
      <c r="D753" s="52"/>
      <c r="E753" s="43"/>
      <c r="F753" s="49"/>
      <c r="G753" s="50"/>
      <c r="H753" s="43"/>
    </row>
    <row r="754">
      <c r="A754" s="43"/>
      <c r="B754" s="38" t="str">
        <f>IFERROR(HYPERLINK(VLOOKUP(A754,Internal_lists_bugs!$A$2:$C$73,3,FALSE()), VLOOKUP(A754,Internal_lists_bugs!$A$2:$C$73,3,FALSE())&amp;Char(10) &amp; Char(10) &amp; VLOOKUP(A754,Internal_lists_bugs!$A$2:$Z$73,26,FALSE())),"please select a BUG ID")</f>
        <v>please select a BUG ID</v>
      </c>
      <c r="C754" s="51" t="str">
        <f>IFERROR(Hyperlink(VLOOKUP(A754,Internal_lists_bugs!$A$2:$G1014,7,FALSE()),"BIC: "&amp;VLOOKUP(A754,Internal_lists_bugs!$A$2:$G1014,7,FALSE())&amp;CHAR(10)&amp;"Intro.Issues: "&amp;VLOOKUP(A754,Internal_lists_bugs!$A$2:$P1014,16,FALSE())),"please select a BUG ID")</f>
        <v>please select a BUG ID</v>
      </c>
      <c r="D754" s="52"/>
      <c r="E754" s="43"/>
      <c r="F754" s="49"/>
      <c r="G754" s="50"/>
      <c r="H754" s="43"/>
    </row>
    <row r="755">
      <c r="A755" s="43"/>
      <c r="B755" s="38" t="str">
        <f>IFERROR(HYPERLINK(VLOOKUP(A755,Internal_lists_bugs!$A$2:$C$73,3,FALSE()), VLOOKUP(A755,Internal_lists_bugs!$A$2:$C$73,3,FALSE())&amp;Char(10) &amp; Char(10) &amp; VLOOKUP(A755,Internal_lists_bugs!$A$2:$Z$73,26,FALSE())),"please select a BUG ID")</f>
        <v>please select a BUG ID</v>
      </c>
      <c r="C755" s="51" t="str">
        <f>IFERROR(Hyperlink(VLOOKUP(A755,Internal_lists_bugs!$A$2:$G1014,7,FALSE()),"BIC: "&amp;VLOOKUP(A755,Internal_lists_bugs!$A$2:$G1014,7,FALSE())&amp;CHAR(10)&amp;"Intro.Issues: "&amp;VLOOKUP(A755,Internal_lists_bugs!$A$2:$P1014,16,FALSE())),"please select a BUG ID")</f>
        <v>please select a BUG ID</v>
      </c>
      <c r="D755" s="52"/>
      <c r="E755" s="43"/>
      <c r="F755" s="49"/>
      <c r="G755" s="50"/>
      <c r="H755" s="43"/>
    </row>
    <row r="756">
      <c r="A756" s="43"/>
      <c r="B756" s="38" t="str">
        <f>IFERROR(HYPERLINK(VLOOKUP(A756,Internal_lists_bugs!$A$2:$C$73,3,FALSE()), VLOOKUP(A756,Internal_lists_bugs!$A$2:$C$73,3,FALSE())&amp;Char(10) &amp; Char(10) &amp; VLOOKUP(A756,Internal_lists_bugs!$A$2:$Z$73,26,FALSE())),"please select a BUG ID")</f>
        <v>please select a BUG ID</v>
      </c>
      <c r="C756" s="51" t="str">
        <f>IFERROR(Hyperlink(VLOOKUP(A756,Internal_lists_bugs!$A$2:$G1014,7,FALSE()),"BIC: "&amp;VLOOKUP(A756,Internal_lists_bugs!$A$2:$G1014,7,FALSE())&amp;CHAR(10)&amp;"Intro.Issues: "&amp;VLOOKUP(A756,Internal_lists_bugs!$A$2:$P1014,16,FALSE())),"please select a BUG ID")</f>
        <v>please select a BUG ID</v>
      </c>
      <c r="D756" s="52"/>
      <c r="E756" s="43"/>
      <c r="F756" s="49"/>
      <c r="G756" s="50"/>
      <c r="H756" s="43"/>
    </row>
    <row r="757">
      <c r="A757" s="43"/>
      <c r="B757" s="38" t="str">
        <f>IFERROR(HYPERLINK(VLOOKUP(A757,Internal_lists_bugs!$A$2:$C$73,3,FALSE()), VLOOKUP(A757,Internal_lists_bugs!$A$2:$C$73,3,FALSE())&amp;Char(10) &amp; Char(10) &amp; VLOOKUP(A757,Internal_lists_bugs!$A$2:$Z$73,26,FALSE())),"please select a BUG ID")</f>
        <v>please select a BUG ID</v>
      </c>
      <c r="C757" s="51" t="str">
        <f>IFERROR(Hyperlink(VLOOKUP(A757,Internal_lists_bugs!$A$2:$G1014,7,FALSE()),"BIC: "&amp;VLOOKUP(A757,Internal_lists_bugs!$A$2:$G1014,7,FALSE())&amp;CHAR(10)&amp;"Intro.Issues: "&amp;VLOOKUP(A757,Internal_lists_bugs!$A$2:$P1014,16,FALSE())),"please select a BUG ID")</f>
        <v>please select a BUG ID</v>
      </c>
      <c r="D757" s="52"/>
      <c r="E757" s="43"/>
      <c r="F757" s="49"/>
      <c r="G757" s="50"/>
      <c r="H757" s="43"/>
    </row>
    <row r="758">
      <c r="A758" s="43"/>
      <c r="B758" s="38" t="str">
        <f>IFERROR(HYPERLINK(VLOOKUP(A758,Internal_lists_bugs!$A$2:$C$73,3,FALSE()), VLOOKUP(A758,Internal_lists_bugs!$A$2:$C$73,3,FALSE())&amp;Char(10) &amp; Char(10) &amp; VLOOKUP(A758,Internal_lists_bugs!$A$2:$Z$73,26,FALSE())),"please select a BUG ID")</f>
        <v>please select a BUG ID</v>
      </c>
      <c r="C758" s="51" t="str">
        <f>IFERROR(Hyperlink(VLOOKUP(A758,Internal_lists_bugs!$A$2:$G1014,7,FALSE()),"BIC: "&amp;VLOOKUP(A758,Internal_lists_bugs!$A$2:$G1014,7,FALSE())&amp;CHAR(10)&amp;"Intro.Issues: "&amp;VLOOKUP(A758,Internal_lists_bugs!$A$2:$P1014,16,FALSE())),"please select a BUG ID")</f>
        <v>please select a BUG ID</v>
      </c>
      <c r="D758" s="52"/>
      <c r="E758" s="43"/>
      <c r="F758" s="49"/>
      <c r="G758" s="50"/>
      <c r="H758" s="43"/>
    </row>
    <row r="759">
      <c r="A759" s="43"/>
      <c r="B759" s="38" t="str">
        <f>IFERROR(HYPERLINK(VLOOKUP(A759,Internal_lists_bugs!$A$2:$C$73,3,FALSE()), VLOOKUP(A759,Internal_lists_bugs!$A$2:$C$73,3,FALSE())&amp;Char(10) &amp; Char(10) &amp; VLOOKUP(A759,Internal_lists_bugs!$A$2:$Z$73,26,FALSE())),"please select a BUG ID")</f>
        <v>please select a BUG ID</v>
      </c>
      <c r="C759" s="51" t="str">
        <f>IFERROR(Hyperlink(VLOOKUP(A759,Internal_lists_bugs!$A$2:$G1014,7,FALSE()),"BIC: "&amp;VLOOKUP(A759,Internal_lists_bugs!$A$2:$G1014,7,FALSE())&amp;CHAR(10)&amp;"Intro.Issues: "&amp;VLOOKUP(A759,Internal_lists_bugs!$A$2:$P1014,16,FALSE())),"please select a BUG ID")</f>
        <v>please select a BUG ID</v>
      </c>
      <c r="D759" s="52"/>
      <c r="E759" s="43"/>
      <c r="F759" s="49"/>
      <c r="G759" s="50"/>
      <c r="H759" s="43"/>
    </row>
    <row r="760">
      <c r="A760" s="43"/>
      <c r="B760" s="38" t="str">
        <f>IFERROR(HYPERLINK(VLOOKUP(A760,Internal_lists_bugs!$A$2:$C$73,3,FALSE()), VLOOKUP(A760,Internal_lists_bugs!$A$2:$C$73,3,FALSE())&amp;Char(10) &amp; Char(10) &amp; VLOOKUP(A760,Internal_lists_bugs!$A$2:$Z$73,26,FALSE())),"please select a BUG ID")</f>
        <v>please select a BUG ID</v>
      </c>
      <c r="C760" s="51" t="str">
        <f>IFERROR(Hyperlink(VLOOKUP(A760,Internal_lists_bugs!$A$2:$G1014,7,FALSE()),"BIC: "&amp;VLOOKUP(A760,Internal_lists_bugs!$A$2:$G1014,7,FALSE())&amp;CHAR(10)&amp;"Intro.Issues: "&amp;VLOOKUP(A760,Internal_lists_bugs!$A$2:$P1014,16,FALSE())),"please select a BUG ID")</f>
        <v>please select a BUG ID</v>
      </c>
      <c r="D760" s="52"/>
      <c r="E760" s="43"/>
      <c r="F760" s="49"/>
      <c r="G760" s="50"/>
      <c r="H760" s="43"/>
    </row>
    <row r="761">
      <c r="A761" s="43"/>
      <c r="B761" s="38" t="str">
        <f>IFERROR(HYPERLINK(VLOOKUP(A761,Internal_lists_bugs!$A$2:$C$73,3,FALSE()), VLOOKUP(A761,Internal_lists_bugs!$A$2:$C$73,3,FALSE())&amp;Char(10) &amp; Char(10) &amp; VLOOKUP(A761,Internal_lists_bugs!$A$2:$Z$73,26,FALSE())),"please select a BUG ID")</f>
        <v>please select a BUG ID</v>
      </c>
      <c r="C761" s="51" t="str">
        <f>IFERROR(Hyperlink(VLOOKUP(A761,Internal_lists_bugs!$A$2:$G1014,7,FALSE()),"BIC: "&amp;VLOOKUP(A761,Internal_lists_bugs!$A$2:$G1014,7,FALSE())&amp;CHAR(10)&amp;"Intro.Issues: "&amp;VLOOKUP(A761,Internal_lists_bugs!$A$2:$P1014,16,FALSE())),"please select a BUG ID")</f>
        <v>please select a BUG ID</v>
      </c>
      <c r="D761" s="52"/>
      <c r="E761" s="43"/>
      <c r="F761" s="49"/>
      <c r="G761" s="50"/>
      <c r="H761" s="43"/>
    </row>
    <row r="762">
      <c r="A762" s="43"/>
      <c r="B762" s="38" t="str">
        <f>IFERROR(HYPERLINK(VLOOKUP(A762,Internal_lists_bugs!$A$2:$C$73,3,FALSE()), VLOOKUP(A762,Internal_lists_bugs!$A$2:$C$73,3,FALSE())&amp;Char(10) &amp; Char(10) &amp; VLOOKUP(A762,Internal_lists_bugs!$A$2:$Z$73,26,FALSE())),"please select a BUG ID")</f>
        <v>please select a BUG ID</v>
      </c>
      <c r="C762" s="51" t="str">
        <f>IFERROR(Hyperlink(VLOOKUP(A762,Internal_lists_bugs!$A$2:$G1014,7,FALSE()),"BIC: "&amp;VLOOKUP(A762,Internal_lists_bugs!$A$2:$G1014,7,FALSE())&amp;CHAR(10)&amp;"Intro.Issues: "&amp;VLOOKUP(A762,Internal_lists_bugs!$A$2:$P1014,16,FALSE())),"please select a BUG ID")</f>
        <v>please select a BUG ID</v>
      </c>
      <c r="D762" s="52"/>
      <c r="E762" s="43"/>
      <c r="F762" s="49"/>
      <c r="G762" s="50"/>
      <c r="H762" s="43"/>
    </row>
    <row r="763">
      <c r="A763" s="43"/>
      <c r="B763" s="38" t="str">
        <f>IFERROR(HYPERLINK(VLOOKUP(A763,Internal_lists_bugs!$A$2:$C$73,3,FALSE()), VLOOKUP(A763,Internal_lists_bugs!$A$2:$C$73,3,FALSE())&amp;Char(10) &amp; Char(10) &amp; VLOOKUP(A763,Internal_lists_bugs!$A$2:$Z$73,26,FALSE())),"please select a BUG ID")</f>
        <v>please select a BUG ID</v>
      </c>
      <c r="C763" s="51" t="str">
        <f>IFERROR(Hyperlink(VLOOKUP(A763,Internal_lists_bugs!$A$2:$G1014,7,FALSE()),"BIC: "&amp;VLOOKUP(A763,Internal_lists_bugs!$A$2:$G1014,7,FALSE())&amp;CHAR(10)&amp;"Intro.Issues: "&amp;VLOOKUP(A763,Internal_lists_bugs!$A$2:$P1014,16,FALSE())),"please select a BUG ID")</f>
        <v>please select a BUG ID</v>
      </c>
      <c r="D763" s="52"/>
      <c r="E763" s="43"/>
      <c r="F763" s="49"/>
      <c r="G763" s="50"/>
      <c r="H763" s="43"/>
    </row>
    <row r="764">
      <c r="A764" s="43"/>
      <c r="B764" s="38" t="str">
        <f>IFERROR(HYPERLINK(VLOOKUP(A764,Internal_lists_bugs!$A$2:$C$73,3,FALSE()), VLOOKUP(A764,Internal_lists_bugs!$A$2:$C$73,3,FALSE())&amp;Char(10) &amp; Char(10) &amp; VLOOKUP(A764,Internal_lists_bugs!$A$2:$Z$73,26,FALSE())),"please select a BUG ID")</f>
        <v>please select a BUG ID</v>
      </c>
      <c r="C764" s="51" t="str">
        <f>IFERROR(Hyperlink(VLOOKUP(A764,Internal_lists_bugs!$A$2:$G1014,7,FALSE()),"BIC: "&amp;VLOOKUP(A764,Internal_lists_bugs!$A$2:$G1014,7,FALSE())&amp;CHAR(10)&amp;"Intro.Issues: "&amp;VLOOKUP(A764,Internal_lists_bugs!$A$2:$P1014,16,FALSE())),"please select a BUG ID")</f>
        <v>please select a BUG ID</v>
      </c>
      <c r="D764" s="52"/>
      <c r="E764" s="43"/>
      <c r="F764" s="49"/>
      <c r="G764" s="50"/>
      <c r="H764" s="43"/>
    </row>
    <row r="765">
      <c r="A765" s="43"/>
      <c r="B765" s="38" t="str">
        <f>IFERROR(HYPERLINK(VLOOKUP(A765,Internal_lists_bugs!$A$2:$C$73,3,FALSE()), VLOOKUP(A765,Internal_lists_bugs!$A$2:$C$73,3,FALSE())&amp;Char(10) &amp; Char(10) &amp; VLOOKUP(A765,Internal_lists_bugs!$A$2:$Z$73,26,FALSE())),"please select a BUG ID")</f>
        <v>please select a BUG ID</v>
      </c>
      <c r="C765" s="51" t="str">
        <f>IFERROR(Hyperlink(VLOOKUP(A765,Internal_lists_bugs!$A$2:$G1014,7,FALSE()),"BIC: "&amp;VLOOKUP(A765,Internal_lists_bugs!$A$2:$G1014,7,FALSE())&amp;CHAR(10)&amp;"Intro.Issues: "&amp;VLOOKUP(A765,Internal_lists_bugs!$A$2:$P1014,16,FALSE())),"please select a BUG ID")</f>
        <v>please select a BUG ID</v>
      </c>
      <c r="D765" s="52"/>
      <c r="E765" s="43"/>
      <c r="F765" s="49"/>
      <c r="G765" s="50"/>
      <c r="H765" s="43"/>
    </row>
    <row r="766">
      <c r="A766" s="43"/>
      <c r="B766" s="38" t="str">
        <f>IFERROR(HYPERLINK(VLOOKUP(A766,Internal_lists_bugs!$A$2:$C$73,3,FALSE()), VLOOKUP(A766,Internal_lists_bugs!$A$2:$C$73,3,FALSE())&amp;Char(10) &amp; Char(10) &amp; VLOOKUP(A766,Internal_lists_bugs!$A$2:$Z$73,26,FALSE())),"please select a BUG ID")</f>
        <v>please select a BUG ID</v>
      </c>
      <c r="C766" s="51" t="str">
        <f>IFERROR(Hyperlink(VLOOKUP(A766,Internal_lists_bugs!$A$2:$G1014,7,FALSE()),"BIC: "&amp;VLOOKUP(A766,Internal_lists_bugs!$A$2:$G1014,7,FALSE())&amp;CHAR(10)&amp;"Intro.Issues: "&amp;VLOOKUP(A766,Internal_lists_bugs!$A$2:$P1014,16,FALSE())),"please select a BUG ID")</f>
        <v>please select a BUG ID</v>
      </c>
      <c r="D766" s="52"/>
      <c r="E766" s="43"/>
      <c r="F766" s="49"/>
      <c r="G766" s="50"/>
      <c r="H766" s="43"/>
    </row>
    <row r="767">
      <c r="A767" s="43"/>
      <c r="B767" s="38" t="str">
        <f>IFERROR(HYPERLINK(VLOOKUP(A767,Internal_lists_bugs!$A$2:$C$73,3,FALSE()), VLOOKUP(A767,Internal_lists_bugs!$A$2:$C$73,3,FALSE())&amp;Char(10) &amp; Char(10) &amp; VLOOKUP(A767,Internal_lists_bugs!$A$2:$Z$73,26,FALSE())),"please select a BUG ID")</f>
        <v>please select a BUG ID</v>
      </c>
      <c r="C767" s="51" t="str">
        <f>IFERROR(Hyperlink(VLOOKUP(A767,Internal_lists_bugs!$A$2:$G1014,7,FALSE()),"BIC: "&amp;VLOOKUP(A767,Internal_lists_bugs!$A$2:$G1014,7,FALSE())&amp;CHAR(10)&amp;"Intro.Issues: "&amp;VLOOKUP(A767,Internal_lists_bugs!$A$2:$P1014,16,FALSE())),"please select a BUG ID")</f>
        <v>please select a BUG ID</v>
      </c>
      <c r="D767" s="52"/>
      <c r="E767" s="43"/>
      <c r="F767" s="49"/>
      <c r="G767" s="50"/>
      <c r="H767" s="43"/>
    </row>
    <row r="768">
      <c r="A768" s="43"/>
      <c r="B768" s="38" t="str">
        <f>IFERROR(HYPERLINK(VLOOKUP(A768,Internal_lists_bugs!$A$2:$C$73,3,FALSE()), VLOOKUP(A768,Internal_lists_bugs!$A$2:$C$73,3,FALSE())&amp;Char(10) &amp; Char(10) &amp; VLOOKUP(A768,Internal_lists_bugs!$A$2:$Z$73,26,FALSE())),"please select a BUG ID")</f>
        <v>please select a BUG ID</v>
      </c>
      <c r="C768" s="51" t="str">
        <f>IFERROR(Hyperlink(VLOOKUP(A768,Internal_lists_bugs!$A$2:$G1014,7,FALSE()),"BIC: "&amp;VLOOKUP(A768,Internal_lists_bugs!$A$2:$G1014,7,FALSE())&amp;CHAR(10)&amp;"Intro.Issues: "&amp;VLOOKUP(A768,Internal_lists_bugs!$A$2:$P1014,16,FALSE())),"please select a BUG ID")</f>
        <v>please select a BUG ID</v>
      </c>
      <c r="D768" s="52"/>
      <c r="E768" s="43"/>
      <c r="F768" s="49"/>
      <c r="G768" s="50"/>
      <c r="H768" s="43"/>
    </row>
    <row r="769">
      <c r="A769" s="43"/>
      <c r="B769" s="38" t="str">
        <f>IFERROR(HYPERLINK(VLOOKUP(A769,Internal_lists_bugs!$A$2:$C$73,3,FALSE()), VLOOKUP(A769,Internal_lists_bugs!$A$2:$C$73,3,FALSE())&amp;Char(10) &amp; Char(10) &amp; VLOOKUP(A769,Internal_lists_bugs!$A$2:$Z$73,26,FALSE())),"please select a BUG ID")</f>
        <v>please select a BUG ID</v>
      </c>
      <c r="C769" s="51" t="str">
        <f>IFERROR(Hyperlink(VLOOKUP(A769,Internal_lists_bugs!$A$2:$G1014,7,FALSE()),"BIC: "&amp;VLOOKUP(A769,Internal_lists_bugs!$A$2:$G1014,7,FALSE())&amp;CHAR(10)&amp;"Intro.Issues: "&amp;VLOOKUP(A769,Internal_lists_bugs!$A$2:$P1014,16,FALSE())),"please select a BUG ID")</f>
        <v>please select a BUG ID</v>
      </c>
      <c r="D769" s="52"/>
      <c r="E769" s="43"/>
      <c r="F769" s="49"/>
      <c r="G769" s="50"/>
      <c r="H769" s="43"/>
    </row>
    <row r="770">
      <c r="A770" s="43"/>
      <c r="B770" s="38" t="str">
        <f>IFERROR(HYPERLINK(VLOOKUP(A770,Internal_lists_bugs!$A$2:$C$73,3,FALSE()), VLOOKUP(A770,Internal_lists_bugs!$A$2:$C$73,3,FALSE())&amp;Char(10) &amp; Char(10) &amp; VLOOKUP(A770,Internal_lists_bugs!$A$2:$Z$73,26,FALSE())),"please select a BUG ID")</f>
        <v>please select a BUG ID</v>
      </c>
      <c r="C770" s="51" t="str">
        <f>IFERROR(Hyperlink(VLOOKUP(A770,Internal_lists_bugs!$A$2:$G1014,7,FALSE()),"BIC: "&amp;VLOOKUP(A770,Internal_lists_bugs!$A$2:$G1014,7,FALSE())&amp;CHAR(10)&amp;"Intro.Issues: "&amp;VLOOKUP(A770,Internal_lists_bugs!$A$2:$P1014,16,FALSE())),"please select a BUG ID")</f>
        <v>please select a BUG ID</v>
      </c>
      <c r="D770" s="52"/>
      <c r="E770" s="43"/>
      <c r="F770" s="49"/>
      <c r="G770" s="50"/>
      <c r="H770" s="43"/>
    </row>
    <row r="771">
      <c r="A771" s="43"/>
      <c r="B771" s="38" t="str">
        <f>IFERROR(HYPERLINK(VLOOKUP(A771,Internal_lists_bugs!$A$2:$C$73,3,FALSE()), VLOOKUP(A771,Internal_lists_bugs!$A$2:$C$73,3,FALSE())&amp;Char(10) &amp; Char(10) &amp; VLOOKUP(A771,Internal_lists_bugs!$A$2:$Z$73,26,FALSE())),"please select a BUG ID")</f>
        <v>please select a BUG ID</v>
      </c>
      <c r="C771" s="51" t="str">
        <f>IFERROR(Hyperlink(VLOOKUP(A771,Internal_lists_bugs!$A$2:$G1014,7,FALSE()),"BIC: "&amp;VLOOKUP(A771,Internal_lists_bugs!$A$2:$G1014,7,FALSE())&amp;CHAR(10)&amp;"Intro.Issues: "&amp;VLOOKUP(A771,Internal_lists_bugs!$A$2:$P1014,16,FALSE())),"please select a BUG ID")</f>
        <v>please select a BUG ID</v>
      </c>
      <c r="D771" s="52"/>
      <c r="E771" s="43"/>
      <c r="F771" s="49"/>
      <c r="G771" s="50"/>
      <c r="H771" s="43"/>
    </row>
    <row r="772">
      <c r="A772" s="43"/>
      <c r="B772" s="38" t="str">
        <f>IFERROR(HYPERLINK(VLOOKUP(A772,Internal_lists_bugs!$A$2:$C$73,3,FALSE()), VLOOKUP(A772,Internal_lists_bugs!$A$2:$C$73,3,FALSE())&amp;Char(10) &amp; Char(10) &amp; VLOOKUP(A772,Internal_lists_bugs!$A$2:$Z$73,26,FALSE())),"please select a BUG ID")</f>
        <v>please select a BUG ID</v>
      </c>
      <c r="C772" s="51" t="str">
        <f>IFERROR(Hyperlink(VLOOKUP(A772,Internal_lists_bugs!$A$2:$G1014,7,FALSE()),"BIC: "&amp;VLOOKUP(A772,Internal_lists_bugs!$A$2:$G1014,7,FALSE())&amp;CHAR(10)&amp;"Intro.Issues: "&amp;VLOOKUP(A772,Internal_lists_bugs!$A$2:$P1014,16,FALSE())),"please select a BUG ID")</f>
        <v>please select a BUG ID</v>
      </c>
      <c r="D772" s="52"/>
      <c r="E772" s="43"/>
      <c r="F772" s="49"/>
      <c r="G772" s="50"/>
      <c r="H772" s="43"/>
    </row>
    <row r="773">
      <c r="A773" s="43"/>
      <c r="B773" s="38" t="str">
        <f>IFERROR(HYPERLINK(VLOOKUP(A773,Internal_lists_bugs!$A$2:$C$73,3,FALSE()), VLOOKUP(A773,Internal_lists_bugs!$A$2:$C$73,3,FALSE())&amp;Char(10) &amp; Char(10) &amp; VLOOKUP(A773,Internal_lists_bugs!$A$2:$Z$73,26,FALSE())),"please select a BUG ID")</f>
        <v>please select a BUG ID</v>
      </c>
      <c r="C773" s="51" t="str">
        <f>IFERROR(Hyperlink(VLOOKUP(A773,Internal_lists_bugs!$A$2:$G1014,7,FALSE()),"BIC: "&amp;VLOOKUP(A773,Internal_lists_bugs!$A$2:$G1014,7,FALSE())&amp;CHAR(10)&amp;"Intro.Issues: "&amp;VLOOKUP(A773,Internal_lists_bugs!$A$2:$P1014,16,FALSE())),"please select a BUG ID")</f>
        <v>please select a BUG ID</v>
      </c>
      <c r="D773" s="52"/>
      <c r="E773" s="43"/>
      <c r="F773" s="49"/>
      <c r="G773" s="50"/>
      <c r="H773" s="43"/>
    </row>
    <row r="774">
      <c r="A774" s="43"/>
      <c r="B774" s="38" t="str">
        <f>IFERROR(HYPERLINK(VLOOKUP(A774,Internal_lists_bugs!$A$2:$C$73,3,FALSE()), VLOOKUP(A774,Internal_lists_bugs!$A$2:$C$73,3,FALSE())&amp;Char(10) &amp; Char(10) &amp; VLOOKUP(A774,Internal_lists_bugs!$A$2:$Z$73,26,FALSE())),"please select a BUG ID")</f>
        <v>please select a BUG ID</v>
      </c>
      <c r="C774" s="51" t="str">
        <f>IFERROR(Hyperlink(VLOOKUP(A774,Internal_lists_bugs!$A$2:$G1014,7,FALSE()),"BIC: "&amp;VLOOKUP(A774,Internal_lists_bugs!$A$2:$G1014,7,FALSE())&amp;CHAR(10)&amp;"Intro.Issues: "&amp;VLOOKUP(A774,Internal_lists_bugs!$A$2:$P1014,16,FALSE())),"please select a BUG ID")</f>
        <v>please select a BUG ID</v>
      </c>
      <c r="D774" s="52"/>
      <c r="E774" s="43"/>
      <c r="F774" s="49"/>
      <c r="G774" s="50"/>
      <c r="H774" s="43"/>
    </row>
    <row r="775">
      <c r="A775" s="43"/>
      <c r="B775" s="38" t="str">
        <f>IFERROR(HYPERLINK(VLOOKUP(A775,Internal_lists_bugs!$A$2:$C$73,3,FALSE()), VLOOKUP(A775,Internal_lists_bugs!$A$2:$C$73,3,FALSE())&amp;Char(10) &amp; Char(10) &amp; VLOOKUP(A775,Internal_lists_bugs!$A$2:$Z$73,26,FALSE())),"please select a BUG ID")</f>
        <v>please select a BUG ID</v>
      </c>
      <c r="C775" s="51" t="str">
        <f>IFERROR(Hyperlink(VLOOKUP(A775,Internal_lists_bugs!$A$2:$G1014,7,FALSE()),"BIC: "&amp;VLOOKUP(A775,Internal_lists_bugs!$A$2:$G1014,7,FALSE())&amp;CHAR(10)&amp;"Intro.Issues: "&amp;VLOOKUP(A775,Internal_lists_bugs!$A$2:$P1014,16,FALSE())),"please select a BUG ID")</f>
        <v>please select a BUG ID</v>
      </c>
      <c r="D775" s="52"/>
      <c r="E775" s="43"/>
      <c r="F775" s="49"/>
      <c r="G775" s="50"/>
      <c r="H775" s="43"/>
    </row>
    <row r="776">
      <c r="A776" s="43"/>
      <c r="B776" s="38" t="str">
        <f>IFERROR(HYPERLINK(VLOOKUP(A776,Internal_lists_bugs!$A$2:$C$73,3,FALSE()), VLOOKUP(A776,Internal_lists_bugs!$A$2:$C$73,3,FALSE())&amp;Char(10) &amp; Char(10) &amp; VLOOKUP(A776,Internal_lists_bugs!$A$2:$Z$73,26,FALSE())),"please select a BUG ID")</f>
        <v>please select a BUG ID</v>
      </c>
      <c r="C776" s="51" t="str">
        <f>IFERROR(Hyperlink(VLOOKUP(A776,Internal_lists_bugs!$A$2:$G1014,7,FALSE()),"BIC: "&amp;VLOOKUP(A776,Internal_lists_bugs!$A$2:$G1014,7,FALSE())&amp;CHAR(10)&amp;"Intro.Issues: "&amp;VLOOKUP(A776,Internal_lists_bugs!$A$2:$P1014,16,FALSE())),"please select a BUG ID")</f>
        <v>please select a BUG ID</v>
      </c>
      <c r="D776" s="52"/>
      <c r="E776" s="43"/>
      <c r="F776" s="49"/>
      <c r="G776" s="50"/>
      <c r="H776" s="43"/>
    </row>
    <row r="777">
      <c r="A777" s="43"/>
      <c r="B777" s="38" t="str">
        <f>IFERROR(HYPERLINK(VLOOKUP(A777,Internal_lists_bugs!$A$2:$C$73,3,FALSE()), VLOOKUP(A777,Internal_lists_bugs!$A$2:$C$73,3,FALSE())&amp;Char(10) &amp; Char(10) &amp; VLOOKUP(A777,Internal_lists_bugs!$A$2:$Z$73,26,FALSE())),"please select a BUG ID")</f>
        <v>please select a BUG ID</v>
      </c>
      <c r="C777" s="51" t="str">
        <f>IFERROR(Hyperlink(VLOOKUP(A777,Internal_lists_bugs!$A$2:$G1014,7,FALSE()),"BIC: "&amp;VLOOKUP(A777,Internal_lists_bugs!$A$2:$G1014,7,FALSE())&amp;CHAR(10)&amp;"Intro.Issues: "&amp;VLOOKUP(A777,Internal_lists_bugs!$A$2:$P1014,16,FALSE())),"please select a BUG ID")</f>
        <v>please select a BUG ID</v>
      </c>
      <c r="D777" s="52"/>
      <c r="E777" s="43"/>
      <c r="F777" s="49"/>
      <c r="G777" s="50"/>
      <c r="H777" s="43"/>
    </row>
    <row r="778">
      <c r="A778" s="43"/>
      <c r="B778" s="38" t="str">
        <f>IFERROR(HYPERLINK(VLOOKUP(A778,Internal_lists_bugs!$A$2:$C$73,3,FALSE()), VLOOKUP(A778,Internal_lists_bugs!$A$2:$C$73,3,FALSE())&amp;Char(10) &amp; Char(10) &amp; VLOOKUP(A778,Internal_lists_bugs!$A$2:$Z$73,26,FALSE())),"please select a BUG ID")</f>
        <v>please select a BUG ID</v>
      </c>
      <c r="C778" s="51" t="str">
        <f>IFERROR(Hyperlink(VLOOKUP(A778,Internal_lists_bugs!$A$2:$G1014,7,FALSE()),"BIC: "&amp;VLOOKUP(A778,Internal_lists_bugs!$A$2:$G1014,7,FALSE())&amp;CHAR(10)&amp;"Intro.Issues: "&amp;VLOOKUP(A778,Internal_lists_bugs!$A$2:$P1014,16,FALSE())),"please select a BUG ID")</f>
        <v>please select a BUG ID</v>
      </c>
      <c r="D778" s="52"/>
      <c r="E778" s="43"/>
      <c r="F778" s="49"/>
      <c r="G778" s="50"/>
      <c r="H778" s="43"/>
    </row>
    <row r="779">
      <c r="A779" s="43"/>
      <c r="B779" s="38" t="str">
        <f>IFERROR(HYPERLINK(VLOOKUP(A779,Internal_lists_bugs!$A$2:$C$73,3,FALSE()), VLOOKUP(A779,Internal_lists_bugs!$A$2:$C$73,3,FALSE())&amp;Char(10) &amp; Char(10) &amp; VLOOKUP(A779,Internal_lists_bugs!$A$2:$Z$73,26,FALSE())),"please select a BUG ID")</f>
        <v>please select a BUG ID</v>
      </c>
      <c r="C779" s="51" t="str">
        <f>IFERROR(Hyperlink(VLOOKUP(A779,Internal_lists_bugs!$A$2:$G1014,7,FALSE()),"BIC: "&amp;VLOOKUP(A779,Internal_lists_bugs!$A$2:$G1014,7,FALSE())&amp;CHAR(10)&amp;"Intro.Issues: "&amp;VLOOKUP(A779,Internal_lists_bugs!$A$2:$P1014,16,FALSE())),"please select a BUG ID")</f>
        <v>please select a BUG ID</v>
      </c>
      <c r="D779" s="52"/>
      <c r="E779" s="43"/>
      <c r="F779" s="49"/>
      <c r="G779" s="50"/>
      <c r="H779" s="43"/>
    </row>
    <row r="780">
      <c r="A780" s="43"/>
      <c r="B780" s="38" t="str">
        <f>IFERROR(HYPERLINK(VLOOKUP(A780,Internal_lists_bugs!$A$2:$C$73,3,FALSE()), VLOOKUP(A780,Internal_lists_bugs!$A$2:$C$73,3,FALSE())&amp;Char(10) &amp; Char(10) &amp; VLOOKUP(A780,Internal_lists_bugs!$A$2:$Z$73,26,FALSE())),"please select a BUG ID")</f>
        <v>please select a BUG ID</v>
      </c>
      <c r="C780" s="51" t="str">
        <f>IFERROR(Hyperlink(VLOOKUP(A780,Internal_lists_bugs!$A$2:$G1014,7,FALSE()),"BIC: "&amp;VLOOKUP(A780,Internal_lists_bugs!$A$2:$G1014,7,FALSE())&amp;CHAR(10)&amp;"Intro.Issues: "&amp;VLOOKUP(A780,Internal_lists_bugs!$A$2:$P1014,16,FALSE())),"please select a BUG ID")</f>
        <v>please select a BUG ID</v>
      </c>
      <c r="D780" s="52"/>
      <c r="E780" s="43"/>
      <c r="F780" s="49"/>
      <c r="G780" s="50"/>
      <c r="H780" s="43"/>
    </row>
    <row r="781">
      <c r="A781" s="43"/>
      <c r="B781" s="38" t="str">
        <f>IFERROR(HYPERLINK(VLOOKUP(A781,Internal_lists_bugs!$A$2:$C$73,3,FALSE()), VLOOKUP(A781,Internal_lists_bugs!$A$2:$C$73,3,FALSE())&amp;Char(10) &amp; Char(10) &amp; VLOOKUP(A781,Internal_lists_bugs!$A$2:$Z$73,26,FALSE())),"please select a BUG ID")</f>
        <v>please select a BUG ID</v>
      </c>
      <c r="C781" s="51" t="str">
        <f>IFERROR(Hyperlink(VLOOKUP(A781,Internal_lists_bugs!$A$2:$G1014,7,FALSE()),"BIC: "&amp;VLOOKUP(A781,Internal_lists_bugs!$A$2:$G1014,7,FALSE())&amp;CHAR(10)&amp;"Intro.Issues: "&amp;VLOOKUP(A781,Internal_lists_bugs!$A$2:$P1014,16,FALSE())),"please select a BUG ID")</f>
        <v>please select a BUG ID</v>
      </c>
      <c r="D781" s="52"/>
      <c r="E781" s="43"/>
      <c r="F781" s="49"/>
      <c r="G781" s="50"/>
      <c r="H781" s="43"/>
    </row>
    <row r="782">
      <c r="A782" s="43"/>
      <c r="B782" s="38" t="str">
        <f>IFERROR(HYPERLINK(VLOOKUP(A782,Internal_lists_bugs!$A$2:$C$73,3,FALSE()), VLOOKUP(A782,Internal_lists_bugs!$A$2:$C$73,3,FALSE())&amp;Char(10) &amp; Char(10) &amp; VLOOKUP(A782,Internal_lists_bugs!$A$2:$Z$73,26,FALSE())),"please select a BUG ID")</f>
        <v>please select a BUG ID</v>
      </c>
      <c r="C782" s="51" t="str">
        <f>IFERROR(Hyperlink(VLOOKUP(A782,Internal_lists_bugs!$A$2:$G1014,7,FALSE()),"BIC: "&amp;VLOOKUP(A782,Internal_lists_bugs!$A$2:$G1014,7,FALSE())&amp;CHAR(10)&amp;"Intro.Issues: "&amp;VLOOKUP(A782,Internal_lists_bugs!$A$2:$P1014,16,FALSE())),"please select a BUG ID")</f>
        <v>please select a BUG ID</v>
      </c>
      <c r="D782" s="52"/>
      <c r="E782" s="43"/>
      <c r="F782" s="49"/>
      <c r="G782" s="50"/>
      <c r="H782" s="43"/>
    </row>
    <row r="783">
      <c r="A783" s="43"/>
      <c r="B783" s="38" t="str">
        <f>IFERROR(HYPERLINK(VLOOKUP(A783,Internal_lists_bugs!$A$2:$C$73,3,FALSE()), VLOOKUP(A783,Internal_lists_bugs!$A$2:$C$73,3,FALSE())&amp;Char(10) &amp; Char(10) &amp; VLOOKUP(A783,Internal_lists_bugs!$A$2:$Z$73,26,FALSE())),"please select a BUG ID")</f>
        <v>please select a BUG ID</v>
      </c>
      <c r="C783" s="51" t="str">
        <f>IFERROR(Hyperlink(VLOOKUP(A783,Internal_lists_bugs!$A$2:$G1014,7,FALSE()),"BIC: "&amp;VLOOKUP(A783,Internal_lists_bugs!$A$2:$G1014,7,FALSE())&amp;CHAR(10)&amp;"Intro.Issues: "&amp;VLOOKUP(A783,Internal_lists_bugs!$A$2:$P1014,16,FALSE())),"please select a BUG ID")</f>
        <v>please select a BUG ID</v>
      </c>
      <c r="D783" s="52"/>
      <c r="E783" s="43"/>
      <c r="F783" s="49"/>
      <c r="G783" s="50"/>
      <c r="H783" s="43"/>
    </row>
    <row r="784">
      <c r="A784" s="43"/>
      <c r="B784" s="38" t="str">
        <f>IFERROR(HYPERLINK(VLOOKUP(A784,Internal_lists_bugs!$A$2:$C$73,3,FALSE()), VLOOKUP(A784,Internal_lists_bugs!$A$2:$C$73,3,FALSE())&amp;Char(10) &amp; Char(10) &amp; VLOOKUP(A784,Internal_lists_bugs!$A$2:$Z$73,26,FALSE())),"please select a BUG ID")</f>
        <v>please select a BUG ID</v>
      </c>
      <c r="C784" s="51" t="str">
        <f>IFERROR(Hyperlink(VLOOKUP(A784,Internal_lists_bugs!$A$2:$G1014,7,FALSE()),"BIC: "&amp;VLOOKUP(A784,Internal_lists_bugs!$A$2:$G1014,7,FALSE())&amp;CHAR(10)&amp;"Intro.Issues: "&amp;VLOOKUP(A784,Internal_lists_bugs!$A$2:$P1014,16,FALSE())),"please select a BUG ID")</f>
        <v>please select a BUG ID</v>
      </c>
      <c r="D784" s="52"/>
      <c r="E784" s="43"/>
      <c r="F784" s="49"/>
      <c r="G784" s="50"/>
      <c r="H784" s="43"/>
    </row>
    <row r="785">
      <c r="A785" s="43"/>
      <c r="B785" s="38" t="str">
        <f>IFERROR(HYPERLINK(VLOOKUP(A785,Internal_lists_bugs!$A$2:$C$73,3,FALSE()), VLOOKUP(A785,Internal_lists_bugs!$A$2:$C$73,3,FALSE())&amp;Char(10) &amp; Char(10) &amp; VLOOKUP(A785,Internal_lists_bugs!$A$2:$Z$73,26,FALSE())),"please select a BUG ID")</f>
        <v>please select a BUG ID</v>
      </c>
      <c r="C785" s="51" t="str">
        <f>IFERROR(Hyperlink(VLOOKUP(A785,Internal_lists_bugs!$A$2:$G1014,7,FALSE()),"BIC: "&amp;VLOOKUP(A785,Internal_lists_bugs!$A$2:$G1014,7,FALSE())&amp;CHAR(10)&amp;"Intro.Issues: "&amp;VLOOKUP(A785,Internal_lists_bugs!$A$2:$P1014,16,FALSE())),"please select a BUG ID")</f>
        <v>please select a BUG ID</v>
      </c>
      <c r="D785" s="52"/>
      <c r="E785" s="43"/>
      <c r="F785" s="49"/>
      <c r="G785" s="50"/>
      <c r="H785" s="43"/>
    </row>
    <row r="786">
      <c r="A786" s="43"/>
      <c r="B786" s="38" t="str">
        <f>IFERROR(HYPERLINK(VLOOKUP(A786,Internal_lists_bugs!$A$2:$C$73,3,FALSE()), VLOOKUP(A786,Internal_lists_bugs!$A$2:$C$73,3,FALSE())&amp;Char(10) &amp; Char(10) &amp; VLOOKUP(A786,Internal_lists_bugs!$A$2:$Z$73,26,FALSE())),"please select a BUG ID")</f>
        <v>please select a BUG ID</v>
      </c>
      <c r="C786" s="51" t="str">
        <f>IFERROR(Hyperlink(VLOOKUP(A786,Internal_lists_bugs!$A$2:$G1014,7,FALSE()),"BIC: "&amp;VLOOKUP(A786,Internal_lists_bugs!$A$2:$G1014,7,FALSE())&amp;CHAR(10)&amp;"Intro.Issues: "&amp;VLOOKUP(A786,Internal_lists_bugs!$A$2:$P1014,16,FALSE())),"please select a BUG ID")</f>
        <v>please select a BUG ID</v>
      </c>
      <c r="D786" s="52"/>
      <c r="E786" s="43"/>
      <c r="F786" s="49"/>
      <c r="G786" s="50"/>
      <c r="H786" s="43"/>
    </row>
    <row r="787">
      <c r="A787" s="43"/>
      <c r="B787" s="38" t="str">
        <f>IFERROR(HYPERLINK(VLOOKUP(A787,Internal_lists_bugs!$A$2:$C$73,3,FALSE()), VLOOKUP(A787,Internal_lists_bugs!$A$2:$C$73,3,FALSE())&amp;Char(10) &amp; Char(10) &amp; VLOOKUP(A787,Internal_lists_bugs!$A$2:$Z$73,26,FALSE())),"please select a BUG ID")</f>
        <v>please select a BUG ID</v>
      </c>
      <c r="C787" s="51" t="str">
        <f>IFERROR(Hyperlink(VLOOKUP(A787,Internal_lists_bugs!$A$2:$G1014,7,FALSE()),"BIC: "&amp;VLOOKUP(A787,Internal_lists_bugs!$A$2:$G1014,7,FALSE())&amp;CHAR(10)&amp;"Intro.Issues: "&amp;VLOOKUP(A787,Internal_lists_bugs!$A$2:$P1014,16,FALSE())),"please select a BUG ID")</f>
        <v>please select a BUG ID</v>
      </c>
      <c r="D787" s="52"/>
      <c r="E787" s="43"/>
      <c r="F787" s="49"/>
      <c r="G787" s="50"/>
      <c r="H787" s="43"/>
    </row>
    <row r="788">
      <c r="A788" s="43"/>
      <c r="B788" s="38" t="str">
        <f>IFERROR(HYPERLINK(VLOOKUP(A788,Internal_lists_bugs!$A$2:$C$73,3,FALSE()), VLOOKUP(A788,Internal_lists_bugs!$A$2:$C$73,3,FALSE())&amp;Char(10) &amp; Char(10) &amp; VLOOKUP(A788,Internal_lists_bugs!$A$2:$Z$73,26,FALSE())),"please select a BUG ID")</f>
        <v>please select a BUG ID</v>
      </c>
      <c r="C788" s="51" t="str">
        <f>IFERROR(Hyperlink(VLOOKUP(A788,Internal_lists_bugs!$A$2:$G1014,7,FALSE()),"BIC: "&amp;VLOOKUP(A788,Internal_lists_bugs!$A$2:$G1014,7,FALSE())&amp;CHAR(10)&amp;"Intro.Issues: "&amp;VLOOKUP(A788,Internal_lists_bugs!$A$2:$P1014,16,FALSE())),"please select a BUG ID")</f>
        <v>please select a BUG ID</v>
      </c>
      <c r="D788" s="52"/>
      <c r="E788" s="43"/>
      <c r="F788" s="49"/>
      <c r="G788" s="50"/>
      <c r="H788" s="43"/>
    </row>
    <row r="789">
      <c r="A789" s="43"/>
      <c r="B789" s="38" t="str">
        <f>IFERROR(HYPERLINK(VLOOKUP(A789,Internal_lists_bugs!$A$2:$C$73,3,FALSE()), VLOOKUP(A789,Internal_lists_bugs!$A$2:$C$73,3,FALSE())&amp;Char(10) &amp; Char(10) &amp; VLOOKUP(A789,Internal_lists_bugs!$A$2:$Z$73,26,FALSE())),"please select a BUG ID")</f>
        <v>please select a BUG ID</v>
      </c>
      <c r="C789" s="51" t="str">
        <f>IFERROR(Hyperlink(VLOOKUP(A789,Internal_lists_bugs!$A$2:$G1014,7,FALSE()),"BIC: "&amp;VLOOKUP(A789,Internal_lists_bugs!$A$2:$G1014,7,FALSE())&amp;CHAR(10)&amp;"Intro.Issues: "&amp;VLOOKUP(A789,Internal_lists_bugs!$A$2:$P1014,16,FALSE())),"please select a BUG ID")</f>
        <v>please select a BUG ID</v>
      </c>
      <c r="D789" s="52"/>
      <c r="E789" s="43"/>
      <c r="F789" s="49"/>
      <c r="G789" s="50"/>
      <c r="H789" s="43"/>
    </row>
    <row r="790">
      <c r="A790" s="43"/>
      <c r="B790" s="38" t="str">
        <f>IFERROR(HYPERLINK(VLOOKUP(A790,Internal_lists_bugs!$A$2:$C$73,3,FALSE()), VLOOKUP(A790,Internal_lists_bugs!$A$2:$C$73,3,FALSE())&amp;Char(10) &amp; Char(10) &amp; VLOOKUP(A790,Internal_lists_bugs!$A$2:$Z$73,26,FALSE())),"please select a BUG ID")</f>
        <v>please select a BUG ID</v>
      </c>
      <c r="C790" s="51" t="str">
        <f>IFERROR(Hyperlink(VLOOKUP(A790,Internal_lists_bugs!$A$2:$G1014,7,FALSE()),"BIC: "&amp;VLOOKUP(A790,Internal_lists_bugs!$A$2:$G1014,7,FALSE())&amp;CHAR(10)&amp;"Intro.Issues: "&amp;VLOOKUP(A790,Internal_lists_bugs!$A$2:$P1014,16,FALSE())),"please select a BUG ID")</f>
        <v>please select a BUG ID</v>
      </c>
      <c r="D790" s="52"/>
      <c r="E790" s="43"/>
      <c r="F790" s="49"/>
      <c r="G790" s="50"/>
      <c r="H790" s="43"/>
    </row>
    <row r="791">
      <c r="A791" s="43"/>
      <c r="B791" s="38" t="str">
        <f>IFERROR(HYPERLINK(VLOOKUP(A791,Internal_lists_bugs!$A$2:$C$73,3,FALSE()), VLOOKUP(A791,Internal_lists_bugs!$A$2:$C$73,3,FALSE())&amp;Char(10) &amp; Char(10) &amp; VLOOKUP(A791,Internal_lists_bugs!$A$2:$Z$73,26,FALSE())),"please select a BUG ID")</f>
        <v>please select a BUG ID</v>
      </c>
      <c r="C791" s="51" t="str">
        <f>IFERROR(Hyperlink(VLOOKUP(A791,Internal_lists_bugs!$A$2:$G1014,7,FALSE()),"BIC: "&amp;VLOOKUP(A791,Internal_lists_bugs!$A$2:$G1014,7,FALSE())&amp;CHAR(10)&amp;"Intro.Issues: "&amp;VLOOKUP(A791,Internal_lists_bugs!$A$2:$P1014,16,FALSE())),"please select a BUG ID")</f>
        <v>please select a BUG ID</v>
      </c>
      <c r="D791" s="52"/>
      <c r="E791" s="43"/>
      <c r="F791" s="49"/>
      <c r="G791" s="50"/>
      <c r="H791" s="43"/>
    </row>
    <row r="792">
      <c r="A792" s="43"/>
      <c r="B792" s="38" t="str">
        <f>IFERROR(HYPERLINK(VLOOKUP(A792,Internal_lists_bugs!$A$2:$C$73,3,FALSE()), VLOOKUP(A792,Internal_lists_bugs!$A$2:$C$73,3,FALSE())&amp;Char(10) &amp; Char(10) &amp; VLOOKUP(A792,Internal_lists_bugs!$A$2:$Z$73,26,FALSE())),"please select a BUG ID")</f>
        <v>please select a BUG ID</v>
      </c>
      <c r="C792" s="51" t="str">
        <f>IFERROR(Hyperlink(VLOOKUP(A792,Internal_lists_bugs!$A$2:$G1014,7,FALSE()),"BIC: "&amp;VLOOKUP(A792,Internal_lists_bugs!$A$2:$G1014,7,FALSE())&amp;CHAR(10)&amp;"Intro.Issues: "&amp;VLOOKUP(A792,Internal_lists_bugs!$A$2:$P1014,16,FALSE())),"please select a BUG ID")</f>
        <v>please select a BUG ID</v>
      </c>
      <c r="D792" s="52"/>
      <c r="E792" s="43"/>
      <c r="F792" s="49"/>
      <c r="G792" s="50"/>
      <c r="H792" s="43"/>
    </row>
    <row r="793">
      <c r="A793" s="43"/>
      <c r="B793" s="38" t="str">
        <f>IFERROR(HYPERLINK(VLOOKUP(A793,Internal_lists_bugs!$A$2:$C$73,3,FALSE()), VLOOKUP(A793,Internal_lists_bugs!$A$2:$C$73,3,FALSE())&amp;Char(10) &amp; Char(10) &amp; VLOOKUP(A793,Internal_lists_bugs!$A$2:$Z$73,26,FALSE())),"please select a BUG ID")</f>
        <v>please select a BUG ID</v>
      </c>
      <c r="C793" s="51" t="str">
        <f>IFERROR(Hyperlink(VLOOKUP(A793,Internal_lists_bugs!$A$2:$G1014,7,FALSE()),"BIC: "&amp;VLOOKUP(A793,Internal_lists_bugs!$A$2:$G1014,7,FALSE())&amp;CHAR(10)&amp;"Intro.Issues: "&amp;VLOOKUP(A793,Internal_lists_bugs!$A$2:$P1014,16,FALSE())),"please select a BUG ID")</f>
        <v>please select a BUG ID</v>
      </c>
      <c r="D793" s="52"/>
      <c r="E793" s="43"/>
      <c r="F793" s="49"/>
      <c r="G793" s="50"/>
      <c r="H793" s="43"/>
    </row>
    <row r="794">
      <c r="A794" s="43"/>
      <c r="B794" s="38" t="str">
        <f>IFERROR(HYPERLINK(VLOOKUP(A794,Internal_lists_bugs!$A$2:$C$73,3,FALSE()), VLOOKUP(A794,Internal_lists_bugs!$A$2:$C$73,3,FALSE())&amp;Char(10) &amp; Char(10) &amp; VLOOKUP(A794,Internal_lists_bugs!$A$2:$Z$73,26,FALSE())),"please select a BUG ID")</f>
        <v>please select a BUG ID</v>
      </c>
      <c r="C794" s="51" t="str">
        <f>IFERROR(Hyperlink(VLOOKUP(A794,Internal_lists_bugs!$A$2:$G1014,7,FALSE()),"BIC: "&amp;VLOOKUP(A794,Internal_lists_bugs!$A$2:$G1014,7,FALSE())&amp;CHAR(10)&amp;"Intro.Issues: "&amp;VLOOKUP(A794,Internal_lists_bugs!$A$2:$P1014,16,FALSE())),"please select a BUG ID")</f>
        <v>please select a BUG ID</v>
      </c>
      <c r="D794" s="52"/>
      <c r="E794" s="43"/>
      <c r="F794" s="49"/>
      <c r="G794" s="50"/>
      <c r="H794" s="43"/>
    </row>
    <row r="795">
      <c r="A795" s="43"/>
      <c r="B795" s="38" t="str">
        <f>IFERROR(HYPERLINK(VLOOKUP(A795,Internal_lists_bugs!$A$2:$C$73,3,FALSE()), VLOOKUP(A795,Internal_lists_bugs!$A$2:$C$73,3,FALSE())&amp;Char(10) &amp; Char(10) &amp; VLOOKUP(A795,Internal_lists_bugs!$A$2:$Z$73,26,FALSE())),"please select a BUG ID")</f>
        <v>please select a BUG ID</v>
      </c>
      <c r="C795" s="51" t="str">
        <f>IFERROR(Hyperlink(VLOOKUP(A795,Internal_lists_bugs!$A$2:$G1014,7,FALSE()),"BIC: "&amp;VLOOKUP(A795,Internal_lists_bugs!$A$2:$G1014,7,FALSE())&amp;CHAR(10)&amp;"Intro.Issues: "&amp;VLOOKUP(A795,Internal_lists_bugs!$A$2:$P1014,16,FALSE())),"please select a BUG ID")</f>
        <v>please select a BUG ID</v>
      </c>
      <c r="D795" s="52"/>
      <c r="E795" s="43"/>
      <c r="F795" s="49"/>
      <c r="G795" s="50"/>
      <c r="H795" s="43"/>
    </row>
    <row r="796">
      <c r="A796" s="43"/>
      <c r="B796" s="38" t="str">
        <f>IFERROR(HYPERLINK(VLOOKUP(A796,Internal_lists_bugs!$A$2:$C$73,3,FALSE()), VLOOKUP(A796,Internal_lists_bugs!$A$2:$C$73,3,FALSE())&amp;Char(10) &amp; Char(10) &amp; VLOOKUP(A796,Internal_lists_bugs!$A$2:$Z$73,26,FALSE())),"please select a BUG ID")</f>
        <v>please select a BUG ID</v>
      </c>
      <c r="C796" s="51" t="str">
        <f>IFERROR(Hyperlink(VLOOKUP(A796,Internal_lists_bugs!$A$2:$G1014,7,FALSE()),"BIC: "&amp;VLOOKUP(A796,Internal_lists_bugs!$A$2:$G1014,7,FALSE())&amp;CHAR(10)&amp;"Intro.Issues: "&amp;VLOOKUP(A796,Internal_lists_bugs!$A$2:$P1014,16,FALSE())),"please select a BUG ID")</f>
        <v>please select a BUG ID</v>
      </c>
      <c r="D796" s="52"/>
      <c r="E796" s="43"/>
      <c r="F796" s="49"/>
      <c r="G796" s="50"/>
      <c r="H796" s="43"/>
    </row>
    <row r="797">
      <c r="A797" s="43"/>
      <c r="B797" s="38" t="str">
        <f>IFERROR(HYPERLINK(VLOOKUP(A797,Internal_lists_bugs!$A$2:$C$73,3,FALSE()), VLOOKUP(A797,Internal_lists_bugs!$A$2:$C$73,3,FALSE())&amp;Char(10) &amp; Char(10) &amp; VLOOKUP(A797,Internal_lists_bugs!$A$2:$Z$73,26,FALSE())),"please select a BUG ID")</f>
        <v>please select a BUG ID</v>
      </c>
      <c r="C797" s="51" t="str">
        <f>IFERROR(Hyperlink(VLOOKUP(A797,Internal_lists_bugs!$A$2:$G1014,7,FALSE()),"BIC: "&amp;VLOOKUP(A797,Internal_lists_bugs!$A$2:$G1014,7,FALSE())&amp;CHAR(10)&amp;"Intro.Issues: "&amp;VLOOKUP(A797,Internal_lists_bugs!$A$2:$P1014,16,FALSE())),"please select a BUG ID")</f>
        <v>please select a BUG ID</v>
      </c>
      <c r="D797" s="52"/>
      <c r="E797" s="43"/>
      <c r="F797" s="49"/>
      <c r="G797" s="50"/>
      <c r="H797" s="43"/>
    </row>
    <row r="798">
      <c r="A798" s="43"/>
      <c r="B798" s="38" t="str">
        <f>IFERROR(HYPERLINK(VLOOKUP(A798,Internal_lists_bugs!$A$2:$C$73,3,FALSE()), VLOOKUP(A798,Internal_lists_bugs!$A$2:$C$73,3,FALSE())&amp;Char(10) &amp; Char(10) &amp; VLOOKUP(A798,Internal_lists_bugs!$A$2:$Z$73,26,FALSE())),"please select a BUG ID")</f>
        <v>please select a BUG ID</v>
      </c>
      <c r="C798" s="51" t="str">
        <f>IFERROR(Hyperlink(VLOOKUP(A798,Internal_lists_bugs!$A$2:$G1014,7,FALSE()),"BIC: "&amp;VLOOKUP(A798,Internal_lists_bugs!$A$2:$G1014,7,FALSE())&amp;CHAR(10)&amp;"Intro.Issues: "&amp;VLOOKUP(A798,Internal_lists_bugs!$A$2:$P1014,16,FALSE())),"please select a BUG ID")</f>
        <v>please select a BUG ID</v>
      </c>
      <c r="D798" s="52"/>
      <c r="E798" s="43"/>
      <c r="F798" s="49"/>
      <c r="G798" s="50"/>
      <c r="H798" s="43"/>
    </row>
    <row r="799">
      <c r="A799" s="43"/>
      <c r="B799" s="38" t="str">
        <f>IFERROR(HYPERLINK(VLOOKUP(A799,Internal_lists_bugs!$A$2:$C$73,3,FALSE()), VLOOKUP(A799,Internal_lists_bugs!$A$2:$C$73,3,FALSE())&amp;Char(10) &amp; Char(10) &amp; VLOOKUP(A799,Internal_lists_bugs!$A$2:$Z$73,26,FALSE())),"please select a BUG ID")</f>
        <v>please select a BUG ID</v>
      </c>
      <c r="C799" s="51" t="str">
        <f>IFERROR(Hyperlink(VLOOKUP(A799,Internal_lists_bugs!$A$2:$G1014,7,FALSE()),"BIC: "&amp;VLOOKUP(A799,Internal_lists_bugs!$A$2:$G1014,7,FALSE())&amp;CHAR(10)&amp;"Intro.Issues: "&amp;VLOOKUP(A799,Internal_lists_bugs!$A$2:$P1014,16,FALSE())),"please select a BUG ID")</f>
        <v>please select a BUG ID</v>
      </c>
      <c r="D799" s="52"/>
      <c r="E799" s="43"/>
      <c r="F799" s="49"/>
      <c r="G799" s="50"/>
      <c r="H799" s="43"/>
    </row>
    <row r="800">
      <c r="A800" s="43"/>
      <c r="B800" s="38" t="str">
        <f>IFERROR(HYPERLINK(VLOOKUP(A800,Internal_lists_bugs!$A$2:$C$73,3,FALSE()), VLOOKUP(A800,Internal_lists_bugs!$A$2:$C$73,3,FALSE())&amp;Char(10) &amp; Char(10) &amp; VLOOKUP(A800,Internal_lists_bugs!$A$2:$Z$73,26,FALSE())),"please select a BUG ID")</f>
        <v>please select a BUG ID</v>
      </c>
      <c r="C800" s="51" t="str">
        <f>IFERROR(Hyperlink(VLOOKUP(A800,Internal_lists_bugs!$A$2:$G1014,7,FALSE()),"BIC: "&amp;VLOOKUP(A800,Internal_lists_bugs!$A$2:$G1014,7,FALSE())&amp;CHAR(10)&amp;"Intro.Issues: "&amp;VLOOKUP(A800,Internal_lists_bugs!$A$2:$P1014,16,FALSE())),"please select a BUG ID")</f>
        <v>please select a BUG ID</v>
      </c>
      <c r="D800" s="52"/>
      <c r="E800" s="43"/>
      <c r="F800" s="49"/>
      <c r="G800" s="50"/>
      <c r="H800" s="43"/>
    </row>
    <row r="801">
      <c r="A801" s="43"/>
      <c r="B801" s="38" t="str">
        <f>IFERROR(HYPERLINK(VLOOKUP(A801,Internal_lists_bugs!$A$2:$C$73,3,FALSE()), VLOOKUP(A801,Internal_lists_bugs!$A$2:$C$73,3,FALSE())&amp;Char(10) &amp; Char(10) &amp; VLOOKUP(A801,Internal_lists_bugs!$A$2:$Z$73,26,FALSE())),"please select a BUG ID")</f>
        <v>please select a BUG ID</v>
      </c>
      <c r="C801" s="51" t="str">
        <f>IFERROR(Hyperlink(VLOOKUP(A801,Internal_lists_bugs!$A$2:$G1014,7,FALSE()),"BIC: "&amp;VLOOKUP(A801,Internal_lists_bugs!$A$2:$G1014,7,FALSE())&amp;CHAR(10)&amp;"Intro.Issues: "&amp;VLOOKUP(A801,Internal_lists_bugs!$A$2:$P1014,16,FALSE())),"please select a BUG ID")</f>
        <v>please select a BUG ID</v>
      </c>
      <c r="D801" s="52"/>
      <c r="E801" s="43"/>
      <c r="F801" s="49"/>
      <c r="G801" s="50"/>
      <c r="H801" s="43"/>
    </row>
    <row r="802">
      <c r="A802" s="43"/>
      <c r="B802" s="38" t="str">
        <f>IFERROR(HYPERLINK(VLOOKUP(A802,Internal_lists_bugs!$A$2:$C$73,3,FALSE()), VLOOKUP(A802,Internal_lists_bugs!$A$2:$C$73,3,FALSE())&amp;Char(10) &amp; Char(10) &amp; VLOOKUP(A802,Internal_lists_bugs!$A$2:$Z$73,26,FALSE())),"please select a BUG ID")</f>
        <v>please select a BUG ID</v>
      </c>
      <c r="C802" s="51" t="str">
        <f>IFERROR(Hyperlink(VLOOKUP(A802,Internal_lists_bugs!$A$2:$G1014,7,FALSE()),"BIC: "&amp;VLOOKUP(A802,Internal_lists_bugs!$A$2:$G1014,7,FALSE())&amp;CHAR(10)&amp;"Intro.Issues: "&amp;VLOOKUP(A802,Internal_lists_bugs!$A$2:$P1014,16,FALSE())),"please select a BUG ID")</f>
        <v>please select a BUG ID</v>
      </c>
      <c r="D802" s="52"/>
      <c r="E802" s="43"/>
      <c r="F802" s="49"/>
      <c r="G802" s="50"/>
      <c r="H802" s="43"/>
    </row>
    <row r="803">
      <c r="A803" s="43"/>
      <c r="B803" s="38" t="str">
        <f>IFERROR(HYPERLINK(VLOOKUP(A803,Internal_lists_bugs!$A$2:$C$73,3,FALSE()), VLOOKUP(A803,Internal_lists_bugs!$A$2:$C$73,3,FALSE())&amp;Char(10) &amp; Char(10) &amp; VLOOKUP(A803,Internal_lists_bugs!$A$2:$Z$73,26,FALSE())),"please select a BUG ID")</f>
        <v>please select a BUG ID</v>
      </c>
      <c r="C803" s="51" t="str">
        <f>IFERROR(Hyperlink(VLOOKUP(A803,Internal_lists_bugs!$A$2:$G1014,7,FALSE()),"BIC: "&amp;VLOOKUP(A803,Internal_lists_bugs!$A$2:$G1014,7,FALSE())&amp;CHAR(10)&amp;"Intro.Issues: "&amp;VLOOKUP(A803,Internal_lists_bugs!$A$2:$P1014,16,FALSE())),"please select a BUG ID")</f>
        <v>please select a BUG ID</v>
      </c>
      <c r="D803" s="52"/>
      <c r="E803" s="43"/>
      <c r="F803" s="49"/>
      <c r="G803" s="50"/>
      <c r="H803" s="43"/>
    </row>
    <row r="804">
      <c r="A804" s="43"/>
      <c r="B804" s="38" t="str">
        <f>IFERROR(HYPERLINK(VLOOKUP(A804,Internal_lists_bugs!$A$2:$C$73,3,FALSE()), VLOOKUP(A804,Internal_lists_bugs!$A$2:$C$73,3,FALSE())&amp;Char(10) &amp; Char(10) &amp; VLOOKUP(A804,Internal_lists_bugs!$A$2:$Z$73,26,FALSE())),"please select a BUG ID")</f>
        <v>please select a BUG ID</v>
      </c>
      <c r="C804" s="51" t="str">
        <f>IFERROR(Hyperlink(VLOOKUP(A804,Internal_lists_bugs!$A$2:$G1014,7,FALSE()),"BIC: "&amp;VLOOKUP(A804,Internal_lists_bugs!$A$2:$G1014,7,FALSE())&amp;CHAR(10)&amp;"Intro.Issues: "&amp;VLOOKUP(A804,Internal_lists_bugs!$A$2:$P1014,16,FALSE())),"please select a BUG ID")</f>
        <v>please select a BUG ID</v>
      </c>
      <c r="D804" s="52"/>
      <c r="E804" s="43"/>
      <c r="F804" s="49"/>
      <c r="G804" s="50"/>
      <c r="H804" s="43"/>
    </row>
    <row r="805">
      <c r="A805" s="43"/>
      <c r="B805" s="38" t="str">
        <f>IFERROR(HYPERLINK(VLOOKUP(A805,Internal_lists_bugs!$A$2:$C$73,3,FALSE()), VLOOKUP(A805,Internal_lists_bugs!$A$2:$C$73,3,FALSE())&amp;Char(10) &amp; Char(10) &amp; VLOOKUP(A805,Internal_lists_bugs!$A$2:$Z$73,26,FALSE())),"please select a BUG ID")</f>
        <v>please select a BUG ID</v>
      </c>
      <c r="C805" s="51" t="str">
        <f>IFERROR(Hyperlink(VLOOKUP(A805,Internal_lists_bugs!$A$2:$G1014,7,FALSE()),"BIC: "&amp;VLOOKUP(A805,Internal_lists_bugs!$A$2:$G1014,7,FALSE())&amp;CHAR(10)&amp;"Intro.Issues: "&amp;VLOOKUP(A805,Internal_lists_bugs!$A$2:$P1014,16,FALSE())),"please select a BUG ID")</f>
        <v>please select a BUG ID</v>
      </c>
      <c r="D805" s="52"/>
      <c r="E805" s="43"/>
      <c r="F805" s="49"/>
      <c r="G805" s="50"/>
      <c r="H805" s="43"/>
    </row>
    <row r="806">
      <c r="A806" s="43"/>
      <c r="B806" s="38" t="str">
        <f>IFERROR(HYPERLINK(VLOOKUP(A806,Internal_lists_bugs!$A$2:$C$73,3,FALSE()), VLOOKUP(A806,Internal_lists_bugs!$A$2:$C$73,3,FALSE())&amp;Char(10) &amp; Char(10) &amp; VLOOKUP(A806,Internal_lists_bugs!$A$2:$Z$73,26,FALSE())),"please select a BUG ID")</f>
        <v>please select a BUG ID</v>
      </c>
      <c r="C806" s="51" t="str">
        <f>IFERROR(Hyperlink(VLOOKUP(A806,Internal_lists_bugs!$A$2:$G1014,7,FALSE()),"BIC: "&amp;VLOOKUP(A806,Internal_lists_bugs!$A$2:$G1014,7,FALSE())&amp;CHAR(10)&amp;"Intro.Issues: "&amp;VLOOKUP(A806,Internal_lists_bugs!$A$2:$P1014,16,FALSE())),"please select a BUG ID")</f>
        <v>please select a BUG ID</v>
      </c>
      <c r="D806" s="52"/>
      <c r="E806" s="43"/>
      <c r="F806" s="49"/>
      <c r="G806" s="50"/>
      <c r="H806" s="43"/>
    </row>
    <row r="807">
      <c r="A807" s="43"/>
      <c r="B807" s="38" t="str">
        <f>IFERROR(HYPERLINK(VLOOKUP(A807,Internal_lists_bugs!$A$2:$C$73,3,FALSE()), VLOOKUP(A807,Internal_lists_bugs!$A$2:$C$73,3,FALSE())&amp;Char(10) &amp; Char(10) &amp; VLOOKUP(A807,Internal_lists_bugs!$A$2:$Z$73,26,FALSE())),"please select a BUG ID")</f>
        <v>please select a BUG ID</v>
      </c>
      <c r="C807" s="51" t="str">
        <f>IFERROR(Hyperlink(VLOOKUP(A807,Internal_lists_bugs!$A$2:$G1014,7,FALSE()),"BIC: "&amp;VLOOKUP(A807,Internal_lists_bugs!$A$2:$G1014,7,FALSE())&amp;CHAR(10)&amp;"Intro.Issues: "&amp;VLOOKUP(A807,Internal_lists_bugs!$A$2:$P1014,16,FALSE())),"please select a BUG ID")</f>
        <v>please select a BUG ID</v>
      </c>
      <c r="D807" s="52"/>
      <c r="E807" s="43"/>
      <c r="F807" s="49"/>
      <c r="G807" s="50"/>
      <c r="H807" s="43"/>
    </row>
    <row r="808">
      <c r="A808" s="43"/>
      <c r="B808" s="38" t="str">
        <f>IFERROR(HYPERLINK(VLOOKUP(A808,Internal_lists_bugs!$A$2:$C$73,3,FALSE()), VLOOKUP(A808,Internal_lists_bugs!$A$2:$C$73,3,FALSE())&amp;Char(10) &amp; Char(10) &amp; VLOOKUP(A808,Internal_lists_bugs!$A$2:$Z$73,26,FALSE())),"please select a BUG ID")</f>
        <v>please select a BUG ID</v>
      </c>
      <c r="C808" s="51" t="str">
        <f>IFERROR(Hyperlink(VLOOKUP(A808,Internal_lists_bugs!$A$2:$G1014,7,FALSE()),"BIC: "&amp;VLOOKUP(A808,Internal_lists_bugs!$A$2:$G1014,7,FALSE())&amp;CHAR(10)&amp;"Intro.Issues: "&amp;VLOOKUP(A808,Internal_lists_bugs!$A$2:$P1014,16,FALSE())),"please select a BUG ID")</f>
        <v>please select a BUG ID</v>
      </c>
      <c r="D808" s="52"/>
      <c r="E808" s="43"/>
      <c r="F808" s="49"/>
      <c r="G808" s="50"/>
      <c r="H808" s="43"/>
    </row>
    <row r="809">
      <c r="A809" s="43"/>
      <c r="B809" s="38" t="str">
        <f>IFERROR(HYPERLINK(VLOOKUP(A809,Internal_lists_bugs!$A$2:$C$73,3,FALSE()), VLOOKUP(A809,Internal_lists_bugs!$A$2:$C$73,3,FALSE())&amp;Char(10) &amp; Char(10) &amp; VLOOKUP(A809,Internal_lists_bugs!$A$2:$Z$73,26,FALSE())),"please select a BUG ID")</f>
        <v>please select a BUG ID</v>
      </c>
      <c r="C809" s="51" t="str">
        <f>IFERROR(Hyperlink(VLOOKUP(A809,Internal_lists_bugs!$A$2:$G1014,7,FALSE()),"BIC: "&amp;VLOOKUP(A809,Internal_lists_bugs!$A$2:$G1014,7,FALSE())&amp;CHAR(10)&amp;"Intro.Issues: "&amp;VLOOKUP(A809,Internal_lists_bugs!$A$2:$P1014,16,FALSE())),"please select a BUG ID")</f>
        <v>please select a BUG ID</v>
      </c>
      <c r="D809" s="52"/>
      <c r="E809" s="43"/>
      <c r="F809" s="49"/>
      <c r="G809" s="50"/>
      <c r="H809" s="43"/>
    </row>
    <row r="810">
      <c r="A810" s="43"/>
      <c r="B810" s="38" t="str">
        <f>IFERROR(HYPERLINK(VLOOKUP(A810,Internal_lists_bugs!$A$2:$C$73,3,FALSE()), VLOOKUP(A810,Internal_lists_bugs!$A$2:$C$73,3,FALSE())&amp;Char(10) &amp; Char(10) &amp; VLOOKUP(A810,Internal_lists_bugs!$A$2:$Z$73,26,FALSE())),"please select a BUG ID")</f>
        <v>please select a BUG ID</v>
      </c>
      <c r="C810" s="51" t="str">
        <f>IFERROR(Hyperlink(VLOOKUP(A810,Internal_lists_bugs!$A$2:$G1014,7,FALSE()),"BIC: "&amp;VLOOKUP(A810,Internal_lists_bugs!$A$2:$G1014,7,FALSE())&amp;CHAR(10)&amp;"Intro.Issues: "&amp;VLOOKUP(A810,Internal_lists_bugs!$A$2:$P1014,16,FALSE())),"please select a BUG ID")</f>
        <v>please select a BUG ID</v>
      </c>
      <c r="D810" s="52"/>
      <c r="E810" s="43"/>
      <c r="F810" s="49"/>
      <c r="G810" s="50"/>
      <c r="H810" s="43"/>
    </row>
    <row r="811">
      <c r="A811" s="43"/>
      <c r="B811" s="38" t="str">
        <f>IFERROR(HYPERLINK(VLOOKUP(A811,Internal_lists_bugs!$A$2:$C$73,3,FALSE()), VLOOKUP(A811,Internal_lists_bugs!$A$2:$C$73,3,FALSE())&amp;Char(10) &amp; Char(10) &amp; VLOOKUP(A811,Internal_lists_bugs!$A$2:$Z$73,26,FALSE())),"please select a BUG ID")</f>
        <v>please select a BUG ID</v>
      </c>
      <c r="C811" s="51" t="str">
        <f>IFERROR(Hyperlink(VLOOKUP(A811,Internal_lists_bugs!$A$2:$G1014,7,FALSE()),"BIC: "&amp;VLOOKUP(A811,Internal_lists_bugs!$A$2:$G1014,7,FALSE())&amp;CHAR(10)&amp;"Intro.Issues: "&amp;VLOOKUP(A811,Internal_lists_bugs!$A$2:$P1014,16,FALSE())),"please select a BUG ID")</f>
        <v>please select a BUG ID</v>
      </c>
      <c r="D811" s="52"/>
      <c r="E811" s="43"/>
      <c r="F811" s="49"/>
      <c r="G811" s="50"/>
      <c r="H811" s="43"/>
    </row>
    <row r="812">
      <c r="A812" s="43"/>
      <c r="B812" s="38" t="str">
        <f>IFERROR(HYPERLINK(VLOOKUP(A812,Internal_lists_bugs!$A$2:$C$73,3,FALSE()), VLOOKUP(A812,Internal_lists_bugs!$A$2:$C$73,3,FALSE())&amp;Char(10) &amp; Char(10) &amp; VLOOKUP(A812,Internal_lists_bugs!$A$2:$Z$73,26,FALSE())),"please select a BUG ID")</f>
        <v>please select a BUG ID</v>
      </c>
      <c r="C812" s="51" t="str">
        <f>IFERROR(Hyperlink(VLOOKUP(A812,Internal_lists_bugs!$A$2:$G1014,7,FALSE()),"BIC: "&amp;VLOOKUP(A812,Internal_lists_bugs!$A$2:$G1014,7,FALSE())&amp;CHAR(10)&amp;"Intro.Issues: "&amp;VLOOKUP(A812,Internal_lists_bugs!$A$2:$P1014,16,FALSE())),"please select a BUG ID")</f>
        <v>please select a BUG ID</v>
      </c>
      <c r="D812" s="52"/>
      <c r="E812" s="43"/>
      <c r="F812" s="49"/>
      <c r="G812" s="50"/>
      <c r="H812" s="43"/>
    </row>
    <row r="813">
      <c r="A813" s="43"/>
      <c r="B813" s="38" t="str">
        <f>IFERROR(HYPERLINK(VLOOKUP(A813,Internal_lists_bugs!$A$2:$C$73,3,FALSE()), VLOOKUP(A813,Internal_lists_bugs!$A$2:$C$73,3,FALSE())&amp;Char(10) &amp; Char(10) &amp; VLOOKUP(A813,Internal_lists_bugs!$A$2:$Z$73,26,FALSE())),"please select a BUG ID")</f>
        <v>please select a BUG ID</v>
      </c>
      <c r="C813" s="51" t="str">
        <f>IFERROR(Hyperlink(VLOOKUP(A813,Internal_lists_bugs!$A$2:$G1014,7,FALSE()),"BIC: "&amp;VLOOKUP(A813,Internal_lists_bugs!$A$2:$G1014,7,FALSE())&amp;CHAR(10)&amp;"Intro.Issues: "&amp;VLOOKUP(A813,Internal_lists_bugs!$A$2:$P1014,16,FALSE())),"please select a BUG ID")</f>
        <v>please select a BUG ID</v>
      </c>
      <c r="D813" s="52"/>
      <c r="E813" s="43"/>
      <c r="F813" s="49"/>
      <c r="G813" s="50"/>
      <c r="H813" s="43"/>
    </row>
    <row r="814">
      <c r="A814" s="43"/>
      <c r="B814" s="38" t="str">
        <f>IFERROR(HYPERLINK(VLOOKUP(A814,Internal_lists_bugs!$A$2:$C$73,3,FALSE()), VLOOKUP(A814,Internal_lists_bugs!$A$2:$C$73,3,FALSE())&amp;Char(10) &amp; Char(10) &amp; VLOOKUP(A814,Internal_lists_bugs!$A$2:$Z$73,26,FALSE())),"please select a BUG ID")</f>
        <v>please select a BUG ID</v>
      </c>
      <c r="C814" s="51" t="str">
        <f>IFERROR(Hyperlink(VLOOKUP(A814,Internal_lists_bugs!$A$2:$G1014,7,FALSE()),"BIC: "&amp;VLOOKUP(A814,Internal_lists_bugs!$A$2:$G1014,7,FALSE())&amp;CHAR(10)&amp;"Intro.Issues: "&amp;VLOOKUP(A814,Internal_lists_bugs!$A$2:$P1014,16,FALSE())),"please select a BUG ID")</f>
        <v>please select a BUG ID</v>
      </c>
      <c r="D814" s="52"/>
      <c r="E814" s="43"/>
      <c r="F814" s="49"/>
      <c r="G814" s="50"/>
      <c r="H814" s="43"/>
    </row>
    <row r="815">
      <c r="A815" s="43"/>
      <c r="B815" s="38" t="str">
        <f>IFERROR(HYPERLINK(VLOOKUP(A815,Internal_lists_bugs!$A$2:$C$73,3,FALSE()), VLOOKUP(A815,Internal_lists_bugs!$A$2:$C$73,3,FALSE())&amp;Char(10) &amp; Char(10) &amp; VLOOKUP(A815,Internal_lists_bugs!$A$2:$Z$73,26,FALSE())),"please select a BUG ID")</f>
        <v>please select a BUG ID</v>
      </c>
      <c r="C815" s="51" t="str">
        <f>IFERROR(Hyperlink(VLOOKUP(A815,Internal_lists_bugs!$A$2:$G1014,7,FALSE()),"BIC: "&amp;VLOOKUP(A815,Internal_lists_bugs!$A$2:$G1014,7,FALSE())&amp;CHAR(10)&amp;"Intro.Issues: "&amp;VLOOKUP(A815,Internal_lists_bugs!$A$2:$P1014,16,FALSE())),"please select a BUG ID")</f>
        <v>please select a BUG ID</v>
      </c>
      <c r="D815" s="52"/>
      <c r="E815" s="43"/>
      <c r="F815" s="49"/>
      <c r="G815" s="50"/>
      <c r="H815" s="43"/>
    </row>
    <row r="816">
      <c r="A816" s="43"/>
      <c r="B816" s="38" t="str">
        <f>IFERROR(HYPERLINK(VLOOKUP(A816,Internal_lists_bugs!$A$2:$C$73,3,FALSE()), VLOOKUP(A816,Internal_lists_bugs!$A$2:$C$73,3,FALSE())&amp;Char(10) &amp; Char(10) &amp; VLOOKUP(A816,Internal_lists_bugs!$A$2:$Z$73,26,FALSE())),"please select a BUG ID")</f>
        <v>please select a BUG ID</v>
      </c>
      <c r="C816" s="51" t="str">
        <f>IFERROR(Hyperlink(VLOOKUP(A816,Internal_lists_bugs!$A$2:$G1014,7,FALSE()),"BIC: "&amp;VLOOKUP(A816,Internal_lists_bugs!$A$2:$G1014,7,FALSE())&amp;CHAR(10)&amp;"Intro.Issues: "&amp;VLOOKUP(A816,Internal_lists_bugs!$A$2:$P1014,16,FALSE())),"please select a BUG ID")</f>
        <v>please select a BUG ID</v>
      </c>
      <c r="D816" s="52"/>
      <c r="E816" s="43"/>
      <c r="F816" s="49"/>
      <c r="G816" s="50"/>
      <c r="H816" s="43"/>
    </row>
    <row r="817">
      <c r="A817" s="43"/>
      <c r="B817" s="38" t="str">
        <f>IFERROR(HYPERLINK(VLOOKUP(A817,Internal_lists_bugs!$A$2:$C$73,3,FALSE()), VLOOKUP(A817,Internal_lists_bugs!$A$2:$C$73,3,FALSE())&amp;Char(10) &amp; Char(10) &amp; VLOOKUP(A817,Internal_lists_bugs!$A$2:$Z$73,26,FALSE())),"please select a BUG ID")</f>
        <v>please select a BUG ID</v>
      </c>
      <c r="C817" s="51" t="str">
        <f>IFERROR(Hyperlink(VLOOKUP(A817,Internal_lists_bugs!$A$2:$G1014,7,FALSE()),"BIC: "&amp;VLOOKUP(A817,Internal_lists_bugs!$A$2:$G1014,7,FALSE())&amp;CHAR(10)&amp;"Intro.Issues: "&amp;VLOOKUP(A817,Internal_lists_bugs!$A$2:$P1014,16,FALSE())),"please select a BUG ID")</f>
        <v>please select a BUG ID</v>
      </c>
      <c r="D817" s="52"/>
      <c r="E817" s="43"/>
      <c r="F817" s="49"/>
      <c r="G817" s="50"/>
      <c r="H817" s="43"/>
    </row>
    <row r="818">
      <c r="A818" s="43"/>
      <c r="B818" s="38" t="str">
        <f>IFERROR(HYPERLINK(VLOOKUP(A818,Internal_lists_bugs!$A$2:$C$73,3,FALSE()), VLOOKUP(A818,Internal_lists_bugs!$A$2:$C$73,3,FALSE())&amp;Char(10) &amp; Char(10) &amp; VLOOKUP(A818,Internal_lists_bugs!$A$2:$Z$73,26,FALSE())),"please select a BUG ID")</f>
        <v>please select a BUG ID</v>
      </c>
      <c r="C818" s="51" t="str">
        <f>IFERROR(Hyperlink(VLOOKUP(A818,Internal_lists_bugs!$A$2:$G1014,7,FALSE()),"BIC: "&amp;VLOOKUP(A818,Internal_lists_bugs!$A$2:$G1014,7,FALSE())&amp;CHAR(10)&amp;"Intro.Issues: "&amp;VLOOKUP(A818,Internal_lists_bugs!$A$2:$P1014,16,FALSE())),"please select a BUG ID")</f>
        <v>please select a BUG ID</v>
      </c>
      <c r="D818" s="52"/>
      <c r="E818" s="43"/>
      <c r="F818" s="49"/>
      <c r="G818" s="50"/>
      <c r="H818" s="43"/>
    </row>
    <row r="819">
      <c r="A819" s="43"/>
      <c r="B819" s="38" t="str">
        <f>IFERROR(HYPERLINK(VLOOKUP(A819,Internal_lists_bugs!$A$2:$C$73,3,FALSE()), VLOOKUP(A819,Internal_lists_bugs!$A$2:$C$73,3,FALSE())&amp;Char(10) &amp; Char(10) &amp; VLOOKUP(A819,Internal_lists_bugs!$A$2:$Z$73,26,FALSE())),"please select a BUG ID")</f>
        <v>please select a BUG ID</v>
      </c>
      <c r="C819" s="51" t="str">
        <f>IFERROR(Hyperlink(VLOOKUP(A819,Internal_lists_bugs!$A$2:$G1014,7,FALSE()),"BIC: "&amp;VLOOKUP(A819,Internal_lists_bugs!$A$2:$G1014,7,FALSE())&amp;CHAR(10)&amp;"Intro.Issues: "&amp;VLOOKUP(A819,Internal_lists_bugs!$A$2:$P1014,16,FALSE())),"please select a BUG ID")</f>
        <v>please select a BUG ID</v>
      </c>
      <c r="D819" s="52"/>
      <c r="E819" s="43"/>
      <c r="F819" s="49"/>
      <c r="G819" s="50"/>
      <c r="H819" s="43"/>
    </row>
    <row r="820">
      <c r="A820" s="43"/>
      <c r="B820" s="38" t="str">
        <f>IFERROR(HYPERLINK(VLOOKUP(A820,Internal_lists_bugs!$A$2:$C$73,3,FALSE()), VLOOKUP(A820,Internal_lists_bugs!$A$2:$C$73,3,FALSE())&amp;Char(10) &amp; Char(10) &amp; VLOOKUP(A820,Internal_lists_bugs!$A$2:$Z$73,26,FALSE())),"please select a BUG ID")</f>
        <v>please select a BUG ID</v>
      </c>
      <c r="C820" s="51" t="str">
        <f>IFERROR(Hyperlink(VLOOKUP(A820,Internal_lists_bugs!$A$2:$G1014,7,FALSE()),"BIC: "&amp;VLOOKUP(A820,Internal_lists_bugs!$A$2:$G1014,7,FALSE())&amp;CHAR(10)&amp;"Intro.Issues: "&amp;VLOOKUP(A820,Internal_lists_bugs!$A$2:$P1014,16,FALSE())),"please select a BUG ID")</f>
        <v>please select a BUG ID</v>
      </c>
      <c r="D820" s="52"/>
      <c r="E820" s="43"/>
      <c r="F820" s="49"/>
      <c r="G820" s="50"/>
      <c r="H820" s="43"/>
    </row>
    <row r="821">
      <c r="A821" s="43"/>
      <c r="B821" s="38" t="str">
        <f>IFERROR(HYPERLINK(VLOOKUP(A821,Internal_lists_bugs!$A$2:$C$73,3,FALSE()), VLOOKUP(A821,Internal_lists_bugs!$A$2:$C$73,3,FALSE())&amp;Char(10) &amp; Char(10) &amp; VLOOKUP(A821,Internal_lists_bugs!$A$2:$Z$73,26,FALSE())),"please select a BUG ID")</f>
        <v>please select a BUG ID</v>
      </c>
      <c r="C821" s="51" t="str">
        <f>IFERROR(Hyperlink(VLOOKUP(A821,Internal_lists_bugs!$A$2:$G1014,7,FALSE()),"BIC: "&amp;VLOOKUP(A821,Internal_lists_bugs!$A$2:$G1014,7,FALSE())&amp;CHAR(10)&amp;"Intro.Issues: "&amp;VLOOKUP(A821,Internal_lists_bugs!$A$2:$P1014,16,FALSE())),"please select a BUG ID")</f>
        <v>please select a BUG ID</v>
      </c>
      <c r="D821" s="52"/>
      <c r="E821" s="43"/>
      <c r="F821" s="49"/>
      <c r="G821" s="50"/>
      <c r="H821" s="43"/>
    </row>
    <row r="822">
      <c r="A822" s="43"/>
      <c r="B822" s="38" t="str">
        <f>IFERROR(HYPERLINK(VLOOKUP(A822,Internal_lists_bugs!$A$2:$C$73,3,FALSE()), VLOOKUP(A822,Internal_lists_bugs!$A$2:$C$73,3,FALSE())&amp;Char(10) &amp; Char(10) &amp; VLOOKUP(A822,Internal_lists_bugs!$A$2:$Z$73,26,FALSE())),"please select a BUG ID")</f>
        <v>please select a BUG ID</v>
      </c>
      <c r="C822" s="51" t="str">
        <f>IFERROR(Hyperlink(VLOOKUP(A822,Internal_lists_bugs!$A$2:$G1014,7,FALSE()),"BIC: "&amp;VLOOKUP(A822,Internal_lists_bugs!$A$2:$G1014,7,FALSE())&amp;CHAR(10)&amp;"Intro.Issues: "&amp;VLOOKUP(A822,Internal_lists_bugs!$A$2:$P1014,16,FALSE())),"please select a BUG ID")</f>
        <v>please select a BUG ID</v>
      </c>
      <c r="D822" s="52"/>
      <c r="E822" s="43"/>
      <c r="F822" s="49"/>
      <c r="G822" s="50"/>
      <c r="H822" s="43"/>
    </row>
    <row r="823">
      <c r="A823" s="43"/>
      <c r="B823" s="38" t="str">
        <f>IFERROR(HYPERLINK(VLOOKUP(A823,Internal_lists_bugs!$A$2:$C$73,3,FALSE()), VLOOKUP(A823,Internal_lists_bugs!$A$2:$C$73,3,FALSE())&amp;Char(10) &amp; Char(10) &amp; VLOOKUP(A823,Internal_lists_bugs!$A$2:$Z$73,26,FALSE())),"please select a BUG ID")</f>
        <v>please select a BUG ID</v>
      </c>
      <c r="C823" s="51" t="str">
        <f>IFERROR(Hyperlink(VLOOKUP(A823,Internal_lists_bugs!$A$2:$G1014,7,FALSE()),"BIC: "&amp;VLOOKUP(A823,Internal_lists_bugs!$A$2:$G1014,7,FALSE())&amp;CHAR(10)&amp;"Intro.Issues: "&amp;VLOOKUP(A823,Internal_lists_bugs!$A$2:$P1014,16,FALSE())),"please select a BUG ID")</f>
        <v>please select a BUG ID</v>
      </c>
      <c r="D823" s="52"/>
      <c r="E823" s="43"/>
      <c r="F823" s="49"/>
      <c r="G823" s="50"/>
      <c r="H823" s="43"/>
    </row>
    <row r="824">
      <c r="A824" s="43"/>
      <c r="B824" s="38" t="str">
        <f>IFERROR(HYPERLINK(VLOOKUP(A824,Internal_lists_bugs!$A$2:$C$73,3,FALSE()), VLOOKUP(A824,Internal_lists_bugs!$A$2:$C$73,3,FALSE())&amp;Char(10) &amp; Char(10) &amp; VLOOKUP(A824,Internal_lists_bugs!$A$2:$Z$73,26,FALSE())),"please select a BUG ID")</f>
        <v>please select a BUG ID</v>
      </c>
      <c r="C824" s="51" t="str">
        <f>IFERROR(Hyperlink(VLOOKUP(A824,Internal_lists_bugs!$A$2:$G1014,7,FALSE()),"BIC: "&amp;VLOOKUP(A824,Internal_lists_bugs!$A$2:$G1014,7,FALSE())&amp;CHAR(10)&amp;"Intro.Issues: "&amp;VLOOKUP(A824,Internal_lists_bugs!$A$2:$P1014,16,FALSE())),"please select a BUG ID")</f>
        <v>please select a BUG ID</v>
      </c>
      <c r="D824" s="52"/>
      <c r="E824" s="43"/>
      <c r="F824" s="49"/>
      <c r="G824" s="50"/>
      <c r="H824" s="43"/>
    </row>
    <row r="825">
      <c r="A825" s="43"/>
      <c r="B825" s="38" t="str">
        <f>IFERROR(HYPERLINK(VLOOKUP(A825,Internal_lists_bugs!$A$2:$C$73,3,FALSE()), VLOOKUP(A825,Internal_lists_bugs!$A$2:$C$73,3,FALSE())&amp;Char(10) &amp; Char(10) &amp; VLOOKUP(A825,Internal_lists_bugs!$A$2:$Z$73,26,FALSE())),"please select a BUG ID")</f>
        <v>please select a BUG ID</v>
      </c>
      <c r="C825" s="51" t="str">
        <f>IFERROR(Hyperlink(VLOOKUP(A825,Internal_lists_bugs!$A$2:$G1014,7,FALSE()),"BIC: "&amp;VLOOKUP(A825,Internal_lists_bugs!$A$2:$G1014,7,FALSE())&amp;CHAR(10)&amp;"Intro.Issues: "&amp;VLOOKUP(A825,Internal_lists_bugs!$A$2:$P1014,16,FALSE())),"please select a BUG ID")</f>
        <v>please select a BUG ID</v>
      </c>
      <c r="D825" s="52"/>
      <c r="E825" s="43"/>
      <c r="F825" s="49"/>
      <c r="G825" s="50"/>
      <c r="H825" s="43"/>
    </row>
    <row r="826">
      <c r="A826" s="43"/>
      <c r="B826" s="38" t="str">
        <f>IFERROR(HYPERLINK(VLOOKUP(A826,Internal_lists_bugs!$A$2:$C$73,3,FALSE()), VLOOKUP(A826,Internal_lists_bugs!$A$2:$C$73,3,FALSE())&amp;Char(10) &amp; Char(10) &amp; VLOOKUP(A826,Internal_lists_bugs!$A$2:$Z$73,26,FALSE())),"please select a BUG ID")</f>
        <v>please select a BUG ID</v>
      </c>
      <c r="C826" s="51" t="str">
        <f>IFERROR(Hyperlink(VLOOKUP(A826,Internal_lists_bugs!$A$2:$G1014,7,FALSE()),"BIC: "&amp;VLOOKUP(A826,Internal_lists_bugs!$A$2:$G1014,7,FALSE())&amp;CHAR(10)&amp;"Intro.Issues: "&amp;VLOOKUP(A826,Internal_lists_bugs!$A$2:$P1014,16,FALSE())),"please select a BUG ID")</f>
        <v>please select a BUG ID</v>
      </c>
      <c r="D826" s="52"/>
      <c r="E826" s="43"/>
      <c r="F826" s="49"/>
      <c r="G826" s="50"/>
      <c r="H826" s="43"/>
    </row>
    <row r="827">
      <c r="A827" s="43"/>
      <c r="B827" s="38" t="str">
        <f>IFERROR(HYPERLINK(VLOOKUP(A827,Internal_lists_bugs!$A$2:$C$73,3,FALSE()), VLOOKUP(A827,Internal_lists_bugs!$A$2:$C$73,3,FALSE())&amp;Char(10) &amp; Char(10) &amp; VLOOKUP(A827,Internal_lists_bugs!$A$2:$Z$73,26,FALSE())),"please select a BUG ID")</f>
        <v>please select a BUG ID</v>
      </c>
      <c r="C827" s="51" t="str">
        <f>IFERROR(Hyperlink(VLOOKUP(A827,Internal_lists_bugs!$A$2:$G1014,7,FALSE()),"BIC: "&amp;VLOOKUP(A827,Internal_lists_bugs!$A$2:$G1014,7,FALSE())&amp;CHAR(10)&amp;"Intro.Issues: "&amp;VLOOKUP(A827,Internal_lists_bugs!$A$2:$P1014,16,FALSE())),"please select a BUG ID")</f>
        <v>please select a BUG ID</v>
      </c>
      <c r="D827" s="52"/>
      <c r="E827" s="43"/>
      <c r="F827" s="49"/>
      <c r="G827" s="50"/>
      <c r="H827" s="43"/>
    </row>
    <row r="828">
      <c r="A828" s="43"/>
      <c r="B828" s="38" t="str">
        <f>IFERROR(HYPERLINK(VLOOKUP(A828,Internal_lists_bugs!$A$2:$C$73,3,FALSE()), VLOOKUP(A828,Internal_lists_bugs!$A$2:$C$73,3,FALSE())&amp;Char(10) &amp; Char(10) &amp; VLOOKUP(A828,Internal_lists_bugs!$A$2:$Z$73,26,FALSE())),"please select a BUG ID")</f>
        <v>please select a BUG ID</v>
      </c>
      <c r="C828" s="51" t="str">
        <f>IFERROR(Hyperlink(VLOOKUP(A828,Internal_lists_bugs!$A$2:$G1014,7,FALSE()),"BIC: "&amp;VLOOKUP(A828,Internal_lists_bugs!$A$2:$G1014,7,FALSE())&amp;CHAR(10)&amp;"Intro.Issues: "&amp;VLOOKUP(A828,Internal_lists_bugs!$A$2:$P1014,16,FALSE())),"please select a BUG ID")</f>
        <v>please select a BUG ID</v>
      </c>
      <c r="D828" s="52"/>
      <c r="E828" s="43"/>
      <c r="F828" s="49"/>
      <c r="G828" s="50"/>
      <c r="H828" s="43"/>
    </row>
    <row r="829">
      <c r="A829" s="43"/>
      <c r="B829" s="38" t="str">
        <f>IFERROR(HYPERLINK(VLOOKUP(A829,Internal_lists_bugs!$A$2:$C$73,3,FALSE()), VLOOKUP(A829,Internal_lists_bugs!$A$2:$C$73,3,FALSE())&amp;Char(10) &amp; Char(10) &amp; VLOOKUP(A829,Internal_lists_bugs!$A$2:$Z$73,26,FALSE())),"please select a BUG ID")</f>
        <v>please select a BUG ID</v>
      </c>
      <c r="C829" s="51" t="str">
        <f>IFERROR(Hyperlink(VLOOKUP(A829,Internal_lists_bugs!$A$2:$G1014,7,FALSE()),"BIC: "&amp;VLOOKUP(A829,Internal_lists_bugs!$A$2:$G1014,7,FALSE())&amp;CHAR(10)&amp;"Intro.Issues: "&amp;VLOOKUP(A829,Internal_lists_bugs!$A$2:$P1014,16,FALSE())),"please select a BUG ID")</f>
        <v>please select a BUG ID</v>
      </c>
      <c r="D829" s="52"/>
      <c r="E829" s="43"/>
      <c r="F829" s="49"/>
      <c r="G829" s="50"/>
      <c r="H829" s="43"/>
    </row>
    <row r="830">
      <c r="A830" s="43"/>
      <c r="B830" s="38" t="str">
        <f>IFERROR(HYPERLINK(VLOOKUP(A830,Internal_lists_bugs!$A$2:$C$73,3,FALSE()), VLOOKUP(A830,Internal_lists_bugs!$A$2:$C$73,3,FALSE())&amp;Char(10) &amp; Char(10) &amp; VLOOKUP(A830,Internal_lists_bugs!$A$2:$Z$73,26,FALSE())),"please select a BUG ID")</f>
        <v>please select a BUG ID</v>
      </c>
      <c r="C830" s="51" t="str">
        <f>IFERROR(Hyperlink(VLOOKUP(A830,Internal_lists_bugs!$A$2:$G1014,7,FALSE()),"BIC: "&amp;VLOOKUP(A830,Internal_lists_bugs!$A$2:$G1014,7,FALSE())&amp;CHAR(10)&amp;"Intro.Issues: "&amp;VLOOKUP(A830,Internal_lists_bugs!$A$2:$P1014,16,FALSE())),"please select a BUG ID")</f>
        <v>please select a BUG ID</v>
      </c>
      <c r="D830" s="52"/>
      <c r="E830" s="43"/>
      <c r="F830" s="49"/>
      <c r="G830" s="50"/>
      <c r="H830" s="43"/>
    </row>
    <row r="831">
      <c r="A831" s="43"/>
      <c r="B831" s="38" t="str">
        <f>IFERROR(HYPERLINK(VLOOKUP(A831,Internal_lists_bugs!$A$2:$C$73,3,FALSE()), VLOOKUP(A831,Internal_lists_bugs!$A$2:$C$73,3,FALSE())&amp;Char(10) &amp; Char(10) &amp; VLOOKUP(A831,Internal_lists_bugs!$A$2:$Z$73,26,FALSE())),"please select a BUG ID")</f>
        <v>please select a BUG ID</v>
      </c>
      <c r="C831" s="51" t="str">
        <f>IFERROR(Hyperlink(VLOOKUP(A831,Internal_lists_bugs!$A$2:$G1014,7,FALSE()),"BIC: "&amp;VLOOKUP(A831,Internal_lists_bugs!$A$2:$G1014,7,FALSE())&amp;CHAR(10)&amp;"Intro.Issues: "&amp;VLOOKUP(A831,Internal_lists_bugs!$A$2:$P1014,16,FALSE())),"please select a BUG ID")</f>
        <v>please select a BUG ID</v>
      </c>
      <c r="D831" s="52"/>
      <c r="E831" s="43"/>
      <c r="F831" s="49"/>
      <c r="G831" s="50"/>
      <c r="H831" s="43"/>
    </row>
    <row r="832">
      <c r="A832" s="43"/>
      <c r="B832" s="38" t="str">
        <f>IFERROR(HYPERLINK(VLOOKUP(A832,Internal_lists_bugs!$A$2:$C$73,3,FALSE()), VLOOKUP(A832,Internal_lists_bugs!$A$2:$C$73,3,FALSE())&amp;Char(10) &amp; Char(10) &amp; VLOOKUP(A832,Internal_lists_bugs!$A$2:$Z$73,26,FALSE())),"please select a BUG ID")</f>
        <v>please select a BUG ID</v>
      </c>
      <c r="C832" s="51" t="str">
        <f>IFERROR(Hyperlink(VLOOKUP(A832,Internal_lists_bugs!$A$2:$G1014,7,FALSE()),"BIC: "&amp;VLOOKUP(A832,Internal_lists_bugs!$A$2:$G1014,7,FALSE())&amp;CHAR(10)&amp;"Intro.Issues: "&amp;VLOOKUP(A832,Internal_lists_bugs!$A$2:$P1014,16,FALSE())),"please select a BUG ID")</f>
        <v>please select a BUG ID</v>
      </c>
      <c r="D832" s="52"/>
      <c r="E832" s="43"/>
      <c r="F832" s="49"/>
      <c r="G832" s="50"/>
      <c r="H832" s="43"/>
    </row>
    <row r="833">
      <c r="A833" s="43"/>
      <c r="B833" s="38" t="str">
        <f>IFERROR(HYPERLINK(VLOOKUP(A833,Internal_lists_bugs!$A$2:$C$73,3,FALSE()), VLOOKUP(A833,Internal_lists_bugs!$A$2:$C$73,3,FALSE())&amp;Char(10) &amp; Char(10) &amp; VLOOKUP(A833,Internal_lists_bugs!$A$2:$Z$73,26,FALSE())),"please select a BUG ID")</f>
        <v>please select a BUG ID</v>
      </c>
      <c r="C833" s="51" t="str">
        <f>IFERROR(Hyperlink(VLOOKUP(A833,Internal_lists_bugs!$A$2:$G1014,7,FALSE()),"BIC: "&amp;VLOOKUP(A833,Internal_lists_bugs!$A$2:$G1014,7,FALSE())&amp;CHAR(10)&amp;"Intro.Issues: "&amp;VLOOKUP(A833,Internal_lists_bugs!$A$2:$P1014,16,FALSE())),"please select a BUG ID")</f>
        <v>please select a BUG ID</v>
      </c>
      <c r="D833" s="52"/>
      <c r="E833" s="43"/>
      <c r="F833" s="49"/>
      <c r="G833" s="50"/>
      <c r="H833" s="43"/>
    </row>
    <row r="834">
      <c r="A834" s="43"/>
      <c r="B834" s="38" t="str">
        <f>IFERROR(HYPERLINK(VLOOKUP(A834,Internal_lists_bugs!$A$2:$C$73,3,FALSE()), VLOOKUP(A834,Internal_lists_bugs!$A$2:$C$73,3,FALSE())&amp;Char(10) &amp; Char(10) &amp; VLOOKUP(A834,Internal_lists_bugs!$A$2:$Z$73,26,FALSE())),"please select a BUG ID")</f>
        <v>please select a BUG ID</v>
      </c>
      <c r="C834" s="51" t="str">
        <f>IFERROR(Hyperlink(VLOOKUP(A834,Internal_lists_bugs!$A$2:$G1014,7,FALSE()),"BIC: "&amp;VLOOKUP(A834,Internal_lists_bugs!$A$2:$G1014,7,FALSE())&amp;CHAR(10)&amp;"Intro.Issues: "&amp;VLOOKUP(A834,Internal_lists_bugs!$A$2:$P1014,16,FALSE())),"please select a BUG ID")</f>
        <v>please select a BUG ID</v>
      </c>
      <c r="D834" s="52"/>
      <c r="E834" s="43"/>
      <c r="F834" s="49"/>
      <c r="G834" s="50"/>
      <c r="H834" s="43"/>
    </row>
    <row r="835">
      <c r="A835" s="43"/>
      <c r="B835" s="38" t="str">
        <f>IFERROR(HYPERLINK(VLOOKUP(A835,Internal_lists_bugs!$A$2:$C$73,3,FALSE()), VLOOKUP(A835,Internal_lists_bugs!$A$2:$C$73,3,FALSE())&amp;Char(10) &amp; Char(10) &amp; VLOOKUP(A835,Internal_lists_bugs!$A$2:$Z$73,26,FALSE())),"please select a BUG ID")</f>
        <v>please select a BUG ID</v>
      </c>
      <c r="C835" s="51" t="str">
        <f>IFERROR(Hyperlink(VLOOKUP(A835,Internal_lists_bugs!$A$2:$G1014,7,FALSE()),"BIC: "&amp;VLOOKUP(A835,Internal_lists_bugs!$A$2:$G1014,7,FALSE())&amp;CHAR(10)&amp;"Intro.Issues: "&amp;VLOOKUP(A835,Internal_lists_bugs!$A$2:$P1014,16,FALSE())),"please select a BUG ID")</f>
        <v>please select a BUG ID</v>
      </c>
      <c r="D835" s="52"/>
      <c r="E835" s="43"/>
      <c r="F835" s="49"/>
      <c r="G835" s="50"/>
      <c r="H835" s="43"/>
    </row>
    <row r="836">
      <c r="A836" s="43"/>
      <c r="B836" s="38" t="str">
        <f>IFERROR(HYPERLINK(VLOOKUP(A836,Internal_lists_bugs!$A$2:$C$73,3,FALSE()), VLOOKUP(A836,Internal_lists_bugs!$A$2:$C$73,3,FALSE())&amp;Char(10) &amp; Char(10) &amp; VLOOKUP(A836,Internal_lists_bugs!$A$2:$Z$73,26,FALSE())),"please select a BUG ID")</f>
        <v>please select a BUG ID</v>
      </c>
      <c r="C836" s="51" t="str">
        <f>IFERROR(Hyperlink(VLOOKUP(A836,Internal_lists_bugs!$A$2:$G1014,7,FALSE()),"BIC: "&amp;VLOOKUP(A836,Internal_lists_bugs!$A$2:$G1014,7,FALSE())&amp;CHAR(10)&amp;"Intro.Issues: "&amp;VLOOKUP(A836,Internal_lists_bugs!$A$2:$P1014,16,FALSE())),"please select a BUG ID")</f>
        <v>please select a BUG ID</v>
      </c>
      <c r="D836" s="52"/>
      <c r="E836" s="43"/>
      <c r="F836" s="49"/>
      <c r="G836" s="50"/>
      <c r="H836" s="43"/>
    </row>
    <row r="837">
      <c r="A837" s="43"/>
      <c r="B837" s="38" t="str">
        <f>IFERROR(HYPERLINK(VLOOKUP(A837,Internal_lists_bugs!$A$2:$C$73,3,FALSE()), VLOOKUP(A837,Internal_lists_bugs!$A$2:$C$73,3,FALSE())&amp;Char(10) &amp; Char(10) &amp; VLOOKUP(A837,Internal_lists_bugs!$A$2:$Z$73,26,FALSE())),"please select a BUG ID")</f>
        <v>please select a BUG ID</v>
      </c>
      <c r="C837" s="51" t="str">
        <f>IFERROR(Hyperlink(VLOOKUP(A837,Internal_lists_bugs!$A$2:$G1014,7,FALSE()),"BIC: "&amp;VLOOKUP(A837,Internal_lists_bugs!$A$2:$G1014,7,FALSE())&amp;CHAR(10)&amp;"Intro.Issues: "&amp;VLOOKUP(A837,Internal_lists_bugs!$A$2:$P1014,16,FALSE())),"please select a BUG ID")</f>
        <v>please select a BUG ID</v>
      </c>
      <c r="D837" s="52"/>
      <c r="E837" s="43"/>
      <c r="F837" s="49"/>
      <c r="G837" s="50"/>
      <c r="H837" s="43"/>
    </row>
    <row r="838">
      <c r="A838" s="43"/>
      <c r="B838" s="38" t="str">
        <f>IFERROR(HYPERLINK(VLOOKUP(A838,Internal_lists_bugs!$A$2:$C$73,3,FALSE()), VLOOKUP(A838,Internal_lists_bugs!$A$2:$C$73,3,FALSE())&amp;Char(10) &amp; Char(10) &amp; VLOOKUP(A838,Internal_lists_bugs!$A$2:$Z$73,26,FALSE())),"please select a BUG ID")</f>
        <v>please select a BUG ID</v>
      </c>
      <c r="C838" s="51" t="str">
        <f>IFERROR(Hyperlink(VLOOKUP(A838,Internal_lists_bugs!$A$2:$G1014,7,FALSE()),"BIC: "&amp;VLOOKUP(A838,Internal_lists_bugs!$A$2:$G1014,7,FALSE())&amp;CHAR(10)&amp;"Intro.Issues: "&amp;VLOOKUP(A838,Internal_lists_bugs!$A$2:$P1014,16,FALSE())),"please select a BUG ID")</f>
        <v>please select a BUG ID</v>
      </c>
      <c r="D838" s="52"/>
      <c r="E838" s="43"/>
      <c r="F838" s="49"/>
      <c r="G838" s="50"/>
      <c r="H838" s="43"/>
    </row>
    <row r="839">
      <c r="A839" s="43"/>
      <c r="B839" s="38" t="str">
        <f>IFERROR(HYPERLINK(VLOOKUP(A839,Internal_lists_bugs!$A$2:$C$73,3,FALSE()), VLOOKUP(A839,Internal_lists_bugs!$A$2:$C$73,3,FALSE())&amp;Char(10) &amp; Char(10) &amp; VLOOKUP(A839,Internal_lists_bugs!$A$2:$Z$73,26,FALSE())),"please select a BUG ID")</f>
        <v>please select a BUG ID</v>
      </c>
      <c r="C839" s="51" t="str">
        <f>IFERROR(Hyperlink(VLOOKUP(A839,Internal_lists_bugs!$A$2:$G1014,7,FALSE()),"BIC: "&amp;VLOOKUP(A839,Internal_lists_bugs!$A$2:$G1014,7,FALSE())&amp;CHAR(10)&amp;"Intro.Issues: "&amp;VLOOKUP(A839,Internal_lists_bugs!$A$2:$P1014,16,FALSE())),"please select a BUG ID")</f>
        <v>please select a BUG ID</v>
      </c>
      <c r="D839" s="52"/>
      <c r="E839" s="43"/>
      <c r="F839" s="49"/>
      <c r="G839" s="50"/>
      <c r="H839" s="43"/>
    </row>
    <row r="840">
      <c r="A840" s="43"/>
      <c r="B840" s="38" t="str">
        <f>IFERROR(HYPERLINK(VLOOKUP(A840,Internal_lists_bugs!$A$2:$C$73,3,FALSE()), VLOOKUP(A840,Internal_lists_bugs!$A$2:$C$73,3,FALSE())&amp;Char(10) &amp; Char(10) &amp; VLOOKUP(A840,Internal_lists_bugs!$A$2:$Z$73,26,FALSE())),"please select a BUG ID")</f>
        <v>please select a BUG ID</v>
      </c>
      <c r="C840" s="51" t="str">
        <f>IFERROR(Hyperlink(VLOOKUP(A840,Internal_lists_bugs!$A$2:$G1014,7,FALSE()),"BIC: "&amp;VLOOKUP(A840,Internal_lists_bugs!$A$2:$G1014,7,FALSE())&amp;CHAR(10)&amp;"Intro.Issues: "&amp;VLOOKUP(A840,Internal_lists_bugs!$A$2:$P1014,16,FALSE())),"please select a BUG ID")</f>
        <v>please select a BUG ID</v>
      </c>
      <c r="D840" s="52"/>
      <c r="E840" s="43"/>
      <c r="F840" s="49"/>
      <c r="G840" s="50"/>
      <c r="H840" s="43"/>
    </row>
    <row r="841">
      <c r="A841" s="43"/>
      <c r="B841" s="38" t="str">
        <f>IFERROR(HYPERLINK(VLOOKUP(A841,Internal_lists_bugs!$A$2:$C$73,3,FALSE()), VLOOKUP(A841,Internal_lists_bugs!$A$2:$C$73,3,FALSE())&amp;Char(10) &amp; Char(10) &amp; VLOOKUP(A841,Internal_lists_bugs!$A$2:$Z$73,26,FALSE())),"please select a BUG ID")</f>
        <v>please select a BUG ID</v>
      </c>
      <c r="C841" s="51" t="str">
        <f>IFERROR(Hyperlink(VLOOKUP(A841,Internal_lists_bugs!$A$2:$G1014,7,FALSE()),"BIC: "&amp;VLOOKUP(A841,Internal_lists_bugs!$A$2:$G1014,7,FALSE())&amp;CHAR(10)&amp;"Intro.Issues: "&amp;VLOOKUP(A841,Internal_lists_bugs!$A$2:$P1014,16,FALSE())),"please select a BUG ID")</f>
        <v>please select a BUG ID</v>
      </c>
      <c r="D841" s="52"/>
      <c r="E841" s="43"/>
      <c r="F841" s="49"/>
      <c r="G841" s="50"/>
      <c r="H841" s="43"/>
    </row>
    <row r="842">
      <c r="A842" s="43"/>
      <c r="B842" s="38" t="str">
        <f>IFERROR(HYPERLINK(VLOOKUP(A842,Internal_lists_bugs!$A$2:$C$73,3,FALSE()), VLOOKUP(A842,Internal_lists_bugs!$A$2:$C$73,3,FALSE())&amp;Char(10) &amp; Char(10) &amp; VLOOKUP(A842,Internal_lists_bugs!$A$2:$Z$73,26,FALSE())),"please select a BUG ID")</f>
        <v>please select a BUG ID</v>
      </c>
      <c r="C842" s="51" t="str">
        <f>IFERROR(Hyperlink(VLOOKUP(A842,Internal_lists_bugs!$A$2:$G1014,7,FALSE()),"BIC: "&amp;VLOOKUP(A842,Internal_lists_bugs!$A$2:$G1014,7,FALSE())&amp;CHAR(10)&amp;"Intro.Issues: "&amp;VLOOKUP(A842,Internal_lists_bugs!$A$2:$P1014,16,FALSE())),"please select a BUG ID")</f>
        <v>please select a BUG ID</v>
      </c>
      <c r="D842" s="52"/>
      <c r="E842" s="43"/>
      <c r="F842" s="49"/>
      <c r="G842" s="50"/>
      <c r="H842" s="43"/>
    </row>
    <row r="843">
      <c r="A843" s="43"/>
      <c r="B843" s="38" t="str">
        <f>IFERROR(HYPERLINK(VLOOKUP(A843,Internal_lists_bugs!$A$2:$C$73,3,FALSE()), VLOOKUP(A843,Internal_lists_bugs!$A$2:$C$73,3,FALSE())&amp;Char(10) &amp; Char(10) &amp; VLOOKUP(A843,Internal_lists_bugs!$A$2:$Z$73,26,FALSE())),"please select a BUG ID")</f>
        <v>please select a BUG ID</v>
      </c>
      <c r="C843" s="51" t="str">
        <f>IFERROR(Hyperlink(VLOOKUP(A843,Internal_lists_bugs!$A$2:$G1014,7,FALSE()),"BIC: "&amp;VLOOKUP(A843,Internal_lists_bugs!$A$2:$G1014,7,FALSE())&amp;CHAR(10)&amp;"Intro.Issues: "&amp;VLOOKUP(A843,Internal_lists_bugs!$A$2:$P1014,16,FALSE())),"please select a BUG ID")</f>
        <v>please select a BUG ID</v>
      </c>
      <c r="D843" s="52"/>
      <c r="E843" s="43"/>
      <c r="F843" s="49"/>
      <c r="G843" s="50"/>
      <c r="H843" s="43"/>
    </row>
    <row r="844">
      <c r="A844" s="43"/>
      <c r="B844" s="38" t="str">
        <f>IFERROR(HYPERLINK(VLOOKUP(A844,Internal_lists_bugs!$A$2:$C$73,3,FALSE()), VLOOKUP(A844,Internal_lists_bugs!$A$2:$C$73,3,FALSE())&amp;Char(10) &amp; Char(10) &amp; VLOOKUP(A844,Internal_lists_bugs!$A$2:$Z$73,26,FALSE())),"please select a BUG ID")</f>
        <v>please select a BUG ID</v>
      </c>
      <c r="C844" s="51" t="str">
        <f>IFERROR(Hyperlink(VLOOKUP(A844,Internal_lists_bugs!$A$2:$G1014,7,FALSE()),"BIC: "&amp;VLOOKUP(A844,Internal_lists_bugs!$A$2:$G1014,7,FALSE())&amp;CHAR(10)&amp;"Intro.Issues: "&amp;VLOOKUP(A844,Internal_lists_bugs!$A$2:$P1014,16,FALSE())),"please select a BUG ID")</f>
        <v>please select a BUG ID</v>
      </c>
      <c r="D844" s="52"/>
      <c r="E844" s="43"/>
      <c r="F844" s="49"/>
      <c r="G844" s="50"/>
      <c r="H844" s="43"/>
    </row>
    <row r="845">
      <c r="A845" s="43"/>
      <c r="B845" s="38" t="str">
        <f>IFERROR(HYPERLINK(VLOOKUP(A845,Internal_lists_bugs!$A$2:$C$73,3,FALSE()), VLOOKUP(A845,Internal_lists_bugs!$A$2:$C$73,3,FALSE())&amp;Char(10) &amp; Char(10) &amp; VLOOKUP(A845,Internal_lists_bugs!$A$2:$Z$73,26,FALSE())),"please select a BUG ID")</f>
        <v>please select a BUG ID</v>
      </c>
      <c r="C845" s="51" t="str">
        <f>IFERROR(Hyperlink(VLOOKUP(A845,Internal_lists_bugs!$A$2:$G1014,7,FALSE()),"BIC: "&amp;VLOOKUP(A845,Internal_lists_bugs!$A$2:$G1014,7,FALSE())&amp;CHAR(10)&amp;"Intro.Issues: "&amp;VLOOKUP(A845,Internal_lists_bugs!$A$2:$P1014,16,FALSE())),"please select a BUG ID")</f>
        <v>please select a BUG ID</v>
      </c>
      <c r="D845" s="52"/>
      <c r="E845" s="43"/>
      <c r="F845" s="49"/>
      <c r="G845" s="50"/>
      <c r="H845" s="43"/>
    </row>
    <row r="846">
      <c r="A846" s="43"/>
      <c r="B846" s="38" t="str">
        <f>IFERROR(HYPERLINK(VLOOKUP(A846,Internal_lists_bugs!$A$2:$C$73,3,FALSE()), VLOOKUP(A846,Internal_lists_bugs!$A$2:$C$73,3,FALSE())&amp;Char(10) &amp; Char(10) &amp; VLOOKUP(A846,Internal_lists_bugs!$A$2:$Z$73,26,FALSE())),"please select a BUG ID")</f>
        <v>please select a BUG ID</v>
      </c>
      <c r="C846" s="51" t="str">
        <f>IFERROR(Hyperlink(VLOOKUP(A846,Internal_lists_bugs!$A$2:$G1014,7,FALSE()),"BIC: "&amp;VLOOKUP(A846,Internal_lists_bugs!$A$2:$G1014,7,FALSE())&amp;CHAR(10)&amp;"Intro.Issues: "&amp;VLOOKUP(A846,Internal_lists_bugs!$A$2:$P1014,16,FALSE())),"please select a BUG ID")</f>
        <v>please select a BUG ID</v>
      </c>
      <c r="D846" s="52"/>
      <c r="E846" s="43"/>
      <c r="F846" s="49"/>
      <c r="G846" s="50"/>
      <c r="H846" s="43"/>
    </row>
    <row r="847">
      <c r="A847" s="43"/>
      <c r="B847" s="38" t="str">
        <f>IFERROR(HYPERLINK(VLOOKUP(A847,Internal_lists_bugs!$A$2:$C$73,3,FALSE()), VLOOKUP(A847,Internal_lists_bugs!$A$2:$C$73,3,FALSE())&amp;Char(10) &amp; Char(10) &amp; VLOOKUP(A847,Internal_lists_bugs!$A$2:$Z$73,26,FALSE())),"please select a BUG ID")</f>
        <v>please select a BUG ID</v>
      </c>
      <c r="C847" s="51" t="str">
        <f>IFERROR(Hyperlink(VLOOKUP(A847,Internal_lists_bugs!$A$2:$G1014,7,FALSE()),"BIC: "&amp;VLOOKUP(A847,Internal_lists_bugs!$A$2:$G1014,7,FALSE())&amp;CHAR(10)&amp;"Intro.Issues: "&amp;VLOOKUP(A847,Internal_lists_bugs!$A$2:$P1014,16,FALSE())),"please select a BUG ID")</f>
        <v>please select a BUG ID</v>
      </c>
      <c r="D847" s="52"/>
      <c r="E847" s="43"/>
      <c r="F847" s="49"/>
      <c r="G847" s="50"/>
      <c r="H847" s="43"/>
    </row>
    <row r="848">
      <c r="A848" s="43"/>
      <c r="B848" s="38" t="str">
        <f>IFERROR(HYPERLINK(VLOOKUP(A848,Internal_lists_bugs!$A$2:$C$73,3,FALSE()), VLOOKUP(A848,Internal_lists_bugs!$A$2:$C$73,3,FALSE())&amp;Char(10) &amp; Char(10) &amp; VLOOKUP(A848,Internal_lists_bugs!$A$2:$Z$73,26,FALSE())),"please select a BUG ID")</f>
        <v>please select a BUG ID</v>
      </c>
      <c r="C848" s="51" t="str">
        <f>IFERROR(Hyperlink(VLOOKUP(A848,Internal_lists_bugs!$A$2:$G1014,7,FALSE()),"BIC: "&amp;VLOOKUP(A848,Internal_lists_bugs!$A$2:$G1014,7,FALSE())&amp;CHAR(10)&amp;"Intro.Issues: "&amp;VLOOKUP(A848,Internal_lists_bugs!$A$2:$P1014,16,FALSE())),"please select a BUG ID")</f>
        <v>please select a BUG ID</v>
      </c>
      <c r="D848" s="52"/>
      <c r="E848" s="43"/>
      <c r="F848" s="49"/>
      <c r="G848" s="50"/>
      <c r="H848" s="43"/>
    </row>
    <row r="849">
      <c r="A849" s="43"/>
      <c r="B849" s="38" t="str">
        <f>IFERROR(HYPERLINK(VLOOKUP(A849,Internal_lists_bugs!$A$2:$C$73,3,FALSE()), VLOOKUP(A849,Internal_lists_bugs!$A$2:$C$73,3,FALSE())&amp;Char(10) &amp; Char(10) &amp; VLOOKUP(A849,Internal_lists_bugs!$A$2:$Z$73,26,FALSE())),"please select a BUG ID")</f>
        <v>please select a BUG ID</v>
      </c>
      <c r="C849" s="51" t="str">
        <f>IFERROR(Hyperlink(VLOOKUP(A849,Internal_lists_bugs!$A$2:$G1014,7,FALSE()),"BIC: "&amp;VLOOKUP(A849,Internal_lists_bugs!$A$2:$G1014,7,FALSE())&amp;CHAR(10)&amp;"Intro.Issues: "&amp;VLOOKUP(A849,Internal_lists_bugs!$A$2:$P1014,16,FALSE())),"please select a BUG ID")</f>
        <v>please select a BUG ID</v>
      </c>
      <c r="D849" s="52"/>
      <c r="E849" s="43"/>
      <c r="F849" s="49"/>
      <c r="G849" s="50"/>
      <c r="H849" s="43"/>
    </row>
    <row r="850">
      <c r="A850" s="43"/>
      <c r="B850" s="38" t="str">
        <f>IFERROR(HYPERLINK(VLOOKUP(A850,Internal_lists_bugs!$A$2:$C$73,3,FALSE()), VLOOKUP(A850,Internal_lists_bugs!$A$2:$C$73,3,FALSE())&amp;Char(10) &amp; Char(10) &amp; VLOOKUP(A850,Internal_lists_bugs!$A$2:$Z$73,26,FALSE())),"please select a BUG ID")</f>
        <v>please select a BUG ID</v>
      </c>
      <c r="C850" s="51" t="str">
        <f>IFERROR(Hyperlink(VLOOKUP(A850,Internal_lists_bugs!$A$2:$G1014,7,FALSE()),"BIC: "&amp;VLOOKUP(A850,Internal_lists_bugs!$A$2:$G1014,7,FALSE())&amp;CHAR(10)&amp;"Intro.Issues: "&amp;VLOOKUP(A850,Internal_lists_bugs!$A$2:$P1014,16,FALSE())),"please select a BUG ID")</f>
        <v>please select a BUG ID</v>
      </c>
      <c r="D850" s="52"/>
      <c r="E850" s="43"/>
      <c r="F850" s="49"/>
      <c r="G850" s="50"/>
      <c r="H850" s="43"/>
    </row>
    <row r="851">
      <c r="A851" s="43"/>
      <c r="B851" s="38" t="str">
        <f>IFERROR(HYPERLINK(VLOOKUP(A851,Internal_lists_bugs!$A$2:$C$73,3,FALSE()), VLOOKUP(A851,Internal_lists_bugs!$A$2:$C$73,3,FALSE())&amp;Char(10) &amp; Char(10) &amp; VLOOKUP(A851,Internal_lists_bugs!$A$2:$Z$73,26,FALSE())),"please select a BUG ID")</f>
        <v>please select a BUG ID</v>
      </c>
      <c r="C851" s="51" t="str">
        <f>IFERROR(Hyperlink(VLOOKUP(A851,Internal_lists_bugs!$A$2:$G1014,7,FALSE()),"BIC: "&amp;VLOOKUP(A851,Internal_lists_bugs!$A$2:$G1014,7,FALSE())&amp;CHAR(10)&amp;"Intro.Issues: "&amp;VLOOKUP(A851,Internal_lists_bugs!$A$2:$P1014,16,FALSE())),"please select a BUG ID")</f>
        <v>please select a BUG ID</v>
      </c>
      <c r="D851" s="52"/>
      <c r="E851" s="43"/>
      <c r="F851" s="49"/>
      <c r="G851" s="50"/>
      <c r="H851" s="43"/>
    </row>
    <row r="852">
      <c r="A852" s="43"/>
      <c r="B852" s="38" t="str">
        <f>IFERROR(HYPERLINK(VLOOKUP(A852,Internal_lists_bugs!$A$2:$C$73,3,FALSE()), VLOOKUP(A852,Internal_lists_bugs!$A$2:$C$73,3,FALSE())&amp;Char(10) &amp; Char(10) &amp; VLOOKUP(A852,Internal_lists_bugs!$A$2:$Z$73,26,FALSE())),"please select a BUG ID")</f>
        <v>please select a BUG ID</v>
      </c>
      <c r="C852" s="51" t="str">
        <f>IFERROR(Hyperlink(VLOOKUP(A852,Internal_lists_bugs!$A$2:$G1014,7,FALSE()),"BIC: "&amp;VLOOKUP(A852,Internal_lists_bugs!$A$2:$G1014,7,FALSE())&amp;CHAR(10)&amp;"Intro.Issues: "&amp;VLOOKUP(A852,Internal_lists_bugs!$A$2:$P1014,16,FALSE())),"please select a BUG ID")</f>
        <v>please select a BUG ID</v>
      </c>
      <c r="D852" s="52"/>
      <c r="E852" s="43"/>
      <c r="F852" s="49"/>
      <c r="G852" s="50"/>
      <c r="H852" s="43"/>
    </row>
    <row r="853">
      <c r="A853" s="43"/>
      <c r="B853" s="38" t="str">
        <f>IFERROR(HYPERLINK(VLOOKUP(A853,Internal_lists_bugs!$A$2:$C$73,3,FALSE()), VLOOKUP(A853,Internal_lists_bugs!$A$2:$C$73,3,FALSE())&amp;Char(10) &amp; Char(10) &amp; VLOOKUP(A853,Internal_lists_bugs!$A$2:$Z$73,26,FALSE())),"please select a BUG ID")</f>
        <v>please select a BUG ID</v>
      </c>
      <c r="C853" s="51" t="str">
        <f>IFERROR(Hyperlink(VLOOKUP(A853,Internal_lists_bugs!$A$2:$G1014,7,FALSE()),"BIC: "&amp;VLOOKUP(A853,Internal_lists_bugs!$A$2:$G1014,7,FALSE())&amp;CHAR(10)&amp;"Intro.Issues: "&amp;VLOOKUP(A853,Internal_lists_bugs!$A$2:$P1014,16,FALSE())),"please select a BUG ID")</f>
        <v>please select a BUG ID</v>
      </c>
      <c r="D853" s="52"/>
      <c r="E853" s="43"/>
      <c r="F853" s="49"/>
      <c r="G853" s="50"/>
      <c r="H853" s="43"/>
    </row>
    <row r="854">
      <c r="A854" s="43"/>
      <c r="B854" s="38" t="str">
        <f>IFERROR(HYPERLINK(VLOOKUP(A854,Internal_lists_bugs!$A$2:$C$73,3,FALSE()), VLOOKUP(A854,Internal_lists_bugs!$A$2:$C$73,3,FALSE())&amp;Char(10) &amp; Char(10) &amp; VLOOKUP(A854,Internal_lists_bugs!$A$2:$Z$73,26,FALSE())),"please select a BUG ID")</f>
        <v>please select a BUG ID</v>
      </c>
      <c r="C854" s="51" t="str">
        <f>IFERROR(Hyperlink(VLOOKUP(A854,Internal_lists_bugs!$A$2:$G1014,7,FALSE()),"BIC: "&amp;VLOOKUP(A854,Internal_lists_bugs!$A$2:$G1014,7,FALSE())&amp;CHAR(10)&amp;"Intro.Issues: "&amp;VLOOKUP(A854,Internal_lists_bugs!$A$2:$P1014,16,FALSE())),"please select a BUG ID")</f>
        <v>please select a BUG ID</v>
      </c>
      <c r="D854" s="52"/>
      <c r="E854" s="43"/>
      <c r="F854" s="49"/>
      <c r="G854" s="50"/>
      <c r="H854" s="43"/>
    </row>
    <row r="855">
      <c r="A855" s="43"/>
      <c r="B855" s="38" t="str">
        <f>IFERROR(HYPERLINK(VLOOKUP(A855,Internal_lists_bugs!$A$2:$C$73,3,FALSE()), VLOOKUP(A855,Internal_lists_bugs!$A$2:$C$73,3,FALSE())&amp;Char(10) &amp; Char(10) &amp; VLOOKUP(A855,Internal_lists_bugs!$A$2:$Z$73,26,FALSE())),"please select a BUG ID")</f>
        <v>please select a BUG ID</v>
      </c>
      <c r="C855" s="51" t="str">
        <f>IFERROR(Hyperlink(VLOOKUP(A855,Internal_lists_bugs!$A$2:$G1014,7,FALSE()),"BIC: "&amp;VLOOKUP(A855,Internal_lists_bugs!$A$2:$G1014,7,FALSE())&amp;CHAR(10)&amp;"Intro.Issues: "&amp;VLOOKUP(A855,Internal_lists_bugs!$A$2:$P1014,16,FALSE())),"please select a BUG ID")</f>
        <v>please select a BUG ID</v>
      </c>
      <c r="D855" s="52"/>
      <c r="E855" s="43"/>
      <c r="F855" s="49"/>
      <c r="G855" s="50"/>
      <c r="H855" s="43"/>
    </row>
    <row r="856">
      <c r="A856" s="43"/>
      <c r="B856" s="38" t="str">
        <f>IFERROR(HYPERLINK(VLOOKUP(A856,Internal_lists_bugs!$A$2:$C$73,3,FALSE()), VLOOKUP(A856,Internal_lists_bugs!$A$2:$C$73,3,FALSE())&amp;Char(10) &amp; Char(10) &amp; VLOOKUP(A856,Internal_lists_bugs!$A$2:$Z$73,26,FALSE())),"please select a BUG ID")</f>
        <v>please select a BUG ID</v>
      </c>
      <c r="C856" s="51" t="str">
        <f>IFERROR(Hyperlink(VLOOKUP(A856,Internal_lists_bugs!$A$2:$G1014,7,FALSE()),"BIC: "&amp;VLOOKUP(A856,Internal_lists_bugs!$A$2:$G1014,7,FALSE())&amp;CHAR(10)&amp;"Intro.Issues: "&amp;VLOOKUP(A856,Internal_lists_bugs!$A$2:$P1014,16,FALSE())),"please select a BUG ID")</f>
        <v>please select a BUG ID</v>
      </c>
      <c r="D856" s="52"/>
      <c r="E856" s="43"/>
      <c r="F856" s="49"/>
      <c r="G856" s="50"/>
      <c r="H856" s="43"/>
    </row>
    <row r="857">
      <c r="A857" s="43"/>
      <c r="B857" s="38" t="str">
        <f>IFERROR(HYPERLINK(VLOOKUP(A857,Internal_lists_bugs!$A$2:$C$73,3,FALSE()), VLOOKUP(A857,Internal_lists_bugs!$A$2:$C$73,3,FALSE())&amp;Char(10) &amp; Char(10) &amp; VLOOKUP(A857,Internal_lists_bugs!$A$2:$Z$73,26,FALSE())),"please select a BUG ID")</f>
        <v>please select a BUG ID</v>
      </c>
      <c r="C857" s="51" t="str">
        <f>IFERROR(Hyperlink(VLOOKUP(A857,Internal_lists_bugs!$A$2:$G1014,7,FALSE()),"BIC: "&amp;VLOOKUP(A857,Internal_lists_bugs!$A$2:$G1014,7,FALSE())&amp;CHAR(10)&amp;"Intro.Issues: "&amp;VLOOKUP(A857,Internal_lists_bugs!$A$2:$P1014,16,FALSE())),"please select a BUG ID")</f>
        <v>please select a BUG ID</v>
      </c>
      <c r="D857" s="52"/>
      <c r="E857" s="43"/>
      <c r="F857" s="49"/>
      <c r="G857" s="50"/>
      <c r="H857" s="43"/>
    </row>
    <row r="858">
      <c r="A858" s="43"/>
      <c r="B858" s="38" t="str">
        <f>IFERROR(HYPERLINK(VLOOKUP(A858,Internal_lists_bugs!$A$2:$C$73,3,FALSE()), VLOOKUP(A858,Internal_lists_bugs!$A$2:$C$73,3,FALSE())&amp;Char(10) &amp; Char(10) &amp; VLOOKUP(A858,Internal_lists_bugs!$A$2:$Z$73,26,FALSE())),"please select a BUG ID")</f>
        <v>please select a BUG ID</v>
      </c>
      <c r="C858" s="51" t="str">
        <f>IFERROR(Hyperlink(VLOOKUP(A858,Internal_lists_bugs!$A$2:$G1014,7,FALSE()),"BIC: "&amp;VLOOKUP(A858,Internal_lists_bugs!$A$2:$G1014,7,FALSE())&amp;CHAR(10)&amp;"Intro.Issues: "&amp;VLOOKUP(A858,Internal_lists_bugs!$A$2:$P1014,16,FALSE())),"please select a BUG ID")</f>
        <v>please select a BUG ID</v>
      </c>
      <c r="D858" s="52"/>
      <c r="E858" s="43"/>
      <c r="F858" s="49"/>
      <c r="G858" s="50"/>
      <c r="H858" s="43"/>
    </row>
    <row r="859">
      <c r="A859" s="43"/>
      <c r="B859" s="38" t="str">
        <f>IFERROR(HYPERLINK(VLOOKUP(A859,Internal_lists_bugs!$A$2:$C$73,3,FALSE()), VLOOKUP(A859,Internal_lists_bugs!$A$2:$C$73,3,FALSE())&amp;Char(10) &amp; Char(10) &amp; VLOOKUP(A859,Internal_lists_bugs!$A$2:$Z$73,26,FALSE())),"please select a BUG ID")</f>
        <v>please select a BUG ID</v>
      </c>
      <c r="C859" s="51" t="str">
        <f>IFERROR(Hyperlink(VLOOKUP(A859,Internal_lists_bugs!$A$2:$G1014,7,FALSE()),"BIC: "&amp;VLOOKUP(A859,Internal_lists_bugs!$A$2:$G1014,7,FALSE())&amp;CHAR(10)&amp;"Intro.Issues: "&amp;VLOOKUP(A859,Internal_lists_bugs!$A$2:$P1014,16,FALSE())),"please select a BUG ID")</f>
        <v>please select a BUG ID</v>
      </c>
      <c r="D859" s="52"/>
      <c r="E859" s="43"/>
      <c r="F859" s="49"/>
      <c r="G859" s="50"/>
      <c r="H859" s="43"/>
    </row>
    <row r="860">
      <c r="A860" s="43"/>
      <c r="B860" s="38" t="str">
        <f>IFERROR(HYPERLINK(VLOOKUP(A860,Internal_lists_bugs!$A$2:$C$73,3,FALSE()), VLOOKUP(A860,Internal_lists_bugs!$A$2:$C$73,3,FALSE())&amp;Char(10) &amp; Char(10) &amp; VLOOKUP(A860,Internal_lists_bugs!$A$2:$Z$73,26,FALSE())),"please select a BUG ID")</f>
        <v>please select a BUG ID</v>
      </c>
      <c r="C860" s="51" t="str">
        <f>IFERROR(Hyperlink(VLOOKUP(A860,Internal_lists_bugs!$A$2:$G1014,7,FALSE()),"BIC: "&amp;VLOOKUP(A860,Internal_lists_bugs!$A$2:$G1014,7,FALSE())&amp;CHAR(10)&amp;"Intro.Issues: "&amp;VLOOKUP(A860,Internal_lists_bugs!$A$2:$P1014,16,FALSE())),"please select a BUG ID")</f>
        <v>please select a BUG ID</v>
      </c>
      <c r="D860" s="52"/>
      <c r="E860" s="43"/>
      <c r="F860" s="49"/>
      <c r="G860" s="50"/>
      <c r="H860" s="43"/>
    </row>
    <row r="861">
      <c r="A861" s="43"/>
      <c r="B861" s="38" t="str">
        <f>IFERROR(HYPERLINK(VLOOKUP(A861,Internal_lists_bugs!$A$2:$C$73,3,FALSE()), VLOOKUP(A861,Internal_lists_bugs!$A$2:$C$73,3,FALSE())&amp;Char(10) &amp; Char(10) &amp; VLOOKUP(A861,Internal_lists_bugs!$A$2:$Z$73,26,FALSE())),"please select a BUG ID")</f>
        <v>please select a BUG ID</v>
      </c>
      <c r="C861" s="51" t="str">
        <f>IFERROR(Hyperlink(VLOOKUP(A861,Internal_lists_bugs!$A$2:$G1014,7,FALSE()),"BIC: "&amp;VLOOKUP(A861,Internal_lists_bugs!$A$2:$G1014,7,FALSE())&amp;CHAR(10)&amp;"Intro.Issues: "&amp;VLOOKUP(A861,Internal_lists_bugs!$A$2:$P1014,16,FALSE())),"please select a BUG ID")</f>
        <v>please select a BUG ID</v>
      </c>
      <c r="D861" s="52"/>
      <c r="E861" s="43"/>
      <c r="F861" s="49"/>
      <c r="G861" s="50"/>
      <c r="H861" s="43"/>
    </row>
    <row r="862">
      <c r="A862" s="43"/>
      <c r="B862" s="38" t="str">
        <f>IFERROR(HYPERLINK(VLOOKUP(A862,Internal_lists_bugs!$A$2:$C$73,3,FALSE()), VLOOKUP(A862,Internal_lists_bugs!$A$2:$C$73,3,FALSE())&amp;Char(10) &amp; Char(10) &amp; VLOOKUP(A862,Internal_lists_bugs!$A$2:$Z$73,26,FALSE())),"please select a BUG ID")</f>
        <v>please select a BUG ID</v>
      </c>
      <c r="C862" s="51" t="str">
        <f>IFERROR(Hyperlink(VLOOKUP(A862,Internal_lists_bugs!$A$2:$G1014,7,FALSE()),"BIC: "&amp;VLOOKUP(A862,Internal_lists_bugs!$A$2:$G1014,7,FALSE())&amp;CHAR(10)&amp;"Intro.Issues: "&amp;VLOOKUP(A862,Internal_lists_bugs!$A$2:$P1014,16,FALSE())),"please select a BUG ID")</f>
        <v>please select a BUG ID</v>
      </c>
      <c r="D862" s="52"/>
      <c r="E862" s="43"/>
      <c r="F862" s="49"/>
      <c r="G862" s="50"/>
      <c r="H862" s="43"/>
    </row>
    <row r="863">
      <c r="A863" s="43"/>
      <c r="B863" s="38" t="str">
        <f>IFERROR(HYPERLINK(VLOOKUP(A863,Internal_lists_bugs!$A$2:$C$73,3,FALSE()), VLOOKUP(A863,Internal_lists_bugs!$A$2:$C$73,3,FALSE())&amp;Char(10) &amp; Char(10) &amp; VLOOKUP(A863,Internal_lists_bugs!$A$2:$Z$73,26,FALSE())),"please select a BUG ID")</f>
        <v>please select a BUG ID</v>
      </c>
      <c r="C863" s="51" t="str">
        <f>IFERROR(Hyperlink(VLOOKUP(A863,Internal_lists_bugs!$A$2:$G1014,7,FALSE()),"BIC: "&amp;VLOOKUP(A863,Internal_lists_bugs!$A$2:$G1014,7,FALSE())&amp;CHAR(10)&amp;"Intro.Issues: "&amp;VLOOKUP(A863,Internal_lists_bugs!$A$2:$P1014,16,FALSE())),"please select a BUG ID")</f>
        <v>please select a BUG ID</v>
      </c>
      <c r="D863" s="52"/>
      <c r="E863" s="43"/>
      <c r="F863" s="49"/>
      <c r="G863" s="50"/>
      <c r="H863" s="43"/>
    </row>
    <row r="864">
      <c r="A864" s="43"/>
      <c r="B864" s="38" t="str">
        <f>IFERROR(HYPERLINK(VLOOKUP(A864,Internal_lists_bugs!$A$2:$C$73,3,FALSE()), VLOOKUP(A864,Internal_lists_bugs!$A$2:$C$73,3,FALSE())&amp;Char(10) &amp; Char(10) &amp; VLOOKUP(A864,Internal_lists_bugs!$A$2:$Z$73,26,FALSE())),"please select a BUG ID")</f>
        <v>please select a BUG ID</v>
      </c>
      <c r="C864" s="51" t="str">
        <f>IFERROR(Hyperlink(VLOOKUP(A864,Internal_lists_bugs!$A$2:$G1014,7,FALSE()),"BIC: "&amp;VLOOKUP(A864,Internal_lists_bugs!$A$2:$G1014,7,FALSE())&amp;CHAR(10)&amp;"Intro.Issues: "&amp;VLOOKUP(A864,Internal_lists_bugs!$A$2:$P1014,16,FALSE())),"please select a BUG ID")</f>
        <v>please select a BUG ID</v>
      </c>
      <c r="D864" s="52"/>
      <c r="E864" s="43"/>
      <c r="F864" s="49"/>
      <c r="G864" s="50"/>
      <c r="H864" s="43"/>
    </row>
    <row r="865">
      <c r="A865" s="43"/>
      <c r="B865" s="38" t="str">
        <f>IFERROR(HYPERLINK(VLOOKUP(A865,Internal_lists_bugs!$A$2:$C$73,3,FALSE()), VLOOKUP(A865,Internal_lists_bugs!$A$2:$C$73,3,FALSE())&amp;Char(10) &amp; Char(10) &amp; VLOOKUP(A865,Internal_lists_bugs!$A$2:$Z$73,26,FALSE())),"please select a BUG ID")</f>
        <v>please select a BUG ID</v>
      </c>
      <c r="C865" s="51" t="str">
        <f>IFERROR(Hyperlink(VLOOKUP(A865,Internal_lists_bugs!$A$2:$G1014,7,FALSE()),"BIC: "&amp;VLOOKUP(A865,Internal_lists_bugs!$A$2:$G1014,7,FALSE())&amp;CHAR(10)&amp;"Intro.Issues: "&amp;VLOOKUP(A865,Internal_lists_bugs!$A$2:$P1014,16,FALSE())),"please select a BUG ID")</f>
        <v>please select a BUG ID</v>
      </c>
      <c r="D865" s="52"/>
      <c r="E865" s="43"/>
      <c r="F865" s="49"/>
      <c r="G865" s="50"/>
      <c r="H865" s="43"/>
    </row>
    <row r="866">
      <c r="A866" s="43"/>
      <c r="B866" s="38" t="str">
        <f>IFERROR(HYPERLINK(VLOOKUP(A866,Internal_lists_bugs!$A$2:$C$73,3,FALSE()), VLOOKUP(A866,Internal_lists_bugs!$A$2:$C$73,3,FALSE())&amp;Char(10) &amp; Char(10) &amp; VLOOKUP(A866,Internal_lists_bugs!$A$2:$Z$73,26,FALSE())),"please select a BUG ID")</f>
        <v>please select a BUG ID</v>
      </c>
      <c r="C866" s="51" t="str">
        <f>IFERROR(Hyperlink(VLOOKUP(A866,Internal_lists_bugs!$A$2:$G1014,7,FALSE()),"BIC: "&amp;VLOOKUP(A866,Internal_lists_bugs!$A$2:$G1014,7,FALSE())&amp;CHAR(10)&amp;"Intro.Issues: "&amp;VLOOKUP(A866,Internal_lists_bugs!$A$2:$P1014,16,FALSE())),"please select a BUG ID")</f>
        <v>please select a BUG ID</v>
      </c>
      <c r="D866" s="52"/>
      <c r="E866" s="43"/>
      <c r="F866" s="49"/>
      <c r="G866" s="50"/>
      <c r="H866" s="43"/>
    </row>
    <row r="867">
      <c r="A867" s="43"/>
      <c r="B867" s="38" t="str">
        <f>IFERROR(HYPERLINK(VLOOKUP(A867,Internal_lists_bugs!$A$2:$C$73,3,FALSE()), VLOOKUP(A867,Internal_lists_bugs!$A$2:$C$73,3,FALSE())&amp;Char(10) &amp; Char(10) &amp; VLOOKUP(A867,Internal_lists_bugs!$A$2:$Z$73,26,FALSE())),"please select a BUG ID")</f>
        <v>please select a BUG ID</v>
      </c>
      <c r="C867" s="51" t="str">
        <f>IFERROR(Hyperlink(VLOOKUP(A867,Internal_lists_bugs!$A$2:$G1014,7,FALSE()),"BIC: "&amp;VLOOKUP(A867,Internal_lists_bugs!$A$2:$G1014,7,FALSE())&amp;CHAR(10)&amp;"Intro.Issues: "&amp;VLOOKUP(A867,Internal_lists_bugs!$A$2:$P1014,16,FALSE())),"please select a BUG ID")</f>
        <v>please select a BUG ID</v>
      </c>
      <c r="D867" s="52"/>
      <c r="E867" s="43"/>
      <c r="F867" s="49"/>
      <c r="G867" s="50"/>
      <c r="H867" s="43"/>
    </row>
    <row r="868">
      <c r="A868" s="43"/>
      <c r="B868" s="38" t="str">
        <f>IFERROR(HYPERLINK(VLOOKUP(A868,Internal_lists_bugs!$A$2:$C$73,3,FALSE()), VLOOKUP(A868,Internal_lists_bugs!$A$2:$C$73,3,FALSE())&amp;Char(10) &amp; Char(10) &amp; VLOOKUP(A868,Internal_lists_bugs!$A$2:$Z$73,26,FALSE())),"please select a BUG ID")</f>
        <v>please select a BUG ID</v>
      </c>
      <c r="C868" s="51" t="str">
        <f>IFERROR(Hyperlink(VLOOKUP(A868,Internal_lists_bugs!$A$2:$G1014,7,FALSE()),"BIC: "&amp;VLOOKUP(A868,Internal_lists_bugs!$A$2:$G1014,7,FALSE())&amp;CHAR(10)&amp;"Intro.Issues: "&amp;VLOOKUP(A868,Internal_lists_bugs!$A$2:$P1014,16,FALSE())),"please select a BUG ID")</f>
        <v>please select a BUG ID</v>
      </c>
      <c r="D868" s="52"/>
      <c r="E868" s="43"/>
      <c r="F868" s="49"/>
      <c r="G868" s="50"/>
      <c r="H868" s="43"/>
    </row>
    <row r="869">
      <c r="A869" s="43"/>
      <c r="B869" s="38" t="str">
        <f>IFERROR(HYPERLINK(VLOOKUP(A869,Internal_lists_bugs!$A$2:$C$73,3,FALSE()), VLOOKUP(A869,Internal_lists_bugs!$A$2:$C$73,3,FALSE())&amp;Char(10) &amp; Char(10) &amp; VLOOKUP(A869,Internal_lists_bugs!$A$2:$Z$73,26,FALSE())),"please select a BUG ID")</f>
        <v>please select a BUG ID</v>
      </c>
      <c r="C869" s="51" t="str">
        <f>IFERROR(Hyperlink(VLOOKUP(A869,Internal_lists_bugs!$A$2:$G1014,7,FALSE()),"BIC: "&amp;VLOOKUP(A869,Internal_lists_bugs!$A$2:$G1014,7,FALSE())&amp;CHAR(10)&amp;"Intro.Issues: "&amp;VLOOKUP(A869,Internal_lists_bugs!$A$2:$P1014,16,FALSE())),"please select a BUG ID")</f>
        <v>please select a BUG ID</v>
      </c>
      <c r="D869" s="52"/>
      <c r="E869" s="43"/>
      <c r="F869" s="49"/>
      <c r="G869" s="50"/>
      <c r="H869" s="43"/>
    </row>
    <row r="870">
      <c r="A870" s="43"/>
      <c r="B870" s="38" t="str">
        <f>IFERROR(HYPERLINK(VLOOKUP(A870,Internal_lists_bugs!$A$2:$C$73,3,FALSE()), VLOOKUP(A870,Internal_lists_bugs!$A$2:$C$73,3,FALSE())&amp;Char(10) &amp; Char(10) &amp; VLOOKUP(A870,Internal_lists_bugs!$A$2:$Z$73,26,FALSE())),"please select a BUG ID")</f>
        <v>please select a BUG ID</v>
      </c>
      <c r="C870" s="51" t="str">
        <f>IFERROR(Hyperlink(VLOOKUP(A870,Internal_lists_bugs!$A$2:$G1014,7,FALSE()),"BIC: "&amp;VLOOKUP(A870,Internal_lists_bugs!$A$2:$G1014,7,FALSE())&amp;CHAR(10)&amp;"Intro.Issues: "&amp;VLOOKUP(A870,Internal_lists_bugs!$A$2:$P1014,16,FALSE())),"please select a BUG ID")</f>
        <v>please select a BUG ID</v>
      </c>
      <c r="D870" s="52"/>
      <c r="E870" s="43"/>
      <c r="F870" s="49"/>
      <c r="G870" s="50"/>
      <c r="H870" s="43"/>
    </row>
    <row r="871">
      <c r="A871" s="43"/>
      <c r="B871" s="38" t="str">
        <f>IFERROR(HYPERLINK(VLOOKUP(A871,Internal_lists_bugs!$A$2:$C$73,3,FALSE()), VLOOKUP(A871,Internal_lists_bugs!$A$2:$C$73,3,FALSE())&amp;Char(10) &amp; Char(10) &amp; VLOOKUP(A871,Internal_lists_bugs!$A$2:$Z$73,26,FALSE())),"please select a BUG ID")</f>
        <v>please select a BUG ID</v>
      </c>
      <c r="C871" s="51" t="str">
        <f>IFERROR(Hyperlink(VLOOKUP(A871,Internal_lists_bugs!$A$2:$G1014,7,FALSE()),"BIC: "&amp;VLOOKUP(A871,Internal_lists_bugs!$A$2:$G1014,7,FALSE())&amp;CHAR(10)&amp;"Intro.Issues: "&amp;VLOOKUP(A871,Internal_lists_bugs!$A$2:$P1014,16,FALSE())),"please select a BUG ID")</f>
        <v>please select a BUG ID</v>
      </c>
      <c r="D871" s="52"/>
      <c r="E871" s="43"/>
      <c r="F871" s="49"/>
      <c r="G871" s="50"/>
      <c r="H871" s="43"/>
    </row>
    <row r="872">
      <c r="A872" s="43"/>
      <c r="B872" s="38" t="str">
        <f>IFERROR(HYPERLINK(VLOOKUP(A872,Internal_lists_bugs!$A$2:$C$73,3,FALSE()), VLOOKUP(A872,Internal_lists_bugs!$A$2:$C$73,3,FALSE())&amp;Char(10) &amp; Char(10) &amp; VLOOKUP(A872,Internal_lists_bugs!$A$2:$Z$73,26,FALSE())),"please select a BUG ID")</f>
        <v>please select a BUG ID</v>
      </c>
      <c r="C872" s="51" t="str">
        <f>IFERROR(Hyperlink(VLOOKUP(A872,Internal_lists_bugs!$A$2:$G1014,7,FALSE()),"BIC: "&amp;VLOOKUP(A872,Internal_lists_bugs!$A$2:$G1014,7,FALSE())&amp;CHAR(10)&amp;"Intro.Issues: "&amp;VLOOKUP(A872,Internal_lists_bugs!$A$2:$P1014,16,FALSE())),"please select a BUG ID")</f>
        <v>please select a BUG ID</v>
      </c>
      <c r="D872" s="52"/>
      <c r="E872" s="43"/>
      <c r="F872" s="49"/>
      <c r="G872" s="50"/>
      <c r="H872" s="43"/>
    </row>
    <row r="873">
      <c r="A873" s="43"/>
      <c r="B873" s="38" t="str">
        <f>IFERROR(HYPERLINK(VLOOKUP(A873,Internal_lists_bugs!$A$2:$C$73,3,FALSE()), VLOOKUP(A873,Internal_lists_bugs!$A$2:$C$73,3,FALSE())&amp;Char(10) &amp; Char(10) &amp; VLOOKUP(A873,Internal_lists_bugs!$A$2:$Z$73,26,FALSE())),"please select a BUG ID")</f>
        <v>please select a BUG ID</v>
      </c>
      <c r="C873" s="51" t="str">
        <f>IFERROR(Hyperlink(VLOOKUP(A873,Internal_lists_bugs!$A$2:$G1014,7,FALSE()),"BIC: "&amp;VLOOKUP(A873,Internal_lists_bugs!$A$2:$G1014,7,FALSE())&amp;CHAR(10)&amp;"Intro.Issues: "&amp;VLOOKUP(A873,Internal_lists_bugs!$A$2:$P1014,16,FALSE())),"please select a BUG ID")</f>
        <v>please select a BUG ID</v>
      </c>
      <c r="D873" s="52"/>
      <c r="E873" s="43"/>
      <c r="F873" s="49"/>
      <c r="G873" s="50"/>
      <c r="H873" s="43"/>
    </row>
    <row r="874">
      <c r="A874" s="43"/>
      <c r="B874" s="38" t="str">
        <f>IFERROR(HYPERLINK(VLOOKUP(A874,Internal_lists_bugs!$A$2:$C$73,3,FALSE()), VLOOKUP(A874,Internal_lists_bugs!$A$2:$C$73,3,FALSE())&amp;Char(10) &amp; Char(10) &amp; VLOOKUP(A874,Internal_lists_bugs!$A$2:$Z$73,26,FALSE())),"please select a BUG ID")</f>
        <v>please select a BUG ID</v>
      </c>
      <c r="C874" s="51" t="str">
        <f>IFERROR(Hyperlink(VLOOKUP(A874,Internal_lists_bugs!$A$2:$G1014,7,FALSE()),"BIC: "&amp;VLOOKUP(A874,Internal_lists_bugs!$A$2:$G1014,7,FALSE())&amp;CHAR(10)&amp;"Intro.Issues: "&amp;VLOOKUP(A874,Internal_lists_bugs!$A$2:$P1014,16,FALSE())),"please select a BUG ID")</f>
        <v>please select a BUG ID</v>
      </c>
      <c r="D874" s="52"/>
      <c r="E874" s="43"/>
      <c r="F874" s="49"/>
      <c r="G874" s="50"/>
      <c r="H874" s="43"/>
    </row>
    <row r="875">
      <c r="A875" s="43"/>
      <c r="B875" s="38" t="str">
        <f>IFERROR(HYPERLINK(VLOOKUP(A875,Internal_lists_bugs!$A$2:$C$73,3,FALSE()), VLOOKUP(A875,Internal_lists_bugs!$A$2:$C$73,3,FALSE())&amp;Char(10) &amp; Char(10) &amp; VLOOKUP(A875,Internal_lists_bugs!$A$2:$Z$73,26,FALSE())),"please select a BUG ID")</f>
        <v>please select a BUG ID</v>
      </c>
      <c r="C875" s="51" t="str">
        <f>IFERROR(Hyperlink(VLOOKUP(A875,Internal_lists_bugs!$A$2:$G1014,7,FALSE()),"BIC: "&amp;VLOOKUP(A875,Internal_lists_bugs!$A$2:$G1014,7,FALSE())&amp;CHAR(10)&amp;"Intro.Issues: "&amp;VLOOKUP(A875,Internal_lists_bugs!$A$2:$P1014,16,FALSE())),"please select a BUG ID")</f>
        <v>please select a BUG ID</v>
      </c>
      <c r="D875" s="52"/>
      <c r="E875" s="43"/>
      <c r="F875" s="49"/>
      <c r="G875" s="50"/>
      <c r="H875" s="43"/>
    </row>
    <row r="876">
      <c r="A876" s="43"/>
      <c r="B876" s="38" t="str">
        <f>IFERROR(HYPERLINK(VLOOKUP(A876,Internal_lists_bugs!$A$2:$C$73,3,FALSE()), VLOOKUP(A876,Internal_lists_bugs!$A$2:$C$73,3,FALSE())&amp;Char(10) &amp; Char(10) &amp; VLOOKUP(A876,Internal_lists_bugs!$A$2:$Z$73,26,FALSE())),"please select a BUG ID")</f>
        <v>please select a BUG ID</v>
      </c>
      <c r="C876" s="51" t="str">
        <f>IFERROR(Hyperlink(VLOOKUP(A876,Internal_lists_bugs!$A$2:$G1014,7,FALSE()),"BIC: "&amp;VLOOKUP(A876,Internal_lists_bugs!$A$2:$G1014,7,FALSE())&amp;CHAR(10)&amp;"Intro.Issues: "&amp;VLOOKUP(A876,Internal_lists_bugs!$A$2:$P1014,16,FALSE())),"please select a BUG ID")</f>
        <v>please select a BUG ID</v>
      </c>
      <c r="D876" s="52"/>
      <c r="E876" s="43"/>
      <c r="F876" s="49"/>
      <c r="G876" s="50"/>
      <c r="H876" s="43"/>
    </row>
    <row r="877">
      <c r="A877" s="43"/>
      <c r="B877" s="38" t="str">
        <f>IFERROR(HYPERLINK(VLOOKUP(A877,Internal_lists_bugs!$A$2:$C$73,3,FALSE()), VLOOKUP(A877,Internal_lists_bugs!$A$2:$C$73,3,FALSE())&amp;Char(10) &amp; Char(10) &amp; VLOOKUP(A877,Internal_lists_bugs!$A$2:$Z$73,26,FALSE())),"please select a BUG ID")</f>
        <v>please select a BUG ID</v>
      </c>
      <c r="C877" s="51" t="str">
        <f>IFERROR(Hyperlink(VLOOKUP(A877,Internal_lists_bugs!$A$2:$G1014,7,FALSE()),"BIC: "&amp;VLOOKUP(A877,Internal_lists_bugs!$A$2:$G1014,7,FALSE())&amp;CHAR(10)&amp;"Intro.Issues: "&amp;VLOOKUP(A877,Internal_lists_bugs!$A$2:$P1014,16,FALSE())),"please select a BUG ID")</f>
        <v>please select a BUG ID</v>
      </c>
      <c r="D877" s="52"/>
      <c r="E877" s="43"/>
      <c r="F877" s="49"/>
      <c r="G877" s="50"/>
      <c r="H877" s="43"/>
    </row>
    <row r="878">
      <c r="A878" s="43"/>
      <c r="B878" s="38" t="str">
        <f>IFERROR(HYPERLINK(VLOOKUP(A878,Internal_lists_bugs!$A$2:$C$73,3,FALSE()), VLOOKUP(A878,Internal_lists_bugs!$A$2:$C$73,3,FALSE())&amp;Char(10) &amp; Char(10) &amp; VLOOKUP(A878,Internal_lists_bugs!$A$2:$Z$73,26,FALSE())),"please select a BUG ID")</f>
        <v>please select a BUG ID</v>
      </c>
      <c r="C878" s="51" t="str">
        <f>IFERROR(Hyperlink(VLOOKUP(A878,Internal_lists_bugs!$A$2:$G1014,7,FALSE()),"BIC: "&amp;VLOOKUP(A878,Internal_lists_bugs!$A$2:$G1014,7,FALSE())&amp;CHAR(10)&amp;"Intro.Issues: "&amp;VLOOKUP(A878,Internal_lists_bugs!$A$2:$P1014,16,FALSE())),"please select a BUG ID")</f>
        <v>please select a BUG ID</v>
      </c>
      <c r="D878" s="52"/>
      <c r="E878" s="43"/>
      <c r="F878" s="49"/>
      <c r="G878" s="50"/>
      <c r="H878" s="43"/>
    </row>
    <row r="879">
      <c r="A879" s="43"/>
      <c r="B879" s="38" t="str">
        <f>IFERROR(HYPERLINK(VLOOKUP(A879,Internal_lists_bugs!$A$2:$C$73,3,FALSE()), VLOOKUP(A879,Internal_lists_bugs!$A$2:$C$73,3,FALSE())&amp;Char(10) &amp; Char(10) &amp; VLOOKUP(A879,Internal_lists_bugs!$A$2:$Z$73,26,FALSE())),"please select a BUG ID")</f>
        <v>please select a BUG ID</v>
      </c>
      <c r="C879" s="51" t="str">
        <f>IFERROR(Hyperlink(VLOOKUP(A879,Internal_lists_bugs!$A$2:$G1014,7,FALSE()),"BIC: "&amp;VLOOKUP(A879,Internal_lists_bugs!$A$2:$G1014,7,FALSE())&amp;CHAR(10)&amp;"Intro.Issues: "&amp;VLOOKUP(A879,Internal_lists_bugs!$A$2:$P1014,16,FALSE())),"please select a BUG ID")</f>
        <v>please select a BUG ID</v>
      </c>
      <c r="D879" s="52"/>
      <c r="E879" s="43"/>
      <c r="F879" s="49"/>
      <c r="G879" s="50"/>
      <c r="H879" s="43"/>
    </row>
    <row r="880">
      <c r="A880" s="43"/>
      <c r="B880" s="38" t="str">
        <f>IFERROR(HYPERLINK(VLOOKUP(A880,Internal_lists_bugs!$A$2:$C$73,3,FALSE()), VLOOKUP(A880,Internal_lists_bugs!$A$2:$C$73,3,FALSE())&amp;Char(10) &amp; Char(10) &amp; VLOOKUP(A880,Internal_lists_bugs!$A$2:$Z$73,26,FALSE())),"please select a BUG ID")</f>
        <v>please select a BUG ID</v>
      </c>
      <c r="C880" s="51" t="str">
        <f>IFERROR(Hyperlink(VLOOKUP(A880,Internal_lists_bugs!$A$2:$G1014,7,FALSE()),"BIC: "&amp;VLOOKUP(A880,Internal_lists_bugs!$A$2:$G1014,7,FALSE())&amp;CHAR(10)&amp;"Intro.Issues: "&amp;VLOOKUP(A880,Internal_lists_bugs!$A$2:$P1014,16,FALSE())),"please select a BUG ID")</f>
        <v>please select a BUG ID</v>
      </c>
      <c r="D880" s="52"/>
      <c r="E880" s="43"/>
      <c r="F880" s="49"/>
      <c r="G880" s="50"/>
      <c r="H880" s="43"/>
    </row>
    <row r="881">
      <c r="A881" s="43"/>
      <c r="B881" s="38" t="str">
        <f>IFERROR(HYPERLINK(VLOOKUP(A881,Internal_lists_bugs!$A$2:$C$73,3,FALSE()), VLOOKUP(A881,Internal_lists_bugs!$A$2:$C$73,3,FALSE())&amp;Char(10) &amp; Char(10) &amp; VLOOKUP(A881,Internal_lists_bugs!$A$2:$Z$73,26,FALSE())),"please select a BUG ID")</f>
        <v>please select a BUG ID</v>
      </c>
      <c r="C881" s="51" t="str">
        <f>IFERROR(Hyperlink(VLOOKUP(A881,Internal_lists_bugs!$A$2:$G1014,7,FALSE()),"BIC: "&amp;VLOOKUP(A881,Internal_lists_bugs!$A$2:$G1014,7,FALSE())&amp;CHAR(10)&amp;"Intro.Issues: "&amp;VLOOKUP(A881,Internal_lists_bugs!$A$2:$P1014,16,FALSE())),"please select a BUG ID")</f>
        <v>please select a BUG ID</v>
      </c>
      <c r="D881" s="52"/>
      <c r="E881" s="43"/>
      <c r="F881" s="49"/>
      <c r="G881" s="50"/>
      <c r="H881" s="43"/>
    </row>
    <row r="882">
      <c r="A882" s="43"/>
      <c r="B882" s="38" t="str">
        <f>IFERROR(HYPERLINK(VLOOKUP(A882,Internal_lists_bugs!$A$2:$C$73,3,FALSE()), VLOOKUP(A882,Internal_lists_bugs!$A$2:$C$73,3,FALSE())&amp;Char(10) &amp; Char(10) &amp; VLOOKUP(A882,Internal_lists_bugs!$A$2:$Z$73,26,FALSE())),"please select a BUG ID")</f>
        <v>please select a BUG ID</v>
      </c>
      <c r="C882" s="51" t="str">
        <f>IFERROR(Hyperlink(VLOOKUP(A882,Internal_lists_bugs!$A$2:$G1014,7,FALSE()),"BIC: "&amp;VLOOKUP(A882,Internal_lists_bugs!$A$2:$G1014,7,FALSE())&amp;CHAR(10)&amp;"Intro.Issues: "&amp;VLOOKUP(A882,Internal_lists_bugs!$A$2:$P1014,16,FALSE())),"please select a BUG ID")</f>
        <v>please select a BUG ID</v>
      </c>
      <c r="D882" s="52"/>
      <c r="E882" s="43"/>
      <c r="F882" s="49"/>
      <c r="G882" s="50"/>
      <c r="H882" s="43"/>
    </row>
    <row r="883">
      <c r="A883" s="43"/>
      <c r="B883" s="38" t="str">
        <f>IFERROR(HYPERLINK(VLOOKUP(A883,Internal_lists_bugs!$A$2:$C$73,3,FALSE()), VLOOKUP(A883,Internal_lists_bugs!$A$2:$C$73,3,FALSE())&amp;Char(10) &amp; Char(10) &amp; VLOOKUP(A883,Internal_lists_bugs!$A$2:$Z$73,26,FALSE())),"please select a BUG ID")</f>
        <v>please select a BUG ID</v>
      </c>
      <c r="C883" s="51" t="str">
        <f>IFERROR(Hyperlink(VLOOKUP(A883,Internal_lists_bugs!$A$2:$G1014,7,FALSE()),"BIC: "&amp;VLOOKUP(A883,Internal_lists_bugs!$A$2:$G1014,7,FALSE())&amp;CHAR(10)&amp;"Intro.Issues: "&amp;VLOOKUP(A883,Internal_lists_bugs!$A$2:$P1014,16,FALSE())),"please select a BUG ID")</f>
        <v>please select a BUG ID</v>
      </c>
      <c r="D883" s="52"/>
      <c r="E883" s="43"/>
      <c r="F883" s="49"/>
      <c r="G883" s="50"/>
      <c r="H883" s="43"/>
    </row>
    <row r="884">
      <c r="A884" s="43"/>
      <c r="B884" s="38" t="str">
        <f>IFERROR(HYPERLINK(VLOOKUP(A884,Internal_lists_bugs!$A$2:$C$73,3,FALSE()), VLOOKUP(A884,Internal_lists_bugs!$A$2:$C$73,3,FALSE())&amp;Char(10) &amp; Char(10) &amp; VLOOKUP(A884,Internal_lists_bugs!$A$2:$Z$73,26,FALSE())),"please select a BUG ID")</f>
        <v>please select a BUG ID</v>
      </c>
      <c r="C884" s="51" t="str">
        <f>IFERROR(Hyperlink(VLOOKUP(A884,Internal_lists_bugs!$A$2:$G1014,7,FALSE()),"BIC: "&amp;VLOOKUP(A884,Internal_lists_bugs!$A$2:$G1014,7,FALSE())&amp;CHAR(10)&amp;"Intro.Issues: "&amp;VLOOKUP(A884,Internal_lists_bugs!$A$2:$P1014,16,FALSE())),"please select a BUG ID")</f>
        <v>please select a BUG ID</v>
      </c>
      <c r="D884" s="52"/>
      <c r="E884" s="43"/>
      <c r="F884" s="49"/>
      <c r="G884" s="50"/>
      <c r="H884" s="43"/>
    </row>
    <row r="885">
      <c r="A885" s="43"/>
      <c r="B885" s="38" t="str">
        <f>IFERROR(HYPERLINK(VLOOKUP(A885,Internal_lists_bugs!$A$2:$C$73,3,FALSE()), VLOOKUP(A885,Internal_lists_bugs!$A$2:$C$73,3,FALSE())&amp;Char(10) &amp; Char(10) &amp; VLOOKUP(A885,Internal_lists_bugs!$A$2:$Z$73,26,FALSE())),"please select a BUG ID")</f>
        <v>please select a BUG ID</v>
      </c>
      <c r="C885" s="51" t="str">
        <f>IFERROR(Hyperlink(VLOOKUP(A885,Internal_lists_bugs!$A$2:$G1014,7,FALSE()),"BIC: "&amp;VLOOKUP(A885,Internal_lists_bugs!$A$2:$G1014,7,FALSE())&amp;CHAR(10)&amp;"Intro.Issues: "&amp;VLOOKUP(A885,Internal_lists_bugs!$A$2:$P1014,16,FALSE())),"please select a BUG ID")</f>
        <v>please select a BUG ID</v>
      </c>
      <c r="D885" s="52"/>
      <c r="E885" s="43"/>
      <c r="F885" s="49"/>
      <c r="G885" s="50"/>
      <c r="H885" s="43"/>
    </row>
    <row r="886">
      <c r="A886" s="43"/>
      <c r="B886" s="38" t="str">
        <f>IFERROR(HYPERLINK(VLOOKUP(A886,Internal_lists_bugs!$A$2:$C$73,3,FALSE()), VLOOKUP(A886,Internal_lists_bugs!$A$2:$C$73,3,FALSE())&amp;Char(10) &amp; Char(10) &amp; VLOOKUP(A886,Internal_lists_bugs!$A$2:$Z$73,26,FALSE())),"please select a BUG ID")</f>
        <v>please select a BUG ID</v>
      </c>
      <c r="C886" s="51" t="str">
        <f>IFERROR(Hyperlink(VLOOKUP(A886,Internal_lists_bugs!$A$2:$G1014,7,FALSE()),"BIC: "&amp;VLOOKUP(A886,Internal_lists_bugs!$A$2:$G1014,7,FALSE())&amp;CHAR(10)&amp;"Intro.Issues: "&amp;VLOOKUP(A886,Internal_lists_bugs!$A$2:$P1014,16,FALSE())),"please select a BUG ID")</f>
        <v>please select a BUG ID</v>
      </c>
      <c r="D886" s="52"/>
      <c r="E886" s="43"/>
      <c r="F886" s="49"/>
      <c r="G886" s="50"/>
      <c r="H886" s="43"/>
    </row>
    <row r="887">
      <c r="A887" s="43"/>
      <c r="B887" s="38" t="str">
        <f>IFERROR(HYPERLINK(VLOOKUP(A887,Internal_lists_bugs!$A$2:$C$73,3,FALSE()), VLOOKUP(A887,Internal_lists_bugs!$A$2:$C$73,3,FALSE())&amp;Char(10) &amp; Char(10) &amp; VLOOKUP(A887,Internal_lists_bugs!$A$2:$Z$73,26,FALSE())),"please select a BUG ID")</f>
        <v>please select a BUG ID</v>
      </c>
      <c r="C887" s="51" t="str">
        <f>IFERROR(Hyperlink(VLOOKUP(A887,Internal_lists_bugs!$A$2:$G1014,7,FALSE()),"BIC: "&amp;VLOOKUP(A887,Internal_lists_bugs!$A$2:$G1014,7,FALSE())&amp;CHAR(10)&amp;"Intro.Issues: "&amp;VLOOKUP(A887,Internal_lists_bugs!$A$2:$P1014,16,FALSE())),"please select a BUG ID")</f>
        <v>please select a BUG ID</v>
      </c>
      <c r="D887" s="52"/>
      <c r="E887" s="43"/>
      <c r="F887" s="49"/>
      <c r="G887" s="50"/>
      <c r="H887" s="43"/>
    </row>
    <row r="888">
      <c r="A888" s="43"/>
      <c r="B888" s="38" t="str">
        <f>IFERROR(HYPERLINK(VLOOKUP(A888,Internal_lists_bugs!$A$2:$C$73,3,FALSE()), VLOOKUP(A888,Internal_lists_bugs!$A$2:$C$73,3,FALSE())&amp;Char(10) &amp; Char(10) &amp; VLOOKUP(A888,Internal_lists_bugs!$A$2:$Z$73,26,FALSE())),"please select a BUG ID")</f>
        <v>please select a BUG ID</v>
      </c>
      <c r="C888" s="51" t="str">
        <f>IFERROR(Hyperlink(VLOOKUP(A888,Internal_lists_bugs!$A$2:$G1014,7,FALSE()),"BIC: "&amp;VLOOKUP(A888,Internal_lists_bugs!$A$2:$G1014,7,FALSE())&amp;CHAR(10)&amp;"Intro.Issues: "&amp;VLOOKUP(A888,Internal_lists_bugs!$A$2:$P1014,16,FALSE())),"please select a BUG ID")</f>
        <v>please select a BUG ID</v>
      </c>
      <c r="D888" s="52"/>
      <c r="E888" s="43"/>
      <c r="F888" s="49"/>
      <c r="G888" s="50"/>
      <c r="H888" s="43"/>
    </row>
    <row r="889">
      <c r="A889" s="43"/>
      <c r="B889" s="38" t="str">
        <f>IFERROR(HYPERLINK(VLOOKUP(A889,Internal_lists_bugs!$A$2:$C$73,3,FALSE()), VLOOKUP(A889,Internal_lists_bugs!$A$2:$C$73,3,FALSE())&amp;Char(10) &amp; Char(10) &amp; VLOOKUP(A889,Internal_lists_bugs!$A$2:$Z$73,26,FALSE())),"please select a BUG ID")</f>
        <v>please select a BUG ID</v>
      </c>
      <c r="C889" s="51" t="str">
        <f>IFERROR(Hyperlink(VLOOKUP(A889,Internal_lists_bugs!$A$2:$G1014,7,FALSE()),"BIC: "&amp;VLOOKUP(A889,Internal_lists_bugs!$A$2:$G1014,7,FALSE())&amp;CHAR(10)&amp;"Intro.Issues: "&amp;VLOOKUP(A889,Internal_lists_bugs!$A$2:$P1014,16,FALSE())),"please select a BUG ID")</f>
        <v>please select a BUG ID</v>
      </c>
      <c r="D889" s="52"/>
      <c r="E889" s="43"/>
      <c r="F889" s="49"/>
      <c r="G889" s="50"/>
      <c r="H889" s="43"/>
    </row>
    <row r="890">
      <c r="A890" s="43"/>
      <c r="B890" s="38" t="str">
        <f>IFERROR(HYPERLINK(VLOOKUP(A890,Internal_lists_bugs!$A$2:$C$73,3,FALSE()), VLOOKUP(A890,Internal_lists_bugs!$A$2:$C$73,3,FALSE())&amp;Char(10) &amp; Char(10) &amp; VLOOKUP(A890,Internal_lists_bugs!$A$2:$Z$73,26,FALSE())),"please select a BUG ID")</f>
        <v>please select a BUG ID</v>
      </c>
      <c r="C890" s="51" t="str">
        <f>IFERROR(Hyperlink(VLOOKUP(A890,Internal_lists_bugs!$A$2:$G1014,7,FALSE()),"BIC: "&amp;VLOOKUP(A890,Internal_lists_bugs!$A$2:$G1014,7,FALSE())&amp;CHAR(10)&amp;"Intro.Issues: "&amp;VLOOKUP(A890,Internal_lists_bugs!$A$2:$P1014,16,FALSE())),"please select a BUG ID")</f>
        <v>please select a BUG ID</v>
      </c>
      <c r="D890" s="52"/>
      <c r="E890" s="43"/>
      <c r="F890" s="49"/>
      <c r="G890" s="50"/>
      <c r="H890" s="43"/>
    </row>
    <row r="891">
      <c r="A891" s="43"/>
      <c r="B891" s="38" t="str">
        <f>IFERROR(HYPERLINK(VLOOKUP(A891,Internal_lists_bugs!$A$2:$C$73,3,FALSE()), VLOOKUP(A891,Internal_lists_bugs!$A$2:$C$73,3,FALSE())&amp;Char(10) &amp; Char(10) &amp; VLOOKUP(A891,Internal_lists_bugs!$A$2:$Z$73,26,FALSE())),"please select a BUG ID")</f>
        <v>please select a BUG ID</v>
      </c>
      <c r="C891" s="51" t="str">
        <f>IFERROR(Hyperlink(VLOOKUP(A891,Internal_lists_bugs!$A$2:$G1014,7,FALSE()),"BIC: "&amp;VLOOKUP(A891,Internal_lists_bugs!$A$2:$G1014,7,FALSE())&amp;CHAR(10)&amp;"Intro.Issues: "&amp;VLOOKUP(A891,Internal_lists_bugs!$A$2:$P1014,16,FALSE())),"please select a BUG ID")</f>
        <v>please select a BUG ID</v>
      </c>
      <c r="D891" s="52"/>
      <c r="E891" s="43"/>
      <c r="F891" s="49"/>
      <c r="G891" s="50"/>
      <c r="H891" s="43"/>
    </row>
    <row r="892">
      <c r="A892" s="43"/>
      <c r="B892" s="38" t="str">
        <f>IFERROR(HYPERLINK(VLOOKUP(A892,Internal_lists_bugs!$A$2:$C$73,3,FALSE()), VLOOKUP(A892,Internal_lists_bugs!$A$2:$C$73,3,FALSE())&amp;Char(10) &amp; Char(10) &amp; VLOOKUP(A892,Internal_lists_bugs!$A$2:$Z$73,26,FALSE())),"please select a BUG ID")</f>
        <v>please select a BUG ID</v>
      </c>
      <c r="C892" s="51" t="str">
        <f>IFERROR(Hyperlink(VLOOKUP(A892,Internal_lists_bugs!$A$2:$G1014,7,FALSE()),"BIC: "&amp;VLOOKUP(A892,Internal_lists_bugs!$A$2:$G1014,7,FALSE())&amp;CHAR(10)&amp;"Intro.Issues: "&amp;VLOOKUP(A892,Internal_lists_bugs!$A$2:$P1014,16,FALSE())),"please select a BUG ID")</f>
        <v>please select a BUG ID</v>
      </c>
      <c r="D892" s="52"/>
      <c r="E892" s="43"/>
      <c r="F892" s="49"/>
      <c r="G892" s="50"/>
      <c r="H892" s="43"/>
    </row>
    <row r="893">
      <c r="A893" s="43"/>
      <c r="B893" s="38" t="str">
        <f>IFERROR(HYPERLINK(VLOOKUP(A893,Internal_lists_bugs!$A$2:$C$73,3,FALSE()), VLOOKUP(A893,Internal_lists_bugs!$A$2:$C$73,3,FALSE())&amp;Char(10) &amp; Char(10) &amp; VLOOKUP(A893,Internal_lists_bugs!$A$2:$Z$73,26,FALSE())),"please select a BUG ID")</f>
        <v>please select a BUG ID</v>
      </c>
      <c r="C893" s="51" t="str">
        <f>IFERROR(Hyperlink(VLOOKUP(A893,Internal_lists_bugs!$A$2:$G1014,7,FALSE()),"BIC: "&amp;VLOOKUP(A893,Internal_lists_bugs!$A$2:$G1014,7,FALSE())&amp;CHAR(10)&amp;"Intro.Issues: "&amp;VLOOKUP(A893,Internal_lists_bugs!$A$2:$P1014,16,FALSE())),"please select a BUG ID")</f>
        <v>please select a BUG ID</v>
      </c>
      <c r="D893" s="52"/>
      <c r="E893" s="43"/>
      <c r="F893" s="49"/>
      <c r="G893" s="50"/>
      <c r="H893" s="43"/>
    </row>
    <row r="894">
      <c r="A894" s="43"/>
      <c r="B894" s="38" t="str">
        <f>IFERROR(HYPERLINK(VLOOKUP(A894,Internal_lists_bugs!$A$2:$C$73,3,FALSE()), VLOOKUP(A894,Internal_lists_bugs!$A$2:$C$73,3,FALSE())&amp;Char(10) &amp; Char(10) &amp; VLOOKUP(A894,Internal_lists_bugs!$A$2:$Z$73,26,FALSE())),"please select a BUG ID")</f>
        <v>please select a BUG ID</v>
      </c>
      <c r="C894" s="51" t="str">
        <f>IFERROR(Hyperlink(VLOOKUP(A894,Internal_lists_bugs!$A$2:$G1014,7,FALSE()),"BIC: "&amp;VLOOKUP(A894,Internal_lists_bugs!$A$2:$G1014,7,FALSE())&amp;CHAR(10)&amp;"Intro.Issues: "&amp;VLOOKUP(A894,Internal_lists_bugs!$A$2:$P1014,16,FALSE())),"please select a BUG ID")</f>
        <v>please select a BUG ID</v>
      </c>
      <c r="D894" s="52"/>
      <c r="E894" s="43"/>
      <c r="F894" s="49"/>
      <c r="G894" s="50"/>
      <c r="H894" s="43"/>
    </row>
    <row r="895">
      <c r="A895" s="43"/>
      <c r="B895" s="38" t="str">
        <f>IFERROR(HYPERLINK(VLOOKUP(A895,Internal_lists_bugs!$A$2:$C$73,3,FALSE()), VLOOKUP(A895,Internal_lists_bugs!$A$2:$C$73,3,FALSE())&amp;Char(10) &amp; Char(10) &amp; VLOOKUP(A895,Internal_lists_bugs!$A$2:$Z$73,26,FALSE())),"please select a BUG ID")</f>
        <v>please select a BUG ID</v>
      </c>
      <c r="C895" s="51" t="str">
        <f>IFERROR(Hyperlink(VLOOKUP(A895,Internal_lists_bugs!$A$2:$G1014,7,FALSE()),"BIC: "&amp;VLOOKUP(A895,Internal_lists_bugs!$A$2:$G1014,7,FALSE())&amp;CHAR(10)&amp;"Intro.Issues: "&amp;VLOOKUP(A895,Internal_lists_bugs!$A$2:$P1014,16,FALSE())),"please select a BUG ID")</f>
        <v>please select a BUG ID</v>
      </c>
      <c r="D895" s="52"/>
      <c r="E895" s="43"/>
      <c r="F895" s="49"/>
      <c r="G895" s="50"/>
      <c r="H895" s="43"/>
    </row>
    <row r="896">
      <c r="A896" s="43"/>
      <c r="B896" s="38" t="str">
        <f>IFERROR(HYPERLINK(VLOOKUP(A896,Internal_lists_bugs!$A$2:$C$73,3,FALSE()), VLOOKUP(A896,Internal_lists_bugs!$A$2:$C$73,3,FALSE())&amp;Char(10) &amp; Char(10) &amp; VLOOKUP(A896,Internal_lists_bugs!$A$2:$Z$73,26,FALSE())),"please select a BUG ID")</f>
        <v>please select a BUG ID</v>
      </c>
      <c r="C896" s="51" t="str">
        <f>IFERROR(Hyperlink(VLOOKUP(A896,Internal_lists_bugs!$A$2:$G1014,7,FALSE()),"BIC: "&amp;VLOOKUP(A896,Internal_lists_bugs!$A$2:$G1014,7,FALSE())&amp;CHAR(10)&amp;"Intro.Issues: "&amp;VLOOKUP(A896,Internal_lists_bugs!$A$2:$P1014,16,FALSE())),"please select a BUG ID")</f>
        <v>please select a BUG ID</v>
      </c>
      <c r="D896" s="52"/>
      <c r="E896" s="43"/>
      <c r="F896" s="49"/>
      <c r="G896" s="50"/>
      <c r="H896" s="43"/>
    </row>
    <row r="897">
      <c r="A897" s="43"/>
      <c r="B897" s="38" t="str">
        <f>IFERROR(HYPERLINK(VLOOKUP(A897,Internal_lists_bugs!$A$2:$C$73,3,FALSE()), VLOOKUP(A897,Internal_lists_bugs!$A$2:$C$73,3,FALSE())&amp;Char(10) &amp; Char(10) &amp; VLOOKUP(A897,Internal_lists_bugs!$A$2:$Z$73,26,FALSE())),"please select a BUG ID")</f>
        <v>please select a BUG ID</v>
      </c>
      <c r="C897" s="51" t="str">
        <f>IFERROR(Hyperlink(VLOOKUP(A897,Internal_lists_bugs!$A$2:$G1014,7,FALSE()),"BIC: "&amp;VLOOKUP(A897,Internal_lists_bugs!$A$2:$G1014,7,FALSE())&amp;CHAR(10)&amp;"Intro.Issues: "&amp;VLOOKUP(A897,Internal_lists_bugs!$A$2:$P1014,16,FALSE())),"please select a BUG ID")</f>
        <v>please select a BUG ID</v>
      </c>
      <c r="D897" s="52"/>
      <c r="E897" s="43"/>
      <c r="F897" s="49"/>
      <c r="G897" s="50"/>
      <c r="H897" s="43"/>
    </row>
    <row r="898">
      <c r="A898" s="43"/>
      <c r="B898" s="38" t="str">
        <f>IFERROR(HYPERLINK(VLOOKUP(A898,Internal_lists_bugs!$A$2:$C$73,3,FALSE()), VLOOKUP(A898,Internal_lists_bugs!$A$2:$C$73,3,FALSE())&amp;Char(10) &amp; Char(10) &amp; VLOOKUP(A898,Internal_lists_bugs!$A$2:$Z$73,26,FALSE())),"please select a BUG ID")</f>
        <v>please select a BUG ID</v>
      </c>
      <c r="C898" s="51" t="str">
        <f>IFERROR(Hyperlink(VLOOKUP(A898,Internal_lists_bugs!$A$2:$G1014,7,FALSE()),"BIC: "&amp;VLOOKUP(A898,Internal_lists_bugs!$A$2:$G1014,7,FALSE())&amp;CHAR(10)&amp;"Intro.Issues: "&amp;VLOOKUP(A898,Internal_lists_bugs!$A$2:$P1014,16,FALSE())),"please select a BUG ID")</f>
        <v>please select a BUG ID</v>
      </c>
      <c r="D898" s="52"/>
      <c r="E898" s="43"/>
      <c r="F898" s="49"/>
      <c r="G898" s="50"/>
      <c r="H898" s="43"/>
    </row>
    <row r="899">
      <c r="A899" s="43"/>
      <c r="B899" s="38" t="str">
        <f>IFERROR(HYPERLINK(VLOOKUP(A899,Internal_lists_bugs!$A$2:$C$73,3,FALSE()), VLOOKUP(A899,Internal_lists_bugs!$A$2:$C$73,3,FALSE())&amp;Char(10) &amp; Char(10) &amp; VLOOKUP(A899,Internal_lists_bugs!$A$2:$Z$73,26,FALSE())),"please select a BUG ID")</f>
        <v>please select a BUG ID</v>
      </c>
      <c r="C899" s="51" t="str">
        <f>IFERROR(Hyperlink(VLOOKUP(A899,Internal_lists_bugs!$A$2:$G1014,7,FALSE()),"BIC: "&amp;VLOOKUP(A899,Internal_lists_bugs!$A$2:$G1014,7,FALSE())&amp;CHAR(10)&amp;"Intro.Issues: "&amp;VLOOKUP(A899,Internal_lists_bugs!$A$2:$P1014,16,FALSE())),"please select a BUG ID")</f>
        <v>please select a BUG ID</v>
      </c>
      <c r="D899" s="52"/>
      <c r="E899" s="43"/>
      <c r="F899" s="49"/>
      <c r="G899" s="50"/>
      <c r="H899" s="43"/>
    </row>
    <row r="900">
      <c r="A900" s="43"/>
      <c r="B900" s="38" t="str">
        <f>IFERROR(HYPERLINK(VLOOKUP(A900,Internal_lists_bugs!$A$2:$C$73,3,FALSE()), VLOOKUP(A900,Internal_lists_bugs!$A$2:$C$73,3,FALSE())&amp;Char(10) &amp; Char(10) &amp; VLOOKUP(A900,Internal_lists_bugs!$A$2:$Z$73,26,FALSE())),"please select a BUG ID")</f>
        <v>please select a BUG ID</v>
      </c>
      <c r="C900" s="51" t="str">
        <f>IFERROR(Hyperlink(VLOOKUP(A900,Internal_lists_bugs!$A$2:$G1014,7,FALSE()),"BIC: "&amp;VLOOKUP(A900,Internal_lists_bugs!$A$2:$G1014,7,FALSE())&amp;CHAR(10)&amp;"Intro.Issues: "&amp;VLOOKUP(A900,Internal_lists_bugs!$A$2:$P1014,16,FALSE())),"please select a BUG ID")</f>
        <v>please select a BUG ID</v>
      </c>
      <c r="D900" s="52"/>
      <c r="E900" s="43"/>
      <c r="F900" s="49"/>
      <c r="G900" s="50"/>
      <c r="H900" s="43"/>
    </row>
    <row r="901">
      <c r="A901" s="43"/>
      <c r="B901" s="38" t="str">
        <f>IFERROR(HYPERLINK(VLOOKUP(A901,Internal_lists_bugs!$A$2:$C$73,3,FALSE()), VLOOKUP(A901,Internal_lists_bugs!$A$2:$C$73,3,FALSE())&amp;Char(10) &amp; Char(10) &amp; VLOOKUP(A901,Internal_lists_bugs!$A$2:$Z$73,26,FALSE())),"please select a BUG ID")</f>
        <v>please select a BUG ID</v>
      </c>
      <c r="C901" s="51" t="str">
        <f>IFERROR(Hyperlink(VLOOKUP(A901,Internal_lists_bugs!$A$2:$G1014,7,FALSE()),"BIC: "&amp;VLOOKUP(A901,Internal_lists_bugs!$A$2:$G1014,7,FALSE())&amp;CHAR(10)&amp;"Intro.Issues: "&amp;VLOOKUP(A901,Internal_lists_bugs!$A$2:$P1014,16,FALSE())),"please select a BUG ID")</f>
        <v>please select a BUG ID</v>
      </c>
      <c r="D901" s="52"/>
      <c r="E901" s="43"/>
      <c r="F901" s="49"/>
      <c r="G901" s="50"/>
      <c r="H901" s="43"/>
    </row>
    <row r="902">
      <c r="A902" s="43"/>
      <c r="B902" s="38" t="str">
        <f>IFERROR(HYPERLINK(VLOOKUP(A902,Internal_lists_bugs!$A$2:$C$73,3,FALSE()), VLOOKUP(A902,Internal_lists_bugs!$A$2:$C$73,3,FALSE())&amp;Char(10) &amp; Char(10) &amp; VLOOKUP(A902,Internal_lists_bugs!$A$2:$Z$73,26,FALSE())),"please select a BUG ID")</f>
        <v>please select a BUG ID</v>
      </c>
      <c r="C902" s="51" t="str">
        <f>IFERROR(Hyperlink(VLOOKUP(A902,Internal_lists_bugs!$A$2:$G1014,7,FALSE()),"BIC: "&amp;VLOOKUP(A902,Internal_lists_bugs!$A$2:$G1014,7,FALSE())&amp;CHAR(10)&amp;"Intro.Issues: "&amp;VLOOKUP(A902,Internal_lists_bugs!$A$2:$P1014,16,FALSE())),"please select a BUG ID")</f>
        <v>please select a BUG ID</v>
      </c>
      <c r="D902" s="52"/>
      <c r="E902" s="43"/>
      <c r="F902" s="49"/>
      <c r="G902" s="50"/>
      <c r="H902" s="43"/>
    </row>
    <row r="903">
      <c r="A903" s="43"/>
      <c r="B903" s="38" t="str">
        <f>IFERROR(HYPERLINK(VLOOKUP(A903,Internal_lists_bugs!$A$2:$C$73,3,FALSE()), VLOOKUP(A903,Internal_lists_bugs!$A$2:$C$73,3,FALSE())&amp;Char(10) &amp; Char(10) &amp; VLOOKUP(A903,Internal_lists_bugs!$A$2:$Z$73,26,FALSE())),"please select a BUG ID")</f>
        <v>please select a BUG ID</v>
      </c>
      <c r="C903" s="51" t="str">
        <f>IFERROR(Hyperlink(VLOOKUP(A903,Internal_lists_bugs!$A$2:$G1014,7,FALSE()),"BIC: "&amp;VLOOKUP(A903,Internal_lists_bugs!$A$2:$G1014,7,FALSE())&amp;CHAR(10)&amp;"Intro.Issues: "&amp;VLOOKUP(A903,Internal_lists_bugs!$A$2:$P1014,16,FALSE())),"please select a BUG ID")</f>
        <v>please select a BUG ID</v>
      </c>
      <c r="D903" s="52"/>
      <c r="E903" s="43"/>
      <c r="F903" s="49"/>
      <c r="G903" s="50"/>
      <c r="H903" s="43"/>
    </row>
    <row r="904">
      <c r="A904" s="43"/>
      <c r="B904" s="38" t="str">
        <f>IFERROR(HYPERLINK(VLOOKUP(A904,Internal_lists_bugs!$A$2:$C$73,3,FALSE()), VLOOKUP(A904,Internal_lists_bugs!$A$2:$C$73,3,FALSE())&amp;Char(10) &amp; Char(10) &amp; VLOOKUP(A904,Internal_lists_bugs!$A$2:$Z$73,26,FALSE())),"please select a BUG ID")</f>
        <v>please select a BUG ID</v>
      </c>
      <c r="C904" s="51" t="str">
        <f>IFERROR(Hyperlink(VLOOKUP(A904,Internal_lists_bugs!$A$2:$G1014,7,FALSE()),"BIC: "&amp;VLOOKUP(A904,Internal_lists_bugs!$A$2:$G1014,7,FALSE())&amp;CHAR(10)&amp;"Intro.Issues: "&amp;VLOOKUP(A904,Internal_lists_bugs!$A$2:$P1014,16,FALSE())),"please select a BUG ID")</f>
        <v>please select a BUG ID</v>
      </c>
      <c r="D904" s="52"/>
      <c r="E904" s="43"/>
      <c r="F904" s="49"/>
      <c r="G904" s="50"/>
      <c r="H904" s="43"/>
    </row>
    <row r="905">
      <c r="A905" s="43"/>
      <c r="B905" s="38" t="str">
        <f>IFERROR(HYPERLINK(VLOOKUP(A905,Internal_lists_bugs!$A$2:$C$73,3,FALSE()), VLOOKUP(A905,Internal_lists_bugs!$A$2:$C$73,3,FALSE())&amp;Char(10) &amp; Char(10) &amp; VLOOKUP(A905,Internal_lists_bugs!$A$2:$Z$73,26,FALSE())),"please select a BUG ID")</f>
        <v>please select a BUG ID</v>
      </c>
      <c r="C905" s="51" t="str">
        <f>IFERROR(Hyperlink(VLOOKUP(A905,Internal_lists_bugs!$A$2:$G1014,7,FALSE()),"BIC: "&amp;VLOOKUP(A905,Internal_lists_bugs!$A$2:$G1014,7,FALSE())&amp;CHAR(10)&amp;"Intro.Issues: "&amp;VLOOKUP(A905,Internal_lists_bugs!$A$2:$P1014,16,FALSE())),"please select a BUG ID")</f>
        <v>please select a BUG ID</v>
      </c>
      <c r="D905" s="52"/>
      <c r="E905" s="43"/>
      <c r="F905" s="49"/>
      <c r="G905" s="50"/>
      <c r="H905" s="43"/>
    </row>
    <row r="906">
      <c r="A906" s="43"/>
      <c r="B906" s="38" t="str">
        <f>IFERROR(HYPERLINK(VLOOKUP(A906,Internal_lists_bugs!$A$2:$C$73,3,FALSE()), VLOOKUP(A906,Internal_lists_bugs!$A$2:$C$73,3,FALSE())&amp;Char(10) &amp; Char(10) &amp; VLOOKUP(A906,Internal_lists_bugs!$A$2:$Z$73,26,FALSE())),"please select a BUG ID")</f>
        <v>please select a BUG ID</v>
      </c>
      <c r="C906" s="51" t="str">
        <f>IFERROR(Hyperlink(VLOOKUP(A906,Internal_lists_bugs!$A$2:$G1014,7,FALSE()),"BIC: "&amp;VLOOKUP(A906,Internal_lists_bugs!$A$2:$G1014,7,FALSE())&amp;CHAR(10)&amp;"Intro.Issues: "&amp;VLOOKUP(A906,Internal_lists_bugs!$A$2:$P1014,16,FALSE())),"please select a BUG ID")</f>
        <v>please select a BUG ID</v>
      </c>
      <c r="D906" s="52"/>
      <c r="E906" s="43"/>
      <c r="F906" s="49"/>
      <c r="G906" s="50"/>
      <c r="H906" s="43"/>
    </row>
    <row r="907">
      <c r="A907" s="43"/>
      <c r="B907" s="38" t="str">
        <f>IFERROR(HYPERLINK(VLOOKUP(A907,Internal_lists_bugs!$A$2:$C$73,3,FALSE()), VLOOKUP(A907,Internal_lists_bugs!$A$2:$C$73,3,FALSE())&amp;Char(10) &amp; Char(10) &amp; VLOOKUP(A907,Internal_lists_bugs!$A$2:$Z$73,26,FALSE())),"please select a BUG ID")</f>
        <v>please select a BUG ID</v>
      </c>
      <c r="C907" s="51" t="str">
        <f>IFERROR(Hyperlink(VLOOKUP(A907,Internal_lists_bugs!$A$2:$G1014,7,FALSE()),"BIC: "&amp;VLOOKUP(A907,Internal_lists_bugs!$A$2:$G1014,7,FALSE())&amp;CHAR(10)&amp;"Intro.Issues: "&amp;VLOOKUP(A907,Internal_lists_bugs!$A$2:$P1014,16,FALSE())),"please select a BUG ID")</f>
        <v>please select a BUG ID</v>
      </c>
      <c r="D907" s="52"/>
      <c r="E907" s="43"/>
      <c r="F907" s="49"/>
      <c r="G907" s="50"/>
      <c r="H907" s="43"/>
    </row>
    <row r="908">
      <c r="A908" s="43"/>
      <c r="B908" s="38" t="str">
        <f>IFERROR(HYPERLINK(VLOOKUP(A908,Internal_lists_bugs!$A$2:$C$73,3,FALSE()), VLOOKUP(A908,Internal_lists_bugs!$A$2:$C$73,3,FALSE())&amp;Char(10) &amp; Char(10) &amp; VLOOKUP(A908,Internal_lists_bugs!$A$2:$Z$73,26,FALSE())),"please select a BUG ID")</f>
        <v>please select a BUG ID</v>
      </c>
      <c r="C908" s="51" t="str">
        <f>IFERROR(Hyperlink(VLOOKUP(A908,Internal_lists_bugs!$A$2:$G1014,7,FALSE()),"BIC: "&amp;VLOOKUP(A908,Internal_lists_bugs!$A$2:$G1014,7,FALSE())&amp;CHAR(10)&amp;"Intro.Issues: "&amp;VLOOKUP(A908,Internal_lists_bugs!$A$2:$P1014,16,FALSE())),"please select a BUG ID")</f>
        <v>please select a BUG ID</v>
      </c>
      <c r="D908" s="52"/>
      <c r="E908" s="43"/>
      <c r="F908" s="49"/>
      <c r="G908" s="50"/>
      <c r="H908" s="43"/>
    </row>
    <row r="909">
      <c r="A909" s="43"/>
      <c r="B909" s="38" t="str">
        <f>IFERROR(HYPERLINK(VLOOKUP(A909,Internal_lists_bugs!$A$2:$C$73,3,FALSE()), VLOOKUP(A909,Internal_lists_bugs!$A$2:$C$73,3,FALSE())&amp;Char(10) &amp; Char(10) &amp; VLOOKUP(A909,Internal_lists_bugs!$A$2:$Z$73,26,FALSE())),"please select a BUG ID")</f>
        <v>please select a BUG ID</v>
      </c>
      <c r="C909" s="51" t="str">
        <f>IFERROR(Hyperlink(VLOOKUP(A909,Internal_lists_bugs!$A$2:$G1014,7,FALSE()),"BIC: "&amp;VLOOKUP(A909,Internal_lists_bugs!$A$2:$G1014,7,FALSE())&amp;CHAR(10)&amp;"Intro.Issues: "&amp;VLOOKUP(A909,Internal_lists_bugs!$A$2:$P1014,16,FALSE())),"please select a BUG ID")</f>
        <v>please select a BUG ID</v>
      </c>
      <c r="D909" s="52"/>
      <c r="E909" s="43"/>
      <c r="F909" s="49"/>
      <c r="G909" s="50"/>
      <c r="H909" s="43"/>
    </row>
    <row r="910">
      <c r="A910" s="43"/>
      <c r="B910" s="38" t="str">
        <f>IFERROR(HYPERLINK(VLOOKUP(A910,Internal_lists_bugs!$A$2:$C$73,3,FALSE()), VLOOKUP(A910,Internal_lists_bugs!$A$2:$C$73,3,FALSE())&amp;Char(10) &amp; Char(10) &amp; VLOOKUP(A910,Internal_lists_bugs!$A$2:$Z$73,26,FALSE())),"please select a BUG ID")</f>
        <v>please select a BUG ID</v>
      </c>
      <c r="C910" s="51" t="str">
        <f>IFERROR(Hyperlink(VLOOKUP(A910,Internal_lists_bugs!$A$2:$G1014,7,FALSE()),"BIC: "&amp;VLOOKUP(A910,Internal_lists_bugs!$A$2:$G1014,7,FALSE())&amp;CHAR(10)&amp;"Intro.Issues: "&amp;VLOOKUP(A910,Internal_lists_bugs!$A$2:$P1014,16,FALSE())),"please select a BUG ID")</f>
        <v>please select a BUG ID</v>
      </c>
      <c r="D910" s="52"/>
      <c r="E910" s="43"/>
      <c r="F910" s="49"/>
      <c r="G910" s="50"/>
      <c r="H910" s="43"/>
    </row>
    <row r="911">
      <c r="A911" s="43"/>
      <c r="B911" s="38" t="str">
        <f>IFERROR(HYPERLINK(VLOOKUP(A911,Internal_lists_bugs!$A$2:$C$73,3,FALSE()), VLOOKUP(A911,Internal_lists_bugs!$A$2:$C$73,3,FALSE())&amp;Char(10) &amp; Char(10) &amp; VLOOKUP(A911,Internal_lists_bugs!$A$2:$Z$73,26,FALSE())),"please select a BUG ID")</f>
        <v>please select a BUG ID</v>
      </c>
      <c r="C911" s="51" t="str">
        <f>IFERROR(Hyperlink(VLOOKUP(A911,Internal_lists_bugs!$A$2:$G1014,7,FALSE()),"BIC: "&amp;VLOOKUP(A911,Internal_lists_bugs!$A$2:$G1014,7,FALSE())&amp;CHAR(10)&amp;"Intro.Issues: "&amp;VLOOKUP(A911,Internal_lists_bugs!$A$2:$P1014,16,FALSE())),"please select a BUG ID")</f>
        <v>please select a BUG ID</v>
      </c>
      <c r="D911" s="52"/>
      <c r="E911" s="43"/>
      <c r="F911" s="49"/>
      <c r="G911" s="50"/>
      <c r="H911" s="43"/>
    </row>
    <row r="912">
      <c r="A912" s="43"/>
      <c r="B912" s="38" t="str">
        <f>IFERROR(HYPERLINK(VLOOKUP(A912,Internal_lists_bugs!$A$2:$C$73,3,FALSE()), VLOOKUP(A912,Internal_lists_bugs!$A$2:$C$73,3,FALSE())&amp;Char(10) &amp; Char(10) &amp; VLOOKUP(A912,Internal_lists_bugs!$A$2:$Z$73,26,FALSE())),"please select a BUG ID")</f>
        <v>please select a BUG ID</v>
      </c>
      <c r="C912" s="51" t="str">
        <f>IFERROR(Hyperlink(VLOOKUP(A912,Internal_lists_bugs!$A$2:$G1014,7,FALSE()),"BIC: "&amp;VLOOKUP(A912,Internal_lists_bugs!$A$2:$G1014,7,FALSE())&amp;CHAR(10)&amp;"Intro.Issues: "&amp;VLOOKUP(A912,Internal_lists_bugs!$A$2:$P1014,16,FALSE())),"please select a BUG ID")</f>
        <v>please select a BUG ID</v>
      </c>
      <c r="D912" s="52"/>
      <c r="E912" s="43"/>
      <c r="F912" s="49"/>
      <c r="G912" s="50"/>
      <c r="H912" s="43"/>
    </row>
    <row r="913">
      <c r="A913" s="43"/>
      <c r="B913" s="38" t="str">
        <f>IFERROR(HYPERLINK(VLOOKUP(A913,Internal_lists_bugs!$A$2:$C$73,3,FALSE()), VLOOKUP(A913,Internal_lists_bugs!$A$2:$C$73,3,FALSE())&amp;Char(10) &amp; Char(10) &amp; VLOOKUP(A913,Internal_lists_bugs!$A$2:$Z$73,26,FALSE())),"please select a BUG ID")</f>
        <v>please select a BUG ID</v>
      </c>
      <c r="C913" s="51" t="str">
        <f>IFERROR(Hyperlink(VLOOKUP(A913,Internal_lists_bugs!$A$2:$G1014,7,FALSE()),"BIC: "&amp;VLOOKUP(A913,Internal_lists_bugs!$A$2:$G1014,7,FALSE())&amp;CHAR(10)&amp;"Intro.Issues: "&amp;VLOOKUP(A913,Internal_lists_bugs!$A$2:$P1014,16,FALSE())),"please select a BUG ID")</f>
        <v>please select a BUG ID</v>
      </c>
      <c r="D913" s="52"/>
      <c r="E913" s="43"/>
      <c r="F913" s="49"/>
      <c r="G913" s="50"/>
      <c r="H913" s="43"/>
    </row>
    <row r="914">
      <c r="A914" s="43"/>
      <c r="B914" s="38" t="str">
        <f>IFERROR(HYPERLINK(VLOOKUP(A914,Internal_lists_bugs!$A$2:$C$73,3,FALSE()), VLOOKUP(A914,Internal_lists_bugs!$A$2:$C$73,3,FALSE())&amp;Char(10) &amp; Char(10) &amp; VLOOKUP(A914,Internal_lists_bugs!$A$2:$Z$73,26,FALSE())),"please select a BUG ID")</f>
        <v>please select a BUG ID</v>
      </c>
      <c r="C914" s="51" t="str">
        <f>IFERROR(Hyperlink(VLOOKUP(A914,Internal_lists_bugs!$A$2:$G1014,7,FALSE()),"BIC: "&amp;VLOOKUP(A914,Internal_lists_bugs!$A$2:$G1014,7,FALSE())&amp;CHAR(10)&amp;"Intro.Issues: "&amp;VLOOKUP(A914,Internal_lists_bugs!$A$2:$P1014,16,FALSE())),"please select a BUG ID")</f>
        <v>please select a BUG ID</v>
      </c>
      <c r="D914" s="52"/>
      <c r="E914" s="43"/>
      <c r="F914" s="49"/>
      <c r="G914" s="50"/>
      <c r="H914" s="43"/>
    </row>
    <row r="915">
      <c r="A915" s="43"/>
      <c r="B915" s="38" t="str">
        <f>IFERROR(HYPERLINK(VLOOKUP(A915,Internal_lists_bugs!$A$2:$C$73,3,FALSE()), VLOOKUP(A915,Internal_lists_bugs!$A$2:$C$73,3,FALSE())&amp;Char(10) &amp; Char(10) &amp; VLOOKUP(A915,Internal_lists_bugs!$A$2:$Z$73,26,FALSE())),"please select a BUG ID")</f>
        <v>please select a BUG ID</v>
      </c>
      <c r="C915" s="51" t="str">
        <f>IFERROR(Hyperlink(VLOOKUP(A915,Internal_lists_bugs!$A$2:$G1014,7,FALSE()),"BIC: "&amp;VLOOKUP(A915,Internal_lists_bugs!$A$2:$G1014,7,FALSE())&amp;CHAR(10)&amp;"Intro.Issues: "&amp;VLOOKUP(A915,Internal_lists_bugs!$A$2:$P1014,16,FALSE())),"please select a BUG ID")</f>
        <v>please select a BUG ID</v>
      </c>
      <c r="D915" s="52"/>
      <c r="E915" s="43"/>
      <c r="F915" s="49"/>
      <c r="G915" s="50"/>
      <c r="H915" s="43"/>
    </row>
    <row r="916">
      <c r="A916" s="43"/>
      <c r="B916" s="38" t="str">
        <f>IFERROR(HYPERLINK(VLOOKUP(A916,Internal_lists_bugs!$A$2:$C$73,3,FALSE()), VLOOKUP(A916,Internal_lists_bugs!$A$2:$C$73,3,FALSE())&amp;Char(10) &amp; Char(10) &amp; VLOOKUP(A916,Internal_lists_bugs!$A$2:$Z$73,26,FALSE())),"please select a BUG ID")</f>
        <v>please select a BUG ID</v>
      </c>
      <c r="C916" s="51" t="str">
        <f>IFERROR(Hyperlink(VLOOKUP(A916,Internal_lists_bugs!$A$2:$G1014,7,FALSE()),"BIC: "&amp;VLOOKUP(A916,Internal_lists_bugs!$A$2:$G1014,7,FALSE())&amp;CHAR(10)&amp;"Intro.Issues: "&amp;VLOOKUP(A916,Internal_lists_bugs!$A$2:$P1014,16,FALSE())),"please select a BUG ID")</f>
        <v>please select a BUG ID</v>
      </c>
      <c r="D916" s="52"/>
      <c r="E916" s="43"/>
      <c r="F916" s="49"/>
      <c r="G916" s="50"/>
      <c r="H916" s="43"/>
    </row>
    <row r="917">
      <c r="A917" s="43"/>
      <c r="B917" s="38" t="str">
        <f>IFERROR(HYPERLINK(VLOOKUP(A917,Internal_lists_bugs!$A$2:$C$73,3,FALSE()), VLOOKUP(A917,Internal_lists_bugs!$A$2:$C$73,3,FALSE())&amp;Char(10) &amp; Char(10) &amp; VLOOKUP(A917,Internal_lists_bugs!$A$2:$Z$73,26,FALSE())),"please select a BUG ID")</f>
        <v>please select a BUG ID</v>
      </c>
      <c r="C917" s="51" t="str">
        <f>IFERROR(Hyperlink(VLOOKUP(A917,Internal_lists_bugs!$A$2:$G1014,7,FALSE()),"BIC: "&amp;VLOOKUP(A917,Internal_lists_bugs!$A$2:$G1014,7,FALSE())&amp;CHAR(10)&amp;"Intro.Issues: "&amp;VLOOKUP(A917,Internal_lists_bugs!$A$2:$P1014,16,FALSE())),"please select a BUG ID")</f>
        <v>please select a BUG ID</v>
      </c>
      <c r="D917" s="52"/>
      <c r="E917" s="43"/>
      <c r="F917" s="49"/>
      <c r="G917" s="50"/>
      <c r="H917" s="43"/>
    </row>
    <row r="918">
      <c r="A918" s="43"/>
      <c r="B918" s="38" t="str">
        <f>IFERROR(HYPERLINK(VLOOKUP(A918,Internal_lists_bugs!$A$2:$C$73,3,FALSE()), VLOOKUP(A918,Internal_lists_bugs!$A$2:$C$73,3,FALSE())&amp;Char(10) &amp; Char(10) &amp; VLOOKUP(A918,Internal_lists_bugs!$A$2:$Z$73,26,FALSE())),"please select a BUG ID")</f>
        <v>please select a BUG ID</v>
      </c>
      <c r="C918" s="51" t="str">
        <f>IFERROR(Hyperlink(VLOOKUP(A918,Internal_lists_bugs!$A$2:$G1014,7,FALSE()),"BIC: "&amp;VLOOKUP(A918,Internal_lists_bugs!$A$2:$G1014,7,FALSE())&amp;CHAR(10)&amp;"Intro.Issues: "&amp;VLOOKUP(A918,Internal_lists_bugs!$A$2:$P1014,16,FALSE())),"please select a BUG ID")</f>
        <v>please select a BUG ID</v>
      </c>
      <c r="D918" s="52"/>
      <c r="E918" s="43"/>
      <c r="F918" s="49"/>
      <c r="G918" s="50"/>
      <c r="H918" s="43"/>
    </row>
    <row r="919">
      <c r="A919" s="43"/>
      <c r="B919" s="38" t="str">
        <f>IFERROR(HYPERLINK(VLOOKUP(A919,Internal_lists_bugs!$A$2:$C$73,3,FALSE()), VLOOKUP(A919,Internal_lists_bugs!$A$2:$C$73,3,FALSE())&amp;Char(10) &amp; Char(10) &amp; VLOOKUP(A919,Internal_lists_bugs!$A$2:$Z$73,26,FALSE())),"please select a BUG ID")</f>
        <v>please select a BUG ID</v>
      </c>
      <c r="C919" s="51" t="str">
        <f>IFERROR(Hyperlink(VLOOKUP(A919,Internal_lists_bugs!$A$2:$G1014,7,FALSE()),"BIC: "&amp;VLOOKUP(A919,Internal_lists_bugs!$A$2:$G1014,7,FALSE())&amp;CHAR(10)&amp;"Intro.Issues: "&amp;VLOOKUP(A919,Internal_lists_bugs!$A$2:$P1014,16,FALSE())),"please select a BUG ID")</f>
        <v>please select a BUG ID</v>
      </c>
      <c r="D919" s="52"/>
      <c r="E919" s="43"/>
      <c r="F919" s="49"/>
      <c r="G919" s="50"/>
      <c r="H919" s="43"/>
    </row>
    <row r="920">
      <c r="A920" s="43"/>
      <c r="B920" s="38" t="str">
        <f>IFERROR(HYPERLINK(VLOOKUP(A920,Internal_lists_bugs!$A$2:$C$73,3,FALSE()), VLOOKUP(A920,Internal_lists_bugs!$A$2:$C$73,3,FALSE())&amp;Char(10) &amp; Char(10) &amp; VLOOKUP(A920,Internal_lists_bugs!$A$2:$Z$73,26,FALSE())),"please select a BUG ID")</f>
        <v>please select a BUG ID</v>
      </c>
      <c r="C920" s="51" t="str">
        <f>IFERROR(Hyperlink(VLOOKUP(A920,Internal_lists_bugs!$A$2:$G1014,7,FALSE()),"BIC: "&amp;VLOOKUP(A920,Internal_lists_bugs!$A$2:$G1014,7,FALSE())&amp;CHAR(10)&amp;"Intro.Issues: "&amp;VLOOKUP(A920,Internal_lists_bugs!$A$2:$P1014,16,FALSE())),"please select a BUG ID")</f>
        <v>please select a BUG ID</v>
      </c>
      <c r="D920" s="52"/>
      <c r="E920" s="43"/>
      <c r="F920" s="49"/>
      <c r="G920" s="50"/>
      <c r="H920" s="43"/>
    </row>
    <row r="921">
      <c r="A921" s="43"/>
      <c r="B921" s="38" t="str">
        <f>IFERROR(HYPERLINK(VLOOKUP(A921,Internal_lists_bugs!$A$2:$C$73,3,FALSE()), VLOOKUP(A921,Internal_lists_bugs!$A$2:$C$73,3,FALSE())&amp;Char(10) &amp; Char(10) &amp; VLOOKUP(A921,Internal_lists_bugs!$A$2:$Z$73,26,FALSE())),"please select a BUG ID")</f>
        <v>please select a BUG ID</v>
      </c>
      <c r="C921" s="51" t="str">
        <f>IFERROR(Hyperlink(VLOOKUP(A921,Internal_lists_bugs!$A$2:$G1014,7,FALSE()),"BIC: "&amp;VLOOKUP(A921,Internal_lists_bugs!$A$2:$G1014,7,FALSE())&amp;CHAR(10)&amp;"Intro.Issues: "&amp;VLOOKUP(A921,Internal_lists_bugs!$A$2:$P1014,16,FALSE())),"please select a BUG ID")</f>
        <v>please select a BUG ID</v>
      </c>
      <c r="D921" s="52"/>
      <c r="E921" s="43"/>
      <c r="F921" s="49"/>
      <c r="G921" s="50"/>
      <c r="H921" s="43"/>
    </row>
    <row r="922">
      <c r="A922" s="43"/>
      <c r="B922" s="38" t="str">
        <f>IFERROR(HYPERLINK(VLOOKUP(A922,Internal_lists_bugs!$A$2:$C$73,3,FALSE()), VLOOKUP(A922,Internal_lists_bugs!$A$2:$C$73,3,FALSE())&amp;Char(10) &amp; Char(10) &amp; VLOOKUP(A922,Internal_lists_bugs!$A$2:$Z$73,26,FALSE())),"please select a BUG ID")</f>
        <v>please select a BUG ID</v>
      </c>
      <c r="C922" s="51" t="str">
        <f>IFERROR(Hyperlink(VLOOKUP(A922,Internal_lists_bugs!$A$2:$G1014,7,FALSE()),"BIC: "&amp;VLOOKUP(A922,Internal_lists_bugs!$A$2:$G1014,7,FALSE())&amp;CHAR(10)&amp;"Intro.Issues: "&amp;VLOOKUP(A922,Internal_lists_bugs!$A$2:$P1014,16,FALSE())),"please select a BUG ID")</f>
        <v>please select a BUG ID</v>
      </c>
      <c r="D922" s="52"/>
      <c r="E922" s="43"/>
      <c r="F922" s="49"/>
      <c r="G922" s="50"/>
      <c r="H922" s="43"/>
    </row>
    <row r="923">
      <c r="A923" s="43"/>
      <c r="B923" s="38" t="str">
        <f>IFERROR(HYPERLINK(VLOOKUP(A923,Internal_lists_bugs!$A$2:$C$73,3,FALSE()), VLOOKUP(A923,Internal_lists_bugs!$A$2:$C$73,3,FALSE())&amp;Char(10) &amp; Char(10) &amp; VLOOKUP(A923,Internal_lists_bugs!$A$2:$Z$73,26,FALSE())),"please select a BUG ID")</f>
        <v>please select a BUG ID</v>
      </c>
      <c r="C923" s="51" t="str">
        <f>IFERROR(Hyperlink(VLOOKUP(A923,Internal_lists_bugs!$A$2:$G1014,7,FALSE()),"BIC: "&amp;VLOOKUP(A923,Internal_lists_bugs!$A$2:$G1014,7,FALSE())&amp;CHAR(10)&amp;"Intro.Issues: "&amp;VLOOKUP(A923,Internal_lists_bugs!$A$2:$P1014,16,FALSE())),"please select a BUG ID")</f>
        <v>please select a BUG ID</v>
      </c>
      <c r="D923" s="52"/>
      <c r="E923" s="43"/>
      <c r="F923" s="49"/>
      <c r="G923" s="50"/>
      <c r="H923" s="43"/>
    </row>
    <row r="924">
      <c r="A924" s="43"/>
      <c r="B924" s="38" t="str">
        <f>IFERROR(HYPERLINK(VLOOKUP(A924,Internal_lists_bugs!$A$2:$C$73,3,FALSE()), VLOOKUP(A924,Internal_lists_bugs!$A$2:$C$73,3,FALSE())&amp;Char(10) &amp; Char(10) &amp; VLOOKUP(A924,Internal_lists_bugs!$A$2:$Z$73,26,FALSE())),"please select a BUG ID")</f>
        <v>please select a BUG ID</v>
      </c>
      <c r="C924" s="51" t="str">
        <f>IFERROR(Hyperlink(VLOOKUP(A924,Internal_lists_bugs!$A$2:$G1014,7,FALSE()),"BIC: "&amp;VLOOKUP(A924,Internal_lists_bugs!$A$2:$G1014,7,FALSE())&amp;CHAR(10)&amp;"Intro.Issues: "&amp;VLOOKUP(A924,Internal_lists_bugs!$A$2:$P1014,16,FALSE())),"please select a BUG ID")</f>
        <v>please select a BUG ID</v>
      </c>
      <c r="D924" s="52"/>
      <c r="E924" s="43"/>
      <c r="F924" s="49"/>
      <c r="G924" s="50"/>
      <c r="H924" s="43"/>
    </row>
    <row r="925">
      <c r="A925" s="43"/>
      <c r="B925" s="38" t="str">
        <f>IFERROR(HYPERLINK(VLOOKUP(A925,Internal_lists_bugs!$A$2:$C$73,3,FALSE()), VLOOKUP(A925,Internal_lists_bugs!$A$2:$C$73,3,FALSE())&amp;Char(10) &amp; Char(10) &amp; VLOOKUP(A925,Internal_lists_bugs!$A$2:$Z$73,26,FALSE())),"please select a BUG ID")</f>
        <v>please select a BUG ID</v>
      </c>
      <c r="C925" s="51" t="str">
        <f>IFERROR(Hyperlink(VLOOKUP(A925,Internal_lists_bugs!$A$2:$G1014,7,FALSE()),"BIC: "&amp;VLOOKUP(A925,Internal_lists_bugs!$A$2:$G1014,7,FALSE())&amp;CHAR(10)&amp;"Intro.Issues: "&amp;VLOOKUP(A925,Internal_lists_bugs!$A$2:$P1014,16,FALSE())),"please select a BUG ID")</f>
        <v>please select a BUG ID</v>
      </c>
      <c r="D925" s="52"/>
      <c r="E925" s="43"/>
      <c r="F925" s="49"/>
      <c r="G925" s="50"/>
      <c r="H925" s="43"/>
    </row>
    <row r="926">
      <c r="A926" s="43"/>
      <c r="B926" s="38" t="str">
        <f>IFERROR(HYPERLINK(VLOOKUP(A926,Internal_lists_bugs!$A$2:$C$73,3,FALSE()), VLOOKUP(A926,Internal_lists_bugs!$A$2:$C$73,3,FALSE())&amp;Char(10) &amp; Char(10) &amp; VLOOKUP(A926,Internal_lists_bugs!$A$2:$Z$73,26,FALSE())),"please select a BUG ID")</f>
        <v>please select a BUG ID</v>
      </c>
      <c r="C926" s="51" t="str">
        <f>IFERROR(Hyperlink(VLOOKUP(A926,Internal_lists_bugs!$A$2:$G1014,7,FALSE()),"BIC: "&amp;VLOOKUP(A926,Internal_lists_bugs!$A$2:$G1014,7,FALSE())&amp;CHAR(10)&amp;"Intro.Issues: "&amp;VLOOKUP(A926,Internal_lists_bugs!$A$2:$P1014,16,FALSE())),"please select a BUG ID")</f>
        <v>please select a BUG ID</v>
      </c>
      <c r="D926" s="52"/>
      <c r="E926" s="43"/>
      <c r="F926" s="49"/>
      <c r="G926" s="50"/>
      <c r="H926" s="43"/>
    </row>
    <row r="927">
      <c r="A927" s="43"/>
      <c r="B927" s="38" t="str">
        <f>IFERROR(HYPERLINK(VLOOKUP(A927,Internal_lists_bugs!$A$2:$C$73,3,FALSE()), VLOOKUP(A927,Internal_lists_bugs!$A$2:$C$73,3,FALSE())&amp;Char(10) &amp; Char(10) &amp; VLOOKUP(A927,Internal_lists_bugs!$A$2:$Z$73,26,FALSE())),"please select a BUG ID")</f>
        <v>please select a BUG ID</v>
      </c>
      <c r="C927" s="51" t="str">
        <f>IFERROR(Hyperlink(VLOOKUP(A927,Internal_lists_bugs!$A$2:$G1014,7,FALSE()),"BIC: "&amp;VLOOKUP(A927,Internal_lists_bugs!$A$2:$G1014,7,FALSE())&amp;CHAR(10)&amp;"Intro.Issues: "&amp;VLOOKUP(A927,Internal_lists_bugs!$A$2:$P1014,16,FALSE())),"please select a BUG ID")</f>
        <v>please select a BUG ID</v>
      </c>
      <c r="D927" s="52"/>
      <c r="E927" s="43"/>
      <c r="F927" s="49"/>
      <c r="G927" s="50"/>
      <c r="H927" s="43"/>
    </row>
    <row r="928">
      <c r="A928" s="43"/>
      <c r="B928" s="38" t="str">
        <f>IFERROR(HYPERLINK(VLOOKUP(A928,Internal_lists_bugs!$A$2:$C$73,3,FALSE()), VLOOKUP(A928,Internal_lists_bugs!$A$2:$C$73,3,FALSE())&amp;Char(10) &amp; Char(10) &amp; VLOOKUP(A928,Internal_lists_bugs!$A$2:$Z$73,26,FALSE())),"please select a BUG ID")</f>
        <v>please select a BUG ID</v>
      </c>
      <c r="C928" s="51" t="str">
        <f>IFERROR(Hyperlink(VLOOKUP(A928,Internal_lists_bugs!$A$2:$G1014,7,FALSE()),"BIC: "&amp;VLOOKUP(A928,Internal_lists_bugs!$A$2:$G1014,7,FALSE())&amp;CHAR(10)&amp;"Intro.Issues: "&amp;VLOOKUP(A928,Internal_lists_bugs!$A$2:$P1014,16,FALSE())),"please select a BUG ID")</f>
        <v>please select a BUG ID</v>
      </c>
      <c r="D928" s="52"/>
      <c r="E928" s="43"/>
      <c r="F928" s="49"/>
      <c r="G928" s="50"/>
      <c r="H928" s="43"/>
    </row>
    <row r="929">
      <c r="A929" s="43"/>
      <c r="B929" s="38" t="str">
        <f>IFERROR(HYPERLINK(VLOOKUP(A929,Internal_lists_bugs!$A$2:$C$73,3,FALSE()), VLOOKUP(A929,Internal_lists_bugs!$A$2:$C$73,3,FALSE())&amp;Char(10) &amp; Char(10) &amp; VLOOKUP(A929,Internal_lists_bugs!$A$2:$Z$73,26,FALSE())),"please select a BUG ID")</f>
        <v>please select a BUG ID</v>
      </c>
      <c r="C929" s="51" t="str">
        <f>IFERROR(Hyperlink(VLOOKUP(A929,Internal_lists_bugs!$A$2:$G1014,7,FALSE()),"BIC: "&amp;VLOOKUP(A929,Internal_lists_bugs!$A$2:$G1014,7,FALSE())&amp;CHAR(10)&amp;"Intro.Issues: "&amp;VLOOKUP(A929,Internal_lists_bugs!$A$2:$P1014,16,FALSE())),"please select a BUG ID")</f>
        <v>please select a BUG ID</v>
      </c>
      <c r="D929" s="52"/>
      <c r="E929" s="43"/>
      <c r="F929" s="49"/>
      <c r="G929" s="50"/>
      <c r="H929" s="43"/>
    </row>
    <row r="930">
      <c r="A930" s="43"/>
      <c r="B930" s="38" t="str">
        <f>IFERROR(HYPERLINK(VLOOKUP(A930,Internal_lists_bugs!$A$2:$C$73,3,FALSE()), VLOOKUP(A930,Internal_lists_bugs!$A$2:$C$73,3,FALSE())&amp;Char(10) &amp; Char(10) &amp; VLOOKUP(A930,Internal_lists_bugs!$A$2:$Z$73,26,FALSE())),"please select a BUG ID")</f>
        <v>please select a BUG ID</v>
      </c>
      <c r="C930" s="51" t="str">
        <f>IFERROR(Hyperlink(VLOOKUP(A930,Internal_lists_bugs!$A$2:$G1014,7,FALSE()),"BIC: "&amp;VLOOKUP(A930,Internal_lists_bugs!$A$2:$G1014,7,FALSE())&amp;CHAR(10)&amp;"Intro.Issues: "&amp;VLOOKUP(A930,Internal_lists_bugs!$A$2:$P1014,16,FALSE())),"please select a BUG ID")</f>
        <v>please select a BUG ID</v>
      </c>
      <c r="D930" s="52"/>
      <c r="E930" s="43"/>
      <c r="F930" s="49"/>
      <c r="G930" s="50"/>
      <c r="H930" s="43"/>
    </row>
    <row r="931">
      <c r="A931" s="43"/>
      <c r="B931" s="38" t="str">
        <f>IFERROR(HYPERLINK(VLOOKUP(A931,Internal_lists_bugs!$A$2:$C$73,3,FALSE()), VLOOKUP(A931,Internal_lists_bugs!$A$2:$C$73,3,FALSE())&amp;Char(10) &amp; Char(10) &amp; VLOOKUP(A931,Internal_lists_bugs!$A$2:$Z$73,26,FALSE())),"please select a BUG ID")</f>
        <v>please select a BUG ID</v>
      </c>
      <c r="C931" s="51" t="str">
        <f>IFERROR(Hyperlink(VLOOKUP(A931,Internal_lists_bugs!$A$2:$G1014,7,FALSE()),"BIC: "&amp;VLOOKUP(A931,Internal_lists_bugs!$A$2:$G1014,7,FALSE())&amp;CHAR(10)&amp;"Intro.Issues: "&amp;VLOOKUP(A931,Internal_lists_bugs!$A$2:$P1014,16,FALSE())),"please select a BUG ID")</f>
        <v>please select a BUG ID</v>
      </c>
      <c r="D931" s="52"/>
      <c r="E931" s="43"/>
      <c r="F931" s="49"/>
      <c r="G931" s="50"/>
      <c r="H931" s="43"/>
    </row>
    <row r="932">
      <c r="A932" s="43"/>
      <c r="B932" s="38" t="str">
        <f>IFERROR(HYPERLINK(VLOOKUP(A932,Internal_lists_bugs!$A$2:$C$73,3,FALSE()), VLOOKUP(A932,Internal_lists_bugs!$A$2:$C$73,3,FALSE())&amp;Char(10) &amp; Char(10) &amp; VLOOKUP(A932,Internal_lists_bugs!$A$2:$Z$73,26,FALSE())),"please select a BUG ID")</f>
        <v>please select a BUG ID</v>
      </c>
      <c r="C932" s="51" t="str">
        <f>IFERROR(Hyperlink(VLOOKUP(A932,Internal_lists_bugs!$A$2:$G1014,7,FALSE()),"BIC: "&amp;VLOOKUP(A932,Internal_lists_bugs!$A$2:$G1014,7,FALSE())&amp;CHAR(10)&amp;"Intro.Issues: "&amp;VLOOKUP(A932,Internal_lists_bugs!$A$2:$P1014,16,FALSE())),"please select a BUG ID")</f>
        <v>please select a BUG ID</v>
      </c>
      <c r="D932" s="52"/>
      <c r="E932" s="43"/>
      <c r="F932" s="49"/>
      <c r="G932" s="50"/>
      <c r="H932" s="43"/>
    </row>
    <row r="933">
      <c r="A933" s="43"/>
      <c r="B933" s="38" t="str">
        <f>IFERROR(HYPERLINK(VLOOKUP(A933,Internal_lists_bugs!$A$2:$C$73,3,FALSE()), VLOOKUP(A933,Internal_lists_bugs!$A$2:$C$73,3,FALSE())&amp;Char(10) &amp; Char(10) &amp; VLOOKUP(A933,Internal_lists_bugs!$A$2:$Z$73,26,FALSE())),"please select a BUG ID")</f>
        <v>please select a BUG ID</v>
      </c>
      <c r="C933" s="51" t="str">
        <f>IFERROR(Hyperlink(VLOOKUP(A933,Internal_lists_bugs!$A$2:$G1014,7,FALSE()),"BIC: "&amp;VLOOKUP(A933,Internal_lists_bugs!$A$2:$G1014,7,FALSE())&amp;CHAR(10)&amp;"Intro.Issues: "&amp;VLOOKUP(A933,Internal_lists_bugs!$A$2:$P1014,16,FALSE())),"please select a BUG ID")</f>
        <v>please select a BUG ID</v>
      </c>
      <c r="D933" s="52"/>
      <c r="E933" s="43"/>
      <c r="F933" s="49"/>
      <c r="G933" s="50"/>
      <c r="H933" s="43"/>
    </row>
    <row r="934">
      <c r="A934" s="43"/>
      <c r="B934" s="38" t="str">
        <f>IFERROR(HYPERLINK(VLOOKUP(A934,Internal_lists_bugs!$A$2:$C$73,3,FALSE()), VLOOKUP(A934,Internal_lists_bugs!$A$2:$C$73,3,FALSE())&amp;Char(10) &amp; Char(10) &amp; VLOOKUP(A934,Internal_lists_bugs!$A$2:$Z$73,26,FALSE())),"please select a BUG ID")</f>
        <v>please select a BUG ID</v>
      </c>
      <c r="C934" s="51" t="str">
        <f>IFERROR(Hyperlink(VLOOKUP(A934,Internal_lists_bugs!$A$2:$G1014,7,FALSE()),"BIC: "&amp;VLOOKUP(A934,Internal_lists_bugs!$A$2:$G1014,7,FALSE())&amp;CHAR(10)&amp;"Intro.Issues: "&amp;VLOOKUP(A934,Internal_lists_bugs!$A$2:$P1014,16,FALSE())),"please select a BUG ID")</f>
        <v>please select a BUG ID</v>
      </c>
      <c r="D934" s="52"/>
      <c r="E934" s="43"/>
      <c r="F934" s="49"/>
      <c r="G934" s="50"/>
      <c r="H934" s="43"/>
    </row>
    <row r="935">
      <c r="A935" s="43"/>
      <c r="B935" s="38" t="str">
        <f>IFERROR(HYPERLINK(VLOOKUP(A935,Internal_lists_bugs!$A$2:$C$73,3,FALSE()), VLOOKUP(A935,Internal_lists_bugs!$A$2:$C$73,3,FALSE())&amp;Char(10) &amp; Char(10) &amp; VLOOKUP(A935,Internal_lists_bugs!$A$2:$Z$73,26,FALSE())),"please select a BUG ID")</f>
        <v>please select a BUG ID</v>
      </c>
      <c r="C935" s="51" t="str">
        <f>IFERROR(Hyperlink(VLOOKUP(A935,Internal_lists_bugs!$A$2:$G1014,7,FALSE()),"BIC: "&amp;VLOOKUP(A935,Internal_lists_bugs!$A$2:$G1014,7,FALSE())&amp;CHAR(10)&amp;"Intro.Issues: "&amp;VLOOKUP(A935,Internal_lists_bugs!$A$2:$P1014,16,FALSE())),"please select a BUG ID")</f>
        <v>please select a BUG ID</v>
      </c>
      <c r="D935" s="52"/>
      <c r="E935" s="43"/>
      <c r="F935" s="49"/>
      <c r="G935" s="50"/>
      <c r="H935" s="43"/>
    </row>
    <row r="936">
      <c r="A936" s="43"/>
      <c r="B936" s="38" t="str">
        <f>IFERROR(HYPERLINK(VLOOKUP(A936,Internal_lists_bugs!$A$2:$C$73,3,FALSE()), VLOOKUP(A936,Internal_lists_bugs!$A$2:$C$73,3,FALSE())&amp;Char(10) &amp; Char(10) &amp; VLOOKUP(A936,Internal_lists_bugs!$A$2:$Z$73,26,FALSE())),"please select a BUG ID")</f>
        <v>please select a BUG ID</v>
      </c>
      <c r="C936" s="51" t="str">
        <f>IFERROR(Hyperlink(VLOOKUP(A936,Internal_lists_bugs!$A$2:$G1014,7,FALSE()),"BIC: "&amp;VLOOKUP(A936,Internal_lists_bugs!$A$2:$G1014,7,FALSE())&amp;CHAR(10)&amp;"Intro.Issues: "&amp;VLOOKUP(A936,Internal_lists_bugs!$A$2:$P1014,16,FALSE())),"please select a BUG ID")</f>
        <v>please select a BUG ID</v>
      </c>
      <c r="D936" s="52"/>
      <c r="E936" s="43"/>
      <c r="F936" s="49"/>
      <c r="G936" s="50"/>
      <c r="H936" s="43"/>
    </row>
    <row r="937">
      <c r="A937" s="43"/>
      <c r="B937" s="38" t="str">
        <f>IFERROR(HYPERLINK(VLOOKUP(A937,Internal_lists_bugs!$A$2:$C$73,3,FALSE()), VLOOKUP(A937,Internal_lists_bugs!$A$2:$C$73,3,FALSE())&amp;Char(10) &amp; Char(10) &amp; VLOOKUP(A937,Internal_lists_bugs!$A$2:$Z$73,26,FALSE())),"please select a BUG ID")</f>
        <v>please select a BUG ID</v>
      </c>
      <c r="C937" s="51" t="str">
        <f>IFERROR(Hyperlink(VLOOKUP(A937,Internal_lists_bugs!$A$2:$G1014,7,FALSE()),"BIC: "&amp;VLOOKUP(A937,Internal_lists_bugs!$A$2:$G1014,7,FALSE())&amp;CHAR(10)&amp;"Intro.Issues: "&amp;VLOOKUP(A937,Internal_lists_bugs!$A$2:$P1014,16,FALSE())),"please select a BUG ID")</f>
        <v>please select a BUG ID</v>
      </c>
      <c r="D937" s="52"/>
      <c r="E937" s="43"/>
      <c r="F937" s="49"/>
      <c r="G937" s="50"/>
      <c r="H937" s="43"/>
    </row>
    <row r="938">
      <c r="A938" s="43"/>
      <c r="B938" s="38" t="str">
        <f>IFERROR(HYPERLINK(VLOOKUP(A938,Internal_lists_bugs!$A$2:$C$73,3,FALSE()), VLOOKUP(A938,Internal_lists_bugs!$A$2:$C$73,3,FALSE())&amp;Char(10) &amp; Char(10) &amp; VLOOKUP(A938,Internal_lists_bugs!$A$2:$Z$73,26,FALSE())),"please select a BUG ID")</f>
        <v>please select a BUG ID</v>
      </c>
      <c r="C938" s="51" t="str">
        <f>IFERROR(Hyperlink(VLOOKUP(A938,Internal_lists_bugs!$A$2:$G1014,7,FALSE()),"BIC: "&amp;VLOOKUP(A938,Internal_lists_bugs!$A$2:$G1014,7,FALSE())&amp;CHAR(10)&amp;"Intro.Issues: "&amp;VLOOKUP(A938,Internal_lists_bugs!$A$2:$P1014,16,FALSE())),"please select a BUG ID")</f>
        <v>please select a BUG ID</v>
      </c>
      <c r="D938" s="52"/>
      <c r="E938" s="43"/>
      <c r="F938" s="49"/>
      <c r="G938" s="50"/>
      <c r="H938" s="43"/>
    </row>
    <row r="939">
      <c r="A939" s="43"/>
      <c r="B939" s="38" t="str">
        <f>IFERROR(HYPERLINK(VLOOKUP(A939,Internal_lists_bugs!$A$2:$C$73,3,FALSE()), VLOOKUP(A939,Internal_lists_bugs!$A$2:$C$73,3,FALSE())&amp;Char(10) &amp; Char(10) &amp; VLOOKUP(A939,Internal_lists_bugs!$A$2:$Z$73,26,FALSE())),"please select a BUG ID")</f>
        <v>please select a BUG ID</v>
      </c>
      <c r="C939" s="51" t="str">
        <f>IFERROR(Hyperlink(VLOOKUP(A939,Internal_lists_bugs!$A$2:$G1014,7,FALSE()),"BIC: "&amp;VLOOKUP(A939,Internal_lists_bugs!$A$2:$G1014,7,FALSE())&amp;CHAR(10)&amp;"Intro.Issues: "&amp;VLOOKUP(A939,Internal_lists_bugs!$A$2:$P1014,16,FALSE())),"please select a BUG ID")</f>
        <v>please select a BUG ID</v>
      </c>
      <c r="D939" s="52"/>
      <c r="E939" s="43"/>
      <c r="F939" s="49"/>
      <c r="G939" s="50"/>
      <c r="H939" s="43"/>
    </row>
    <row r="940">
      <c r="A940" s="43"/>
      <c r="B940" s="38" t="str">
        <f>IFERROR(HYPERLINK(VLOOKUP(A940,Internal_lists_bugs!$A$2:$C$73,3,FALSE()), VLOOKUP(A940,Internal_lists_bugs!$A$2:$C$73,3,FALSE())&amp;Char(10) &amp; Char(10) &amp; VLOOKUP(A940,Internal_lists_bugs!$A$2:$Z$73,26,FALSE())),"please select a BUG ID")</f>
        <v>please select a BUG ID</v>
      </c>
      <c r="C940" s="51" t="str">
        <f>IFERROR(Hyperlink(VLOOKUP(A940,Internal_lists_bugs!$A$2:$G1014,7,FALSE()),"BIC: "&amp;VLOOKUP(A940,Internal_lists_bugs!$A$2:$G1014,7,FALSE())&amp;CHAR(10)&amp;"Intro.Issues: "&amp;VLOOKUP(A940,Internal_lists_bugs!$A$2:$P1014,16,FALSE())),"please select a BUG ID")</f>
        <v>please select a BUG ID</v>
      </c>
      <c r="D940" s="52"/>
      <c r="E940" s="43"/>
      <c r="F940" s="49"/>
      <c r="G940" s="50"/>
      <c r="H940" s="43"/>
    </row>
    <row r="941">
      <c r="A941" s="43"/>
      <c r="B941" s="38" t="str">
        <f>IFERROR(HYPERLINK(VLOOKUP(A941,Internal_lists_bugs!$A$2:$C$73,3,FALSE()), VLOOKUP(A941,Internal_lists_bugs!$A$2:$C$73,3,FALSE())&amp;Char(10) &amp; Char(10) &amp; VLOOKUP(A941,Internal_lists_bugs!$A$2:$Z$73,26,FALSE())),"please select a BUG ID")</f>
        <v>please select a BUG ID</v>
      </c>
      <c r="C941" s="51" t="str">
        <f>IFERROR(Hyperlink(VLOOKUP(A941,Internal_lists_bugs!$A$2:$G1014,7,FALSE()),"BIC: "&amp;VLOOKUP(A941,Internal_lists_bugs!$A$2:$G1014,7,FALSE())&amp;CHAR(10)&amp;"Intro.Issues: "&amp;VLOOKUP(A941,Internal_lists_bugs!$A$2:$P1014,16,FALSE())),"please select a BUG ID")</f>
        <v>please select a BUG ID</v>
      </c>
      <c r="D941" s="52"/>
      <c r="E941" s="43"/>
      <c r="F941" s="49"/>
      <c r="G941" s="50"/>
      <c r="H941" s="43"/>
    </row>
    <row r="942">
      <c r="A942" s="43"/>
      <c r="B942" s="38" t="str">
        <f>IFERROR(HYPERLINK(VLOOKUP(A942,Internal_lists_bugs!$A$2:$C$73,3,FALSE()), VLOOKUP(A942,Internal_lists_bugs!$A$2:$C$73,3,FALSE())&amp;Char(10) &amp; Char(10) &amp; VLOOKUP(A942,Internal_lists_bugs!$A$2:$Z$73,26,FALSE())),"please select a BUG ID")</f>
        <v>please select a BUG ID</v>
      </c>
      <c r="C942" s="51" t="str">
        <f>IFERROR(Hyperlink(VLOOKUP(A942,Internal_lists_bugs!$A$2:$G1014,7,FALSE()),"BIC: "&amp;VLOOKUP(A942,Internal_lists_bugs!$A$2:$G1014,7,FALSE())&amp;CHAR(10)&amp;"Intro.Issues: "&amp;VLOOKUP(A942,Internal_lists_bugs!$A$2:$P1014,16,FALSE())),"please select a BUG ID")</f>
        <v>please select a BUG ID</v>
      </c>
      <c r="D942" s="52"/>
      <c r="E942" s="43"/>
      <c r="F942" s="49"/>
      <c r="G942" s="50"/>
      <c r="H942" s="43"/>
    </row>
    <row r="943">
      <c r="A943" s="43"/>
      <c r="B943" s="38" t="str">
        <f>IFERROR(HYPERLINK(VLOOKUP(A943,Internal_lists_bugs!$A$2:$C$73,3,FALSE()), VLOOKUP(A943,Internal_lists_bugs!$A$2:$C$73,3,FALSE())&amp;Char(10) &amp; Char(10) &amp; VLOOKUP(A943,Internal_lists_bugs!$A$2:$Z$73,26,FALSE())),"please select a BUG ID")</f>
        <v>please select a BUG ID</v>
      </c>
      <c r="C943" s="51" t="str">
        <f>IFERROR(Hyperlink(VLOOKUP(A943,Internal_lists_bugs!$A$2:$G1014,7,FALSE()),"BIC: "&amp;VLOOKUP(A943,Internal_lists_bugs!$A$2:$G1014,7,FALSE())&amp;CHAR(10)&amp;"Intro.Issues: "&amp;VLOOKUP(A943,Internal_lists_bugs!$A$2:$P1014,16,FALSE())),"please select a BUG ID")</f>
        <v>please select a BUG ID</v>
      </c>
      <c r="D943" s="52"/>
      <c r="E943" s="43"/>
      <c r="F943" s="49"/>
      <c r="G943" s="50"/>
      <c r="H943" s="43"/>
    </row>
    <row r="944">
      <c r="A944" s="43"/>
      <c r="B944" s="38" t="str">
        <f>IFERROR(HYPERLINK(VLOOKUP(A944,Internal_lists_bugs!$A$2:$C$73,3,FALSE()), VLOOKUP(A944,Internal_lists_bugs!$A$2:$C$73,3,FALSE())&amp;Char(10) &amp; Char(10) &amp; VLOOKUP(A944,Internal_lists_bugs!$A$2:$Z$73,26,FALSE())),"please select a BUG ID")</f>
        <v>please select a BUG ID</v>
      </c>
      <c r="C944" s="51" t="str">
        <f>IFERROR(Hyperlink(VLOOKUP(A944,Internal_lists_bugs!$A$2:$G1014,7,FALSE()),"BIC: "&amp;VLOOKUP(A944,Internal_lists_bugs!$A$2:$G1014,7,FALSE())&amp;CHAR(10)&amp;"Intro.Issues: "&amp;VLOOKUP(A944,Internal_lists_bugs!$A$2:$P1014,16,FALSE())),"please select a BUG ID")</f>
        <v>please select a BUG ID</v>
      </c>
      <c r="D944" s="52"/>
      <c r="E944" s="43"/>
      <c r="F944" s="49"/>
      <c r="G944" s="50"/>
      <c r="H944" s="43"/>
    </row>
    <row r="945">
      <c r="A945" s="43"/>
      <c r="B945" s="38" t="str">
        <f>IFERROR(HYPERLINK(VLOOKUP(A945,Internal_lists_bugs!$A$2:$C$73,3,FALSE()), VLOOKUP(A945,Internal_lists_bugs!$A$2:$C$73,3,FALSE())&amp;Char(10) &amp; Char(10) &amp; VLOOKUP(A945,Internal_lists_bugs!$A$2:$Z$73,26,FALSE())),"please select a BUG ID")</f>
        <v>please select a BUG ID</v>
      </c>
      <c r="C945" s="51" t="str">
        <f>IFERROR(Hyperlink(VLOOKUP(A945,Internal_lists_bugs!$A$2:$G1014,7,FALSE()),"BIC: "&amp;VLOOKUP(A945,Internal_lists_bugs!$A$2:$G1014,7,FALSE())&amp;CHAR(10)&amp;"Intro.Issues: "&amp;VLOOKUP(A945,Internal_lists_bugs!$A$2:$P1014,16,FALSE())),"please select a BUG ID")</f>
        <v>please select a BUG ID</v>
      </c>
      <c r="D945" s="52"/>
      <c r="E945" s="43"/>
      <c r="F945" s="49"/>
      <c r="G945" s="50"/>
      <c r="H945" s="43"/>
    </row>
    <row r="946">
      <c r="A946" s="43"/>
      <c r="B946" s="38" t="str">
        <f>IFERROR(HYPERLINK(VLOOKUP(A946,Internal_lists_bugs!$A$2:$C$73,3,FALSE()), VLOOKUP(A946,Internal_lists_bugs!$A$2:$C$73,3,FALSE())&amp;Char(10) &amp; Char(10) &amp; VLOOKUP(A946,Internal_lists_bugs!$A$2:$Z$73,26,FALSE())),"please select a BUG ID")</f>
        <v>please select a BUG ID</v>
      </c>
      <c r="C946" s="51" t="str">
        <f>IFERROR(Hyperlink(VLOOKUP(A946,Internal_lists_bugs!$A$2:$G1014,7,FALSE()),"BIC: "&amp;VLOOKUP(A946,Internal_lists_bugs!$A$2:$G1014,7,FALSE())&amp;CHAR(10)&amp;"Intro.Issues: "&amp;VLOOKUP(A946,Internal_lists_bugs!$A$2:$P1014,16,FALSE())),"please select a BUG ID")</f>
        <v>please select a BUG ID</v>
      </c>
      <c r="D946" s="52"/>
      <c r="E946" s="43"/>
      <c r="F946" s="49"/>
      <c r="G946" s="50"/>
      <c r="H946" s="43"/>
    </row>
    <row r="947">
      <c r="A947" s="43"/>
      <c r="B947" s="38" t="str">
        <f>IFERROR(HYPERLINK(VLOOKUP(A947,Internal_lists_bugs!$A$2:$C$73,3,FALSE()), VLOOKUP(A947,Internal_lists_bugs!$A$2:$C$73,3,FALSE())&amp;Char(10) &amp; Char(10) &amp; VLOOKUP(A947,Internal_lists_bugs!$A$2:$Z$73,26,FALSE())),"please select a BUG ID")</f>
        <v>please select a BUG ID</v>
      </c>
      <c r="C947" s="51" t="str">
        <f>IFERROR(Hyperlink(VLOOKUP(A947,Internal_lists_bugs!$A$2:$G1014,7,FALSE()),"BIC: "&amp;VLOOKUP(A947,Internal_lists_bugs!$A$2:$G1014,7,FALSE())&amp;CHAR(10)&amp;"Intro.Issues: "&amp;VLOOKUP(A947,Internal_lists_bugs!$A$2:$P1014,16,FALSE())),"please select a BUG ID")</f>
        <v>please select a BUG ID</v>
      </c>
      <c r="D947" s="52"/>
      <c r="E947" s="43"/>
      <c r="F947" s="49"/>
      <c r="G947" s="50"/>
      <c r="H947" s="43"/>
    </row>
    <row r="948">
      <c r="A948" s="43"/>
      <c r="B948" s="38" t="str">
        <f>IFERROR(HYPERLINK(VLOOKUP(A948,Internal_lists_bugs!$A$2:$C$73,3,FALSE()), VLOOKUP(A948,Internal_lists_bugs!$A$2:$C$73,3,FALSE())&amp;Char(10) &amp; Char(10) &amp; VLOOKUP(A948,Internal_lists_bugs!$A$2:$Z$73,26,FALSE())),"please select a BUG ID")</f>
        <v>please select a BUG ID</v>
      </c>
      <c r="C948" s="51" t="str">
        <f>IFERROR(Hyperlink(VLOOKUP(A948,Internal_lists_bugs!$A$2:$G1014,7,FALSE()),"BIC: "&amp;VLOOKUP(A948,Internal_lists_bugs!$A$2:$G1014,7,FALSE())&amp;CHAR(10)&amp;"Intro.Issues: "&amp;VLOOKUP(A948,Internal_lists_bugs!$A$2:$P1014,16,FALSE())),"please select a BUG ID")</f>
        <v>please select a BUG ID</v>
      </c>
      <c r="D948" s="52"/>
      <c r="E948" s="43"/>
      <c r="F948" s="49"/>
      <c r="G948" s="50"/>
      <c r="H948" s="43"/>
    </row>
    <row r="949">
      <c r="A949" s="43"/>
      <c r="B949" s="38" t="str">
        <f>IFERROR(HYPERLINK(VLOOKUP(A949,Internal_lists_bugs!$A$2:$C$73,3,FALSE()), VLOOKUP(A949,Internal_lists_bugs!$A$2:$C$73,3,FALSE())&amp;Char(10) &amp; Char(10) &amp; VLOOKUP(A949,Internal_lists_bugs!$A$2:$Z$73,26,FALSE())),"please select a BUG ID")</f>
        <v>please select a BUG ID</v>
      </c>
      <c r="C949" s="51" t="str">
        <f>IFERROR(Hyperlink(VLOOKUP(A949,Internal_lists_bugs!$A$2:$G1014,7,FALSE()),"BIC: "&amp;VLOOKUP(A949,Internal_lists_bugs!$A$2:$G1014,7,FALSE())&amp;CHAR(10)&amp;"Intro.Issues: "&amp;VLOOKUP(A949,Internal_lists_bugs!$A$2:$P1014,16,FALSE())),"please select a BUG ID")</f>
        <v>please select a BUG ID</v>
      </c>
      <c r="D949" s="52"/>
      <c r="E949" s="43"/>
      <c r="F949" s="49"/>
      <c r="G949" s="50"/>
      <c r="H949" s="43"/>
    </row>
    <row r="950">
      <c r="A950" s="43"/>
      <c r="B950" s="38" t="str">
        <f>IFERROR(HYPERLINK(VLOOKUP(A950,Internal_lists_bugs!$A$2:$C$73,3,FALSE()), VLOOKUP(A950,Internal_lists_bugs!$A$2:$C$73,3,FALSE())&amp;Char(10) &amp; Char(10) &amp; VLOOKUP(A950,Internal_lists_bugs!$A$2:$Z$73,26,FALSE())),"please select a BUG ID")</f>
        <v>please select a BUG ID</v>
      </c>
      <c r="C950" s="51" t="str">
        <f>IFERROR(Hyperlink(VLOOKUP(A950,Internal_lists_bugs!$A$2:$G1014,7,FALSE()),"BIC: "&amp;VLOOKUP(A950,Internal_lists_bugs!$A$2:$G1014,7,FALSE())&amp;CHAR(10)&amp;"Intro.Issues: "&amp;VLOOKUP(A950,Internal_lists_bugs!$A$2:$P1014,16,FALSE())),"please select a BUG ID")</f>
        <v>please select a BUG ID</v>
      </c>
      <c r="D950" s="52"/>
      <c r="E950" s="43"/>
      <c r="F950" s="49"/>
      <c r="G950" s="50"/>
      <c r="H950" s="43"/>
    </row>
    <row r="951">
      <c r="A951" s="43"/>
      <c r="B951" s="38" t="str">
        <f>IFERROR(HYPERLINK(VLOOKUP(A951,Internal_lists_bugs!$A$2:$C$73,3,FALSE()), VLOOKUP(A951,Internal_lists_bugs!$A$2:$C$73,3,FALSE())&amp;Char(10) &amp; Char(10) &amp; VLOOKUP(A951,Internal_lists_bugs!$A$2:$Z$73,26,FALSE())),"please select a BUG ID")</f>
        <v>please select a BUG ID</v>
      </c>
      <c r="C951" s="51" t="str">
        <f>IFERROR(Hyperlink(VLOOKUP(A951,Internal_lists_bugs!$A$2:$G1014,7,FALSE()),"BIC: "&amp;VLOOKUP(A951,Internal_lists_bugs!$A$2:$G1014,7,FALSE())&amp;CHAR(10)&amp;"Intro.Issues: "&amp;VLOOKUP(A951,Internal_lists_bugs!$A$2:$P1014,16,FALSE())),"please select a BUG ID")</f>
        <v>please select a BUG ID</v>
      </c>
      <c r="D951" s="52"/>
      <c r="E951" s="43"/>
      <c r="F951" s="49"/>
      <c r="G951" s="50"/>
      <c r="H951" s="43"/>
    </row>
    <row r="952">
      <c r="A952" s="43"/>
      <c r="B952" s="38" t="str">
        <f>IFERROR(HYPERLINK(VLOOKUP(A952,Internal_lists_bugs!$A$2:$C$73,3,FALSE()), VLOOKUP(A952,Internal_lists_bugs!$A$2:$C$73,3,FALSE())&amp;Char(10) &amp; Char(10) &amp; VLOOKUP(A952,Internal_lists_bugs!$A$2:$Z$73,26,FALSE())),"please select a BUG ID")</f>
        <v>please select a BUG ID</v>
      </c>
      <c r="C952" s="51" t="str">
        <f>IFERROR(Hyperlink(VLOOKUP(A952,Internal_lists_bugs!$A$2:$G1014,7,FALSE()),"BIC: "&amp;VLOOKUP(A952,Internal_lists_bugs!$A$2:$G1014,7,FALSE())&amp;CHAR(10)&amp;"Intro.Issues: "&amp;VLOOKUP(A952,Internal_lists_bugs!$A$2:$P1014,16,FALSE())),"please select a BUG ID")</f>
        <v>please select a BUG ID</v>
      </c>
      <c r="D952" s="52"/>
      <c r="E952" s="43"/>
      <c r="F952" s="49"/>
      <c r="G952" s="50"/>
      <c r="H952" s="43"/>
    </row>
    <row r="953">
      <c r="A953" s="43"/>
      <c r="B953" s="38" t="str">
        <f>IFERROR(HYPERLINK(VLOOKUP(A953,Internal_lists_bugs!$A$2:$C$73,3,FALSE()), VLOOKUP(A953,Internal_lists_bugs!$A$2:$C$73,3,FALSE())&amp;Char(10) &amp; Char(10) &amp; VLOOKUP(A953,Internal_lists_bugs!$A$2:$Z$73,26,FALSE())),"please select a BUG ID")</f>
        <v>please select a BUG ID</v>
      </c>
      <c r="C953" s="51" t="str">
        <f>IFERROR(Hyperlink(VLOOKUP(A953,Internal_lists_bugs!$A$2:$G1014,7,FALSE()),"BIC: "&amp;VLOOKUP(A953,Internal_lists_bugs!$A$2:$G1014,7,FALSE())&amp;CHAR(10)&amp;"Intro.Issues: "&amp;VLOOKUP(A953,Internal_lists_bugs!$A$2:$P1014,16,FALSE())),"please select a BUG ID")</f>
        <v>please select a BUG ID</v>
      </c>
      <c r="D953" s="52"/>
      <c r="E953" s="43"/>
      <c r="F953" s="49"/>
      <c r="G953" s="50"/>
      <c r="H953" s="43"/>
    </row>
    <row r="954">
      <c r="A954" s="43"/>
      <c r="B954" s="38" t="str">
        <f>IFERROR(HYPERLINK(VLOOKUP(A954,Internal_lists_bugs!$A$2:$C$73,3,FALSE()), VLOOKUP(A954,Internal_lists_bugs!$A$2:$C$73,3,FALSE())&amp;Char(10) &amp; Char(10) &amp; VLOOKUP(A954,Internal_lists_bugs!$A$2:$Z$73,26,FALSE())),"please select a BUG ID")</f>
        <v>please select a BUG ID</v>
      </c>
      <c r="C954" s="51" t="str">
        <f>IFERROR(Hyperlink(VLOOKUP(A954,Internal_lists_bugs!$A$2:$G1014,7,FALSE()),"BIC: "&amp;VLOOKUP(A954,Internal_lists_bugs!$A$2:$G1014,7,FALSE())&amp;CHAR(10)&amp;"Intro.Issues: "&amp;VLOOKUP(A954,Internal_lists_bugs!$A$2:$P1014,16,FALSE())),"please select a BUG ID")</f>
        <v>please select a BUG ID</v>
      </c>
      <c r="D954" s="52"/>
      <c r="E954" s="43"/>
      <c r="F954" s="49"/>
      <c r="G954" s="50"/>
      <c r="H954" s="43"/>
    </row>
    <row r="955">
      <c r="A955" s="43"/>
      <c r="B955" s="38" t="str">
        <f>IFERROR(HYPERLINK(VLOOKUP(A955,Internal_lists_bugs!$A$2:$C$73,3,FALSE()), VLOOKUP(A955,Internal_lists_bugs!$A$2:$C$73,3,FALSE())&amp;Char(10) &amp; Char(10) &amp; VLOOKUP(A955,Internal_lists_bugs!$A$2:$Z$73,26,FALSE())),"please select a BUG ID")</f>
        <v>please select a BUG ID</v>
      </c>
      <c r="C955" s="51" t="str">
        <f>IFERROR(Hyperlink(VLOOKUP(A955,Internal_lists_bugs!$A$2:$G1014,7,FALSE()),"BIC: "&amp;VLOOKUP(A955,Internal_lists_bugs!$A$2:$G1014,7,FALSE())&amp;CHAR(10)&amp;"Intro.Issues: "&amp;VLOOKUP(A955,Internal_lists_bugs!$A$2:$P1014,16,FALSE())),"please select a BUG ID")</f>
        <v>please select a BUG ID</v>
      </c>
      <c r="D955" s="52"/>
      <c r="E955" s="43"/>
      <c r="F955" s="49"/>
      <c r="G955" s="50"/>
      <c r="H955" s="43"/>
    </row>
    <row r="956">
      <c r="A956" s="43"/>
      <c r="B956" s="38" t="str">
        <f>IFERROR(HYPERLINK(VLOOKUP(A956,Internal_lists_bugs!$A$2:$C$73,3,FALSE()), VLOOKUP(A956,Internal_lists_bugs!$A$2:$C$73,3,FALSE())&amp;Char(10) &amp; Char(10) &amp; VLOOKUP(A956,Internal_lists_bugs!$A$2:$Z$73,26,FALSE())),"please select a BUG ID")</f>
        <v>please select a BUG ID</v>
      </c>
      <c r="C956" s="51" t="str">
        <f>IFERROR(Hyperlink(VLOOKUP(A956,Internal_lists_bugs!$A$2:$G1014,7,FALSE()),"BIC: "&amp;VLOOKUP(A956,Internal_lists_bugs!$A$2:$G1014,7,FALSE())&amp;CHAR(10)&amp;"Intro.Issues: "&amp;VLOOKUP(A956,Internal_lists_bugs!$A$2:$P1014,16,FALSE())),"please select a BUG ID")</f>
        <v>please select a BUG ID</v>
      </c>
      <c r="D956" s="52"/>
      <c r="E956" s="43"/>
      <c r="F956" s="49"/>
      <c r="G956" s="50"/>
      <c r="H956" s="43"/>
    </row>
    <row r="957">
      <c r="A957" s="43"/>
      <c r="B957" s="38" t="str">
        <f>IFERROR(HYPERLINK(VLOOKUP(A957,Internal_lists_bugs!$A$2:$C$73,3,FALSE()), VLOOKUP(A957,Internal_lists_bugs!$A$2:$C$73,3,FALSE())&amp;Char(10) &amp; Char(10) &amp; VLOOKUP(A957,Internal_lists_bugs!$A$2:$Z$73,26,FALSE())),"please select a BUG ID")</f>
        <v>please select a BUG ID</v>
      </c>
      <c r="C957" s="51" t="str">
        <f>IFERROR(Hyperlink(VLOOKUP(A957,Internal_lists_bugs!$A$2:$G1014,7,FALSE()),"BIC: "&amp;VLOOKUP(A957,Internal_lists_bugs!$A$2:$G1014,7,FALSE())&amp;CHAR(10)&amp;"Intro.Issues: "&amp;VLOOKUP(A957,Internal_lists_bugs!$A$2:$P1014,16,FALSE())),"please select a BUG ID")</f>
        <v>please select a BUG ID</v>
      </c>
      <c r="D957" s="52"/>
      <c r="E957" s="43"/>
      <c r="F957" s="49"/>
      <c r="G957" s="50"/>
      <c r="H957" s="43"/>
    </row>
    <row r="958">
      <c r="A958" s="43"/>
      <c r="B958" s="38" t="str">
        <f>IFERROR(HYPERLINK(VLOOKUP(A958,Internal_lists_bugs!$A$2:$C$73,3,FALSE()), VLOOKUP(A958,Internal_lists_bugs!$A$2:$C$73,3,FALSE())&amp;Char(10) &amp; Char(10) &amp; VLOOKUP(A958,Internal_lists_bugs!$A$2:$Z$73,26,FALSE())),"please select a BUG ID")</f>
        <v>please select a BUG ID</v>
      </c>
      <c r="C958" s="51" t="str">
        <f>IFERROR(Hyperlink(VLOOKUP(A958,Internal_lists_bugs!$A$2:$G1014,7,FALSE()),"BIC: "&amp;VLOOKUP(A958,Internal_lists_bugs!$A$2:$G1014,7,FALSE())&amp;CHAR(10)&amp;"Intro.Issues: "&amp;VLOOKUP(A958,Internal_lists_bugs!$A$2:$P1014,16,FALSE())),"please select a BUG ID")</f>
        <v>please select a BUG ID</v>
      </c>
      <c r="D958" s="52"/>
      <c r="E958" s="43"/>
      <c r="F958" s="49"/>
      <c r="G958" s="50"/>
      <c r="H958" s="43"/>
    </row>
    <row r="959">
      <c r="A959" s="43"/>
      <c r="B959" s="38" t="str">
        <f>IFERROR(HYPERLINK(VLOOKUP(A959,Internal_lists_bugs!$A$2:$C$73,3,FALSE()), VLOOKUP(A959,Internal_lists_bugs!$A$2:$C$73,3,FALSE())&amp;Char(10) &amp; Char(10) &amp; VLOOKUP(A959,Internal_lists_bugs!$A$2:$Z$73,26,FALSE())),"please select a BUG ID")</f>
        <v>please select a BUG ID</v>
      </c>
      <c r="C959" s="51" t="str">
        <f>IFERROR(Hyperlink(VLOOKUP(A959,Internal_lists_bugs!$A$2:$G1014,7,FALSE()),"BIC: "&amp;VLOOKUP(A959,Internal_lists_bugs!$A$2:$G1014,7,FALSE())&amp;CHAR(10)&amp;"Intro.Issues: "&amp;VLOOKUP(A959,Internal_lists_bugs!$A$2:$P1014,16,FALSE())),"please select a BUG ID")</f>
        <v>please select a BUG ID</v>
      </c>
      <c r="D959" s="52"/>
      <c r="E959" s="43"/>
      <c r="F959" s="49"/>
      <c r="G959" s="50"/>
      <c r="H959" s="43"/>
    </row>
    <row r="960">
      <c r="A960" s="43"/>
      <c r="B960" s="38" t="str">
        <f>IFERROR(HYPERLINK(VLOOKUP(A960,Internal_lists_bugs!$A$2:$C$73,3,FALSE()), VLOOKUP(A960,Internal_lists_bugs!$A$2:$C$73,3,FALSE())&amp;Char(10) &amp; Char(10) &amp; VLOOKUP(A960,Internal_lists_bugs!$A$2:$Z$73,26,FALSE())),"please select a BUG ID")</f>
        <v>please select a BUG ID</v>
      </c>
      <c r="C960" s="51" t="str">
        <f>IFERROR(Hyperlink(VLOOKUP(A960,Internal_lists_bugs!$A$2:$G1014,7,FALSE()),"BIC: "&amp;VLOOKUP(A960,Internal_lists_bugs!$A$2:$G1014,7,FALSE())&amp;CHAR(10)&amp;"Intro.Issues: "&amp;VLOOKUP(A960,Internal_lists_bugs!$A$2:$P1014,16,FALSE())),"please select a BUG ID")</f>
        <v>please select a BUG ID</v>
      </c>
      <c r="D960" s="52"/>
      <c r="E960" s="43"/>
      <c r="F960" s="49"/>
      <c r="G960" s="50"/>
      <c r="H960" s="43"/>
    </row>
    <row r="961">
      <c r="A961" s="43"/>
      <c r="B961" s="38" t="str">
        <f>IFERROR(HYPERLINK(VLOOKUP(A961,Internal_lists_bugs!$A$2:$C$73,3,FALSE()), VLOOKUP(A961,Internal_lists_bugs!$A$2:$C$73,3,FALSE())&amp;Char(10) &amp; Char(10) &amp; VLOOKUP(A961,Internal_lists_bugs!$A$2:$Z$73,26,FALSE())),"please select a BUG ID")</f>
        <v>please select a BUG ID</v>
      </c>
      <c r="C961" s="51" t="str">
        <f>IFERROR(Hyperlink(VLOOKUP(A961,Internal_lists_bugs!$A$2:$G1014,7,FALSE()),"BIC: "&amp;VLOOKUP(A961,Internal_lists_bugs!$A$2:$G1014,7,FALSE())&amp;CHAR(10)&amp;"Intro.Issues: "&amp;VLOOKUP(A961,Internal_lists_bugs!$A$2:$P1014,16,FALSE())),"please select a BUG ID")</f>
        <v>please select a BUG ID</v>
      </c>
      <c r="D961" s="52"/>
      <c r="E961" s="43"/>
      <c r="F961" s="49"/>
      <c r="G961" s="50"/>
      <c r="H961" s="43"/>
    </row>
    <row r="962">
      <c r="A962" s="43"/>
      <c r="B962" s="38" t="str">
        <f>IFERROR(HYPERLINK(VLOOKUP(A962,Internal_lists_bugs!$A$2:$C$73,3,FALSE()), VLOOKUP(A962,Internal_lists_bugs!$A$2:$C$73,3,FALSE())&amp;Char(10) &amp; Char(10) &amp; VLOOKUP(A962,Internal_lists_bugs!$A$2:$Z$73,26,FALSE())),"please select a BUG ID")</f>
        <v>please select a BUG ID</v>
      </c>
      <c r="C962" s="51" t="str">
        <f>IFERROR(Hyperlink(VLOOKUP(A962,Internal_lists_bugs!$A$2:$G1014,7,FALSE()),"BIC: "&amp;VLOOKUP(A962,Internal_lists_bugs!$A$2:$G1014,7,FALSE())&amp;CHAR(10)&amp;"Intro.Issues: "&amp;VLOOKUP(A962,Internal_lists_bugs!$A$2:$P1014,16,FALSE())),"please select a BUG ID")</f>
        <v>please select a BUG ID</v>
      </c>
      <c r="D962" s="52"/>
      <c r="E962" s="43"/>
      <c r="F962" s="49"/>
      <c r="G962" s="50"/>
      <c r="H962" s="43"/>
    </row>
    <row r="963">
      <c r="A963" s="43"/>
      <c r="B963" s="38" t="str">
        <f>IFERROR(HYPERLINK(VLOOKUP(A963,Internal_lists_bugs!$A$2:$C$73,3,FALSE()), VLOOKUP(A963,Internal_lists_bugs!$A$2:$C$73,3,FALSE())&amp;Char(10) &amp; Char(10) &amp; VLOOKUP(A963,Internal_lists_bugs!$A$2:$Z$73,26,FALSE())),"please select a BUG ID")</f>
        <v>please select a BUG ID</v>
      </c>
      <c r="C963" s="51" t="str">
        <f>IFERROR(Hyperlink(VLOOKUP(A963,Internal_lists_bugs!$A$2:$G1014,7,FALSE()),"BIC: "&amp;VLOOKUP(A963,Internal_lists_bugs!$A$2:$G1014,7,FALSE())&amp;CHAR(10)&amp;"Intro.Issues: "&amp;VLOOKUP(A963,Internal_lists_bugs!$A$2:$P1014,16,FALSE())),"please select a BUG ID")</f>
        <v>please select a BUG ID</v>
      </c>
      <c r="D963" s="52"/>
      <c r="E963" s="43"/>
      <c r="F963" s="49"/>
      <c r="G963" s="50"/>
      <c r="H963" s="43"/>
    </row>
    <row r="964">
      <c r="A964" s="43"/>
      <c r="B964" s="38" t="str">
        <f>IFERROR(HYPERLINK(VLOOKUP(A964,Internal_lists_bugs!$A$2:$C$73,3,FALSE()), VLOOKUP(A964,Internal_lists_bugs!$A$2:$C$73,3,FALSE())&amp;Char(10) &amp; Char(10) &amp; VLOOKUP(A964,Internal_lists_bugs!$A$2:$Z$73,26,FALSE())),"please select a BUG ID")</f>
        <v>please select a BUG ID</v>
      </c>
      <c r="C964" s="51" t="str">
        <f>IFERROR(Hyperlink(VLOOKUP(A964,Internal_lists_bugs!$A$2:$G1014,7,FALSE()),"BIC: "&amp;VLOOKUP(A964,Internal_lists_bugs!$A$2:$G1014,7,FALSE())&amp;CHAR(10)&amp;"Intro.Issues: "&amp;VLOOKUP(A964,Internal_lists_bugs!$A$2:$P1014,16,FALSE())),"please select a BUG ID")</f>
        <v>please select a BUG ID</v>
      </c>
      <c r="D964" s="52"/>
      <c r="E964" s="43"/>
      <c r="F964" s="49"/>
      <c r="G964" s="50"/>
      <c r="H964" s="43"/>
    </row>
    <row r="965">
      <c r="A965" s="43"/>
      <c r="B965" s="38" t="str">
        <f>IFERROR(HYPERLINK(VLOOKUP(A965,Internal_lists_bugs!$A$2:$C$73,3,FALSE()), VLOOKUP(A965,Internal_lists_bugs!$A$2:$C$73,3,FALSE())&amp;Char(10) &amp; Char(10) &amp; VLOOKUP(A965,Internal_lists_bugs!$A$2:$Z$73,26,FALSE())),"please select a BUG ID")</f>
        <v>please select a BUG ID</v>
      </c>
      <c r="C965" s="51" t="str">
        <f>IFERROR(Hyperlink(VLOOKUP(A965,Internal_lists_bugs!$A$2:$G1014,7,FALSE()),"BIC: "&amp;VLOOKUP(A965,Internal_lists_bugs!$A$2:$G1014,7,FALSE())&amp;CHAR(10)&amp;"Intro.Issues: "&amp;VLOOKUP(A965,Internal_lists_bugs!$A$2:$P1014,16,FALSE())),"please select a BUG ID")</f>
        <v>please select a BUG ID</v>
      </c>
      <c r="D965" s="52"/>
      <c r="E965" s="43"/>
      <c r="F965" s="49"/>
      <c r="G965" s="50"/>
      <c r="H965" s="43"/>
    </row>
    <row r="966">
      <c r="A966" s="43"/>
      <c r="B966" s="38" t="str">
        <f>IFERROR(HYPERLINK(VLOOKUP(A966,Internal_lists_bugs!$A$2:$C$73,3,FALSE()), VLOOKUP(A966,Internal_lists_bugs!$A$2:$C$73,3,FALSE())&amp;Char(10) &amp; Char(10) &amp; VLOOKUP(A966,Internal_lists_bugs!$A$2:$Z$73,26,FALSE())),"please select a BUG ID")</f>
        <v>please select a BUG ID</v>
      </c>
      <c r="C966" s="51" t="str">
        <f>IFERROR(Hyperlink(VLOOKUP(A966,Internal_lists_bugs!$A$2:$G1014,7,FALSE()),"BIC: "&amp;VLOOKUP(A966,Internal_lists_bugs!$A$2:$G1014,7,FALSE())&amp;CHAR(10)&amp;"Intro.Issues: "&amp;VLOOKUP(A966,Internal_lists_bugs!$A$2:$P1014,16,FALSE())),"please select a BUG ID")</f>
        <v>please select a BUG ID</v>
      </c>
      <c r="D966" s="52"/>
      <c r="E966" s="43"/>
      <c r="F966" s="49"/>
      <c r="G966" s="50"/>
      <c r="H966" s="43"/>
    </row>
    <row r="967">
      <c r="A967" s="43"/>
      <c r="B967" s="38" t="str">
        <f>IFERROR(HYPERLINK(VLOOKUP(A967,Internal_lists_bugs!$A$2:$C$73,3,FALSE()), VLOOKUP(A967,Internal_lists_bugs!$A$2:$C$73,3,FALSE())&amp;Char(10) &amp; Char(10) &amp; VLOOKUP(A967,Internal_lists_bugs!$A$2:$Z$73,26,FALSE())),"please select a BUG ID")</f>
        <v>please select a BUG ID</v>
      </c>
      <c r="C967" s="51" t="str">
        <f>IFERROR(Hyperlink(VLOOKUP(A967,Internal_lists_bugs!$A$2:$G1014,7,FALSE()),"BIC: "&amp;VLOOKUP(A967,Internal_lists_bugs!$A$2:$G1014,7,FALSE())&amp;CHAR(10)&amp;"Intro.Issues: "&amp;VLOOKUP(A967,Internal_lists_bugs!$A$2:$P1014,16,FALSE())),"please select a BUG ID")</f>
        <v>please select a BUG ID</v>
      </c>
      <c r="D967" s="52"/>
      <c r="E967" s="43"/>
      <c r="F967" s="49"/>
      <c r="G967" s="50"/>
      <c r="H967" s="43"/>
    </row>
    <row r="968">
      <c r="A968" s="43"/>
      <c r="B968" s="38" t="str">
        <f>IFERROR(HYPERLINK(VLOOKUP(A968,Internal_lists_bugs!$A$2:$C$73,3,FALSE()), VLOOKUP(A968,Internal_lists_bugs!$A$2:$C$73,3,FALSE())&amp;Char(10) &amp; Char(10) &amp; VLOOKUP(A968,Internal_lists_bugs!$A$2:$Z$73,26,FALSE())),"please select a BUG ID")</f>
        <v>please select a BUG ID</v>
      </c>
      <c r="C968" s="51" t="str">
        <f>IFERROR(Hyperlink(VLOOKUP(A968,Internal_lists_bugs!$A$2:$G1014,7,FALSE()),"BIC: "&amp;VLOOKUP(A968,Internal_lists_bugs!$A$2:$G1014,7,FALSE())&amp;CHAR(10)&amp;"Intro.Issues: "&amp;VLOOKUP(A968,Internal_lists_bugs!$A$2:$P1014,16,FALSE())),"please select a BUG ID")</f>
        <v>please select a BUG ID</v>
      </c>
      <c r="D968" s="52"/>
      <c r="E968" s="43"/>
      <c r="F968" s="49"/>
      <c r="G968" s="50"/>
      <c r="H968" s="43"/>
    </row>
    <row r="969">
      <c r="A969" s="43"/>
      <c r="B969" s="38" t="str">
        <f>IFERROR(HYPERLINK(VLOOKUP(A969,Internal_lists_bugs!$A$2:$C$73,3,FALSE()), VLOOKUP(A969,Internal_lists_bugs!$A$2:$C$73,3,FALSE())&amp;Char(10) &amp; Char(10) &amp; VLOOKUP(A969,Internal_lists_bugs!$A$2:$Z$73,26,FALSE())),"please select a BUG ID")</f>
        <v>please select a BUG ID</v>
      </c>
      <c r="C969" s="51" t="str">
        <f>IFERROR(Hyperlink(VLOOKUP(A969,Internal_lists_bugs!$A$2:$G1014,7,FALSE()),"BIC: "&amp;VLOOKUP(A969,Internal_lists_bugs!$A$2:$G1014,7,FALSE())&amp;CHAR(10)&amp;"Intro.Issues: "&amp;VLOOKUP(A969,Internal_lists_bugs!$A$2:$P1014,16,FALSE())),"please select a BUG ID")</f>
        <v>please select a BUG ID</v>
      </c>
      <c r="D969" s="52"/>
      <c r="E969" s="43"/>
      <c r="F969" s="49"/>
      <c r="G969" s="50"/>
      <c r="H969" s="43"/>
    </row>
    <row r="970">
      <c r="A970" s="43"/>
      <c r="B970" s="38" t="str">
        <f>IFERROR(HYPERLINK(VLOOKUP(A970,Internal_lists_bugs!$A$2:$C$73,3,FALSE()), VLOOKUP(A970,Internal_lists_bugs!$A$2:$C$73,3,FALSE())&amp;Char(10) &amp; Char(10) &amp; VLOOKUP(A970,Internal_lists_bugs!$A$2:$Z$73,26,FALSE())),"please select a BUG ID")</f>
        <v>please select a BUG ID</v>
      </c>
      <c r="C970" s="51" t="str">
        <f>IFERROR(Hyperlink(VLOOKUP(A970,Internal_lists_bugs!$A$2:$G1014,7,FALSE()),"BIC: "&amp;VLOOKUP(A970,Internal_lists_bugs!$A$2:$G1014,7,FALSE())&amp;CHAR(10)&amp;"Intro.Issues: "&amp;VLOOKUP(A970,Internal_lists_bugs!$A$2:$P1014,16,FALSE())),"please select a BUG ID")</f>
        <v>please select a BUG ID</v>
      </c>
      <c r="D970" s="52"/>
      <c r="E970" s="43"/>
      <c r="F970" s="49"/>
      <c r="G970" s="50"/>
      <c r="H970" s="43"/>
    </row>
    <row r="971">
      <c r="A971" s="43"/>
      <c r="B971" s="38" t="str">
        <f>IFERROR(HYPERLINK(VLOOKUP(A971,Internal_lists_bugs!$A$2:$C$73,3,FALSE()), VLOOKUP(A971,Internal_lists_bugs!$A$2:$C$73,3,FALSE())&amp;Char(10) &amp; Char(10) &amp; VLOOKUP(A971,Internal_lists_bugs!$A$2:$Z$73,26,FALSE())),"please select a BUG ID")</f>
        <v>please select a BUG ID</v>
      </c>
      <c r="C971" s="51" t="str">
        <f>IFERROR(Hyperlink(VLOOKUP(A971,Internal_lists_bugs!$A$2:$G1014,7,FALSE()),"BIC: "&amp;VLOOKUP(A971,Internal_lists_bugs!$A$2:$G1014,7,FALSE())&amp;CHAR(10)&amp;"Intro.Issues: "&amp;VLOOKUP(A971,Internal_lists_bugs!$A$2:$P1014,16,FALSE())),"please select a BUG ID")</f>
        <v>please select a BUG ID</v>
      </c>
      <c r="D971" s="52"/>
      <c r="E971" s="43"/>
      <c r="F971" s="49"/>
      <c r="G971" s="50"/>
      <c r="H971" s="43"/>
    </row>
    <row r="972">
      <c r="A972" s="43"/>
      <c r="B972" s="38" t="str">
        <f>IFERROR(HYPERLINK(VLOOKUP(A972,Internal_lists_bugs!$A$2:$C$73,3,FALSE()), VLOOKUP(A972,Internal_lists_bugs!$A$2:$C$73,3,FALSE())&amp;Char(10) &amp; Char(10) &amp; VLOOKUP(A972,Internal_lists_bugs!$A$2:$Z$73,26,FALSE())),"please select a BUG ID")</f>
        <v>please select a BUG ID</v>
      </c>
      <c r="C972" s="51" t="str">
        <f>IFERROR(Hyperlink(VLOOKUP(A972,Internal_lists_bugs!$A$2:$G1014,7,FALSE()),"BIC: "&amp;VLOOKUP(A972,Internal_lists_bugs!$A$2:$G1014,7,FALSE())&amp;CHAR(10)&amp;"Intro.Issues: "&amp;VLOOKUP(A972,Internal_lists_bugs!$A$2:$P1014,16,FALSE())),"please select a BUG ID")</f>
        <v>please select a BUG ID</v>
      </c>
      <c r="D972" s="52"/>
      <c r="E972" s="43"/>
      <c r="F972" s="49"/>
      <c r="G972" s="50"/>
      <c r="H972" s="43"/>
    </row>
    <row r="973">
      <c r="A973" s="43"/>
      <c r="B973" s="38" t="str">
        <f>IFERROR(HYPERLINK(VLOOKUP(A973,Internal_lists_bugs!$A$2:$C$73,3,FALSE()), VLOOKUP(A973,Internal_lists_bugs!$A$2:$C$73,3,FALSE())&amp;Char(10) &amp; Char(10) &amp; VLOOKUP(A973,Internal_lists_bugs!$A$2:$Z$73,26,FALSE())),"please select a BUG ID")</f>
        <v>please select a BUG ID</v>
      </c>
      <c r="C973" s="51" t="str">
        <f>IFERROR(Hyperlink(VLOOKUP(A973,Internal_lists_bugs!$A$2:$G1014,7,FALSE()),"BIC: "&amp;VLOOKUP(A973,Internal_lists_bugs!$A$2:$G1014,7,FALSE())&amp;CHAR(10)&amp;"Intro.Issues: "&amp;VLOOKUP(A973,Internal_lists_bugs!$A$2:$P1014,16,FALSE())),"please select a BUG ID")</f>
        <v>please select a BUG ID</v>
      </c>
      <c r="D973" s="52"/>
      <c r="E973" s="43"/>
      <c r="F973" s="49"/>
      <c r="G973" s="50"/>
      <c r="H973" s="43"/>
    </row>
    <row r="974">
      <c r="A974" s="43"/>
      <c r="B974" s="38" t="str">
        <f>IFERROR(HYPERLINK(VLOOKUP(A974,Internal_lists_bugs!$A$2:$C$73,3,FALSE()), VLOOKUP(A974,Internal_lists_bugs!$A$2:$C$73,3,FALSE())&amp;Char(10) &amp; Char(10) &amp; VLOOKUP(A974,Internal_lists_bugs!$A$2:$Z$73,26,FALSE())),"please select a BUG ID")</f>
        <v>please select a BUG ID</v>
      </c>
      <c r="C974" s="51" t="str">
        <f>IFERROR(Hyperlink(VLOOKUP(A974,Internal_lists_bugs!$A$2:$G1014,7,FALSE()),"BIC: "&amp;VLOOKUP(A974,Internal_lists_bugs!$A$2:$G1014,7,FALSE())&amp;CHAR(10)&amp;"Intro.Issues: "&amp;VLOOKUP(A974,Internal_lists_bugs!$A$2:$P1014,16,FALSE())),"please select a BUG ID")</f>
        <v>please select a BUG ID</v>
      </c>
      <c r="D974" s="52"/>
      <c r="E974" s="43"/>
      <c r="F974" s="49"/>
      <c r="G974" s="50"/>
      <c r="H974" s="43"/>
    </row>
    <row r="975">
      <c r="A975" s="43"/>
      <c r="B975" s="38" t="str">
        <f>IFERROR(HYPERLINK(VLOOKUP(A975,Internal_lists_bugs!$A$2:$C$73,3,FALSE()), VLOOKUP(A975,Internal_lists_bugs!$A$2:$C$73,3,FALSE())&amp;Char(10) &amp; Char(10) &amp; VLOOKUP(A975,Internal_lists_bugs!$A$2:$Z$73,26,FALSE())),"please select a BUG ID")</f>
        <v>please select a BUG ID</v>
      </c>
      <c r="C975" s="51" t="str">
        <f>IFERROR(Hyperlink(VLOOKUP(A975,Internal_lists_bugs!$A$2:$G1014,7,FALSE()),"BIC: "&amp;VLOOKUP(A975,Internal_lists_bugs!$A$2:$G1014,7,FALSE())&amp;CHAR(10)&amp;"Intro.Issues: "&amp;VLOOKUP(A975,Internal_lists_bugs!$A$2:$P1014,16,FALSE())),"please select a BUG ID")</f>
        <v>please select a BUG ID</v>
      </c>
      <c r="D975" s="52"/>
      <c r="E975" s="43"/>
      <c r="F975" s="49"/>
      <c r="G975" s="50"/>
      <c r="H975" s="43"/>
    </row>
    <row r="976">
      <c r="A976" s="43"/>
      <c r="B976" s="38" t="str">
        <f>IFERROR(HYPERLINK(VLOOKUP(A976,Internal_lists_bugs!$A$2:$C$73,3,FALSE()), VLOOKUP(A976,Internal_lists_bugs!$A$2:$C$73,3,FALSE())&amp;Char(10) &amp; Char(10) &amp; VLOOKUP(A976,Internal_lists_bugs!$A$2:$Z$73,26,FALSE())),"please select a BUG ID")</f>
        <v>please select a BUG ID</v>
      </c>
      <c r="C976" s="51" t="str">
        <f>IFERROR(Hyperlink(VLOOKUP(A976,Internal_lists_bugs!$A$2:$G1014,7,FALSE()),"BIC: "&amp;VLOOKUP(A976,Internal_lists_bugs!$A$2:$G1014,7,FALSE())&amp;CHAR(10)&amp;"Intro.Issues: "&amp;VLOOKUP(A976,Internal_lists_bugs!$A$2:$P1014,16,FALSE())),"please select a BUG ID")</f>
        <v>please select a BUG ID</v>
      </c>
      <c r="D976" s="52"/>
      <c r="E976" s="43"/>
      <c r="F976" s="49"/>
      <c r="G976" s="50"/>
      <c r="H976" s="43"/>
    </row>
    <row r="977">
      <c r="A977" s="43"/>
      <c r="B977" s="38" t="str">
        <f>IFERROR(HYPERLINK(VLOOKUP(A977,Internal_lists_bugs!$A$2:$C$73,3,FALSE()), VLOOKUP(A977,Internal_lists_bugs!$A$2:$C$73,3,FALSE())&amp;Char(10) &amp; Char(10) &amp; VLOOKUP(A977,Internal_lists_bugs!$A$2:$Z$73,26,FALSE())),"please select a BUG ID")</f>
        <v>please select a BUG ID</v>
      </c>
      <c r="C977" s="51" t="str">
        <f>IFERROR(Hyperlink(VLOOKUP(A977,Internal_lists_bugs!$A$2:$G1014,7,FALSE()),"BIC: "&amp;VLOOKUP(A977,Internal_lists_bugs!$A$2:$G1014,7,FALSE())&amp;CHAR(10)&amp;"Intro.Issues: "&amp;VLOOKUP(A977,Internal_lists_bugs!$A$2:$P1014,16,FALSE())),"please select a BUG ID")</f>
        <v>please select a BUG ID</v>
      </c>
      <c r="D977" s="52"/>
      <c r="E977" s="43"/>
      <c r="F977" s="49"/>
      <c r="G977" s="50"/>
      <c r="H977" s="43"/>
    </row>
    <row r="978">
      <c r="A978" s="43"/>
      <c r="B978" s="38" t="str">
        <f>IFERROR(HYPERLINK(VLOOKUP(A978,Internal_lists_bugs!$A$2:$C$73,3,FALSE()), VLOOKUP(A978,Internal_lists_bugs!$A$2:$C$73,3,FALSE())&amp;Char(10) &amp; Char(10) &amp; VLOOKUP(A978,Internal_lists_bugs!$A$2:$Z$73,26,FALSE())),"please select a BUG ID")</f>
        <v>please select a BUG ID</v>
      </c>
      <c r="C978" s="51" t="str">
        <f>IFERROR(Hyperlink(VLOOKUP(A978,Internal_lists_bugs!$A$2:$G1014,7,FALSE()),"BIC: "&amp;VLOOKUP(A978,Internal_lists_bugs!$A$2:$G1014,7,FALSE())&amp;CHAR(10)&amp;"Intro.Issues: "&amp;VLOOKUP(A978,Internal_lists_bugs!$A$2:$P1014,16,FALSE())),"please select a BUG ID")</f>
        <v>please select a BUG ID</v>
      </c>
      <c r="D978" s="52"/>
      <c r="E978" s="43"/>
      <c r="F978" s="49"/>
      <c r="G978" s="50"/>
      <c r="H978" s="43"/>
    </row>
    <row r="979">
      <c r="A979" s="43"/>
      <c r="B979" s="38" t="str">
        <f>IFERROR(HYPERLINK(VLOOKUP(A979,Internal_lists_bugs!$A$2:$C$73,3,FALSE()), VLOOKUP(A979,Internal_lists_bugs!$A$2:$C$73,3,FALSE())&amp;Char(10) &amp; Char(10) &amp; VLOOKUP(A979,Internal_lists_bugs!$A$2:$Z$73,26,FALSE())),"please select a BUG ID")</f>
        <v>please select a BUG ID</v>
      </c>
      <c r="C979" s="51" t="str">
        <f>IFERROR(Hyperlink(VLOOKUP(A979,Internal_lists_bugs!$A$2:$G1014,7,FALSE()),"BIC: "&amp;VLOOKUP(A979,Internal_lists_bugs!$A$2:$G1014,7,FALSE())&amp;CHAR(10)&amp;"Intro.Issues: "&amp;VLOOKUP(A979,Internal_lists_bugs!$A$2:$P1014,16,FALSE())),"please select a BUG ID")</f>
        <v>please select a BUG ID</v>
      </c>
      <c r="D979" s="52"/>
      <c r="E979" s="43"/>
      <c r="F979" s="49"/>
      <c r="G979" s="50"/>
      <c r="H979" s="43"/>
    </row>
    <row r="980">
      <c r="A980" s="43"/>
      <c r="B980" s="38" t="str">
        <f>IFERROR(HYPERLINK(VLOOKUP(A980,Internal_lists_bugs!$A$2:$C$73,3,FALSE()), VLOOKUP(A980,Internal_lists_bugs!$A$2:$C$73,3,FALSE())&amp;Char(10) &amp; Char(10) &amp; VLOOKUP(A980,Internal_lists_bugs!$A$2:$Z$73,26,FALSE())),"please select a BUG ID")</f>
        <v>please select a BUG ID</v>
      </c>
      <c r="C980" s="51" t="str">
        <f>IFERROR(Hyperlink(VLOOKUP(A980,Internal_lists_bugs!$A$2:$G1014,7,FALSE()),"BIC: "&amp;VLOOKUP(A980,Internal_lists_bugs!$A$2:$G1014,7,FALSE())&amp;CHAR(10)&amp;"Intro.Issues: "&amp;VLOOKUP(A980,Internal_lists_bugs!$A$2:$P1014,16,FALSE())),"please select a BUG ID")</f>
        <v>please select a BUG ID</v>
      </c>
      <c r="D980" s="52"/>
      <c r="E980" s="43"/>
      <c r="F980" s="49"/>
      <c r="G980" s="50"/>
      <c r="H980" s="43"/>
    </row>
    <row r="981">
      <c r="A981" s="43"/>
      <c r="B981" s="38" t="str">
        <f>IFERROR(HYPERLINK(VLOOKUP(A981,Internal_lists_bugs!$A$2:$C$73,3,FALSE()), VLOOKUP(A981,Internal_lists_bugs!$A$2:$C$73,3,FALSE())&amp;Char(10) &amp; Char(10) &amp; VLOOKUP(A981,Internal_lists_bugs!$A$2:$Z$73,26,FALSE())),"please select a BUG ID")</f>
        <v>please select a BUG ID</v>
      </c>
      <c r="C981" s="51" t="str">
        <f>IFERROR(Hyperlink(VLOOKUP(A981,Internal_lists_bugs!$A$2:$G1014,7,FALSE()),"BIC: "&amp;VLOOKUP(A981,Internal_lists_bugs!$A$2:$G1014,7,FALSE())&amp;CHAR(10)&amp;"Intro.Issues: "&amp;VLOOKUP(A981,Internal_lists_bugs!$A$2:$P1014,16,FALSE())),"please select a BUG ID")</f>
        <v>please select a BUG ID</v>
      </c>
      <c r="D981" s="52"/>
      <c r="E981" s="43"/>
      <c r="F981" s="49"/>
      <c r="G981" s="50"/>
      <c r="H981" s="43"/>
    </row>
    <row r="982">
      <c r="A982" s="43"/>
      <c r="B982" s="38" t="str">
        <f>IFERROR(HYPERLINK(VLOOKUP(A982,Internal_lists_bugs!$A$2:$C$73,3,FALSE()), VLOOKUP(A982,Internal_lists_bugs!$A$2:$C$73,3,FALSE())&amp;Char(10) &amp; Char(10) &amp; VLOOKUP(A982,Internal_lists_bugs!$A$2:$Z$73,26,FALSE())),"please select a BUG ID")</f>
        <v>please select a BUG ID</v>
      </c>
      <c r="C982" s="51" t="str">
        <f>IFERROR(Hyperlink(VLOOKUP(A982,Internal_lists_bugs!$A$2:$G1014,7,FALSE()),"BIC: "&amp;VLOOKUP(A982,Internal_lists_bugs!$A$2:$G1014,7,FALSE())&amp;CHAR(10)&amp;"Intro.Issues: "&amp;VLOOKUP(A982,Internal_lists_bugs!$A$2:$P1014,16,FALSE())),"please select a BUG ID")</f>
        <v>please select a BUG ID</v>
      </c>
      <c r="D982" s="52"/>
      <c r="E982" s="43"/>
      <c r="F982" s="49"/>
      <c r="G982" s="50"/>
      <c r="H982" s="43"/>
    </row>
    <row r="983">
      <c r="A983" s="43"/>
      <c r="B983" s="38" t="str">
        <f>IFERROR(HYPERLINK(VLOOKUP(A983,Internal_lists_bugs!$A$2:$C$73,3,FALSE()), VLOOKUP(A983,Internal_lists_bugs!$A$2:$C$73,3,FALSE())&amp;Char(10) &amp; Char(10) &amp; VLOOKUP(A983,Internal_lists_bugs!$A$2:$Z$73,26,FALSE())),"please select a BUG ID")</f>
        <v>please select a BUG ID</v>
      </c>
      <c r="C983" s="51" t="str">
        <f>IFERROR(Hyperlink(VLOOKUP(A983,Internal_lists_bugs!$A$2:$G1014,7,FALSE()),"BIC: "&amp;VLOOKUP(A983,Internal_lists_bugs!$A$2:$G1014,7,FALSE())&amp;CHAR(10)&amp;"Intro.Issues: "&amp;VLOOKUP(A983,Internal_lists_bugs!$A$2:$P1014,16,FALSE())),"please select a BUG ID")</f>
        <v>please select a BUG ID</v>
      </c>
      <c r="D983" s="52"/>
      <c r="E983" s="43"/>
      <c r="F983" s="49"/>
      <c r="G983" s="50"/>
      <c r="H983" s="43"/>
    </row>
    <row r="984">
      <c r="A984" s="43"/>
      <c r="B984" s="38" t="str">
        <f>IFERROR(HYPERLINK(VLOOKUP(A984,Internal_lists_bugs!$A$2:$C$73,3,FALSE()), VLOOKUP(A984,Internal_lists_bugs!$A$2:$C$73,3,FALSE())&amp;Char(10) &amp; Char(10) &amp; VLOOKUP(A984,Internal_lists_bugs!$A$2:$Z$73,26,FALSE())),"please select a BUG ID")</f>
        <v>please select a BUG ID</v>
      </c>
      <c r="C984" s="51" t="str">
        <f>IFERROR(Hyperlink(VLOOKUP(A984,Internal_lists_bugs!$A$2:$G1014,7,FALSE()),"BIC: "&amp;VLOOKUP(A984,Internal_lists_bugs!$A$2:$G1014,7,FALSE())&amp;CHAR(10)&amp;"Intro.Issues: "&amp;VLOOKUP(A984,Internal_lists_bugs!$A$2:$P1014,16,FALSE())),"please select a BUG ID")</f>
        <v>please select a BUG ID</v>
      </c>
      <c r="D984" s="52"/>
      <c r="E984" s="43"/>
      <c r="F984" s="49"/>
      <c r="G984" s="50"/>
      <c r="H984" s="43"/>
    </row>
    <row r="985">
      <c r="A985" s="43"/>
      <c r="B985" s="38" t="str">
        <f>IFERROR(HYPERLINK(VLOOKUP(A985,Internal_lists_bugs!$A$2:$C$73,3,FALSE()), VLOOKUP(A985,Internal_lists_bugs!$A$2:$C$73,3,FALSE())&amp;Char(10) &amp; Char(10) &amp; VLOOKUP(A985,Internal_lists_bugs!$A$2:$Z$73,26,FALSE())),"please select a BUG ID")</f>
        <v>please select a BUG ID</v>
      </c>
      <c r="C985" s="51" t="str">
        <f>IFERROR(Hyperlink(VLOOKUP(A985,Internal_lists_bugs!$A$2:$G1014,7,FALSE()),"BIC: "&amp;VLOOKUP(A985,Internal_lists_bugs!$A$2:$G1014,7,FALSE())&amp;CHAR(10)&amp;"Intro.Issues: "&amp;VLOOKUP(A985,Internal_lists_bugs!$A$2:$P1014,16,FALSE())),"please select a BUG ID")</f>
        <v>please select a BUG ID</v>
      </c>
      <c r="D985" s="52"/>
      <c r="E985" s="43"/>
      <c r="F985" s="49"/>
      <c r="G985" s="50"/>
      <c r="H985" s="43"/>
    </row>
    <row r="986">
      <c r="A986" s="43"/>
      <c r="B986" s="38" t="str">
        <f>IFERROR(HYPERLINK(VLOOKUP(A986,Internal_lists_bugs!$A$2:$C$73,3,FALSE()), VLOOKUP(A986,Internal_lists_bugs!$A$2:$C$73,3,FALSE())&amp;Char(10) &amp; Char(10) &amp; VLOOKUP(A986,Internal_lists_bugs!$A$2:$Z$73,26,FALSE())),"please select a BUG ID")</f>
        <v>please select a BUG ID</v>
      </c>
      <c r="C986" s="51" t="str">
        <f>IFERROR(Hyperlink(VLOOKUP(A986,Internal_lists_bugs!$A$2:$G1014,7,FALSE()),"BIC: "&amp;VLOOKUP(A986,Internal_lists_bugs!$A$2:$G1014,7,FALSE())&amp;CHAR(10)&amp;"Intro.Issues: "&amp;VLOOKUP(A986,Internal_lists_bugs!$A$2:$P1014,16,FALSE())),"please select a BUG ID")</f>
        <v>please select a BUG ID</v>
      </c>
      <c r="D986" s="52"/>
      <c r="E986" s="43"/>
      <c r="F986" s="49"/>
      <c r="G986" s="50"/>
      <c r="H986" s="43"/>
    </row>
    <row r="987">
      <c r="A987" s="43"/>
      <c r="B987" s="38" t="str">
        <f>IFERROR(HYPERLINK(VLOOKUP(A987,Internal_lists_bugs!$A$2:$C$73,3,FALSE()), VLOOKUP(A987,Internal_lists_bugs!$A$2:$C$73,3,FALSE())&amp;Char(10) &amp; Char(10) &amp; VLOOKUP(A987,Internal_lists_bugs!$A$2:$Z$73,26,FALSE())),"please select a BUG ID")</f>
        <v>please select a BUG ID</v>
      </c>
      <c r="C987" s="51" t="str">
        <f>IFERROR(Hyperlink(VLOOKUP(A987,Internal_lists_bugs!$A$2:$G1014,7,FALSE()),"BIC: "&amp;VLOOKUP(A987,Internal_lists_bugs!$A$2:$G1014,7,FALSE())&amp;CHAR(10)&amp;"Intro.Issues: "&amp;VLOOKUP(A987,Internal_lists_bugs!$A$2:$P1014,16,FALSE())),"please select a BUG ID")</f>
        <v>please select a BUG ID</v>
      </c>
      <c r="D987" s="52"/>
      <c r="E987" s="43"/>
      <c r="F987" s="49"/>
      <c r="G987" s="50"/>
      <c r="H987" s="43"/>
    </row>
    <row r="988">
      <c r="A988" s="43"/>
      <c r="B988" s="38" t="str">
        <f>IFERROR(HYPERLINK(VLOOKUP(A988,Internal_lists_bugs!$A$2:$C$73,3,FALSE()), VLOOKUP(A988,Internal_lists_bugs!$A$2:$C$73,3,FALSE())&amp;Char(10) &amp; Char(10) &amp; VLOOKUP(A988,Internal_lists_bugs!$A$2:$Z$73,26,FALSE())),"please select a BUG ID")</f>
        <v>please select a BUG ID</v>
      </c>
      <c r="C988" s="51" t="str">
        <f>IFERROR(Hyperlink(VLOOKUP(A988,Internal_lists_bugs!$A$2:$G1014,7,FALSE()),"BIC: "&amp;VLOOKUP(A988,Internal_lists_bugs!$A$2:$G1014,7,FALSE())&amp;CHAR(10)&amp;"Intro.Issues: "&amp;VLOOKUP(A988,Internal_lists_bugs!$A$2:$P1014,16,FALSE())),"please select a BUG ID")</f>
        <v>please select a BUG ID</v>
      </c>
      <c r="D988" s="52"/>
      <c r="E988" s="43"/>
      <c r="F988" s="49"/>
      <c r="G988" s="50"/>
      <c r="H988" s="43"/>
    </row>
    <row r="989">
      <c r="A989" s="43"/>
      <c r="B989" s="38" t="str">
        <f>IFERROR(HYPERLINK(VLOOKUP(A989,Internal_lists_bugs!$A$2:$C$73,3,FALSE()), VLOOKUP(A989,Internal_lists_bugs!$A$2:$C$73,3,FALSE())&amp;Char(10) &amp; Char(10) &amp; VLOOKUP(A989,Internal_lists_bugs!$A$2:$Z$73,26,FALSE())),"please select a BUG ID")</f>
        <v>please select a BUG ID</v>
      </c>
      <c r="C989" s="51" t="str">
        <f>IFERROR(Hyperlink(VLOOKUP(A989,Internal_lists_bugs!$A$2:$G1014,7,FALSE()),"BIC: "&amp;VLOOKUP(A989,Internal_lists_bugs!$A$2:$G1014,7,FALSE())&amp;CHAR(10)&amp;"Intro.Issues: "&amp;VLOOKUP(A989,Internal_lists_bugs!$A$2:$P1014,16,FALSE())),"please select a BUG ID")</f>
        <v>please select a BUG ID</v>
      </c>
      <c r="D989" s="52"/>
      <c r="E989" s="43"/>
      <c r="F989" s="49"/>
      <c r="G989" s="50"/>
      <c r="H989" s="43"/>
    </row>
    <row r="990">
      <c r="A990" s="43"/>
      <c r="B990" s="38" t="str">
        <f>IFERROR(HYPERLINK(VLOOKUP(A990,Internal_lists_bugs!$A$2:$C$73,3,FALSE()), VLOOKUP(A990,Internal_lists_bugs!$A$2:$C$73,3,FALSE())&amp;Char(10) &amp; Char(10) &amp; VLOOKUP(A990,Internal_lists_bugs!$A$2:$Z$73,26,FALSE())),"please select a BUG ID")</f>
        <v>please select a BUG ID</v>
      </c>
      <c r="C990" s="51" t="str">
        <f>IFERROR(Hyperlink(VLOOKUP(A990,Internal_lists_bugs!$A$2:$G1014,7,FALSE()),"BIC: "&amp;VLOOKUP(A990,Internal_lists_bugs!$A$2:$G1014,7,FALSE())&amp;CHAR(10)&amp;"Intro.Issues: "&amp;VLOOKUP(A990,Internal_lists_bugs!$A$2:$P1014,16,FALSE())),"please select a BUG ID")</f>
        <v>please select a BUG ID</v>
      </c>
      <c r="D990" s="52"/>
      <c r="E990" s="43"/>
      <c r="F990" s="49"/>
      <c r="G990" s="50"/>
      <c r="H990" s="43"/>
    </row>
    <row r="991">
      <c r="A991" s="43"/>
      <c r="B991" s="38" t="str">
        <f>IFERROR(HYPERLINK(VLOOKUP(A991,Internal_lists_bugs!$A$2:$C$73,3,FALSE()), VLOOKUP(A991,Internal_lists_bugs!$A$2:$C$73,3,FALSE())&amp;Char(10) &amp; Char(10) &amp; VLOOKUP(A991,Internal_lists_bugs!$A$2:$Z$73,26,FALSE())),"please select a BUG ID")</f>
        <v>please select a BUG ID</v>
      </c>
      <c r="C991" s="51" t="str">
        <f>IFERROR(Hyperlink(VLOOKUP(A991,Internal_lists_bugs!$A$2:$G1014,7,FALSE()),"BIC: "&amp;VLOOKUP(A991,Internal_lists_bugs!$A$2:$G1014,7,FALSE())&amp;CHAR(10)&amp;"Intro.Issues: "&amp;VLOOKUP(A991,Internal_lists_bugs!$A$2:$P1014,16,FALSE())),"please select a BUG ID")</f>
        <v>please select a BUG ID</v>
      </c>
      <c r="D991" s="52"/>
      <c r="E991" s="43"/>
      <c r="F991" s="49"/>
      <c r="G991" s="50"/>
      <c r="H991" s="43"/>
    </row>
    <row r="992">
      <c r="A992" s="43"/>
      <c r="B992" s="38" t="str">
        <f>IFERROR(HYPERLINK(VLOOKUP(A992,Internal_lists_bugs!$A$2:$C$73,3,FALSE()), VLOOKUP(A992,Internal_lists_bugs!$A$2:$C$73,3,FALSE())&amp;Char(10) &amp; Char(10) &amp; VLOOKUP(A992,Internal_lists_bugs!$A$2:$Z$73,26,FALSE())),"please select a BUG ID")</f>
        <v>please select a BUG ID</v>
      </c>
      <c r="C992" s="51" t="str">
        <f>IFERROR(Hyperlink(VLOOKUP(A992,Internal_lists_bugs!$A$2:$G1014,7,FALSE()),"BIC: "&amp;VLOOKUP(A992,Internal_lists_bugs!$A$2:$G1014,7,FALSE())&amp;CHAR(10)&amp;"Intro.Issues: "&amp;VLOOKUP(A992,Internal_lists_bugs!$A$2:$P1014,16,FALSE())),"please select a BUG ID")</f>
        <v>please select a BUG ID</v>
      </c>
      <c r="D992" s="52"/>
      <c r="E992" s="43"/>
      <c r="F992" s="49"/>
      <c r="G992" s="50"/>
      <c r="H992" s="43"/>
    </row>
    <row r="993">
      <c r="A993" s="43"/>
      <c r="B993" s="38" t="str">
        <f>IFERROR(HYPERLINK(VLOOKUP(A993,Internal_lists_bugs!$A$2:$C$73,3,FALSE()), VLOOKUP(A993,Internal_lists_bugs!$A$2:$C$73,3,FALSE())&amp;Char(10) &amp; Char(10) &amp; VLOOKUP(A993,Internal_lists_bugs!$A$2:$Z$73,26,FALSE())),"please select a BUG ID")</f>
        <v>please select a BUG ID</v>
      </c>
      <c r="C993" s="51" t="str">
        <f>IFERROR(Hyperlink(VLOOKUP(A993,Internal_lists_bugs!$A$2:$G1014,7,FALSE()),"BIC: "&amp;VLOOKUP(A993,Internal_lists_bugs!$A$2:$G1014,7,FALSE())&amp;CHAR(10)&amp;"Intro.Issues: "&amp;VLOOKUP(A993,Internal_lists_bugs!$A$2:$P1014,16,FALSE())),"please select a BUG ID")</f>
        <v>please select a BUG ID</v>
      </c>
      <c r="D993" s="52"/>
      <c r="E993" s="43"/>
      <c r="F993" s="49"/>
      <c r="G993" s="50"/>
      <c r="H993" s="43"/>
    </row>
    <row r="994">
      <c r="A994" s="43"/>
      <c r="B994" s="38" t="str">
        <f>IFERROR(HYPERLINK(VLOOKUP(A994,Internal_lists_bugs!$A$2:$C$73,3,FALSE()), VLOOKUP(A994,Internal_lists_bugs!$A$2:$C$73,3,FALSE())&amp;Char(10) &amp; Char(10) &amp; VLOOKUP(A994,Internal_lists_bugs!$A$2:$Z$73,26,FALSE())),"please select a BUG ID")</f>
        <v>please select a BUG ID</v>
      </c>
      <c r="C994" s="51" t="str">
        <f>IFERROR(Hyperlink(VLOOKUP(A994,Internal_lists_bugs!$A$2:$G1014,7,FALSE()),"BIC: "&amp;VLOOKUP(A994,Internal_lists_bugs!$A$2:$G1014,7,FALSE())&amp;CHAR(10)&amp;"Intro.Issues: "&amp;VLOOKUP(A994,Internal_lists_bugs!$A$2:$P1014,16,FALSE())),"please select a BUG ID")</f>
        <v>please select a BUG ID</v>
      </c>
      <c r="D994" s="52"/>
      <c r="E994" s="43"/>
      <c r="F994" s="49"/>
      <c r="G994" s="50"/>
      <c r="H994" s="43"/>
    </row>
    <row r="995">
      <c r="A995" s="43"/>
      <c r="B995" s="38" t="str">
        <f>IFERROR(HYPERLINK(VLOOKUP(A995,Internal_lists_bugs!$A$2:$C$73,3,FALSE()), VLOOKUP(A995,Internal_lists_bugs!$A$2:$C$73,3,FALSE())&amp;Char(10) &amp; Char(10) &amp; VLOOKUP(A995,Internal_lists_bugs!$A$2:$Z$73,26,FALSE())),"please select a BUG ID")</f>
        <v>please select a BUG ID</v>
      </c>
      <c r="C995" s="51" t="str">
        <f>IFERROR(Hyperlink(VLOOKUP(A995,Internal_lists_bugs!$A$2:$G1014,7,FALSE()),"BIC: "&amp;VLOOKUP(A995,Internal_lists_bugs!$A$2:$G1014,7,FALSE())&amp;CHAR(10)&amp;"Intro.Issues: "&amp;VLOOKUP(A995,Internal_lists_bugs!$A$2:$P1014,16,FALSE())),"please select a BUG ID")</f>
        <v>please select a BUG ID</v>
      </c>
      <c r="D995" s="52"/>
      <c r="E995" s="43"/>
      <c r="F995" s="49"/>
      <c r="G995" s="50"/>
      <c r="H995" s="43"/>
    </row>
    <row r="996">
      <c r="A996" s="43"/>
      <c r="B996" s="38" t="str">
        <f>IFERROR(HYPERLINK(VLOOKUP(A996,Internal_lists_bugs!$A$2:$C$73,3,FALSE()), VLOOKUP(A996,Internal_lists_bugs!$A$2:$C$73,3,FALSE())&amp;Char(10) &amp; Char(10) &amp; VLOOKUP(A996,Internal_lists_bugs!$A$2:$Z$73,26,FALSE())),"please select a BUG ID")</f>
        <v>please select a BUG ID</v>
      </c>
      <c r="C996" s="51" t="str">
        <f>IFERROR(Hyperlink(VLOOKUP(A996,Internal_lists_bugs!$A$2:$G1014,7,FALSE()),"BIC: "&amp;VLOOKUP(A996,Internal_lists_bugs!$A$2:$G1014,7,FALSE())&amp;CHAR(10)&amp;"Intro.Issues: "&amp;VLOOKUP(A996,Internal_lists_bugs!$A$2:$P1014,16,FALSE())),"please select a BUG ID")</f>
        <v>please select a BUG ID</v>
      </c>
      <c r="D996" s="52"/>
      <c r="E996" s="43"/>
      <c r="F996" s="49"/>
      <c r="G996" s="50"/>
      <c r="H996" s="43"/>
    </row>
    <row r="997">
      <c r="A997" s="43"/>
      <c r="B997" s="38" t="str">
        <f>IFERROR(HYPERLINK(VLOOKUP(A997,Internal_lists_bugs!$A$2:$C$73,3,FALSE()), VLOOKUP(A997,Internal_lists_bugs!$A$2:$C$73,3,FALSE())&amp;Char(10) &amp; Char(10) &amp; VLOOKUP(A997,Internal_lists_bugs!$A$2:$Z$73,26,FALSE())),"please select a BUG ID")</f>
        <v>please select a BUG ID</v>
      </c>
      <c r="C997" s="51" t="str">
        <f>IFERROR(Hyperlink(VLOOKUP(A997,Internal_lists_bugs!$A$2:$G1014,7,FALSE()),"BIC: "&amp;VLOOKUP(A997,Internal_lists_bugs!$A$2:$G1014,7,FALSE())&amp;CHAR(10)&amp;"Intro.Issues: "&amp;VLOOKUP(A997,Internal_lists_bugs!$A$2:$P1014,16,FALSE())),"please select a BUG ID")</f>
        <v>please select a BUG ID</v>
      </c>
      <c r="D997" s="52"/>
      <c r="E997" s="43"/>
      <c r="F997" s="49"/>
      <c r="G997" s="50"/>
      <c r="H997" s="43"/>
    </row>
    <row r="998">
      <c r="A998" s="43"/>
      <c r="B998" s="38" t="str">
        <f>IFERROR(HYPERLINK(VLOOKUP(A998,Internal_lists_bugs!$A$2:$C$73,3,FALSE()), VLOOKUP(A998,Internal_lists_bugs!$A$2:$C$73,3,FALSE())&amp;Char(10) &amp; Char(10) &amp; VLOOKUP(A998,Internal_lists_bugs!$A$2:$Z$73,26,FALSE())),"please select a BUG ID")</f>
        <v>please select a BUG ID</v>
      </c>
      <c r="C998" s="51" t="str">
        <f>IFERROR(Hyperlink(VLOOKUP(A998,Internal_lists_bugs!$A$2:$G1014,7,FALSE()),"BIC: "&amp;VLOOKUP(A998,Internal_lists_bugs!$A$2:$G1014,7,FALSE())&amp;CHAR(10)&amp;"Intro.Issues: "&amp;VLOOKUP(A998,Internal_lists_bugs!$A$2:$P1014,16,FALSE())),"please select a BUG ID")</f>
        <v>please select a BUG ID</v>
      </c>
      <c r="D998" s="52"/>
      <c r="E998" s="43"/>
      <c r="F998" s="49"/>
      <c r="G998" s="50"/>
      <c r="H998" s="43"/>
    </row>
    <row r="999">
      <c r="A999" s="43"/>
      <c r="B999" s="38" t="str">
        <f>IFERROR(HYPERLINK(VLOOKUP(A999,Internal_lists_bugs!$A$2:$C$73,3,FALSE()), VLOOKUP(A999,Internal_lists_bugs!$A$2:$C$73,3,FALSE())&amp;Char(10) &amp; Char(10) &amp; VLOOKUP(A999,Internal_lists_bugs!$A$2:$Z$73,26,FALSE())),"please select a BUG ID")</f>
        <v>please select a BUG ID</v>
      </c>
      <c r="C999" s="51" t="str">
        <f>IFERROR(Hyperlink(VLOOKUP(A999,Internal_lists_bugs!$A$2:$G1014,7,FALSE()),"BIC: "&amp;VLOOKUP(A999,Internal_lists_bugs!$A$2:$G1014,7,FALSE())&amp;CHAR(10)&amp;"Intro.Issues: "&amp;VLOOKUP(A999,Internal_lists_bugs!$A$2:$P1014,16,FALSE())),"please select a BUG ID")</f>
        <v>please select a BUG ID</v>
      </c>
      <c r="D999" s="52"/>
      <c r="E999" s="43"/>
      <c r="F999" s="49"/>
      <c r="G999" s="50"/>
      <c r="H999" s="43"/>
    </row>
    <row r="1000">
      <c r="A1000" s="43"/>
      <c r="B1000" s="38" t="str">
        <f>IFERROR(HYPERLINK(VLOOKUP(A1000,Internal_lists_bugs!$A$2:$C$73,3,FALSE()), VLOOKUP(A1000,Internal_lists_bugs!$A$2:$C$73,3,FALSE())&amp;Char(10) &amp; Char(10) &amp; VLOOKUP(A1000,Internal_lists_bugs!$A$2:$Z$73,26,FALSE())),"please select a BUG ID")</f>
        <v>please select a BUG ID</v>
      </c>
      <c r="C1000" s="51" t="str">
        <f>IFERROR(Hyperlink(VLOOKUP(A1000,Internal_lists_bugs!$A$2:$G1014,7,FALSE()),"BIC: "&amp;VLOOKUP(A1000,Internal_lists_bugs!$A$2:$G1014,7,FALSE())&amp;CHAR(10)&amp;"Intro.Issues: "&amp;VLOOKUP(A1000,Internal_lists_bugs!$A$2:$P1014,16,FALSE())),"please select a BUG ID")</f>
        <v>please select a BUG ID</v>
      </c>
      <c r="D1000" s="52"/>
      <c r="E1000" s="43"/>
      <c r="F1000" s="49"/>
      <c r="G1000" s="50"/>
      <c r="H1000" s="43"/>
    </row>
    <row r="1001">
      <c r="A1001" s="43"/>
      <c r="B1001" s="38" t="str">
        <f>IFERROR(HYPERLINK(VLOOKUP(A1001,Internal_lists_bugs!$A$2:$C$73,3,FALSE()), VLOOKUP(A1001,Internal_lists_bugs!$A$2:$C$73,3,FALSE())&amp;Char(10) &amp; Char(10) &amp; VLOOKUP(A1001,Internal_lists_bugs!$A$2:$Z$73,26,FALSE())),"please select a BUG ID")</f>
        <v>please select a BUG ID</v>
      </c>
      <c r="C1001" s="51" t="str">
        <f>IFERROR(Hyperlink(VLOOKUP(A1001,Internal_lists_bugs!$A$2:$G1014,7,FALSE()),"BIC: "&amp;VLOOKUP(A1001,Internal_lists_bugs!$A$2:$G1014,7,FALSE())&amp;CHAR(10)&amp;"Intro.Issues: "&amp;VLOOKUP(A1001,Internal_lists_bugs!$A$2:$P1014,16,FALSE())),"please select a BUG ID")</f>
        <v>please select a BUG ID</v>
      </c>
      <c r="D1001" s="52"/>
      <c r="E1001" s="43"/>
      <c r="F1001" s="49"/>
      <c r="G1001" s="50"/>
      <c r="H1001" s="43"/>
    </row>
    <row r="1002">
      <c r="A1002" s="43"/>
      <c r="B1002" s="38" t="str">
        <f>IFERROR(HYPERLINK(VLOOKUP(A1002,Internal_lists_bugs!$A$2:$C$73,3,FALSE()), VLOOKUP(A1002,Internal_lists_bugs!$A$2:$C$73,3,FALSE())&amp;Char(10) &amp; Char(10) &amp; VLOOKUP(A1002,Internal_lists_bugs!$A$2:$Z$73,26,FALSE())),"please select a BUG ID")</f>
        <v>please select a BUG ID</v>
      </c>
      <c r="C1002" s="51" t="str">
        <f>IFERROR(Hyperlink(VLOOKUP(A1002,Internal_lists_bugs!$A$2:$G1014,7,FALSE()),"BIC: "&amp;VLOOKUP(A1002,Internal_lists_bugs!$A$2:$G1014,7,FALSE())&amp;CHAR(10)&amp;"Intro.Issues: "&amp;VLOOKUP(A1002,Internal_lists_bugs!$A$2:$P1014,16,FALSE())),"please select a BUG ID")</f>
        <v>please select a BUG ID</v>
      </c>
      <c r="D1002" s="52"/>
      <c r="E1002" s="43"/>
      <c r="F1002" s="49"/>
      <c r="G1002" s="50"/>
      <c r="H1002" s="43"/>
    </row>
    <row r="1003">
      <c r="A1003" s="43"/>
      <c r="B1003" s="38" t="str">
        <f>IFERROR(HYPERLINK(VLOOKUP(A1003,Internal_lists_bugs!$A$2:$C$73,3,FALSE()), VLOOKUP(A1003,Internal_lists_bugs!$A$2:$C$73,3,FALSE())&amp;Char(10) &amp; Char(10) &amp; VLOOKUP(A1003,Internal_lists_bugs!$A$2:$Z$73,26,FALSE())),"please select a BUG ID")</f>
        <v>please select a BUG ID</v>
      </c>
      <c r="C1003" s="51" t="str">
        <f>IFERROR(Hyperlink(VLOOKUP(A1003,Internal_lists_bugs!$A$2:$G1014,7,FALSE()),"BIC: "&amp;VLOOKUP(A1003,Internal_lists_bugs!$A$2:$G1014,7,FALSE())&amp;CHAR(10)&amp;"Intro.Issues: "&amp;VLOOKUP(A1003,Internal_lists_bugs!$A$2:$P1014,16,FALSE())),"please select a BUG ID")</f>
        <v>please select a BUG ID</v>
      </c>
      <c r="D1003" s="52"/>
      <c r="E1003" s="43"/>
      <c r="F1003" s="49"/>
      <c r="G1003" s="50"/>
      <c r="H1003" s="43"/>
    </row>
    <row r="1004">
      <c r="A1004" s="43"/>
      <c r="B1004" s="38" t="str">
        <f>IFERROR(HYPERLINK(VLOOKUP(A1004,Internal_lists_bugs!$A$2:$C$73,3,FALSE()), VLOOKUP(A1004,Internal_lists_bugs!$A$2:$C$73,3,FALSE())&amp;Char(10) &amp; Char(10) &amp; VLOOKUP(A1004,Internal_lists_bugs!$A$2:$Z$73,26,FALSE())),"please select a BUG ID")</f>
        <v>please select a BUG ID</v>
      </c>
      <c r="C1004" s="51" t="str">
        <f>IFERROR(Hyperlink(VLOOKUP(A1004,Internal_lists_bugs!$A$2:$G1014,7,FALSE()),"BIC: "&amp;VLOOKUP(A1004,Internal_lists_bugs!$A$2:$G1014,7,FALSE())&amp;CHAR(10)&amp;"Intro.Issues: "&amp;VLOOKUP(A1004,Internal_lists_bugs!$A$2:$P1014,16,FALSE())),"please select a BUG ID")</f>
        <v>please select a BUG ID</v>
      </c>
      <c r="D1004" s="52"/>
      <c r="E1004" s="43"/>
      <c r="F1004" s="49"/>
      <c r="G1004" s="50"/>
      <c r="H1004" s="43"/>
    </row>
    <row r="1005">
      <c r="A1005" s="43"/>
      <c r="B1005" s="38" t="str">
        <f>IFERROR(HYPERLINK(VLOOKUP(A1005,Internal_lists_bugs!$A$2:$C$73,3,FALSE()), VLOOKUP(A1005,Internal_lists_bugs!$A$2:$C$73,3,FALSE())&amp;Char(10) &amp; Char(10) &amp; VLOOKUP(A1005,Internal_lists_bugs!$A$2:$Z$73,26,FALSE())),"please select a BUG ID")</f>
        <v>please select a BUG ID</v>
      </c>
      <c r="C1005" s="51" t="str">
        <f>IFERROR(Hyperlink(VLOOKUP(A1005,Internal_lists_bugs!$A$2:$G1014,7,FALSE()),"BIC: "&amp;VLOOKUP(A1005,Internal_lists_bugs!$A$2:$G1014,7,FALSE())&amp;CHAR(10)&amp;"Intro.Issues: "&amp;VLOOKUP(A1005,Internal_lists_bugs!$A$2:$P1014,16,FALSE())),"please select a BUG ID")</f>
        <v>please select a BUG ID</v>
      </c>
      <c r="D1005" s="52"/>
      <c r="E1005" s="43"/>
      <c r="F1005" s="49"/>
      <c r="G1005" s="50"/>
      <c r="H1005" s="43"/>
    </row>
    <row r="1006">
      <c r="A1006" s="43"/>
      <c r="B1006" s="38" t="str">
        <f>IFERROR(HYPERLINK(VLOOKUP(A1006,Internal_lists_bugs!$A$2:$C$73,3,FALSE()), VLOOKUP(A1006,Internal_lists_bugs!$A$2:$C$73,3,FALSE())&amp;Char(10) &amp; Char(10) &amp; VLOOKUP(A1006,Internal_lists_bugs!$A$2:$Z$73,26,FALSE())),"please select a BUG ID")</f>
        <v>please select a BUG ID</v>
      </c>
      <c r="C1006" s="51" t="str">
        <f>IFERROR(Hyperlink(VLOOKUP(A1006,Internal_lists_bugs!$A$2:$G1014,7,FALSE()),"BIC: "&amp;VLOOKUP(A1006,Internal_lists_bugs!$A$2:$G1014,7,FALSE())&amp;CHAR(10)&amp;"Intro.Issues: "&amp;VLOOKUP(A1006,Internal_lists_bugs!$A$2:$P1014,16,FALSE())),"please select a BUG ID")</f>
        <v>please select a BUG ID</v>
      </c>
      <c r="D1006" s="52"/>
      <c r="E1006" s="43"/>
      <c r="F1006" s="49"/>
      <c r="G1006" s="50"/>
      <c r="H1006" s="43"/>
    </row>
    <row r="1007">
      <c r="A1007" s="43"/>
      <c r="B1007" s="38" t="str">
        <f>IFERROR(HYPERLINK(VLOOKUP(A1007,Internal_lists_bugs!$A$2:$C$73,3,FALSE()), VLOOKUP(A1007,Internal_lists_bugs!$A$2:$C$73,3,FALSE())&amp;Char(10) &amp; Char(10) &amp; VLOOKUP(A1007,Internal_lists_bugs!$A$2:$Z$73,26,FALSE())),"please select a BUG ID")</f>
        <v>please select a BUG ID</v>
      </c>
      <c r="C1007" s="51" t="str">
        <f>IFERROR(Hyperlink(VLOOKUP(A1007,Internal_lists_bugs!$A$2:$G1014,7,FALSE()),"BIC: "&amp;VLOOKUP(A1007,Internal_lists_bugs!$A$2:$G1014,7,FALSE())&amp;CHAR(10)&amp;"Intro.Issues: "&amp;VLOOKUP(A1007,Internal_lists_bugs!$A$2:$P1014,16,FALSE())),"please select a BUG ID")</f>
        <v>please select a BUG ID</v>
      </c>
      <c r="D1007" s="52"/>
      <c r="E1007" s="43"/>
      <c r="F1007" s="49"/>
      <c r="G1007" s="50"/>
      <c r="H1007" s="43"/>
    </row>
    <row r="1008">
      <c r="A1008" s="43"/>
      <c r="B1008" s="38" t="str">
        <f>IFERROR(HYPERLINK(VLOOKUP(A1008,Internal_lists_bugs!$A$2:$C$73,3,FALSE()), VLOOKUP(A1008,Internal_lists_bugs!$A$2:$C$73,3,FALSE())&amp;Char(10) &amp; Char(10) &amp; VLOOKUP(A1008,Internal_lists_bugs!$A$2:$Z$73,26,FALSE())),"please select a BUG ID")</f>
        <v>please select a BUG ID</v>
      </c>
      <c r="C1008" s="51" t="str">
        <f>IFERROR(Hyperlink(VLOOKUP(A1008,Internal_lists_bugs!$A$2:$G1014,7,FALSE()),"BIC: "&amp;VLOOKUP(A1008,Internal_lists_bugs!$A$2:$G1014,7,FALSE())&amp;CHAR(10)&amp;"Intro.Issues: "&amp;VLOOKUP(A1008,Internal_lists_bugs!$A$2:$P1014,16,FALSE())),"please select a BUG ID")</f>
        <v>please select a BUG ID</v>
      </c>
      <c r="D1008" s="52"/>
      <c r="E1008" s="43"/>
      <c r="F1008" s="49"/>
      <c r="G1008" s="50"/>
      <c r="H1008" s="43"/>
    </row>
    <row r="1009">
      <c r="A1009" s="43"/>
      <c r="B1009" s="38" t="str">
        <f>IFERROR(HYPERLINK(VLOOKUP(A1009,Internal_lists_bugs!$A$2:$C$73,3,FALSE()), VLOOKUP(A1009,Internal_lists_bugs!$A$2:$C$73,3,FALSE())&amp;Char(10) &amp; Char(10) &amp; VLOOKUP(A1009,Internal_lists_bugs!$A$2:$Z$73,26,FALSE())),"please select a BUG ID")</f>
        <v>please select a BUG ID</v>
      </c>
      <c r="C1009" s="51" t="str">
        <f>IFERROR(Hyperlink(VLOOKUP(A1009,Internal_lists_bugs!$A$2:$G1014,7,FALSE()),"BIC: "&amp;VLOOKUP(A1009,Internal_lists_bugs!$A$2:$G1014,7,FALSE())&amp;CHAR(10)&amp;"Intro.Issues: "&amp;VLOOKUP(A1009,Internal_lists_bugs!$A$2:$P1014,16,FALSE())),"please select a BUG ID")</f>
        <v>please select a BUG ID</v>
      </c>
      <c r="D1009" s="52"/>
      <c r="E1009" s="43"/>
      <c r="F1009" s="49"/>
      <c r="G1009" s="50"/>
      <c r="H1009" s="43"/>
    </row>
    <row r="1010">
      <c r="A1010" s="43"/>
      <c r="B1010" s="38" t="str">
        <f>IFERROR(HYPERLINK(VLOOKUP(A1010,Internal_lists_bugs!$A$2:$C$73,3,FALSE()), VLOOKUP(A1010,Internal_lists_bugs!$A$2:$C$73,3,FALSE())&amp;Char(10) &amp; Char(10) &amp; VLOOKUP(A1010,Internal_lists_bugs!$A$2:$Z$73,26,FALSE())),"please select a BUG ID")</f>
        <v>please select a BUG ID</v>
      </c>
      <c r="C1010" s="51" t="str">
        <f>IFERROR(Hyperlink(VLOOKUP(A1010,Internal_lists_bugs!$A$2:$G1014,7,FALSE()),"BIC: "&amp;VLOOKUP(A1010,Internal_lists_bugs!$A$2:$G1014,7,FALSE())&amp;CHAR(10)&amp;"Intro.Issues: "&amp;VLOOKUP(A1010,Internal_lists_bugs!$A$2:$P1014,16,FALSE())),"please select a BUG ID")</f>
        <v>please select a BUG ID</v>
      </c>
      <c r="D1010" s="52"/>
      <c r="E1010" s="43"/>
      <c r="F1010" s="49"/>
      <c r="G1010" s="50"/>
      <c r="H1010" s="43"/>
    </row>
    <row r="1011">
      <c r="A1011" s="43"/>
      <c r="B1011" s="38" t="str">
        <f>IFERROR(HYPERLINK(VLOOKUP(A1011,Internal_lists_bugs!$A$2:$C$73,3,FALSE()), VLOOKUP(A1011,Internal_lists_bugs!$A$2:$C$73,3,FALSE())&amp;Char(10) &amp; Char(10) &amp; VLOOKUP(A1011,Internal_lists_bugs!$A$2:$Z$73,26,FALSE())),"please select a BUG ID")</f>
        <v>please select a BUG ID</v>
      </c>
      <c r="C1011" s="51" t="str">
        <f>IFERROR(Hyperlink(VLOOKUP(A1011,Internal_lists_bugs!$A$2:$G1014,7,FALSE()),"BIC: "&amp;VLOOKUP(A1011,Internal_lists_bugs!$A$2:$G1014,7,FALSE())&amp;CHAR(10)&amp;"Intro.Issues: "&amp;VLOOKUP(A1011,Internal_lists_bugs!$A$2:$P1014,16,FALSE())),"please select a BUG ID")</f>
        <v>please select a BUG ID</v>
      </c>
      <c r="D1011" s="52"/>
      <c r="E1011" s="43"/>
      <c r="F1011" s="49"/>
      <c r="G1011" s="50"/>
      <c r="H1011" s="43"/>
    </row>
    <row r="1012">
      <c r="A1012" s="43"/>
      <c r="B1012" s="38" t="str">
        <f>IFERROR(HYPERLINK(VLOOKUP(A1012,Internal_lists_bugs!$A$2:$C$73,3,FALSE()), VLOOKUP(A1012,Internal_lists_bugs!$A$2:$C$73,3,FALSE())&amp;Char(10) &amp; Char(10) &amp; VLOOKUP(A1012,Internal_lists_bugs!$A$2:$Z$73,26,FALSE())),"please select a BUG ID")</f>
        <v>please select a BUG ID</v>
      </c>
      <c r="C1012" s="51" t="str">
        <f>IFERROR(Hyperlink(VLOOKUP(A1012,Internal_lists_bugs!$A$2:$G1014,7,FALSE()),"BIC: "&amp;VLOOKUP(A1012,Internal_lists_bugs!$A$2:$G1014,7,FALSE())&amp;CHAR(10)&amp;"Intro.Issues: "&amp;VLOOKUP(A1012,Internal_lists_bugs!$A$2:$P1014,16,FALSE())),"please select a BUG ID")</f>
        <v>please select a BUG ID</v>
      </c>
      <c r="D1012" s="52"/>
      <c r="E1012" s="43"/>
      <c r="F1012" s="49"/>
      <c r="G1012" s="50"/>
      <c r="H1012" s="43"/>
    </row>
    <row r="1013">
      <c r="A1013" s="43"/>
      <c r="B1013" s="38" t="str">
        <f>IFERROR(HYPERLINK(VLOOKUP(A1013,Internal_lists_bugs!$A$2:$C$73,3,FALSE()), VLOOKUP(A1013,Internal_lists_bugs!$A$2:$C$73,3,FALSE())&amp;Char(10) &amp; Char(10) &amp; VLOOKUP(A1013,Internal_lists_bugs!$A$2:$Z$73,26,FALSE())),"please select a BUG ID")</f>
        <v>please select a BUG ID</v>
      </c>
      <c r="C1013" s="51" t="str">
        <f>IFERROR(Hyperlink(VLOOKUP(A1013,Internal_lists_bugs!$A$2:$G1014,7,FALSE()),"BIC: "&amp;VLOOKUP(A1013,Internal_lists_bugs!$A$2:$G1014,7,FALSE())&amp;CHAR(10)&amp;"Intro.Issues: "&amp;VLOOKUP(A1013,Internal_lists_bugs!$A$2:$P1014,16,FALSE())),"please select a BUG ID")</f>
        <v>please select a BUG ID</v>
      </c>
      <c r="D1013" s="52"/>
      <c r="E1013" s="43"/>
      <c r="F1013" s="49"/>
      <c r="G1013" s="50"/>
      <c r="H1013" s="43"/>
    </row>
    <row r="1014">
      <c r="A1014" s="43"/>
      <c r="B1014" s="38" t="str">
        <f>IFERROR(HYPERLINK(VLOOKUP(A1014,Internal_lists_bugs!$A$2:$C$73,3,FALSE()), VLOOKUP(A1014,Internal_lists_bugs!$A$2:$C$73,3,FALSE())&amp;Char(10) &amp; Char(10) &amp; VLOOKUP(A1014,Internal_lists_bugs!$A$2:$Z$73,26,FALSE())),"please select a BUG ID")</f>
        <v>please select a BUG ID</v>
      </c>
      <c r="C1014" s="51" t="str">
        <f>IFERROR(Hyperlink(VLOOKUP(A1014,Internal_lists_bugs!$A$2:$G1014,7,FALSE()),"BIC: "&amp;VLOOKUP(A1014,Internal_lists_bugs!$A$2:$G1014,7,FALSE())&amp;CHAR(10)&amp;"Intro.Issues: "&amp;VLOOKUP(A1014,Internal_lists_bugs!$A$2:$P1014,16,FALSE())),"please select a BUG ID")</f>
        <v>please select a BUG ID</v>
      </c>
      <c r="D1014" s="52"/>
      <c r="E1014" s="43"/>
      <c r="F1014" s="49"/>
      <c r="G1014" s="50"/>
      <c r="H1014" s="43"/>
    </row>
  </sheetData>
  <mergeCells count="1">
    <mergeCell ref="F1:G1"/>
  </mergeCells>
  <dataValidations>
    <dataValidation type="list" allowBlank="1" showErrorMessage="1" sqref="H3:H1014">
      <formula1>"YES,NO"</formula1>
    </dataValidation>
    <dataValidation type="list" allowBlank="1" sqref="F3:F1014">
      <formula1>Internal_lists_variables!$D$2:$D1014</formula1>
    </dataValidation>
    <dataValidation type="list" allowBlank="1" sqref="E3:E213 E215:E1014">
      <formula1>Internal_lists_variables!$C$2:$C1014</formula1>
    </dataValidation>
    <dataValidation type="list" allowBlank="1" showInputMessage="1" showErrorMessage="1" prompt="Project BugID" sqref="A3:A1014">
      <formula1>Internal_lists_bugs!$A$2:$A1014</formula1>
    </dataValidation>
  </dataValidations>
  <hyperlinks>
    <hyperlink r:id="rId2" ref="A1"/>
    <hyperlink r:id="rId3" location="gid=405816964" ref="B1"/>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41.88"/>
    <col customWidth="1" min="3" max="3" width="43.5"/>
    <col customWidth="1" min="4" max="4" width="28.63" outlineLevel="1"/>
    <col customWidth="1" min="5" max="5" width="16.38" outlineLevel="1"/>
    <col customWidth="1" min="6" max="11" width="30.75" outlineLevel="1"/>
  </cols>
  <sheetData>
    <row r="1">
      <c r="A1" s="21" t="s">
        <v>101</v>
      </c>
      <c r="B1" s="21" t="s">
        <v>102</v>
      </c>
      <c r="C1" s="22" t="s">
        <v>103</v>
      </c>
      <c r="D1" s="53" t="s">
        <v>229</v>
      </c>
      <c r="F1" s="54" t="s">
        <v>230</v>
      </c>
      <c r="G1" s="26"/>
      <c r="H1" s="55" t="s">
        <v>231</v>
      </c>
      <c r="J1" s="54" t="s">
        <v>232</v>
      </c>
      <c r="K1" s="26"/>
      <c r="L1" s="16"/>
      <c r="M1" s="16"/>
      <c r="N1" s="16"/>
    </row>
    <row r="2">
      <c r="A2" s="28" t="s">
        <v>109</v>
      </c>
      <c r="B2" s="29" t="s">
        <v>233</v>
      </c>
      <c r="C2" s="30" t="s">
        <v>234</v>
      </c>
      <c r="D2" s="32" t="s">
        <v>114</v>
      </c>
      <c r="E2" s="32" t="s">
        <v>115</v>
      </c>
      <c r="F2" s="33" t="s">
        <v>235</v>
      </c>
      <c r="G2" s="34" t="s">
        <v>115</v>
      </c>
      <c r="H2" s="32" t="s">
        <v>236</v>
      </c>
      <c r="I2" s="32" t="s">
        <v>115</v>
      </c>
      <c r="J2" s="56" t="s">
        <v>236</v>
      </c>
      <c r="K2" s="57" t="s">
        <v>115</v>
      </c>
      <c r="L2" s="37"/>
      <c r="M2" s="37"/>
      <c r="N2" s="37"/>
    </row>
    <row r="3">
      <c r="A3" s="58"/>
      <c r="B3" s="59" t="str">
        <f>IFERROR(HYPERLINK(VLOOKUP(A3,Internal_lists_bugs!$A$2:$C$73,3,FALSE()), VLOOKUP(A3,Internal_lists_bugs!$A$2:$C$73,3,FALSE())&amp;Char(10) &amp; Char(10) &amp; VLOOKUP(A3,Internal_lists_bugs!$A$2:$Z$73,26,FALSE())),"please select a BUG ID")</f>
        <v>please select a BUG ID</v>
      </c>
      <c r="C3" s="51" t="str">
        <f>IFERROR(__xludf.DUMMYFUNCTION("IFERROR(IF(REGEXMATCH(VLOOKUP(A3,Internal_lists_bugs!$A$2:$R$73,18,FALSE()), ""Yes""), VLOOKUP(A3,Internal_lists_bugs!$A$2:$U$73,21,FALSE()), VLOOKUP(A3,Internal_lists_bugs!$A$2:$R$73,18,FALSE())),""please select a BUG ID"")"),"please select a BUG ID")</f>
        <v>please select a BUG ID</v>
      </c>
      <c r="D3" s="43"/>
      <c r="F3" s="60"/>
      <c r="G3" s="61"/>
      <c r="H3" s="43"/>
      <c r="J3" s="60"/>
      <c r="K3" s="61"/>
    </row>
    <row r="4">
      <c r="A4" s="58"/>
      <c r="B4" s="59" t="str">
        <f>IFERROR(HYPERLINK(VLOOKUP(A4,Internal_lists_bugs!$A$2:$C$73,3,FALSE()), VLOOKUP(A4,Internal_lists_bugs!$A$2:$C$73,3,FALSE())&amp;Char(10) &amp; Char(10) &amp; VLOOKUP(A4,Internal_lists_bugs!$A$2:$Z$73,26,FALSE())),"please select a BUG ID")</f>
        <v>please select a BUG ID</v>
      </c>
      <c r="C4" s="51" t="str">
        <f>IFERROR(__xludf.DUMMYFUNCTION("IFERROR(IF(REGEXMATCH(VLOOKUP(A4,Internal_lists_bugs!$A$2:$R$73,18,FALSE()), ""Yes""), VLOOKUP(A4,Internal_lists_bugs!$A$2:$U$73,21,FALSE()), VLOOKUP(A4,Internal_lists_bugs!$A$2:$R$73,18,FALSE())),""please select a BUG ID"")"),"please select a BUG ID")</f>
        <v>please select a BUG ID</v>
      </c>
      <c r="D4" s="43"/>
      <c r="F4" s="60"/>
      <c r="G4" s="61"/>
      <c r="H4" s="43"/>
      <c r="J4" s="60"/>
      <c r="K4" s="61"/>
    </row>
    <row r="5">
      <c r="A5" s="58"/>
      <c r="B5" s="59" t="str">
        <f>IFERROR(HYPERLINK(VLOOKUP(A5,Internal_lists_bugs!$A$2:$C$73,3,FALSE()), VLOOKUP(A5,Internal_lists_bugs!$A$2:$C$73,3,FALSE())&amp;Char(10) &amp; Char(10) &amp; VLOOKUP(A5,Internal_lists_bugs!$A$2:$Z$73,26,FALSE())),"please select a BUG ID")</f>
        <v>please select a BUG ID</v>
      </c>
      <c r="C5" s="51" t="str">
        <f>IFERROR(__xludf.DUMMYFUNCTION("IFERROR(IF(REGEXMATCH(VLOOKUP(A5,Internal_lists_bugs!$A$2:$R$73,18,FALSE()), ""Yes""), VLOOKUP(A5,Internal_lists_bugs!$A$2:$U$73,21,FALSE()), VLOOKUP(A5,Internal_lists_bugs!$A$2:$R$73,18,FALSE())),""please select a BUG ID"")"),"please select a BUG ID")</f>
        <v>please select a BUG ID</v>
      </c>
      <c r="D5" s="43"/>
      <c r="F5" s="62"/>
      <c r="G5" s="63"/>
      <c r="H5" s="43"/>
      <c r="J5" s="62"/>
      <c r="K5" s="63"/>
    </row>
    <row r="6">
      <c r="A6" s="58"/>
      <c r="B6" s="59" t="str">
        <f>IFERROR(HYPERLINK(VLOOKUP(A6,Internal_lists_bugs!$A$2:$C$73,3,FALSE()), VLOOKUP(A6,Internal_lists_bugs!$A$2:$C$73,3,FALSE())&amp;Char(10) &amp; Char(10) &amp; VLOOKUP(A6,Internal_lists_bugs!$A$2:$Z$73,26,FALSE())),"please select a BUG ID")</f>
        <v>please select a BUG ID</v>
      </c>
      <c r="C6" s="51" t="str">
        <f>IFERROR(__xludf.DUMMYFUNCTION("IFERROR(IF(REGEXMATCH(VLOOKUP(A6,Internal_lists_bugs!$A$2:$R$73,18,FALSE()), ""Yes""), VLOOKUP(A6,Internal_lists_bugs!$A$2:$U$73,21,FALSE()), VLOOKUP(A6,Internal_lists_bugs!$A$2:$R$73,18,FALSE())),""please select a BUG ID"")"),"please select a BUG ID")</f>
        <v>please select a BUG ID</v>
      </c>
      <c r="D6" s="43"/>
      <c r="F6" s="62"/>
      <c r="G6" s="63"/>
      <c r="H6" s="43"/>
      <c r="J6" s="62"/>
      <c r="K6" s="63"/>
    </row>
    <row r="7">
      <c r="A7" s="58"/>
      <c r="B7" s="59" t="str">
        <f>IFERROR(HYPERLINK(VLOOKUP(A7,Internal_lists_bugs!$A$2:$C$73,3,FALSE()), VLOOKUP(A7,Internal_lists_bugs!$A$2:$C$73,3,FALSE())&amp;Char(10) &amp; Char(10) &amp; VLOOKUP(A7,Internal_lists_bugs!$A$2:$Z$73,26,FALSE())),"please select a BUG ID")</f>
        <v>please select a BUG ID</v>
      </c>
      <c r="C7" s="51" t="str">
        <f>IFERROR(__xludf.DUMMYFUNCTION("IFERROR(IF(REGEXMATCH(VLOOKUP(A7,Internal_lists_bugs!$A$2:$R$73,18,FALSE()), ""Yes""), VLOOKUP(A7,Internal_lists_bugs!$A$2:$U$73,21,FALSE()), VLOOKUP(A7,Internal_lists_bugs!$A$2:$R$73,18,FALSE())),""please select a BUG ID"")"),"please select a BUG ID")</f>
        <v>please select a BUG ID</v>
      </c>
      <c r="D7" s="43"/>
      <c r="F7" s="62"/>
      <c r="G7" s="63"/>
      <c r="H7" s="43"/>
      <c r="J7" s="62"/>
      <c r="K7" s="63"/>
    </row>
    <row r="8" ht="64.5" customHeight="1">
      <c r="A8" s="58"/>
      <c r="B8" s="59" t="str">
        <f>IFERROR(HYPERLINK(VLOOKUP(A8,Internal_lists_bugs!$A$2:$C$73,3,FALSE()), VLOOKUP(A8,Internal_lists_bugs!$A$2:$C$73,3,FALSE())&amp;Char(10) &amp; Char(10) &amp; VLOOKUP(A8,Internal_lists_bugs!$A$2:$Z$73,26,FALSE())),"please select a BUG ID")</f>
        <v>please select a BUG ID</v>
      </c>
      <c r="C8" s="51" t="str">
        <f>IFERROR(__xludf.DUMMYFUNCTION("IFERROR(IF(REGEXMATCH(VLOOKUP(A8,Internal_lists_bugs!$A$2:$R$73,18,FALSE()), ""Yes""), VLOOKUP(A8,Internal_lists_bugs!$A$2:$U$73,21,FALSE()), VLOOKUP(A8,Internal_lists_bugs!$A$2:$R$73,18,FALSE())),""please select a BUG ID"")"),"please select a BUG ID")</f>
        <v>please select a BUG ID</v>
      </c>
      <c r="D8" s="43"/>
      <c r="F8" s="60"/>
      <c r="G8" s="61"/>
      <c r="H8" s="43"/>
      <c r="J8" s="60"/>
      <c r="K8" s="61"/>
    </row>
    <row r="9" ht="40.5" customHeight="1">
      <c r="A9" s="64"/>
      <c r="B9" s="65" t="str">
        <f>IFERROR(HYPERLINK(VLOOKUP(A9,Internal_lists_bugs!$A$2:$C$73,3,FALSE()), VLOOKUP(A9,Internal_lists_bugs!$A$2:$C$73,3,FALSE())&amp;Char(10) &amp; Char(10) &amp; VLOOKUP(A9,Internal_lists_bugs!$A$2:$Z$73,26,FALSE())),"please select a BUG ID")</f>
        <v>please select a BUG ID</v>
      </c>
      <c r="C9" s="51" t="str">
        <f>IFERROR(__xludf.DUMMYFUNCTION("IFERROR(IF(REGEXMATCH(VLOOKUP(A9,Internal_lists_bugs!$A$2:$R$73,18,FALSE()), ""Yes""), VLOOKUP(A9,Internal_lists_bugs!$A$2:$U$73,21,FALSE()), VLOOKUP(A9,Internal_lists_bugs!$A$2:$R$73,18,FALSE())),""please select a BUG ID"")"),"please select a BUG ID")</f>
        <v>please select a BUG ID</v>
      </c>
      <c r="D9" s="43"/>
      <c r="F9" s="60"/>
      <c r="G9" s="61"/>
      <c r="H9" s="43"/>
      <c r="J9" s="60"/>
      <c r="K9" s="61"/>
    </row>
    <row r="10" ht="37.5" customHeight="1">
      <c r="A10" s="64"/>
      <c r="B10" s="65" t="str">
        <f>IFERROR(HYPERLINK(VLOOKUP(A10,Internal_lists_bugs!$A$2:$C$73,3,FALSE()), VLOOKUP(A10,Internal_lists_bugs!$A$2:$C$73,3,FALSE())&amp;Char(10) &amp; Char(10) &amp; VLOOKUP(A10,Internal_lists_bugs!$A$2:$Z$73,26,FALSE())),"please select a BUG ID")</f>
        <v>please select a BUG ID</v>
      </c>
      <c r="C10" s="51" t="str">
        <f>IFERROR(__xludf.DUMMYFUNCTION("IFERROR(IF(REGEXMATCH(VLOOKUP(A10,Internal_lists_bugs!$A$2:$R$73,18,FALSE()), ""Yes""), VLOOKUP(A10,Internal_lists_bugs!$A$2:$U$73,21,FALSE()), VLOOKUP(A10,Internal_lists_bugs!$A$2:$R$73,18,FALSE())),""please select a BUG ID"")"),"please select a BUG ID")</f>
        <v>please select a BUG ID</v>
      </c>
      <c r="D10" s="43"/>
      <c r="F10" s="62"/>
      <c r="G10" s="63"/>
      <c r="H10" s="43"/>
      <c r="J10" s="62"/>
      <c r="K10" s="63"/>
    </row>
    <row r="11" ht="36.75" customHeight="1">
      <c r="A11" s="64"/>
      <c r="B11" s="65" t="str">
        <f>IFERROR(HYPERLINK(VLOOKUP(A11,Internal_lists_bugs!$A$2:$C$73,3,FALSE()), VLOOKUP(A11,Internal_lists_bugs!$A$2:$C$73,3,FALSE())&amp;Char(10) &amp; Char(10) &amp; VLOOKUP(A11,Internal_lists_bugs!$A$2:$Z$73,26,FALSE())),"please select a BUG ID")</f>
        <v>please select a BUG ID</v>
      </c>
      <c r="C11" s="51" t="str">
        <f>IFERROR(__xludf.DUMMYFUNCTION("IFERROR(IF(REGEXMATCH(VLOOKUP(A11,Internal_lists_bugs!$A$2:$R$73,18,FALSE()), ""Yes""), VLOOKUP(A11,Internal_lists_bugs!$A$2:$U$73,21,FALSE()), VLOOKUP(A11,Internal_lists_bugs!$A$2:$R$73,18,FALSE())),""please select a BUG ID"")"),"please select a BUG ID")</f>
        <v>please select a BUG ID</v>
      </c>
      <c r="D11" s="43"/>
      <c r="F11" s="62"/>
      <c r="G11" s="63"/>
      <c r="H11" s="43"/>
      <c r="J11" s="62"/>
      <c r="K11" s="63"/>
    </row>
    <row r="12" ht="44.25" customHeight="1">
      <c r="A12" s="64"/>
      <c r="B12" s="65" t="str">
        <f>IFERROR(HYPERLINK(VLOOKUP(A12,Internal_lists_bugs!$A$2:$C$73,3,FALSE()), VLOOKUP(A12,Internal_lists_bugs!$A$2:$C$73,3,FALSE())&amp;Char(10) &amp; Char(10) &amp; VLOOKUP(A12,Internal_lists_bugs!$A$2:$Z$73,26,FALSE())),"please select a BUG ID")</f>
        <v>please select a BUG ID</v>
      </c>
      <c r="C12" s="51" t="str">
        <f>IFERROR(__xludf.DUMMYFUNCTION("IFERROR(IF(REGEXMATCH(VLOOKUP(A12,Internal_lists_bugs!$A$2:$R$73,18,FALSE()), ""Yes""), VLOOKUP(A12,Internal_lists_bugs!$A$2:$U$73,21,FALSE()), VLOOKUP(A12,Internal_lists_bugs!$A$2:$R$73,18,FALSE())),""please select a BUG ID"")"),"please select a BUG ID")</f>
        <v>please select a BUG ID</v>
      </c>
      <c r="D12" s="43"/>
      <c r="F12" s="62"/>
      <c r="G12" s="63"/>
      <c r="H12" s="43"/>
      <c r="J12" s="62"/>
      <c r="K12" s="63"/>
    </row>
    <row r="13" ht="42.75" customHeight="1">
      <c r="A13" s="64"/>
      <c r="B13" s="59" t="str">
        <f>IFERROR(HYPERLINK(VLOOKUP(A13,Internal_lists_bugs!$A$2:$C$73,3,FALSE()), VLOOKUP(A13,Internal_lists_bugs!$A$2:$C$73,3,FALSE())&amp;Char(10) &amp; Char(10) &amp; VLOOKUP(A13,Internal_lists_bugs!$A$2:$Z$73,26,FALSE())),"please select a BUG ID")</f>
        <v>please select a BUG ID</v>
      </c>
      <c r="C13" s="51" t="str">
        <f>IFERROR(__xludf.DUMMYFUNCTION("IFERROR(IF(REGEXMATCH(VLOOKUP(A13,Internal_lists_bugs!$A$2:$R$73,18,FALSE()), ""Yes""), VLOOKUP(A13,Internal_lists_bugs!$A$2:$U$73,21,FALSE()), VLOOKUP(A13,Internal_lists_bugs!$A$2:$R$73,18,FALSE())),""please select a BUG ID"")"),"please select a BUG ID")</f>
        <v>please select a BUG ID</v>
      </c>
      <c r="D13" s="43"/>
      <c r="F13" s="62"/>
      <c r="G13" s="63"/>
      <c r="H13" s="43"/>
      <c r="J13" s="62"/>
      <c r="K13" s="63"/>
    </row>
    <row r="14" ht="36.75" customHeight="1">
      <c r="A14" s="64"/>
      <c r="B14" s="59" t="str">
        <f>IFERROR(HYPERLINK(VLOOKUP(A14,Internal_lists_bugs!$A$2:$C$73,3,FALSE()), VLOOKUP(A14,Internal_lists_bugs!$A$2:$C$73,3,FALSE())&amp;Char(10) &amp; Char(10) &amp; VLOOKUP(A14,Internal_lists_bugs!$A$2:$Z$73,26,FALSE())),"please select a BUG ID")</f>
        <v>please select a BUG ID</v>
      </c>
      <c r="C14" s="51" t="str">
        <f>IFERROR(__xludf.DUMMYFUNCTION("IFERROR(IF(REGEXMATCH(VLOOKUP(A14,Internal_lists_bugs!$A$2:$R$73,18,FALSE()), ""Yes""), VLOOKUP(A14,Internal_lists_bugs!$A$2:$U$73,21,FALSE()), VLOOKUP(A14,Internal_lists_bugs!$A$2:$R$73,18,FALSE())),""please select a BUG ID"")"),"please select a BUG ID")</f>
        <v>please select a BUG ID</v>
      </c>
      <c r="D14" s="43"/>
      <c r="F14" s="62"/>
      <c r="G14" s="63"/>
      <c r="H14" s="43"/>
      <c r="J14" s="62"/>
      <c r="K14" s="63"/>
    </row>
    <row r="15" ht="37.5" customHeight="1">
      <c r="A15" s="64"/>
      <c r="B15" s="59" t="str">
        <f>IFERROR(HYPERLINK(VLOOKUP(A15,Internal_lists_bugs!$A$2:$C$73,3,FALSE()), VLOOKUP(A15,Internal_lists_bugs!$A$2:$C$73,3,FALSE())&amp;Char(10) &amp; Char(10) &amp; VLOOKUP(A15,Internal_lists_bugs!$A$2:$Z$73,26,FALSE())),"please select a BUG ID")</f>
        <v>please select a BUG ID</v>
      </c>
      <c r="C15" s="51" t="str">
        <f>IFERROR(__xludf.DUMMYFUNCTION("IFERROR(IF(REGEXMATCH(VLOOKUP(A15,Internal_lists_bugs!$A$2:$R$73,18,FALSE()), ""Yes""), VLOOKUP(A15,Internal_lists_bugs!$A$2:$U$73,21,FALSE()), VLOOKUP(A15,Internal_lists_bugs!$A$2:$R$73,18,FALSE())),""please select a BUG ID"")"),"please select a BUG ID")</f>
        <v>please select a BUG ID</v>
      </c>
      <c r="D15" s="43"/>
      <c r="F15" s="60"/>
      <c r="G15" s="61"/>
      <c r="H15" s="43"/>
      <c r="J15" s="60"/>
      <c r="K15" s="61"/>
    </row>
    <row r="16" ht="42.0" customHeight="1">
      <c r="A16" s="64"/>
      <c r="B16" s="59" t="str">
        <f>IFERROR(HYPERLINK(VLOOKUP(A16,Internal_lists_bugs!$A$2:$C$73,3,FALSE()), VLOOKUP(A16,Internal_lists_bugs!$A$2:$C$73,3,FALSE())&amp;Char(10) &amp; Char(10) &amp; VLOOKUP(A16,Internal_lists_bugs!$A$2:$Z$73,26,FALSE())),"please select a BUG ID")</f>
        <v>please select a BUG ID</v>
      </c>
      <c r="C16" s="51" t="str">
        <f>IFERROR(__xludf.DUMMYFUNCTION("IFERROR(IF(REGEXMATCH(VLOOKUP(A16,Internal_lists_bugs!$A$2:$R$73,18,FALSE()), ""Yes""), VLOOKUP(A16,Internal_lists_bugs!$A$2:$U$73,21,FALSE()), VLOOKUP(A16,Internal_lists_bugs!$A$2:$R$73,18,FALSE())),""please select a BUG ID"")"),"please select a BUG ID")</f>
        <v>please select a BUG ID</v>
      </c>
      <c r="D16" s="43"/>
      <c r="F16" s="60"/>
      <c r="G16" s="61"/>
      <c r="H16" s="43"/>
      <c r="J16" s="60"/>
      <c r="K16" s="61"/>
    </row>
    <row r="17" ht="42.0" customHeight="1">
      <c r="A17" s="64"/>
      <c r="B17" s="59" t="str">
        <f>IFERROR(HYPERLINK(VLOOKUP(A17,Internal_lists_bugs!$A$2:$C$73,3,FALSE()), VLOOKUP(A17,Internal_lists_bugs!$A$2:$C$73,3,FALSE())&amp;Char(10) &amp; Char(10) &amp; VLOOKUP(A17,Internal_lists_bugs!$A$2:$Z$73,26,FALSE())),"please select a BUG ID")</f>
        <v>please select a BUG ID</v>
      </c>
      <c r="C17" s="51" t="str">
        <f>IFERROR(__xludf.DUMMYFUNCTION("IFERROR(IF(REGEXMATCH(VLOOKUP(A17,Internal_lists_bugs!$A$2:$R$73,18,FALSE()), ""Yes""), VLOOKUP(A17,Internal_lists_bugs!$A$2:$U$73,21,FALSE()), VLOOKUP(A17,Internal_lists_bugs!$A$2:$R$73,18,FALSE())),""please select a BUG ID"")"),"please select a BUG ID")</f>
        <v>please select a BUG ID</v>
      </c>
      <c r="D17" s="43"/>
      <c r="F17" s="60"/>
      <c r="G17" s="61"/>
      <c r="H17" s="43"/>
      <c r="J17" s="60"/>
      <c r="K17" s="61"/>
    </row>
    <row r="18">
      <c r="A18" s="64"/>
      <c r="B18" s="59" t="str">
        <f>IFERROR(HYPERLINK(VLOOKUP(A18,Internal_lists_bugs!$A$2:$C$73,3,FALSE()), VLOOKUP(A18,Internal_lists_bugs!$A$2:$C$73,3,FALSE())&amp;Char(10) &amp; Char(10) &amp; VLOOKUP(A18,Internal_lists_bugs!$A$2:$Z$73,26,FALSE())),"please select a BUG ID")</f>
        <v>please select a BUG ID</v>
      </c>
      <c r="C18" s="51" t="str">
        <f>IFERROR(__xludf.DUMMYFUNCTION("IFERROR(IF(REGEXMATCH(VLOOKUP(A18,Internal_lists_bugs!$A$2:$R$73,18,FALSE()), ""Yes""), VLOOKUP(A18,Internal_lists_bugs!$A$2:$U$73,21,FALSE()), VLOOKUP(A18,Internal_lists_bugs!$A$2:$R$73,18,FALSE())),""please select a BUG ID"")"),"please select a BUG ID")</f>
        <v>please select a BUG ID</v>
      </c>
      <c r="D18" s="43"/>
      <c r="F18" s="62"/>
      <c r="G18" s="63"/>
      <c r="H18" s="43"/>
      <c r="J18" s="62"/>
      <c r="K18" s="63"/>
    </row>
    <row r="19">
      <c r="A19" s="64"/>
      <c r="B19" s="59" t="str">
        <f>IFERROR(HYPERLINK(VLOOKUP(A19,Internal_lists_bugs!$A$2:$C$73,3,FALSE()), VLOOKUP(A19,Internal_lists_bugs!$A$2:$C$73,3,FALSE())&amp;Char(10) &amp; Char(10) &amp; VLOOKUP(A19,Internal_lists_bugs!$A$2:$Z$73,26,FALSE())),"please select a BUG ID")</f>
        <v>please select a BUG ID</v>
      </c>
      <c r="C19" s="51" t="str">
        <f>IFERROR(__xludf.DUMMYFUNCTION("IFERROR(IF(REGEXMATCH(VLOOKUP(A19,Internal_lists_bugs!$A$2:$R$73,18,FALSE()), ""Yes""), VLOOKUP(A19,Internal_lists_bugs!$A$2:$U$73,21,FALSE()), VLOOKUP(A19,Internal_lists_bugs!$A$2:$R$73,18,FALSE())),""please select a BUG ID"")"),"please select a BUG ID")</f>
        <v>please select a BUG ID</v>
      </c>
      <c r="D19" s="43"/>
      <c r="F19" s="62"/>
      <c r="G19" s="63"/>
      <c r="H19" s="43"/>
      <c r="J19" s="62"/>
      <c r="K19" s="63"/>
    </row>
    <row r="20">
      <c r="A20" s="64"/>
      <c r="B20" s="59" t="str">
        <f>IFERROR(HYPERLINK(VLOOKUP(A20,Internal_lists_bugs!$A$2:$C$73,3,FALSE()), VLOOKUP(A20,Internal_lists_bugs!$A$2:$C$73,3,FALSE())&amp;Char(10) &amp; Char(10) &amp; VLOOKUP(A20,Internal_lists_bugs!$A$2:$Z$73,26,FALSE())),"please select a BUG ID")</f>
        <v>please select a BUG ID</v>
      </c>
      <c r="C20" s="51" t="str">
        <f>IFERROR(__xludf.DUMMYFUNCTION("IFERROR(IF(REGEXMATCH(VLOOKUP(A20,Internal_lists_bugs!$A$2:$R$73,18,FALSE()), ""Yes""), VLOOKUP(A20,Internal_lists_bugs!$A$2:$U$73,21,FALSE()), VLOOKUP(A20,Internal_lists_bugs!$A$2:$R$73,18,FALSE())),""please select a BUG ID"")"),"please select a BUG ID")</f>
        <v>please select a BUG ID</v>
      </c>
      <c r="D20" s="43"/>
      <c r="F20" s="60"/>
      <c r="G20" s="61"/>
      <c r="H20" s="43"/>
      <c r="J20" s="60"/>
      <c r="K20" s="61"/>
    </row>
    <row r="21">
      <c r="A21" s="64"/>
      <c r="B21" s="59" t="str">
        <f>IFERROR(HYPERLINK(VLOOKUP(A21,Internal_lists_bugs!$A$2:$C$73,3,FALSE()), VLOOKUP(A21,Internal_lists_bugs!$A$2:$C$73,3,FALSE())&amp;Char(10) &amp; Char(10) &amp; VLOOKUP(A21,Internal_lists_bugs!$A$2:$Z$73,26,FALSE())),"please select a BUG ID")</f>
        <v>please select a BUG ID</v>
      </c>
      <c r="C21" s="51" t="str">
        <f>IFERROR(__xludf.DUMMYFUNCTION("IFERROR(IF(REGEXMATCH(VLOOKUP(A21,Internal_lists_bugs!$A$2:$R$73,18,FALSE()), ""Yes""), VLOOKUP(A21,Internal_lists_bugs!$A$2:$U$73,21,FALSE()), VLOOKUP(A21,Internal_lists_bugs!$A$2:$R$73,18,FALSE())),""please select a BUG ID"")"),"please select a BUG ID")</f>
        <v>please select a BUG ID</v>
      </c>
      <c r="D21" s="43"/>
      <c r="F21" s="60"/>
      <c r="G21" s="61"/>
      <c r="H21" s="43"/>
      <c r="J21" s="60"/>
      <c r="K21" s="61"/>
    </row>
    <row r="22">
      <c r="A22" s="64"/>
      <c r="B22" s="59" t="str">
        <f>IFERROR(HYPERLINK(VLOOKUP(A22,Internal_lists_bugs!$A$2:$C$73,3,FALSE()), VLOOKUP(A22,Internal_lists_bugs!$A$2:$C$73,3,FALSE())&amp;Char(10) &amp; Char(10) &amp; VLOOKUP(A22,Internal_lists_bugs!$A$2:$Z$73,26,FALSE())),"please select a BUG ID")</f>
        <v>please select a BUG ID</v>
      </c>
      <c r="C22" s="51" t="str">
        <f>IFERROR(__xludf.DUMMYFUNCTION("IFERROR(IF(REGEXMATCH(VLOOKUP(A22,Internal_lists_bugs!$A$2:$R$73,18,FALSE()), ""Yes""), VLOOKUP(A22,Internal_lists_bugs!$A$2:$U$73,21,FALSE()), VLOOKUP(A22,Internal_lists_bugs!$A$2:$R$73,18,FALSE())),""please select a BUG ID"")"),"please select a BUG ID")</f>
        <v>please select a BUG ID</v>
      </c>
      <c r="D22" s="43"/>
      <c r="F22" s="60"/>
      <c r="G22" s="61"/>
      <c r="H22" s="43"/>
      <c r="J22" s="60"/>
      <c r="K22" s="61"/>
    </row>
    <row r="23">
      <c r="A23" s="64"/>
      <c r="B23" s="59" t="str">
        <f>IFERROR(HYPERLINK(VLOOKUP(A23,Internal_lists_bugs!$A$2:$C$73,3,FALSE()), VLOOKUP(A23,Internal_lists_bugs!$A$2:$C$73,3,FALSE())&amp;Char(10) &amp; Char(10) &amp; VLOOKUP(A23,Internal_lists_bugs!$A$2:$Z$73,26,FALSE())),"please select a BUG ID")</f>
        <v>please select a BUG ID</v>
      </c>
      <c r="C23" s="51" t="str">
        <f>IFERROR(__xludf.DUMMYFUNCTION("IFERROR(IF(REGEXMATCH(VLOOKUP(A23,Internal_lists_bugs!$A$2:$R$73,18,FALSE()), ""Yes""), VLOOKUP(A23,Internal_lists_bugs!$A$2:$U$73,21,FALSE()), VLOOKUP(A23,Internal_lists_bugs!$A$2:$R$73,18,FALSE())),""please select a BUG ID"")"),"please select a BUG ID")</f>
        <v>please select a BUG ID</v>
      </c>
      <c r="D23" s="43"/>
      <c r="F23" s="62"/>
      <c r="G23" s="63"/>
      <c r="H23" s="43"/>
      <c r="J23" s="62"/>
      <c r="K23" s="63"/>
    </row>
    <row r="24">
      <c r="A24" s="64"/>
      <c r="B24" s="59" t="str">
        <f>IFERROR(HYPERLINK(VLOOKUP(A24,Internal_lists_bugs!$A$2:$C$73,3,FALSE()), VLOOKUP(A24,Internal_lists_bugs!$A$2:$C$73,3,FALSE())&amp;Char(10) &amp; Char(10) &amp; VLOOKUP(A24,Internal_lists_bugs!$A$2:$Z$73,26,FALSE())),"please select a BUG ID")</f>
        <v>please select a BUG ID</v>
      </c>
      <c r="C24" s="51" t="str">
        <f>IFERROR(__xludf.DUMMYFUNCTION("IFERROR(IF(REGEXMATCH(VLOOKUP(A24,Internal_lists_bugs!$A$2:$R$73,18,FALSE()), ""Yes""), VLOOKUP(A24,Internal_lists_bugs!$A$2:$U$73,21,FALSE()), VLOOKUP(A24,Internal_lists_bugs!$A$2:$R$73,18,FALSE())),""please select a BUG ID"")"),"please select a BUG ID")</f>
        <v>please select a BUG ID</v>
      </c>
      <c r="D24" s="43"/>
      <c r="F24" s="62"/>
      <c r="G24" s="63"/>
      <c r="H24" s="43"/>
      <c r="J24" s="62"/>
      <c r="K24" s="63"/>
    </row>
    <row r="25">
      <c r="A25" s="64"/>
      <c r="B25" s="59" t="str">
        <f>IFERROR(HYPERLINK(VLOOKUP(A25,Internal_lists_bugs!$A$2:$C$73,3,FALSE()), VLOOKUP(A25,Internal_lists_bugs!$A$2:$C$73,3,FALSE())&amp;Char(10) &amp; Char(10) &amp; VLOOKUP(A25,Internal_lists_bugs!$A$2:$Z$73,26,FALSE())),"please select a BUG ID")</f>
        <v>please select a BUG ID</v>
      </c>
      <c r="C25" s="51" t="str">
        <f>IFERROR(__xludf.DUMMYFUNCTION("IFERROR(IF(REGEXMATCH(VLOOKUP(A25,Internal_lists_bugs!$A$2:$R$73,18,FALSE()), ""Yes""), VLOOKUP(A25,Internal_lists_bugs!$A$2:$U$73,21,FALSE()), VLOOKUP(A25,Internal_lists_bugs!$A$2:$R$73,18,FALSE())),""please select a BUG ID"")"),"please select a BUG ID")</f>
        <v>please select a BUG ID</v>
      </c>
      <c r="D25" s="43"/>
      <c r="F25" s="62"/>
      <c r="G25" s="63"/>
      <c r="H25" s="43"/>
      <c r="J25" s="62"/>
      <c r="K25" s="63"/>
    </row>
    <row r="26">
      <c r="A26" s="64"/>
      <c r="B26" s="59" t="str">
        <f>IFERROR(HYPERLINK(VLOOKUP(A26,Internal_lists_bugs!$A$2:$C$73,3,FALSE()), VLOOKUP(A26,Internal_lists_bugs!$A$2:$C$73,3,FALSE())&amp;Char(10) &amp; Char(10) &amp; VLOOKUP(A26,Internal_lists_bugs!$A$2:$Z$73,26,FALSE())),"please select a BUG ID")</f>
        <v>please select a BUG ID</v>
      </c>
      <c r="C26" s="51" t="str">
        <f>IFERROR(__xludf.DUMMYFUNCTION("IFERROR(IF(REGEXMATCH(VLOOKUP(A26,Internal_lists_bugs!$A$2:$R$73,18,FALSE()), ""Yes""), VLOOKUP(A26,Internal_lists_bugs!$A$2:$U$73,21,FALSE()), VLOOKUP(A26,Internal_lists_bugs!$A$2:$R$73,18,FALSE())),""please select a BUG ID"")"),"please select a BUG ID")</f>
        <v>please select a BUG ID</v>
      </c>
      <c r="D26" s="43"/>
      <c r="F26" s="62"/>
      <c r="G26" s="63"/>
      <c r="H26" s="43"/>
      <c r="J26" s="62"/>
      <c r="K26" s="63"/>
    </row>
    <row r="27" ht="41.25" customHeight="1">
      <c r="A27" s="64"/>
      <c r="B27" s="59" t="str">
        <f>IFERROR(HYPERLINK(VLOOKUP(A27,Internal_lists_bugs!$A$2:$C$73,3,FALSE()), VLOOKUP(A27,Internal_lists_bugs!$A$2:$C$73,3,FALSE())&amp;Char(10) &amp; Char(10) &amp; VLOOKUP(A27,Internal_lists_bugs!$A$2:$Z$73,26,FALSE())),"please select a BUG ID")</f>
        <v>please select a BUG ID</v>
      </c>
      <c r="C27" s="51" t="str">
        <f>IFERROR(__xludf.DUMMYFUNCTION("IFERROR(IF(REGEXMATCH(VLOOKUP(A27,Internal_lists_bugs!$A$2:$R$73,18,FALSE()), ""Yes""), VLOOKUP(A27,Internal_lists_bugs!$A$2:$U$73,21,FALSE()), VLOOKUP(A27,Internal_lists_bugs!$A$2:$R$73,18,FALSE())),""please select a BUG ID"")"),"please select a BUG ID")</f>
        <v>please select a BUG ID</v>
      </c>
      <c r="D27" s="43"/>
      <c r="F27" s="62"/>
      <c r="G27" s="63"/>
      <c r="H27" s="43"/>
      <c r="J27" s="62"/>
      <c r="K27" s="63"/>
    </row>
    <row r="28" ht="41.25" customHeight="1">
      <c r="A28" s="64"/>
      <c r="B28" s="59" t="str">
        <f>IFERROR(HYPERLINK(VLOOKUP(A28,Internal_lists_bugs!$A$2:$C$73,3,FALSE()), VLOOKUP(A28,Internal_lists_bugs!$A$2:$C$73,3,FALSE())&amp;Char(10) &amp; Char(10) &amp; VLOOKUP(A28,Internal_lists_bugs!$A$2:$Z$73,26,FALSE())),"please select a BUG ID")</f>
        <v>please select a BUG ID</v>
      </c>
      <c r="C28" s="51" t="str">
        <f>IFERROR(__xludf.DUMMYFUNCTION("IFERROR(IF(REGEXMATCH(VLOOKUP(A28,Internal_lists_bugs!$A$2:$R$73,18,FALSE()), ""Yes""), VLOOKUP(A28,Internal_lists_bugs!$A$2:$U$73,21,FALSE()), VLOOKUP(A28,Internal_lists_bugs!$A$2:$R$73,18,FALSE())),""please select a BUG ID"")"),"please select a BUG ID")</f>
        <v>please select a BUG ID</v>
      </c>
      <c r="D28" s="43"/>
      <c r="F28" s="62"/>
      <c r="G28" s="63"/>
      <c r="H28" s="43"/>
      <c r="J28" s="62"/>
      <c r="K28" s="63"/>
    </row>
    <row r="29" ht="41.25" customHeight="1">
      <c r="A29" s="64"/>
      <c r="B29" s="59" t="str">
        <f>IFERROR(HYPERLINK(VLOOKUP(A29,Internal_lists_bugs!$A$2:$C$73,3,FALSE()), VLOOKUP(A29,Internal_lists_bugs!$A$2:$C$73,3,FALSE())&amp;Char(10) &amp; Char(10) &amp; VLOOKUP(A29,Internal_lists_bugs!$A$2:$Z$73,26,FALSE())),"please select a BUG ID")</f>
        <v>please select a BUG ID</v>
      </c>
      <c r="C29" s="51" t="str">
        <f>IFERROR(__xludf.DUMMYFUNCTION("IFERROR(IF(REGEXMATCH(VLOOKUP(A29,Internal_lists_bugs!$A$2:$R$73,18,FALSE()), ""Yes""), VLOOKUP(A29,Internal_lists_bugs!$A$2:$U$73,21,FALSE()), VLOOKUP(A29,Internal_lists_bugs!$A$2:$R$73,18,FALSE())),""please select a BUG ID"")"),"please select a BUG ID")</f>
        <v>please select a BUG ID</v>
      </c>
      <c r="D29" s="43"/>
      <c r="F29" s="62"/>
      <c r="G29" s="63"/>
      <c r="H29" s="43"/>
      <c r="J29" s="60"/>
      <c r="K29" s="63"/>
    </row>
    <row r="30" ht="41.25" customHeight="1">
      <c r="A30" s="64"/>
      <c r="B30" s="59" t="str">
        <f>IFERROR(HYPERLINK(VLOOKUP(A30,Internal_lists_bugs!$A$2:$C$73,3,FALSE()), VLOOKUP(A30,Internal_lists_bugs!$A$2:$C$73,3,FALSE())&amp;Char(10) &amp; Char(10) &amp; VLOOKUP(A30,Internal_lists_bugs!$A$2:$Z$73,26,FALSE())),"please select a BUG ID")</f>
        <v>please select a BUG ID</v>
      </c>
      <c r="C30" s="51" t="str">
        <f>IFERROR(__xludf.DUMMYFUNCTION("IFERROR(IF(REGEXMATCH(VLOOKUP(A30,Internal_lists_bugs!$A$2:$R$73,18,FALSE()), ""Yes""), VLOOKUP(A30,Internal_lists_bugs!$A$2:$U$73,21,FALSE()), VLOOKUP(A30,Internal_lists_bugs!$A$2:$R$73,18,FALSE())),""please select a BUG ID"")"),"please select a BUG ID")</f>
        <v>please select a BUG ID</v>
      </c>
      <c r="D30" s="43"/>
      <c r="F30" s="62"/>
      <c r="G30" s="63"/>
      <c r="H30" s="43"/>
      <c r="J30" s="60"/>
      <c r="K30" s="63"/>
    </row>
    <row r="31">
      <c r="A31" s="64"/>
      <c r="B31" s="59" t="str">
        <f>IFERROR(HYPERLINK(VLOOKUP(A31,Internal_lists_bugs!$A$2:$C$73,3,FALSE()), VLOOKUP(A31,Internal_lists_bugs!$A$2:$C$73,3,FALSE())&amp;Char(10) &amp; Char(10) &amp; VLOOKUP(A31,Internal_lists_bugs!$A$2:$Z$73,26,FALSE())),"please select a BUG ID")</f>
        <v>please select a BUG ID</v>
      </c>
      <c r="C31" s="51" t="str">
        <f>IFERROR(__xludf.DUMMYFUNCTION("IFERROR(IF(REGEXMATCH(VLOOKUP(A31,Internal_lists_bugs!$A$2:$R$73,18,FALSE()), ""Yes""), VLOOKUP(A31,Internal_lists_bugs!$A$2:$U$73,21,FALSE()), VLOOKUP(A31,Internal_lists_bugs!$A$2:$R$73,18,FALSE())),""please select a BUG ID"")"),"please select a BUG ID")</f>
        <v>please select a BUG ID</v>
      </c>
      <c r="D31" s="43"/>
      <c r="F31" s="62"/>
      <c r="G31" s="63"/>
      <c r="H31" s="43"/>
      <c r="J31" s="62"/>
      <c r="K31" s="63"/>
    </row>
    <row r="32">
      <c r="A32" s="64"/>
      <c r="B32" s="59" t="str">
        <f>IFERROR(HYPERLINK(VLOOKUP(A32,Internal_lists_bugs!$A$2:$C$73,3,FALSE()), VLOOKUP(A32,Internal_lists_bugs!$A$2:$C$73,3,FALSE())&amp;Char(10) &amp; Char(10) &amp; VLOOKUP(A32,Internal_lists_bugs!$A$2:$Z$73,26,FALSE())),"please select a BUG ID")</f>
        <v>please select a BUG ID</v>
      </c>
      <c r="C32" s="51" t="str">
        <f>IFERROR(__xludf.DUMMYFUNCTION("IFERROR(IF(REGEXMATCH(VLOOKUP(A32,Internal_lists_bugs!$A$2:$R$73,18,FALSE()), ""Yes""), VLOOKUP(A32,Internal_lists_bugs!$A$2:$U$73,21,FALSE()), VLOOKUP(A32,Internal_lists_bugs!$A$2:$R$73,18,FALSE())),""please select a BUG ID"")"),"please select a BUG ID")</f>
        <v>please select a BUG ID</v>
      </c>
      <c r="D32" s="43"/>
      <c r="F32" s="62"/>
      <c r="G32" s="63"/>
      <c r="H32" s="43"/>
      <c r="J32" s="62"/>
      <c r="K32" s="63"/>
    </row>
    <row r="33">
      <c r="A33" s="64"/>
      <c r="B33" s="59" t="str">
        <f>IFERROR(HYPERLINK(VLOOKUP(A33,Internal_lists_bugs!$A$2:$C$73,3,FALSE()), VLOOKUP(A33,Internal_lists_bugs!$A$2:$C$73,3,FALSE())&amp;Char(10) &amp; Char(10) &amp; VLOOKUP(A33,Internal_lists_bugs!$A$2:$Z$73,26,FALSE())),"please select a BUG ID")</f>
        <v>please select a BUG ID</v>
      </c>
      <c r="C33" s="51" t="str">
        <f>IFERROR(__xludf.DUMMYFUNCTION("IFERROR(IF(REGEXMATCH(VLOOKUP(A33,Internal_lists_bugs!$A$2:$R$73,18,FALSE()), ""Yes""), VLOOKUP(A33,Internal_lists_bugs!$A$2:$U$73,21,FALSE()), VLOOKUP(A33,Internal_lists_bugs!$A$2:$R$73,18,FALSE())),""please select a BUG ID"")"),"please select a BUG ID")</f>
        <v>please select a BUG ID</v>
      </c>
      <c r="D33" s="43"/>
      <c r="F33" s="62"/>
      <c r="G33" s="63"/>
      <c r="H33" s="43"/>
      <c r="J33" s="62"/>
      <c r="K33" s="63"/>
    </row>
    <row r="34">
      <c r="A34" s="64"/>
      <c r="B34" s="59" t="str">
        <f>IFERROR(HYPERLINK(VLOOKUP(A34,Internal_lists_bugs!$A$2:$C$73,3,FALSE()), VLOOKUP(A34,Internal_lists_bugs!$A$2:$C$73,3,FALSE())&amp;Char(10) &amp; Char(10) &amp; VLOOKUP(A34,Internal_lists_bugs!$A$2:$Z$73,26,FALSE())),"please select a BUG ID")</f>
        <v>please select a BUG ID</v>
      </c>
      <c r="C34" s="51" t="str">
        <f>IFERROR(__xludf.DUMMYFUNCTION("IFERROR(IF(REGEXMATCH(VLOOKUP(A34,Internal_lists_bugs!$A$2:$R$73,18,FALSE()), ""Yes""), VLOOKUP(A34,Internal_lists_bugs!$A$2:$U$73,21,FALSE()), VLOOKUP(A34,Internal_lists_bugs!$A$2:$R$73,18,FALSE())),""please select a BUG ID"")"),"please select a BUG ID")</f>
        <v>please select a BUG ID</v>
      </c>
      <c r="D34" s="43"/>
      <c r="F34" s="62"/>
      <c r="G34" s="63"/>
      <c r="H34" s="43"/>
      <c r="J34" s="60"/>
      <c r="K34" s="63"/>
    </row>
    <row r="35">
      <c r="A35" s="64"/>
      <c r="B35" s="59" t="str">
        <f>IFERROR(HYPERLINK(VLOOKUP(A35,Internal_lists_bugs!$A$2:$C$73,3,FALSE()), VLOOKUP(A35,Internal_lists_bugs!$A$2:$C$73,3,FALSE())&amp;Char(10) &amp; Char(10) &amp; VLOOKUP(A35,Internal_lists_bugs!$A$2:$Z$73,26,FALSE())),"please select a BUG ID")</f>
        <v>please select a BUG ID</v>
      </c>
      <c r="C35" s="51" t="str">
        <f>IFERROR(__xludf.DUMMYFUNCTION("IFERROR(IF(REGEXMATCH(VLOOKUP(A35,Internal_lists_bugs!$A$2:$R$73,18,FALSE()), ""Yes""), VLOOKUP(A35,Internal_lists_bugs!$A$2:$U$73,21,FALSE()), VLOOKUP(A35,Internal_lists_bugs!$A$2:$R$73,18,FALSE())),""please select a BUG ID"")"),"please select a BUG ID")</f>
        <v>please select a BUG ID</v>
      </c>
      <c r="D35" s="43"/>
      <c r="F35" s="62"/>
      <c r="G35" s="63"/>
      <c r="H35" s="43"/>
      <c r="J35" s="60"/>
      <c r="K35" s="63"/>
    </row>
    <row r="36">
      <c r="A36" s="64"/>
      <c r="B36" s="59" t="str">
        <f>IFERROR(HYPERLINK(VLOOKUP(A36,Internal_lists_bugs!$A$2:$C$73,3,FALSE()), VLOOKUP(A36,Internal_lists_bugs!$A$2:$C$73,3,FALSE())&amp;Char(10) &amp; Char(10) &amp; VLOOKUP(A36,Internal_lists_bugs!$A$2:$Z$73,26,FALSE())),"please select a BUG ID")</f>
        <v>please select a BUG ID</v>
      </c>
      <c r="C36" s="51" t="str">
        <f>IFERROR(__xludf.DUMMYFUNCTION("IFERROR(IF(REGEXMATCH(VLOOKUP(A36,Internal_lists_bugs!$A$2:$R$73,18,FALSE()), ""Yes""), VLOOKUP(A36,Internal_lists_bugs!$A$2:$U$73,21,FALSE()), VLOOKUP(A36,Internal_lists_bugs!$A$2:$R$73,18,FALSE())),""please select a BUG ID"")"),"please select a BUG ID")</f>
        <v>please select a BUG ID</v>
      </c>
      <c r="D36" s="43"/>
      <c r="F36" s="62"/>
      <c r="G36" s="63"/>
      <c r="H36" s="43"/>
      <c r="J36" s="62"/>
      <c r="K36" s="63"/>
    </row>
    <row r="37">
      <c r="A37" s="64"/>
      <c r="B37" s="59" t="str">
        <f>IFERROR(HYPERLINK(VLOOKUP(A37,Internal_lists_bugs!$A$2:$C$73,3,FALSE()), VLOOKUP(A37,Internal_lists_bugs!$A$2:$C$73,3,FALSE())&amp;Char(10) &amp; Char(10) &amp; VLOOKUP(A37,Internal_lists_bugs!$A$2:$Z$73,26,FALSE())),"please select a BUG ID")</f>
        <v>please select a BUG ID</v>
      </c>
      <c r="C37" s="51" t="str">
        <f>IFERROR(__xludf.DUMMYFUNCTION("IFERROR(IF(REGEXMATCH(VLOOKUP(A37,Internal_lists_bugs!$A$2:$R$73,18,FALSE()), ""Yes""), VLOOKUP(A37,Internal_lists_bugs!$A$2:$U$73,21,FALSE()), VLOOKUP(A37,Internal_lists_bugs!$A$2:$R$73,18,FALSE())),""please select a BUG ID"")"),"please select a BUG ID")</f>
        <v>please select a BUG ID</v>
      </c>
      <c r="D37" s="43"/>
      <c r="F37" s="62"/>
      <c r="G37" s="63"/>
      <c r="H37" s="43"/>
      <c r="J37" s="62"/>
      <c r="K37" s="63"/>
    </row>
    <row r="38">
      <c r="A38" s="64"/>
      <c r="B38" s="59" t="str">
        <f>IFERROR(HYPERLINK(VLOOKUP(A38,Internal_lists_bugs!$A$2:$C$73,3,FALSE()), VLOOKUP(A38,Internal_lists_bugs!$A$2:$C$73,3,FALSE())&amp;Char(10) &amp; Char(10) &amp; VLOOKUP(A38,Internal_lists_bugs!$A$2:$Z$73,26,FALSE())),"please select a BUG ID")</f>
        <v>please select a BUG ID</v>
      </c>
      <c r="C38" s="51" t="str">
        <f>IFERROR(__xludf.DUMMYFUNCTION("IFERROR(IF(REGEXMATCH(VLOOKUP(A38,Internal_lists_bugs!$A$2:$R$73,18,FALSE()), ""Yes""), VLOOKUP(A38,Internal_lists_bugs!$A$2:$U$73,21,FALSE()), VLOOKUP(A38,Internal_lists_bugs!$A$2:$R$73,18,FALSE())),""please select a BUG ID"")"),"please select a BUG ID")</f>
        <v>please select a BUG ID</v>
      </c>
      <c r="D38" s="43"/>
      <c r="F38" s="60"/>
      <c r="G38" s="66"/>
      <c r="H38" s="43"/>
      <c r="J38" s="60"/>
      <c r="K38" s="66"/>
    </row>
    <row r="39">
      <c r="A39" s="67"/>
      <c r="B39" s="59" t="str">
        <f>IFERROR(HYPERLINK(VLOOKUP(A39,Internal_lists_bugs!$A$2:$C$73,3,FALSE()), VLOOKUP(A39,Internal_lists_bugs!$A$2:$C$73,3,FALSE())&amp;Char(10) &amp; Char(10) &amp; VLOOKUP(A39,Internal_lists_bugs!$A$2:$Z$73,26,FALSE())),"please select a BUG ID")</f>
        <v>please select a BUG ID</v>
      </c>
      <c r="C39" s="51" t="str">
        <f>IFERROR(__xludf.DUMMYFUNCTION("IFERROR(IF(REGEXMATCH(VLOOKUP(A39,Internal_lists_bugs!$A$2:$R$73,18,FALSE()), ""Yes""), VLOOKUP(A39,Internal_lists_bugs!$A$2:$U$73,21,FALSE()), VLOOKUP(A39,Internal_lists_bugs!$A$2:$R$73,18,FALSE())),""please select a BUG ID"")"),"please select a BUG ID")</f>
        <v>please select a BUG ID</v>
      </c>
      <c r="D39" s="43"/>
      <c r="F39" s="60"/>
      <c r="G39" s="66"/>
      <c r="H39" s="43"/>
      <c r="J39" s="60"/>
      <c r="K39" s="66"/>
    </row>
    <row r="40">
      <c r="A40" s="67"/>
      <c r="B40" s="59" t="str">
        <f>IFERROR(HYPERLINK(VLOOKUP(A40,Internal_lists_bugs!$A$2:$C$73,3,FALSE()), VLOOKUP(A40,Internal_lists_bugs!$A$2:$C$73,3,FALSE())&amp;Char(10) &amp; Char(10) &amp; VLOOKUP(A40,Internal_lists_bugs!$A$2:$Z$73,26,FALSE())),"please select a BUG ID")</f>
        <v>please select a BUG ID</v>
      </c>
      <c r="C40" s="51" t="str">
        <f>IFERROR(__xludf.DUMMYFUNCTION("IFERROR(IF(REGEXMATCH(VLOOKUP(A40,Internal_lists_bugs!$A$2:$R$73,18,FALSE()), ""Yes""), VLOOKUP(A40,Internal_lists_bugs!$A$2:$U$73,21,FALSE()), VLOOKUP(A40,Internal_lists_bugs!$A$2:$R$73,18,FALSE())),""please select a BUG ID"")"),"please select a BUG ID")</f>
        <v>please select a BUG ID</v>
      </c>
      <c r="D40" s="43"/>
      <c r="F40" s="62"/>
      <c r="G40" s="63"/>
      <c r="H40" s="43"/>
      <c r="J40" s="62"/>
      <c r="K40" s="63"/>
    </row>
    <row r="41">
      <c r="A41" s="67"/>
      <c r="B41" s="59" t="str">
        <f>IFERROR(HYPERLINK(VLOOKUP(A41,Internal_lists_bugs!$A$2:$C$73,3,FALSE()), VLOOKUP(A41,Internal_lists_bugs!$A$2:$C$73,3,FALSE())&amp;Char(10) &amp; Char(10) &amp; VLOOKUP(A41,Internal_lists_bugs!$A$2:$Z$73,26,FALSE())),"please select a BUG ID")</f>
        <v>please select a BUG ID</v>
      </c>
      <c r="C41" s="51" t="str">
        <f>IFERROR(__xludf.DUMMYFUNCTION("IFERROR(IF(REGEXMATCH(VLOOKUP(A41,Internal_lists_bugs!$A$2:$R$73,18,FALSE()), ""Yes""), VLOOKUP(A41,Internal_lists_bugs!$A$2:$U$73,21,FALSE()), VLOOKUP(A41,Internal_lists_bugs!$A$2:$R$73,18,FALSE())),""please select a BUG ID"")"),"please select a BUG ID")</f>
        <v>please select a BUG ID</v>
      </c>
      <c r="D41" s="43"/>
      <c r="F41" s="62"/>
      <c r="G41" s="63"/>
      <c r="H41" s="43"/>
      <c r="J41" s="62"/>
      <c r="K41" s="63"/>
    </row>
    <row r="42">
      <c r="A42" s="67"/>
      <c r="B42" s="59" t="str">
        <f>IFERROR(HYPERLINK(VLOOKUP(A42,Internal_lists_bugs!$A$2:$C$73,3,FALSE()), VLOOKUP(A42,Internal_lists_bugs!$A$2:$C$73,3,FALSE())&amp;Char(10) &amp; Char(10) &amp; VLOOKUP(A42,Internal_lists_bugs!$A$2:$Z$73,26,FALSE())),"please select a BUG ID")</f>
        <v>please select a BUG ID</v>
      </c>
      <c r="C42" s="51" t="str">
        <f>IFERROR(__xludf.DUMMYFUNCTION("IFERROR(IF(REGEXMATCH(VLOOKUP(A42,Internal_lists_bugs!$A$2:$R$73,18,FALSE()), ""Yes""), VLOOKUP(A42,Internal_lists_bugs!$A$2:$U$73,21,FALSE()), VLOOKUP(A42,Internal_lists_bugs!$A$2:$R$73,18,FALSE())),""please select a BUG ID"")"),"please select a BUG ID")</f>
        <v>please select a BUG ID</v>
      </c>
      <c r="D42" s="43"/>
      <c r="F42" s="62"/>
      <c r="G42" s="63"/>
      <c r="H42" s="43"/>
      <c r="J42" s="62"/>
      <c r="K42" s="63"/>
    </row>
    <row r="43">
      <c r="A43" s="67"/>
      <c r="B43" s="59" t="str">
        <f>IFERROR(HYPERLINK(VLOOKUP(A43,Internal_lists_bugs!$A$2:$C$73,3,FALSE()), VLOOKUP(A43,Internal_lists_bugs!$A$2:$C$73,3,FALSE())&amp;Char(10) &amp; Char(10) &amp; VLOOKUP(A43,Internal_lists_bugs!$A$2:$Z$73,26,FALSE())),"please select a BUG ID")</f>
        <v>please select a BUG ID</v>
      </c>
      <c r="C43" s="51" t="str">
        <f>IFERROR(__xludf.DUMMYFUNCTION("IFERROR(IF(REGEXMATCH(VLOOKUP(A43,Internal_lists_bugs!$A$2:$R$73,18,FALSE()), ""Yes""), VLOOKUP(A43,Internal_lists_bugs!$A$2:$U$73,21,FALSE()), VLOOKUP(A43,Internal_lists_bugs!$A$2:$R$73,18,FALSE())),""please select a BUG ID"")"),"please select a BUG ID")</f>
        <v>please select a BUG ID</v>
      </c>
      <c r="D43" s="43"/>
      <c r="F43" s="62"/>
      <c r="G43" s="63"/>
      <c r="H43" s="43"/>
      <c r="J43" s="62"/>
      <c r="K43" s="63"/>
    </row>
    <row r="44">
      <c r="A44" s="67"/>
      <c r="B44" s="59" t="str">
        <f>IFERROR(HYPERLINK(VLOOKUP(A44,Internal_lists_bugs!$A$2:$C$73,3,FALSE()), VLOOKUP(A44,Internal_lists_bugs!$A$2:$C$73,3,FALSE())&amp;Char(10) &amp; Char(10) &amp; VLOOKUP(A44,Internal_lists_bugs!$A$2:$Z$73,26,FALSE())),"please select a BUG ID")</f>
        <v>please select a BUG ID</v>
      </c>
      <c r="C44" s="51" t="str">
        <f>IFERROR(__xludf.DUMMYFUNCTION("IFERROR(IF(REGEXMATCH(VLOOKUP(A44,Internal_lists_bugs!$A$2:$R$73,18,FALSE()), ""Yes""), VLOOKUP(A44,Internal_lists_bugs!$A$2:$U$73,21,FALSE()), VLOOKUP(A44,Internal_lists_bugs!$A$2:$R$73,18,FALSE())),""please select a BUG ID"")"),"please select a BUG ID")</f>
        <v>please select a BUG ID</v>
      </c>
      <c r="D44" s="43"/>
      <c r="F44" s="62"/>
      <c r="G44" s="63"/>
      <c r="H44" s="43"/>
      <c r="J44" s="62"/>
      <c r="K44" s="63"/>
    </row>
    <row r="45">
      <c r="A45" s="67"/>
      <c r="B45" s="59" t="str">
        <f>IFERROR(HYPERLINK(VLOOKUP(A45,Internal_lists_bugs!$A$2:$C$73,3,FALSE()), VLOOKUP(A45,Internal_lists_bugs!$A$2:$C$73,3,FALSE())&amp;Char(10) &amp; Char(10) &amp; VLOOKUP(A45,Internal_lists_bugs!$A$2:$Z$73,26,FALSE())),"please select a BUG ID")</f>
        <v>please select a BUG ID</v>
      </c>
      <c r="C45" s="51" t="str">
        <f>IFERROR(__xludf.DUMMYFUNCTION("IFERROR(IF(REGEXMATCH(VLOOKUP(A45,Internal_lists_bugs!$A$2:$R$73,18,FALSE()), ""Yes""), VLOOKUP(A45,Internal_lists_bugs!$A$2:$U$73,21,FALSE()), VLOOKUP(A45,Internal_lists_bugs!$A$2:$R$73,18,FALSE())),""please select a BUG ID"")"),"please select a BUG ID")</f>
        <v>please select a BUG ID</v>
      </c>
      <c r="D45" s="43"/>
      <c r="F45" s="62"/>
      <c r="G45" s="63"/>
      <c r="H45" s="43"/>
      <c r="J45" s="62"/>
      <c r="K45" s="63"/>
    </row>
    <row r="46">
      <c r="A46" s="67"/>
      <c r="B46" s="59" t="str">
        <f>IFERROR(HYPERLINK(VLOOKUP(A46,Internal_lists_bugs!$A$2:$C$73,3,FALSE()), VLOOKUP(A46,Internal_lists_bugs!$A$2:$C$73,3,FALSE())&amp;Char(10) &amp; Char(10) &amp; VLOOKUP(A46,Internal_lists_bugs!$A$2:$Z$73,26,FALSE())),"please select a BUG ID")</f>
        <v>please select a BUG ID</v>
      </c>
      <c r="C46" s="51" t="str">
        <f>IFERROR(__xludf.DUMMYFUNCTION("IFERROR(IF(REGEXMATCH(VLOOKUP(A46,Internal_lists_bugs!$A$2:$R$73,18,FALSE()), ""Yes""), VLOOKUP(A46,Internal_lists_bugs!$A$2:$U$73,21,FALSE()), VLOOKUP(A46,Internal_lists_bugs!$A$2:$R$73,18,FALSE())),""please select a BUG ID"")"),"please select a BUG ID")</f>
        <v>please select a BUG ID</v>
      </c>
      <c r="D46" s="43"/>
      <c r="F46" s="62"/>
      <c r="G46" s="63"/>
      <c r="H46" s="43"/>
      <c r="J46" s="62"/>
      <c r="K46" s="63"/>
    </row>
    <row r="47">
      <c r="A47" s="67"/>
      <c r="B47" s="59" t="str">
        <f>IFERROR(HYPERLINK(VLOOKUP(A47,Internal_lists_bugs!$A$2:$C$73,3,FALSE()), VLOOKUP(A47,Internal_lists_bugs!$A$2:$C$73,3,FALSE())&amp;Char(10) &amp; Char(10) &amp; VLOOKUP(A47,Internal_lists_bugs!$A$2:$Z$73,26,FALSE())),"please select a BUG ID")</f>
        <v>please select a BUG ID</v>
      </c>
      <c r="C47" s="51" t="str">
        <f>IFERROR(__xludf.DUMMYFUNCTION("IFERROR(IF(REGEXMATCH(VLOOKUP(A47,Internal_lists_bugs!$A$2:$R$73,18,FALSE()), ""Yes""), VLOOKUP(A47,Internal_lists_bugs!$A$2:$U$73,21,FALSE()), VLOOKUP(A47,Internal_lists_bugs!$A$2:$R$73,18,FALSE())),""please select a BUG ID"")"),"please select a BUG ID")</f>
        <v>please select a BUG ID</v>
      </c>
      <c r="D47" s="43"/>
      <c r="F47" s="62"/>
      <c r="G47" s="63"/>
      <c r="H47" s="43"/>
      <c r="J47" s="62"/>
      <c r="K47" s="63"/>
    </row>
    <row r="48">
      <c r="A48" s="67"/>
      <c r="B48" s="59" t="str">
        <f>IFERROR(HYPERLINK(VLOOKUP(A48,Internal_lists_bugs!$A$2:$C$73,3,FALSE()), VLOOKUP(A48,Internal_lists_bugs!$A$2:$C$73,3,FALSE())&amp;Char(10) &amp; Char(10) &amp; VLOOKUP(A48,Internal_lists_bugs!$A$2:$Z$73,26,FALSE())),"please select a BUG ID")</f>
        <v>please select a BUG ID</v>
      </c>
      <c r="C48" s="51" t="str">
        <f>IFERROR(__xludf.DUMMYFUNCTION("IFERROR(IF(REGEXMATCH(VLOOKUP(A48,Internal_lists_bugs!$A$2:$R$73,18,FALSE()), ""Yes""), VLOOKUP(A48,Internal_lists_bugs!$A$2:$U$73,21,FALSE()), VLOOKUP(A48,Internal_lists_bugs!$A$2:$R$73,18,FALSE())),""please select a BUG ID"")"),"please select a BUG ID")</f>
        <v>please select a BUG ID</v>
      </c>
      <c r="D48" s="43"/>
      <c r="F48" s="62"/>
      <c r="G48" s="63"/>
      <c r="H48" s="43"/>
      <c r="J48" s="62"/>
      <c r="K48" s="63"/>
    </row>
    <row r="49">
      <c r="A49" s="67"/>
      <c r="B49" s="59" t="str">
        <f>IFERROR(HYPERLINK(VLOOKUP(A49,Internal_lists_bugs!$A$2:$C$73,3,FALSE()), VLOOKUP(A49,Internal_lists_bugs!$A$2:$C$73,3,FALSE())&amp;Char(10) &amp; Char(10) &amp; VLOOKUP(A49,Internal_lists_bugs!$A$2:$Z$73,26,FALSE())),"please select a BUG ID")</f>
        <v>please select a BUG ID</v>
      </c>
      <c r="C49" s="51" t="str">
        <f>IFERROR(__xludf.DUMMYFUNCTION("IFERROR(IF(REGEXMATCH(VLOOKUP(A49,Internal_lists_bugs!$A$2:$R$73,18,FALSE()), ""Yes""), VLOOKUP(A49,Internal_lists_bugs!$A$2:$U$73,21,FALSE()), VLOOKUP(A49,Internal_lists_bugs!$A$2:$R$73,18,FALSE())),""please select a BUG ID"")"),"please select a BUG ID")</f>
        <v>please select a BUG ID</v>
      </c>
      <c r="D49" s="43"/>
      <c r="F49" s="62"/>
      <c r="G49" s="63"/>
      <c r="H49" s="43"/>
      <c r="J49" s="62"/>
      <c r="K49" s="63"/>
    </row>
    <row r="50">
      <c r="A50" s="67"/>
      <c r="B50" s="59" t="str">
        <f>IFERROR(HYPERLINK(VLOOKUP(A50,Internal_lists_bugs!$A$2:$C$73,3,FALSE()), VLOOKUP(A50,Internal_lists_bugs!$A$2:$C$73,3,FALSE())&amp;Char(10) &amp; Char(10) &amp; VLOOKUP(A50,Internal_lists_bugs!$A$2:$Z$73,26,FALSE())),"please select a BUG ID")</f>
        <v>please select a BUG ID</v>
      </c>
      <c r="C50" s="51" t="str">
        <f>IFERROR(__xludf.DUMMYFUNCTION("IFERROR(IF(REGEXMATCH(VLOOKUP(A50,Internal_lists_bugs!$A$2:$R$73,18,FALSE()), ""Yes""), VLOOKUP(A50,Internal_lists_bugs!$A$2:$U$73,21,FALSE()), VLOOKUP(A50,Internal_lists_bugs!$A$2:$R$73,18,FALSE())),""please select a BUG ID"")"),"please select a BUG ID")</f>
        <v>please select a BUG ID</v>
      </c>
      <c r="D50" s="43"/>
      <c r="F50" s="62"/>
      <c r="G50" s="63"/>
      <c r="H50" s="43"/>
      <c r="J50" s="62"/>
      <c r="K50" s="63"/>
    </row>
    <row r="51">
      <c r="A51" s="67"/>
      <c r="B51" s="59" t="str">
        <f>IFERROR(HYPERLINK(VLOOKUP(A51,Internal_lists_bugs!$A$2:$C$73,3,FALSE()), VLOOKUP(A51,Internal_lists_bugs!$A$2:$C$73,3,FALSE())&amp;Char(10) &amp; Char(10) &amp; VLOOKUP(A51,Internal_lists_bugs!$A$2:$Z$73,26,FALSE())),"please select a BUG ID")</f>
        <v>please select a BUG ID</v>
      </c>
      <c r="C51" s="51" t="str">
        <f>IFERROR(__xludf.DUMMYFUNCTION("IFERROR(IF(REGEXMATCH(VLOOKUP(A51,Internal_lists_bugs!$A$2:$R$73,18,FALSE()), ""Yes""), VLOOKUP(A51,Internal_lists_bugs!$A$2:$U$73,21,FALSE()), VLOOKUP(A51,Internal_lists_bugs!$A$2:$R$73,18,FALSE())),""please select a BUG ID"")"),"please select a BUG ID")</f>
        <v>please select a BUG ID</v>
      </c>
      <c r="D51" s="43"/>
      <c r="F51" s="62"/>
      <c r="G51" s="63"/>
      <c r="H51" s="43"/>
      <c r="J51" s="62"/>
      <c r="K51" s="63"/>
    </row>
    <row r="52">
      <c r="A52" s="67"/>
      <c r="B52" s="59" t="str">
        <f>IFERROR(HYPERLINK(VLOOKUP(A52,Internal_lists_bugs!$A$2:$C$73,3,FALSE()), VLOOKUP(A52,Internal_lists_bugs!$A$2:$C$73,3,FALSE())&amp;Char(10) &amp; Char(10) &amp; VLOOKUP(A52,Internal_lists_bugs!$A$2:$Z$73,26,FALSE())),"please select a BUG ID")</f>
        <v>please select a BUG ID</v>
      </c>
      <c r="C52" s="51" t="str">
        <f>IFERROR(__xludf.DUMMYFUNCTION("IFERROR(IF(REGEXMATCH(VLOOKUP(A52,Internal_lists_bugs!$A$2:$R$73,18,FALSE()), ""Yes""), VLOOKUP(A52,Internal_lists_bugs!$A$2:$U$73,21,FALSE()), VLOOKUP(A52,Internal_lists_bugs!$A$2:$R$73,18,FALSE())),""please select a BUG ID"")"),"please select a BUG ID")</f>
        <v>please select a BUG ID</v>
      </c>
      <c r="D52" s="68"/>
      <c r="F52" s="62"/>
      <c r="G52" s="63"/>
      <c r="H52" s="43"/>
      <c r="J52" s="62"/>
      <c r="K52" s="63"/>
    </row>
    <row r="53">
      <c r="A53" s="67"/>
      <c r="B53" s="59" t="str">
        <f>IFERROR(HYPERLINK(VLOOKUP(A53,Internal_lists_bugs!$A$2:$C$73,3,FALSE()), VLOOKUP(A53,Internal_lists_bugs!$A$2:$C$73,3,FALSE())&amp;Char(10) &amp; Char(10) &amp; VLOOKUP(A53,Internal_lists_bugs!$A$2:$Z$73,26,FALSE())),"please select a BUG ID")</f>
        <v>please select a BUG ID</v>
      </c>
      <c r="C53" s="51" t="str">
        <f>IFERROR(__xludf.DUMMYFUNCTION("IFERROR(IF(REGEXMATCH(VLOOKUP(A53,Internal_lists_bugs!$A$2:$R$73,18,FALSE()), ""Yes""), VLOOKUP(A53,Internal_lists_bugs!$A$2:$U$73,21,FALSE()), VLOOKUP(A53,Internal_lists_bugs!$A$2:$R$73,18,FALSE())),""please select a BUG ID"")"),"please select a BUG ID")</f>
        <v>please select a BUG ID</v>
      </c>
      <c r="D53" s="43"/>
      <c r="F53" s="62"/>
      <c r="G53" s="63"/>
      <c r="H53" s="43"/>
      <c r="J53" s="62"/>
      <c r="K53" s="63"/>
    </row>
    <row r="54">
      <c r="A54" s="67"/>
      <c r="B54" s="59" t="str">
        <f>IFERROR(HYPERLINK(VLOOKUP(A54,Internal_lists_bugs!$A$2:$C$73,3,FALSE()), VLOOKUP(A54,Internal_lists_bugs!$A$2:$C$73,3,FALSE())&amp;Char(10) &amp; Char(10) &amp; VLOOKUP(A54,Internal_lists_bugs!$A$2:$Z$73,26,FALSE())),"please select a BUG ID")</f>
        <v>please select a BUG ID</v>
      </c>
      <c r="C54" s="51" t="str">
        <f>IFERROR(__xludf.DUMMYFUNCTION("IFERROR(IF(REGEXMATCH(VLOOKUP(A54,Internal_lists_bugs!$A$2:$R$73,18,FALSE()), ""Yes""), VLOOKUP(A54,Internal_lists_bugs!$A$2:$U$73,21,FALSE()), VLOOKUP(A54,Internal_lists_bugs!$A$2:$R$73,18,FALSE())),""please select a BUG ID"")"),"please select a BUG ID")</f>
        <v>please select a BUG ID</v>
      </c>
      <c r="D54" s="43"/>
      <c r="F54" s="62"/>
      <c r="G54" s="63"/>
      <c r="H54" s="43"/>
      <c r="J54" s="62"/>
      <c r="K54" s="63"/>
    </row>
    <row r="55">
      <c r="A55" s="67"/>
      <c r="B55" s="59" t="str">
        <f>IFERROR(HYPERLINK(VLOOKUP(A55,Internal_lists_bugs!$A$2:$C$73,3,FALSE()), VLOOKUP(A55,Internal_lists_bugs!$A$2:$C$73,3,FALSE())&amp;Char(10) &amp; Char(10) &amp; VLOOKUP(A55,Internal_lists_bugs!$A$2:$Z$73,26,FALSE())),"please select a BUG ID")</f>
        <v>please select a BUG ID</v>
      </c>
      <c r="C55" s="51" t="str">
        <f>IFERROR(__xludf.DUMMYFUNCTION("IFERROR(IF(REGEXMATCH(VLOOKUP(A55,Internal_lists_bugs!$A$2:$R$73,18,FALSE()), ""Yes""), VLOOKUP(A55,Internal_lists_bugs!$A$2:$U$73,21,FALSE()), VLOOKUP(A55,Internal_lists_bugs!$A$2:$R$73,18,FALSE())),""please select a BUG ID"")"),"please select a BUG ID")</f>
        <v>please select a BUG ID</v>
      </c>
      <c r="D55" s="43"/>
      <c r="F55" s="62"/>
      <c r="G55" s="63"/>
      <c r="H55" s="43"/>
      <c r="J55" s="62"/>
      <c r="K55" s="63"/>
    </row>
    <row r="56">
      <c r="A56" s="67"/>
      <c r="B56" s="59" t="str">
        <f>IFERROR(HYPERLINK(VLOOKUP(A56,Internal_lists_bugs!$A$2:$C$73,3,FALSE()), VLOOKUP(A56,Internal_lists_bugs!$A$2:$C$73,3,FALSE())&amp;Char(10) &amp; Char(10) &amp; VLOOKUP(A56,Internal_lists_bugs!$A$2:$Z$73,26,FALSE())),"please select a BUG ID")</f>
        <v>please select a BUG ID</v>
      </c>
      <c r="C56" s="51" t="str">
        <f>IFERROR(__xludf.DUMMYFUNCTION("IFERROR(IF(REGEXMATCH(VLOOKUP(A56,Internal_lists_bugs!$A$2:$R$73,18,FALSE()), ""Yes""), VLOOKUP(A56,Internal_lists_bugs!$A$2:$U$73,21,FALSE()), VLOOKUP(A56,Internal_lists_bugs!$A$2:$R$73,18,FALSE())),""please select a BUG ID"")"),"please select a BUG ID")</f>
        <v>please select a BUG ID</v>
      </c>
      <c r="D56" s="43"/>
      <c r="F56" s="60"/>
      <c r="G56" s="63"/>
      <c r="H56" s="43"/>
      <c r="J56" s="60"/>
      <c r="K56" s="63"/>
    </row>
    <row r="57">
      <c r="A57" s="67"/>
      <c r="B57" s="59" t="str">
        <f>IFERROR(HYPERLINK(VLOOKUP(A57,Internal_lists_bugs!$A$2:$C$73,3,FALSE()), VLOOKUP(A57,Internal_lists_bugs!$A$2:$C$73,3,FALSE())&amp;Char(10) &amp; Char(10) &amp; VLOOKUP(A57,Internal_lists_bugs!$A$2:$Z$73,26,FALSE())),"please select a BUG ID")</f>
        <v>please select a BUG ID</v>
      </c>
      <c r="C57" s="51" t="str">
        <f>IFERROR(__xludf.DUMMYFUNCTION("IFERROR(IF(REGEXMATCH(VLOOKUP(A57,Internal_lists_bugs!$A$2:$R$73,18,FALSE()), ""Yes""), VLOOKUP(A57,Internal_lists_bugs!$A$2:$U$73,21,FALSE()), VLOOKUP(A57,Internal_lists_bugs!$A$2:$R$73,18,FALSE())),""please select a BUG ID"")"),"please select a BUG ID")</f>
        <v>please select a BUG ID</v>
      </c>
      <c r="D57" s="43"/>
      <c r="F57" s="60"/>
      <c r="G57" s="63"/>
      <c r="H57" s="43"/>
      <c r="J57" s="60"/>
      <c r="K57" s="63"/>
    </row>
    <row r="58">
      <c r="A58" s="67"/>
      <c r="B58" s="59" t="str">
        <f>IFERROR(HYPERLINK(VLOOKUP(A58,Internal_lists_bugs!$A$2:$C$73,3,FALSE()), VLOOKUP(A58,Internal_lists_bugs!$A$2:$C$73,3,FALSE())&amp;Char(10) &amp; Char(10) &amp; VLOOKUP(A58,Internal_lists_bugs!$A$2:$Z$73,26,FALSE())),"please select a BUG ID")</f>
        <v>please select a BUG ID</v>
      </c>
      <c r="C58" s="51" t="str">
        <f>IFERROR(__xludf.DUMMYFUNCTION("IFERROR(IF(REGEXMATCH(VLOOKUP(A58,Internal_lists_bugs!$A$2:$R$73,18,FALSE()), ""Yes""), VLOOKUP(A58,Internal_lists_bugs!$A$2:$U$73,21,FALSE()), VLOOKUP(A58,Internal_lists_bugs!$A$2:$R$73,18,FALSE())),""please select a BUG ID"")"),"please select a BUG ID")</f>
        <v>please select a BUG ID</v>
      </c>
      <c r="D58" s="43"/>
      <c r="F58" s="60"/>
      <c r="G58" s="63"/>
      <c r="H58" s="43"/>
      <c r="J58" s="60"/>
      <c r="K58" s="63"/>
    </row>
    <row r="59">
      <c r="A59" s="67"/>
      <c r="B59" s="59" t="str">
        <f>IFERROR(HYPERLINK(VLOOKUP(A59,Internal_lists_bugs!$A$2:$C$73,3,FALSE()), VLOOKUP(A59,Internal_lists_bugs!$A$2:$C$73,3,FALSE())&amp;Char(10) &amp; Char(10) &amp; VLOOKUP(A59,Internal_lists_bugs!$A$2:$Z$73,26,FALSE())),"please select a BUG ID")</f>
        <v>please select a BUG ID</v>
      </c>
      <c r="C59" s="51" t="str">
        <f>IFERROR(__xludf.DUMMYFUNCTION("IFERROR(IF(REGEXMATCH(VLOOKUP(A59,Internal_lists_bugs!$A$2:$R$73,18,FALSE()), ""Yes""), VLOOKUP(A59,Internal_lists_bugs!$A$2:$U$73,21,FALSE()), VLOOKUP(A59,Internal_lists_bugs!$A$2:$R$73,18,FALSE())),""please select a BUG ID"")"),"please select a BUG ID")</f>
        <v>please select a BUG ID</v>
      </c>
      <c r="D59" s="43"/>
      <c r="F59" s="62"/>
      <c r="G59" s="63"/>
      <c r="H59" s="43"/>
      <c r="J59" s="62"/>
      <c r="K59" s="63"/>
    </row>
    <row r="60">
      <c r="A60" s="67"/>
      <c r="B60" s="59" t="str">
        <f>IFERROR(HYPERLINK(VLOOKUP(A60,Internal_lists_bugs!$A$2:$C$73,3,FALSE()), VLOOKUP(A60,Internal_lists_bugs!$A$2:$C$73,3,FALSE())&amp;Char(10) &amp; Char(10) &amp; VLOOKUP(A60,Internal_lists_bugs!$A$2:$Z$73,26,FALSE())),"please select a BUG ID")</f>
        <v>please select a BUG ID</v>
      </c>
      <c r="C60" s="51" t="str">
        <f>IFERROR(__xludf.DUMMYFUNCTION("IFERROR(IF(REGEXMATCH(VLOOKUP(A60,Internal_lists_bugs!$A$2:$R$73,18,FALSE()), ""Yes""), VLOOKUP(A60,Internal_lists_bugs!$A$2:$U$73,21,FALSE()), VLOOKUP(A60,Internal_lists_bugs!$A$2:$R$73,18,FALSE())),""please select a BUG ID"")"),"please select a BUG ID")</f>
        <v>please select a BUG ID</v>
      </c>
      <c r="D60" s="43"/>
      <c r="F60" s="62"/>
      <c r="G60" s="63"/>
      <c r="H60" s="43"/>
      <c r="J60" s="62"/>
      <c r="K60" s="63"/>
    </row>
    <row r="61">
      <c r="A61" s="67"/>
      <c r="B61" s="59" t="str">
        <f>IFERROR(HYPERLINK(VLOOKUP(A61,Internal_lists_bugs!$A$2:$C$73,3,FALSE()), VLOOKUP(A61,Internal_lists_bugs!$A$2:$C$73,3,FALSE())&amp;Char(10) &amp; Char(10) &amp; VLOOKUP(A61,Internal_lists_bugs!$A$2:$Z$73,26,FALSE())),"please select a BUG ID")</f>
        <v>please select a BUG ID</v>
      </c>
      <c r="C61" s="51" t="str">
        <f>IFERROR(__xludf.DUMMYFUNCTION("IFERROR(IF(REGEXMATCH(VLOOKUP(A61,Internal_lists_bugs!$A$2:$R$73,18,FALSE()), ""Yes""), VLOOKUP(A61,Internal_lists_bugs!$A$2:$U$73,21,FALSE()), VLOOKUP(A61,Internal_lists_bugs!$A$2:$R$73,18,FALSE())),""please select a BUG ID"")"),"please select a BUG ID")</f>
        <v>please select a BUG ID</v>
      </c>
      <c r="D61" s="43"/>
      <c r="F61" s="62"/>
      <c r="G61" s="63"/>
      <c r="H61" s="43"/>
      <c r="J61" s="62"/>
      <c r="K61" s="63"/>
    </row>
    <row r="62">
      <c r="A62" s="67"/>
      <c r="B62" s="59" t="str">
        <f>IFERROR(HYPERLINK(VLOOKUP(A62,Internal_lists_bugs!$A$2:$C$73,3,FALSE()), VLOOKUP(A62,Internal_lists_bugs!$A$2:$C$73,3,FALSE())&amp;Char(10) &amp; Char(10) &amp; VLOOKUP(A62,Internal_lists_bugs!$A$2:$Z$73,26,FALSE())),"please select a BUG ID")</f>
        <v>please select a BUG ID</v>
      </c>
      <c r="C62" s="51" t="str">
        <f>IFERROR(__xludf.DUMMYFUNCTION("IFERROR(IF(REGEXMATCH(VLOOKUP(A62,Internal_lists_bugs!$A$2:$R$73,18,FALSE()), ""Yes""), VLOOKUP(A62,Internal_lists_bugs!$A$2:$U$73,21,FALSE()), VLOOKUP(A62,Internal_lists_bugs!$A$2:$R$73,18,FALSE())),""please select a BUG ID"")"),"please select a BUG ID")</f>
        <v>please select a BUG ID</v>
      </c>
      <c r="D62" s="43"/>
      <c r="F62" s="62"/>
      <c r="G62" s="63"/>
      <c r="H62" s="43"/>
      <c r="J62" s="62"/>
      <c r="K62" s="63"/>
    </row>
    <row r="63">
      <c r="A63" s="67"/>
      <c r="B63" s="59" t="str">
        <f>IFERROR(HYPERLINK(VLOOKUP(A63,Internal_lists_bugs!$A$2:$C$73,3,FALSE()), VLOOKUP(A63,Internal_lists_bugs!$A$2:$C$73,3,FALSE())&amp;Char(10) &amp; Char(10) &amp; VLOOKUP(A63,Internal_lists_bugs!$A$2:$Z$73,26,FALSE())),"please select a BUG ID")</f>
        <v>please select a BUG ID</v>
      </c>
      <c r="C63" s="51" t="str">
        <f>IFERROR(__xludf.DUMMYFUNCTION("IFERROR(IF(REGEXMATCH(VLOOKUP(A63,Internal_lists_bugs!$A$2:$R$73,18,FALSE()), ""Yes""), VLOOKUP(A63,Internal_lists_bugs!$A$2:$U$73,21,FALSE()), VLOOKUP(A63,Internal_lists_bugs!$A$2:$R$73,18,FALSE())),""please select a BUG ID"")"),"please select a BUG ID")</f>
        <v>please select a BUG ID</v>
      </c>
      <c r="D63" s="43"/>
      <c r="F63" s="62"/>
      <c r="G63" s="63"/>
      <c r="H63" s="43"/>
      <c r="J63" s="62"/>
      <c r="K63" s="63"/>
    </row>
    <row r="64">
      <c r="A64" s="67"/>
      <c r="B64" s="59" t="str">
        <f>IFERROR(HYPERLINK(VLOOKUP(A64,Internal_lists_bugs!$A$2:$C$73,3,FALSE()), VLOOKUP(A64,Internal_lists_bugs!$A$2:$C$73,3,FALSE())&amp;Char(10) &amp; Char(10) &amp; VLOOKUP(A64,Internal_lists_bugs!$A$2:$Z$73,26,FALSE())),"please select a BUG ID")</f>
        <v>please select a BUG ID</v>
      </c>
      <c r="C64" s="51" t="str">
        <f>IFERROR(__xludf.DUMMYFUNCTION("IFERROR(IF(REGEXMATCH(VLOOKUP(A64,Internal_lists_bugs!$A$2:$R$73,18,FALSE()), ""Yes""), VLOOKUP(A64,Internal_lists_bugs!$A$2:$U$73,21,FALSE()), VLOOKUP(A64,Internal_lists_bugs!$A$2:$R$73,18,FALSE())),""please select a BUG ID"")"),"please select a BUG ID")</f>
        <v>please select a BUG ID</v>
      </c>
      <c r="D64" s="43"/>
      <c r="F64" s="62"/>
      <c r="G64" s="63"/>
      <c r="H64" s="43"/>
      <c r="J64" s="62"/>
      <c r="K64" s="63"/>
    </row>
    <row r="65">
      <c r="A65" s="67"/>
      <c r="B65" s="59" t="str">
        <f>IFERROR(HYPERLINK(VLOOKUP(A65,Internal_lists_bugs!$A$2:$C$73,3,FALSE()), VLOOKUP(A65,Internal_lists_bugs!$A$2:$C$73,3,FALSE())&amp;Char(10) &amp; Char(10) &amp; VLOOKUP(A65,Internal_lists_bugs!$A$2:$Z$73,26,FALSE())),"please select a BUG ID")</f>
        <v>please select a BUG ID</v>
      </c>
      <c r="C65" s="51" t="str">
        <f>IFERROR(__xludf.DUMMYFUNCTION("IFERROR(IF(REGEXMATCH(VLOOKUP(A65,Internal_lists_bugs!$A$2:$R$73,18,FALSE()), ""Yes""), VLOOKUP(A65,Internal_lists_bugs!$A$2:$U$73,21,FALSE()), VLOOKUP(A65,Internal_lists_bugs!$A$2:$R$73,18,FALSE())),""please select a BUG ID"")"),"please select a BUG ID")</f>
        <v>please select a BUG ID</v>
      </c>
      <c r="D65" s="43"/>
      <c r="F65" s="62"/>
      <c r="G65" s="63"/>
      <c r="H65" s="43"/>
      <c r="J65" s="60"/>
      <c r="K65" s="63"/>
    </row>
    <row r="66">
      <c r="A66" s="67"/>
      <c r="B66" s="59" t="str">
        <f>IFERROR(HYPERLINK(VLOOKUP(A66,Internal_lists_bugs!$A$2:$C$73,3,FALSE()), VLOOKUP(A66,Internal_lists_bugs!$A$2:$C$73,3,FALSE())&amp;Char(10) &amp; Char(10) &amp; VLOOKUP(A66,Internal_lists_bugs!$A$2:$Z$73,26,FALSE())),"please select a BUG ID")</f>
        <v>please select a BUG ID</v>
      </c>
      <c r="C66" s="51" t="str">
        <f>IFERROR(__xludf.DUMMYFUNCTION("IFERROR(IF(REGEXMATCH(VLOOKUP(A66,Internal_lists_bugs!$A$2:$R$73,18,FALSE()), ""Yes""), VLOOKUP(A66,Internal_lists_bugs!$A$2:$U$73,21,FALSE()), VLOOKUP(A66,Internal_lists_bugs!$A$2:$R$73,18,FALSE())),""please select a BUG ID"")"),"please select a BUG ID")</f>
        <v>please select a BUG ID</v>
      </c>
      <c r="D66" s="43"/>
      <c r="F66" s="62"/>
      <c r="G66" s="63"/>
      <c r="H66" s="43"/>
      <c r="J66" s="60"/>
      <c r="K66" s="63"/>
    </row>
    <row r="67">
      <c r="A67" s="67"/>
      <c r="B67" s="59" t="str">
        <f>IFERROR(HYPERLINK(VLOOKUP(A67,Internal_lists_bugs!$A$2:$C$73,3,FALSE()), VLOOKUP(A67,Internal_lists_bugs!$A$2:$C$73,3,FALSE())&amp;Char(10) &amp; Char(10) &amp; VLOOKUP(A67,Internal_lists_bugs!$A$2:$Z$73,26,FALSE())),"please select a BUG ID")</f>
        <v>please select a BUG ID</v>
      </c>
      <c r="C67" s="51" t="str">
        <f>IFERROR(__xludf.DUMMYFUNCTION("IFERROR(IF(REGEXMATCH(VLOOKUP(A67,Internal_lists_bugs!$A$2:$R$73,18,FALSE()), ""Yes""), VLOOKUP(A67,Internal_lists_bugs!$A$2:$U$73,21,FALSE()), VLOOKUP(A67,Internal_lists_bugs!$A$2:$R$73,18,FALSE())),""please select a BUG ID"")"),"please select a BUG ID")</f>
        <v>please select a BUG ID</v>
      </c>
      <c r="D67" s="43"/>
      <c r="F67" s="62"/>
      <c r="G67" s="63"/>
      <c r="H67" s="43"/>
      <c r="J67" s="62"/>
      <c r="K67" s="63"/>
    </row>
    <row r="68">
      <c r="A68" s="67"/>
      <c r="B68" s="59" t="str">
        <f>IFERROR(HYPERLINK(VLOOKUP(A68,Internal_lists_bugs!$A$2:$C$73,3,FALSE()), VLOOKUP(A68,Internal_lists_bugs!$A$2:$C$73,3,FALSE())&amp;Char(10) &amp; Char(10) &amp; VLOOKUP(A68,Internal_lists_bugs!$A$2:$Z$73,26,FALSE())),"please select a BUG ID")</f>
        <v>please select a BUG ID</v>
      </c>
      <c r="C68" s="51" t="str">
        <f>IFERROR(__xludf.DUMMYFUNCTION("IFERROR(IF(REGEXMATCH(VLOOKUP(A68,Internal_lists_bugs!$A$2:$R$73,18,FALSE()), ""Yes""), VLOOKUP(A68,Internal_lists_bugs!$A$2:$U$73,21,FALSE()), VLOOKUP(A68,Internal_lists_bugs!$A$2:$R$73,18,FALSE())),""please select a BUG ID"")"),"please select a BUG ID")</f>
        <v>please select a BUG ID</v>
      </c>
      <c r="D68" s="43"/>
      <c r="F68" s="62"/>
      <c r="G68" s="63"/>
      <c r="H68" s="43"/>
      <c r="J68" s="62"/>
      <c r="K68" s="63"/>
    </row>
    <row r="69">
      <c r="A69" s="67"/>
      <c r="B69" s="59" t="str">
        <f>IFERROR(HYPERLINK(VLOOKUP(A69,Internal_lists_bugs!$A$2:$C$73,3,FALSE()), VLOOKUP(A69,Internal_lists_bugs!$A$2:$C$73,3,FALSE())&amp;Char(10) &amp; Char(10) &amp; VLOOKUP(A69,Internal_lists_bugs!$A$2:$Z$73,26,FALSE())),"please select a BUG ID")</f>
        <v>please select a BUG ID</v>
      </c>
      <c r="C69" s="51" t="str">
        <f>IFERROR(__xludf.DUMMYFUNCTION("IFERROR(IF(REGEXMATCH(VLOOKUP(A69,Internal_lists_bugs!$A$2:$R$73,18,FALSE()), ""Yes""), VLOOKUP(A69,Internal_lists_bugs!$A$2:$U$73,21,FALSE()), VLOOKUP(A69,Internal_lists_bugs!$A$2:$R$73,18,FALSE())),""please select a BUG ID"")"),"please select a BUG ID")</f>
        <v>please select a BUG ID</v>
      </c>
      <c r="D69" s="43"/>
      <c r="F69" s="62"/>
      <c r="G69" s="63"/>
      <c r="H69" s="43"/>
      <c r="J69" s="62"/>
      <c r="K69" s="63"/>
    </row>
    <row r="70">
      <c r="A70" s="67"/>
      <c r="B70" s="59" t="str">
        <f>IFERROR(HYPERLINK(VLOOKUP(A70,Internal_lists_bugs!$A$2:$C$73,3,FALSE()), VLOOKUP(A70,Internal_lists_bugs!$A$2:$C$73,3,FALSE())&amp;Char(10) &amp; Char(10) &amp; VLOOKUP(A70,Internal_lists_bugs!$A$2:$Z$73,26,FALSE())),"please select a BUG ID")</f>
        <v>please select a BUG ID</v>
      </c>
      <c r="C70" s="51" t="str">
        <f>IFERROR(__xludf.DUMMYFUNCTION("IFERROR(IF(REGEXMATCH(VLOOKUP(A70,Internal_lists_bugs!$A$2:$R$73,18,FALSE()), ""Yes""), VLOOKUP(A70,Internal_lists_bugs!$A$2:$U$73,21,FALSE()), VLOOKUP(A70,Internal_lists_bugs!$A$2:$R$73,18,FALSE())),""please select a BUG ID"")"),"please select a BUG ID")</f>
        <v>please select a BUG ID</v>
      </c>
      <c r="D70" s="43"/>
      <c r="F70" s="62"/>
      <c r="G70" s="63"/>
      <c r="H70" s="43"/>
      <c r="J70" s="62"/>
      <c r="K70" s="63"/>
    </row>
    <row r="71">
      <c r="A71" s="67"/>
      <c r="B71" s="59" t="str">
        <f>IFERROR(HYPERLINK(VLOOKUP(A71,Internal_lists_bugs!$A$2:$C$73,3,FALSE()), VLOOKUP(A71,Internal_lists_bugs!$A$2:$C$73,3,FALSE())&amp;Char(10) &amp; Char(10) &amp; VLOOKUP(A71,Internal_lists_bugs!$A$2:$Z$73,26,FALSE())),"please select a BUG ID")</f>
        <v>please select a BUG ID</v>
      </c>
      <c r="C71" s="51" t="str">
        <f>IFERROR(__xludf.DUMMYFUNCTION("IFERROR(IF(REGEXMATCH(VLOOKUP(A71,Internal_lists_bugs!$A$2:$R$73,18,FALSE()), ""Yes""), VLOOKUP(A71,Internal_lists_bugs!$A$2:$U$73,21,FALSE()), VLOOKUP(A71,Internal_lists_bugs!$A$2:$R$73,18,FALSE())),""please select a BUG ID"")"),"please select a BUG ID")</f>
        <v>please select a BUG ID</v>
      </c>
      <c r="D71" s="43"/>
      <c r="F71" s="62"/>
      <c r="G71" s="63"/>
      <c r="H71" s="43"/>
      <c r="J71" s="62"/>
      <c r="K71" s="63"/>
    </row>
    <row r="72">
      <c r="A72" s="67"/>
      <c r="B72" s="59" t="str">
        <f>IFERROR(HYPERLINK(VLOOKUP(A72,Internal_lists_bugs!$A$2:$C$73,3,FALSE()), VLOOKUP(A72,Internal_lists_bugs!$A$2:$C$73,3,FALSE())&amp;Char(10) &amp; Char(10) &amp; VLOOKUP(A72,Internal_lists_bugs!$A$2:$Z$73,26,FALSE())),"please select a BUG ID")</f>
        <v>please select a BUG ID</v>
      </c>
      <c r="C72" s="51" t="str">
        <f>IFERROR(__xludf.DUMMYFUNCTION("IFERROR(IF(REGEXMATCH(VLOOKUP(A72,Internal_lists_bugs!$A$2:$R$73,18,FALSE()), ""Yes""), VLOOKUP(A72,Internal_lists_bugs!$A$2:$U$73,21,FALSE()), VLOOKUP(A72,Internal_lists_bugs!$A$2:$R$73,18,FALSE())),""please select a BUG ID"")"),"please select a BUG ID")</f>
        <v>please select a BUG ID</v>
      </c>
      <c r="D72" s="43"/>
      <c r="F72" s="60"/>
      <c r="G72" s="63"/>
      <c r="H72" s="43"/>
      <c r="J72" s="60"/>
      <c r="K72" s="63"/>
    </row>
    <row r="73">
      <c r="A73" s="67"/>
      <c r="B73" s="69" t="str">
        <f>IFERROR(HYPERLINK(VLOOKUP(A73,Internal_lists_bugs!$A$2:$C$73,3,FALSE()), VLOOKUP(A73,Internal_lists_bugs!$A$2:$C$73,3,FALSE())&amp;Char(10) &amp; Char(10) &amp; VLOOKUP(A73,Internal_lists_bugs!$A$2:$Z$73,26,FALSE())),"please select a BUG ID")</f>
        <v>please select a BUG ID</v>
      </c>
      <c r="C73" s="70" t="str">
        <f>IFERROR(__xludf.DUMMYFUNCTION("IFERROR(IF(REGEXMATCH(VLOOKUP(A73,Internal_lists_bugs!$A$2:$R$73,18,FALSE()), ""Yes""), VLOOKUP(A73,Internal_lists_bugs!$A$2:$U$73,21,FALSE()), VLOOKUP(A73,Internal_lists_bugs!$A$2:$R$73,18,FALSE())),""please select a BUG ID"")"),"please select a BUG ID")</f>
        <v>please select a BUG ID</v>
      </c>
      <c r="D73" s="43"/>
      <c r="F73" s="60"/>
      <c r="G73" s="63"/>
      <c r="H73" s="43"/>
      <c r="J73" s="60"/>
      <c r="K73" s="63"/>
    </row>
    <row r="74">
      <c r="A74" s="71"/>
      <c r="B74" s="59" t="str">
        <f>IFERROR(HYPERLINK(VLOOKUP(A74,Internal_lists_bugs!$A$2:$C$73,3,FALSE()), VLOOKUP(A74,Internal_lists_bugs!$A$2:$C$73,3,FALSE())&amp;Char(10) &amp; Char(10) &amp; VLOOKUP(A74,Internal_lists_bugs!$A$2:$Z$73,26,FALSE())),"please select a BUG ID")</f>
        <v>please select a BUG ID</v>
      </c>
      <c r="C74" s="51" t="str">
        <f>IFERROR(__xludf.DUMMYFUNCTION("IFERROR(IF(REGEXMATCH(VLOOKUP(A74,Internal_lists_bugs!$A$2:$R$73,18,FALSE()), ""Yes""), VLOOKUP(A74,Internal_lists_bugs!$A$2:$U$73,21,FALSE()), VLOOKUP(A74,Internal_lists_bugs!$A$2:$R$73,18,FALSE())),""please select a BUG ID"")"),"please select a BUG ID")</f>
        <v>please select a BUG ID</v>
      </c>
      <c r="D74" s="43"/>
      <c r="F74" s="60"/>
      <c r="G74" s="63"/>
      <c r="H74" s="43"/>
      <c r="J74" s="60"/>
      <c r="K74" s="63"/>
    </row>
    <row r="75">
      <c r="A75" s="71"/>
      <c r="B75" s="59" t="str">
        <f>IFERROR(HYPERLINK(VLOOKUP(A75,Internal_lists_bugs!$A$2:$C$73,3,FALSE()), VLOOKUP(A75,Internal_lists_bugs!$A$2:$C$73,3,FALSE())&amp;Char(10) &amp; Char(10) &amp; VLOOKUP(A75,Internal_lists_bugs!$A$2:$Z$73,26,FALSE())),"please select a BUG ID")</f>
        <v>please select a BUG ID</v>
      </c>
      <c r="C75" s="51" t="str">
        <f>IFERROR(__xludf.DUMMYFUNCTION("IFERROR(IF(REGEXMATCH(VLOOKUP(A75,Internal_lists_bugs!$A$2:$R$73,18,FALSE()), ""Yes""), VLOOKUP(A75,Internal_lists_bugs!$A$2:$U$73,21,FALSE()), VLOOKUP(A75,Internal_lists_bugs!$A$2:$R$73,18,FALSE())),""please select a BUG ID"")"),"please select a BUG ID")</f>
        <v>please select a BUG ID</v>
      </c>
      <c r="D75" s="43"/>
      <c r="F75" s="62"/>
      <c r="G75" s="63"/>
      <c r="H75" s="43"/>
      <c r="J75" s="62"/>
      <c r="K75" s="63"/>
    </row>
    <row r="76">
      <c r="A76" s="71"/>
      <c r="B76" s="59" t="str">
        <f>IFERROR(HYPERLINK(VLOOKUP(A76,Internal_lists_bugs!$A$2:$C$73,3,FALSE()), VLOOKUP(A76,Internal_lists_bugs!$A$2:$C$73,3,FALSE())&amp;Char(10) &amp; Char(10) &amp; VLOOKUP(A76,Internal_lists_bugs!$A$2:$Z$73,26,FALSE())),"please select a BUG ID")</f>
        <v>please select a BUG ID</v>
      </c>
      <c r="C76" s="51" t="str">
        <f>IFERROR(__xludf.DUMMYFUNCTION("IFERROR(IF(REGEXMATCH(VLOOKUP(A76,Internal_lists_bugs!$A$2:$R$73,18,FALSE()), ""Yes""), VLOOKUP(A76,Internal_lists_bugs!$A$2:$U$73,21,FALSE()), VLOOKUP(A76,Internal_lists_bugs!$A$2:$R$73,18,FALSE())),""please select a BUG ID"")"),"please select a BUG ID")</f>
        <v>please select a BUG ID</v>
      </c>
      <c r="D76" s="43"/>
      <c r="F76" s="62"/>
      <c r="G76" s="63"/>
      <c r="H76" s="43"/>
      <c r="J76" s="62"/>
      <c r="K76" s="63"/>
    </row>
    <row r="77">
      <c r="A77" s="71"/>
      <c r="B77" s="59" t="str">
        <f>IFERROR(HYPERLINK(VLOOKUP(A77,Internal_lists_bugs!$A$2:$C$73,3,FALSE()), VLOOKUP(A77,Internal_lists_bugs!$A$2:$C$73,3,FALSE())&amp;Char(10) &amp; Char(10) &amp; VLOOKUP(A77,Internal_lists_bugs!$A$2:$Z$73,26,FALSE())),"please select a BUG ID")</f>
        <v>please select a BUG ID</v>
      </c>
      <c r="C77" s="51" t="str">
        <f>IFERROR(__xludf.DUMMYFUNCTION("IFERROR(IF(REGEXMATCH(VLOOKUP(A77,Internal_lists_bugs!$A$2:$R$73,18,FALSE()), ""Yes""), VLOOKUP(A77,Internal_lists_bugs!$A$2:$U$73,21,FALSE()), VLOOKUP(A77,Internal_lists_bugs!$A$2:$R$73,18,FALSE())),""please select a BUG ID"")"),"please select a BUG ID")</f>
        <v>please select a BUG ID</v>
      </c>
      <c r="D77" s="43"/>
      <c r="F77" s="62"/>
      <c r="G77" s="63"/>
      <c r="H77" s="43"/>
      <c r="J77" s="62"/>
      <c r="K77" s="63"/>
    </row>
    <row r="78">
      <c r="A78" s="71"/>
      <c r="B78" s="59" t="str">
        <f>IFERROR(HYPERLINK(VLOOKUP(A78,Internal_lists_bugs!$A$2:$C$73,3,FALSE()), VLOOKUP(A78,Internal_lists_bugs!$A$2:$C$73,3,FALSE())&amp;Char(10) &amp; Char(10) &amp; VLOOKUP(A78,Internal_lists_bugs!$A$2:$Z$73,26,FALSE())),"please select a BUG ID")</f>
        <v>please select a BUG ID</v>
      </c>
      <c r="C78" s="51" t="str">
        <f>IFERROR(__xludf.DUMMYFUNCTION("IFERROR(IF(REGEXMATCH(VLOOKUP(A78,Internal_lists_bugs!$A$2:$R$73,18,FALSE()), ""Yes""), VLOOKUP(A78,Internal_lists_bugs!$A$2:$U$73,21,FALSE()), VLOOKUP(A78,Internal_lists_bugs!$A$2:$R$73,18,FALSE())),""please select a BUG ID"")"),"please select a BUG ID")</f>
        <v>please select a BUG ID</v>
      </c>
      <c r="D78" s="43"/>
      <c r="F78" s="62"/>
      <c r="G78" s="63"/>
      <c r="H78" s="43"/>
      <c r="J78" s="62"/>
      <c r="K78" s="63"/>
    </row>
    <row r="79">
      <c r="A79" s="71"/>
      <c r="B79" s="59" t="str">
        <f>IFERROR(HYPERLINK(VLOOKUP(A79,Internal_lists_bugs!$A$2:$C$73,3,FALSE()), VLOOKUP(A79,Internal_lists_bugs!$A$2:$C$73,3,FALSE())&amp;Char(10) &amp; Char(10) &amp; VLOOKUP(A79,Internal_lists_bugs!$A$2:$Z$73,26,FALSE())),"please select a BUG ID")</f>
        <v>please select a BUG ID</v>
      </c>
      <c r="C79" s="51" t="str">
        <f>IFERROR(__xludf.DUMMYFUNCTION("IFERROR(IF(REGEXMATCH(VLOOKUP(A79,Internal_lists_bugs!$A$2:$R$73,18,FALSE()), ""Yes""), VLOOKUP(A79,Internal_lists_bugs!$A$2:$U$73,21,FALSE()), VLOOKUP(A79,Internal_lists_bugs!$A$2:$R$73,18,FALSE())),""please select a BUG ID"")"),"please select a BUG ID")</f>
        <v>please select a BUG ID</v>
      </c>
      <c r="D79" s="43"/>
      <c r="F79" s="62"/>
      <c r="G79" s="63"/>
      <c r="H79" s="43"/>
      <c r="J79" s="62"/>
      <c r="K79" s="63"/>
    </row>
    <row r="80">
      <c r="A80" s="71"/>
      <c r="B80" s="59" t="str">
        <f>IFERROR(HYPERLINK(VLOOKUP(A80,Internal_lists_bugs!$A$2:$C$73,3,FALSE()), VLOOKUP(A80,Internal_lists_bugs!$A$2:$C$73,3,FALSE())&amp;Char(10) &amp; Char(10) &amp; VLOOKUP(A80,Internal_lists_bugs!$A$2:$Z$73,26,FALSE())),"please select a BUG ID")</f>
        <v>please select a BUG ID</v>
      </c>
      <c r="C80" s="51" t="str">
        <f>IFERROR(__xludf.DUMMYFUNCTION("IFERROR(IF(REGEXMATCH(VLOOKUP(A80,Internal_lists_bugs!$A$2:$R$73,18,FALSE()), ""Yes""), VLOOKUP(A80,Internal_lists_bugs!$A$2:$U$73,21,FALSE()), VLOOKUP(A80,Internal_lists_bugs!$A$2:$R$73,18,FALSE())),""please select a BUG ID"")"),"please select a BUG ID")</f>
        <v>please select a BUG ID</v>
      </c>
      <c r="D80" s="43"/>
      <c r="F80" s="62"/>
      <c r="G80" s="63"/>
      <c r="H80" s="43"/>
      <c r="J80" s="62"/>
      <c r="K80" s="63"/>
    </row>
    <row r="81">
      <c r="A81" s="71"/>
      <c r="B81" s="59" t="str">
        <f>IFERROR(HYPERLINK(VLOOKUP(A81,Internal_lists_bugs!$A$2:$C$73,3,FALSE()), VLOOKUP(A81,Internal_lists_bugs!$A$2:$C$73,3,FALSE())&amp;Char(10) &amp; Char(10) &amp; VLOOKUP(A81,Internal_lists_bugs!$A$2:$Z$73,26,FALSE())),"please select a BUG ID")</f>
        <v>please select a BUG ID</v>
      </c>
      <c r="C81" s="51" t="str">
        <f>IFERROR(__xludf.DUMMYFUNCTION("IFERROR(IF(REGEXMATCH(VLOOKUP(A81,Internal_lists_bugs!$A$2:$R$73,18,FALSE()), ""Yes""), VLOOKUP(A81,Internal_lists_bugs!$A$2:$U$73,21,FALSE()), VLOOKUP(A81,Internal_lists_bugs!$A$2:$R$73,18,FALSE())),""please select a BUG ID"")"),"please select a BUG ID")</f>
        <v>please select a BUG ID</v>
      </c>
      <c r="D81" s="43"/>
      <c r="F81" s="62"/>
      <c r="G81" s="63"/>
      <c r="H81" s="43"/>
      <c r="J81" s="62"/>
      <c r="K81" s="63"/>
    </row>
    <row r="82">
      <c r="A82" s="71"/>
      <c r="B82" s="59" t="str">
        <f>IFERROR(HYPERLINK(VLOOKUP(A82,Internal_lists_bugs!$A$2:$C$73,3,FALSE()), VLOOKUP(A82,Internal_lists_bugs!$A$2:$C$73,3,FALSE())&amp;Char(10) &amp; Char(10) &amp; VLOOKUP(A82,Internal_lists_bugs!$A$2:$Z$73,26,FALSE())),"please select a BUG ID")</f>
        <v>please select a BUG ID</v>
      </c>
      <c r="C82" s="51" t="str">
        <f>IFERROR(__xludf.DUMMYFUNCTION("IFERROR(IF(REGEXMATCH(VLOOKUP(A82,Internal_lists_bugs!$A$2:$R$73,18,FALSE()), ""Yes""), VLOOKUP(A82,Internal_lists_bugs!$A$2:$U$73,21,FALSE()), VLOOKUP(A82,Internal_lists_bugs!$A$2:$R$73,18,FALSE())),""please select a BUG ID"")"),"please select a BUG ID")</f>
        <v>please select a BUG ID</v>
      </c>
      <c r="D82" s="43"/>
      <c r="F82" s="60"/>
      <c r="G82" s="63"/>
      <c r="H82" s="43"/>
      <c r="J82" s="60"/>
      <c r="K82" s="63"/>
    </row>
    <row r="83">
      <c r="A83" s="71"/>
      <c r="B83" s="59" t="str">
        <f>IFERROR(HYPERLINK(VLOOKUP(A83,Internal_lists_bugs!$A$2:$C$73,3,FALSE()), VLOOKUP(A83,Internal_lists_bugs!$A$2:$C$73,3,FALSE())&amp;Char(10) &amp; Char(10) &amp; VLOOKUP(A83,Internal_lists_bugs!$A$2:$Z$73,26,FALSE())),"please select a BUG ID")</f>
        <v>please select a BUG ID</v>
      </c>
      <c r="C83" s="51" t="str">
        <f>IFERROR(__xludf.DUMMYFUNCTION("IFERROR(IF(REGEXMATCH(VLOOKUP(A83,Internal_lists_bugs!$A$2:$R$73,18,FALSE()), ""Yes""), VLOOKUP(A83,Internal_lists_bugs!$A$2:$U$73,21,FALSE()), VLOOKUP(A83,Internal_lists_bugs!$A$2:$R$73,18,FALSE())),""please select a BUG ID"")"),"please select a BUG ID")</f>
        <v>please select a BUG ID</v>
      </c>
      <c r="D83" s="43"/>
      <c r="F83" s="60"/>
      <c r="G83" s="63"/>
      <c r="H83" s="43"/>
      <c r="J83" s="60"/>
      <c r="K83" s="63"/>
    </row>
    <row r="84">
      <c r="A84" s="71"/>
      <c r="B84" s="59" t="str">
        <f>IFERROR(HYPERLINK(VLOOKUP(A84,Internal_lists_bugs!$A$2:$C$73,3,FALSE()), VLOOKUP(A84,Internal_lists_bugs!$A$2:$C$73,3,FALSE())&amp;Char(10) &amp; Char(10) &amp; VLOOKUP(A84,Internal_lists_bugs!$A$2:$Z$73,26,FALSE())),"please select a BUG ID")</f>
        <v>please select a BUG ID</v>
      </c>
      <c r="C84" s="51" t="str">
        <f>IFERROR(__xludf.DUMMYFUNCTION("IFERROR(IF(REGEXMATCH(VLOOKUP(A84,Internal_lists_bugs!$A$2:$R$73,18,FALSE()), ""Yes""), VLOOKUP(A84,Internal_lists_bugs!$A$2:$U$73,21,FALSE()), VLOOKUP(A84,Internal_lists_bugs!$A$2:$R$73,18,FALSE())),""please select a BUG ID"")"),"please select a BUG ID")</f>
        <v>please select a BUG ID</v>
      </c>
      <c r="D84" s="43"/>
      <c r="F84" s="60"/>
      <c r="G84" s="63"/>
      <c r="H84" s="43"/>
      <c r="J84" s="60"/>
      <c r="K84" s="63"/>
    </row>
    <row r="85">
      <c r="A85" s="71"/>
      <c r="B85" s="59" t="str">
        <f>IFERROR(HYPERLINK(VLOOKUP(A85,Internal_lists_bugs!$A$2:$C$73,3,FALSE()), VLOOKUP(A85,Internal_lists_bugs!$A$2:$C$73,3,FALSE())&amp;Char(10) &amp; Char(10) &amp; VLOOKUP(A85,Internal_lists_bugs!$A$2:$Z$73,26,FALSE())),"please select a BUG ID")</f>
        <v>please select a BUG ID</v>
      </c>
      <c r="C85" s="51" t="str">
        <f>IFERROR(__xludf.DUMMYFUNCTION("IFERROR(IF(REGEXMATCH(VLOOKUP(A85,Internal_lists_bugs!$A$2:$R$73,18,FALSE()), ""Yes""), VLOOKUP(A85,Internal_lists_bugs!$A$2:$U$73,21,FALSE()), VLOOKUP(A85,Internal_lists_bugs!$A$2:$R$73,18,FALSE())),""please select a BUG ID"")"),"please select a BUG ID")</f>
        <v>please select a BUG ID</v>
      </c>
      <c r="D85" s="43"/>
      <c r="F85" s="60"/>
      <c r="G85" s="63"/>
      <c r="H85" s="43"/>
      <c r="J85" s="60"/>
      <c r="K85" s="63"/>
    </row>
    <row r="86">
      <c r="A86" s="71"/>
      <c r="B86" s="59" t="str">
        <f>IFERROR(HYPERLINK(VLOOKUP(A86,Internal_lists_bugs!$A$2:$C$73,3,FALSE()), VLOOKUP(A86,Internal_lists_bugs!$A$2:$C$73,3,FALSE())&amp;Char(10) &amp; Char(10) &amp; VLOOKUP(A86,Internal_lists_bugs!$A$2:$Z$73,26,FALSE())),"please select a BUG ID")</f>
        <v>please select a BUG ID</v>
      </c>
      <c r="C86" s="51" t="str">
        <f>IFERROR(__xludf.DUMMYFUNCTION("IFERROR(IF(REGEXMATCH(VLOOKUP(A86,Internal_lists_bugs!$A$2:$R$73,18,FALSE()), ""Yes""), VLOOKUP(A86,Internal_lists_bugs!$A$2:$U$73,21,FALSE()), VLOOKUP(A86,Internal_lists_bugs!$A$2:$R$73,18,FALSE())),""please select a BUG ID"")"),"please select a BUG ID")</f>
        <v>please select a BUG ID</v>
      </c>
      <c r="D86" s="43"/>
      <c r="F86" s="60"/>
      <c r="G86" s="63"/>
      <c r="H86" s="43"/>
      <c r="J86" s="60"/>
      <c r="K86" s="63"/>
    </row>
    <row r="87">
      <c r="A87" s="71"/>
      <c r="B87" s="59" t="str">
        <f>IFERROR(HYPERLINK(VLOOKUP(A87,Internal_lists_bugs!$A$2:$C$73,3,FALSE()), VLOOKUP(A87,Internal_lists_bugs!$A$2:$C$73,3,FALSE())&amp;Char(10) &amp; Char(10) &amp; VLOOKUP(A87,Internal_lists_bugs!$A$2:$Z$73,26,FALSE())),"please select a BUG ID")</f>
        <v>please select a BUG ID</v>
      </c>
      <c r="C87" s="51" t="str">
        <f>IFERROR(__xludf.DUMMYFUNCTION("IFERROR(IF(REGEXMATCH(VLOOKUP(A87,Internal_lists_bugs!$A$2:$R$73,18,FALSE()), ""Yes""), VLOOKUP(A87,Internal_lists_bugs!$A$2:$U$73,21,FALSE()), VLOOKUP(A87,Internal_lists_bugs!$A$2:$R$73,18,FALSE())),""please select a BUG ID"")"),"please select a BUG ID")</f>
        <v>please select a BUG ID</v>
      </c>
      <c r="D87" s="43"/>
      <c r="F87" s="60"/>
      <c r="G87" s="63"/>
      <c r="H87" s="43"/>
      <c r="J87" s="60"/>
      <c r="K87" s="63"/>
    </row>
    <row r="88">
      <c r="A88" s="71"/>
      <c r="B88" s="59" t="str">
        <f>IFERROR(HYPERLINK(VLOOKUP(A88,Internal_lists_bugs!$A$2:$C$73,3,FALSE()), VLOOKUP(A88,Internal_lists_bugs!$A$2:$C$73,3,FALSE())&amp;Char(10) &amp; Char(10) &amp; VLOOKUP(A88,Internal_lists_bugs!$A$2:$Z$73,26,FALSE())),"please select a BUG ID")</f>
        <v>please select a BUG ID</v>
      </c>
      <c r="C88" s="51" t="str">
        <f>IFERROR(__xludf.DUMMYFUNCTION("IFERROR(IF(REGEXMATCH(VLOOKUP(A88,Internal_lists_bugs!$A$2:$R$73,18,FALSE()), ""Yes""), VLOOKUP(A88,Internal_lists_bugs!$A$2:$U$73,21,FALSE()), VLOOKUP(A88,Internal_lists_bugs!$A$2:$R$73,18,FALSE())),""please select a BUG ID"")"),"please select a BUG ID")</f>
        <v>please select a BUG ID</v>
      </c>
      <c r="D88" s="43"/>
      <c r="F88" s="60"/>
      <c r="G88" s="63"/>
      <c r="H88" s="43"/>
      <c r="J88" s="60"/>
      <c r="K88" s="63"/>
    </row>
    <row r="89">
      <c r="A89" s="71"/>
      <c r="B89" s="59" t="str">
        <f>IFERROR(HYPERLINK(VLOOKUP(A89,Internal_lists_bugs!$A$2:$C$73,3,FALSE()), VLOOKUP(A89,Internal_lists_bugs!$A$2:$C$73,3,FALSE())&amp;Char(10) &amp; Char(10) &amp; VLOOKUP(A89,Internal_lists_bugs!$A$2:$Z$73,26,FALSE())),"please select a BUG ID")</f>
        <v>please select a BUG ID</v>
      </c>
      <c r="C89" s="51" t="str">
        <f>IFERROR(__xludf.DUMMYFUNCTION("IFERROR(IF(REGEXMATCH(VLOOKUP(A89,Internal_lists_bugs!$A$2:$R$73,18,FALSE()), ""Yes""), VLOOKUP(A89,Internal_lists_bugs!$A$2:$U$73,21,FALSE()), VLOOKUP(A89,Internal_lists_bugs!$A$2:$R$73,18,FALSE())),""please select a BUG ID"")"),"please select a BUG ID")</f>
        <v>please select a BUG ID</v>
      </c>
      <c r="D89" s="43"/>
      <c r="F89" s="62"/>
      <c r="G89" s="63"/>
      <c r="H89" s="43"/>
      <c r="J89" s="62"/>
      <c r="K89" s="63"/>
    </row>
    <row r="90">
      <c r="A90" s="71"/>
      <c r="B90" s="59" t="str">
        <f>IFERROR(HYPERLINK(VLOOKUP(A90,Internal_lists_bugs!$A$2:$C$73,3,FALSE()), VLOOKUP(A90,Internal_lists_bugs!$A$2:$C$73,3,FALSE())&amp;Char(10) &amp; Char(10) &amp; VLOOKUP(A90,Internal_lists_bugs!$A$2:$Z$73,26,FALSE())),"please select a BUG ID")</f>
        <v>please select a BUG ID</v>
      </c>
      <c r="C90" s="51" t="str">
        <f>IFERROR(__xludf.DUMMYFUNCTION("IFERROR(IF(REGEXMATCH(VLOOKUP(A90,Internal_lists_bugs!$A$2:$R$73,18,FALSE()), ""Yes""), VLOOKUP(A90,Internal_lists_bugs!$A$2:$U$73,21,FALSE()), VLOOKUP(A90,Internal_lists_bugs!$A$2:$R$73,18,FALSE())),""please select a BUG ID"")"),"please select a BUG ID")</f>
        <v>please select a BUG ID</v>
      </c>
      <c r="D90" s="43"/>
      <c r="F90" s="62"/>
      <c r="G90" s="63"/>
      <c r="H90" s="43"/>
      <c r="J90" s="62"/>
      <c r="K90" s="63"/>
    </row>
    <row r="91">
      <c r="A91" s="71"/>
      <c r="B91" s="59" t="str">
        <f>IFERROR(HYPERLINK(VLOOKUP(A91,Internal_lists_bugs!$A$2:$C$73,3,FALSE()), VLOOKUP(A91,Internal_lists_bugs!$A$2:$C$73,3,FALSE())&amp;Char(10) &amp; Char(10) &amp; VLOOKUP(A91,Internal_lists_bugs!$A$2:$Z$73,26,FALSE())),"please select a BUG ID")</f>
        <v>please select a BUG ID</v>
      </c>
      <c r="C91" s="51" t="str">
        <f>IFERROR(__xludf.DUMMYFUNCTION("IFERROR(IF(REGEXMATCH(VLOOKUP(A91,Internal_lists_bugs!$A$2:$R$73,18,FALSE()), ""Yes""), VLOOKUP(A91,Internal_lists_bugs!$A$2:$U$73,21,FALSE()), VLOOKUP(A91,Internal_lists_bugs!$A$2:$R$73,18,FALSE())),""please select a BUG ID"")"),"please select a BUG ID")</f>
        <v>please select a BUG ID</v>
      </c>
      <c r="D91" s="43"/>
      <c r="F91" s="62"/>
      <c r="G91" s="63"/>
      <c r="H91" s="43"/>
      <c r="J91" s="62"/>
      <c r="K91" s="63"/>
    </row>
    <row r="92">
      <c r="A92" s="71"/>
      <c r="B92" s="59" t="str">
        <f>IFERROR(HYPERLINK(VLOOKUP(A92,Internal_lists_bugs!$A$2:$C$73,3,FALSE()), VLOOKUP(A92,Internal_lists_bugs!$A$2:$C$73,3,FALSE())&amp;Char(10) &amp; Char(10) &amp; VLOOKUP(A92,Internal_lists_bugs!$A$2:$Z$73,26,FALSE())),"please select a BUG ID")</f>
        <v>please select a BUG ID</v>
      </c>
      <c r="C92" s="51" t="str">
        <f>IFERROR(__xludf.DUMMYFUNCTION("IFERROR(IF(REGEXMATCH(VLOOKUP(A92,Internal_lists_bugs!$A$2:$R$73,18,FALSE()), ""Yes""), VLOOKUP(A92,Internal_lists_bugs!$A$2:$U$73,21,FALSE()), VLOOKUP(A92,Internal_lists_bugs!$A$2:$R$73,18,FALSE())),""please select a BUG ID"")"),"please select a BUG ID")</f>
        <v>please select a BUG ID</v>
      </c>
      <c r="D92" s="43"/>
      <c r="F92" s="62"/>
      <c r="G92" s="63"/>
      <c r="H92" s="43"/>
      <c r="J92" s="62"/>
      <c r="K92" s="63"/>
    </row>
    <row r="93">
      <c r="A93" s="71"/>
      <c r="B93" s="59" t="str">
        <f>IFERROR(HYPERLINK(VLOOKUP(A93,Internal_lists_bugs!$A$2:$C$73,3,FALSE()), VLOOKUP(A93,Internal_lists_bugs!$A$2:$C$73,3,FALSE())&amp;Char(10) &amp; Char(10) &amp; VLOOKUP(A93,Internal_lists_bugs!$A$2:$Z$73,26,FALSE())),"please select a BUG ID")</f>
        <v>please select a BUG ID</v>
      </c>
      <c r="C93" s="51" t="str">
        <f>IFERROR(__xludf.DUMMYFUNCTION("IFERROR(IF(REGEXMATCH(VLOOKUP(A93,Internal_lists_bugs!$A$2:$R$73,18,FALSE()), ""Yes""), VLOOKUP(A93,Internal_lists_bugs!$A$2:$U$73,21,FALSE()), VLOOKUP(A93,Internal_lists_bugs!$A$2:$R$73,18,FALSE())),""please select a BUG ID"")"),"please select a BUG ID")</f>
        <v>please select a BUG ID</v>
      </c>
      <c r="D93" s="43"/>
      <c r="F93" s="60"/>
      <c r="G93" s="63"/>
      <c r="H93" s="43"/>
      <c r="J93" s="60"/>
      <c r="K93" s="63"/>
    </row>
    <row r="94">
      <c r="A94" s="71"/>
      <c r="B94" s="59" t="str">
        <f>IFERROR(HYPERLINK(VLOOKUP(A94,Internal_lists_bugs!$A$2:$C$73,3,FALSE()), VLOOKUP(A94,Internal_lists_bugs!$A$2:$C$73,3,FALSE())&amp;Char(10) &amp; Char(10) &amp; VLOOKUP(A94,Internal_lists_bugs!$A$2:$Z$73,26,FALSE())),"please select a BUG ID")</f>
        <v>please select a BUG ID</v>
      </c>
      <c r="C94" s="51" t="str">
        <f>IFERROR(__xludf.DUMMYFUNCTION("IFERROR(IF(REGEXMATCH(VLOOKUP(A94,Internal_lists_bugs!$A$2:$R$73,18,FALSE()), ""Yes""), VLOOKUP(A94,Internal_lists_bugs!$A$2:$U$73,21,FALSE()), VLOOKUP(A94,Internal_lists_bugs!$A$2:$R$73,18,FALSE())),""please select a BUG ID"")"),"please select a BUG ID")</f>
        <v>please select a BUG ID</v>
      </c>
      <c r="D94" s="43"/>
      <c r="F94" s="60"/>
      <c r="G94" s="63"/>
      <c r="H94" s="43"/>
      <c r="J94" s="60"/>
      <c r="K94" s="63"/>
    </row>
    <row r="95">
      <c r="A95" s="71"/>
      <c r="B95" s="59" t="str">
        <f>IFERROR(HYPERLINK(VLOOKUP(A95,Internal_lists_bugs!$A$2:$C$73,3,FALSE()), VLOOKUP(A95,Internal_lists_bugs!$A$2:$C$73,3,FALSE())&amp;Char(10) &amp; Char(10) &amp; VLOOKUP(A95,Internal_lists_bugs!$A$2:$Z$73,26,FALSE())),"please select a BUG ID")</f>
        <v>please select a BUG ID</v>
      </c>
      <c r="C95" s="51" t="str">
        <f>IFERROR(__xludf.DUMMYFUNCTION("IFERROR(IF(REGEXMATCH(VLOOKUP(A95,Internal_lists_bugs!$A$2:$R$73,18,FALSE()), ""Yes""), VLOOKUP(A95,Internal_lists_bugs!$A$2:$U$73,21,FALSE()), VLOOKUP(A95,Internal_lists_bugs!$A$2:$R$73,18,FALSE())),""please select a BUG ID"")"),"please select a BUG ID")</f>
        <v>please select a BUG ID</v>
      </c>
      <c r="D95" s="43"/>
      <c r="F95" s="62"/>
      <c r="G95" s="63"/>
      <c r="H95" s="43"/>
      <c r="J95" s="62"/>
      <c r="K95" s="63"/>
    </row>
    <row r="96">
      <c r="A96" s="71"/>
      <c r="B96" s="59" t="str">
        <f>IFERROR(HYPERLINK(VLOOKUP(A96,Internal_lists_bugs!$A$2:$C$73,3,FALSE()), VLOOKUP(A96,Internal_lists_bugs!$A$2:$C$73,3,FALSE())&amp;Char(10) &amp; Char(10) &amp; VLOOKUP(A96,Internal_lists_bugs!$A$2:$Z$73,26,FALSE())),"please select a BUG ID")</f>
        <v>please select a BUG ID</v>
      </c>
      <c r="C96" s="51" t="str">
        <f>IFERROR(__xludf.DUMMYFUNCTION("IFERROR(IF(REGEXMATCH(VLOOKUP(A96,Internal_lists_bugs!$A$2:$R$73,18,FALSE()), ""Yes""), VLOOKUP(A96,Internal_lists_bugs!$A$2:$U$73,21,FALSE()), VLOOKUP(A96,Internal_lists_bugs!$A$2:$R$73,18,FALSE())),""please select a BUG ID"")"),"please select a BUG ID")</f>
        <v>please select a BUG ID</v>
      </c>
      <c r="D96" s="43"/>
      <c r="F96" s="62"/>
      <c r="G96" s="63"/>
      <c r="H96" s="43"/>
      <c r="J96" s="62"/>
      <c r="K96" s="63"/>
    </row>
    <row r="97">
      <c r="A97" s="71"/>
      <c r="B97" s="59" t="str">
        <f>IFERROR(HYPERLINK(VLOOKUP(A97,Internal_lists_bugs!$A$2:$C$73,3,FALSE()), VLOOKUP(A97,Internal_lists_bugs!$A$2:$C$73,3,FALSE())&amp;Char(10) &amp; Char(10) &amp; VLOOKUP(A97,Internal_lists_bugs!$A$2:$Z$73,26,FALSE())),"please select a BUG ID")</f>
        <v>please select a BUG ID</v>
      </c>
      <c r="C97" s="51" t="str">
        <f>IFERROR(__xludf.DUMMYFUNCTION("IFERROR(IF(REGEXMATCH(VLOOKUP(A97,Internal_lists_bugs!$A$2:$R$73,18,FALSE()), ""Yes""), VLOOKUP(A97,Internal_lists_bugs!$A$2:$U$73,21,FALSE()), VLOOKUP(A97,Internal_lists_bugs!$A$2:$R$73,18,FALSE())),""please select a BUG ID"")"),"please select a BUG ID")</f>
        <v>please select a BUG ID</v>
      </c>
      <c r="D97" s="43"/>
      <c r="F97" s="62"/>
      <c r="G97" s="63"/>
      <c r="H97" s="43"/>
      <c r="J97" s="62"/>
      <c r="K97" s="63"/>
    </row>
    <row r="98">
      <c r="A98" s="71"/>
      <c r="B98" s="59" t="str">
        <f>IFERROR(HYPERLINK(VLOOKUP(A98,Internal_lists_bugs!$A$2:$C$73,3,FALSE()), VLOOKUP(A98,Internal_lists_bugs!$A$2:$C$73,3,FALSE())&amp;Char(10) &amp; Char(10) &amp; VLOOKUP(A98,Internal_lists_bugs!$A$2:$Z$73,26,FALSE())),"please select a BUG ID")</f>
        <v>please select a BUG ID</v>
      </c>
      <c r="C98" s="51" t="str">
        <f>IFERROR(__xludf.DUMMYFUNCTION("IFERROR(IF(REGEXMATCH(VLOOKUP(A98,Internal_lists_bugs!$A$2:$R$73,18,FALSE()), ""Yes""), VLOOKUP(A98,Internal_lists_bugs!$A$2:$U$73,21,FALSE()), VLOOKUP(A98,Internal_lists_bugs!$A$2:$R$73,18,FALSE())),""please select a BUG ID"")"),"please select a BUG ID")</f>
        <v>please select a BUG ID</v>
      </c>
      <c r="D98" s="43"/>
      <c r="F98" s="62"/>
      <c r="G98" s="63"/>
      <c r="H98" s="43"/>
      <c r="J98" s="62"/>
      <c r="K98" s="63"/>
    </row>
    <row r="99">
      <c r="A99" s="71"/>
      <c r="B99" s="59" t="str">
        <f>IFERROR(HYPERLINK(VLOOKUP(A99,Internal_lists_bugs!$A$2:$C$73,3,FALSE()), VLOOKUP(A99,Internal_lists_bugs!$A$2:$C$73,3,FALSE())&amp;Char(10) &amp; Char(10) &amp; VLOOKUP(A99,Internal_lists_bugs!$A$2:$Z$73,26,FALSE())),"please select a BUG ID")</f>
        <v>please select a BUG ID</v>
      </c>
      <c r="C99" s="51" t="str">
        <f>IFERROR(__xludf.DUMMYFUNCTION("IFERROR(IF(REGEXMATCH(VLOOKUP(A99,Internal_lists_bugs!$A$2:$R$73,18,FALSE()), ""Yes""), VLOOKUP(A99,Internal_lists_bugs!$A$2:$U$73,21,FALSE()), VLOOKUP(A99,Internal_lists_bugs!$A$2:$R$73,18,FALSE())),""please select a BUG ID"")"),"please select a BUG ID")</f>
        <v>please select a BUG ID</v>
      </c>
      <c r="D99" s="43"/>
      <c r="F99" s="60"/>
      <c r="G99" s="63"/>
      <c r="H99" s="43"/>
      <c r="J99" s="60"/>
      <c r="K99" s="63"/>
    </row>
    <row r="100">
      <c r="A100" s="71"/>
      <c r="B100" s="59" t="str">
        <f>IFERROR(HYPERLINK(VLOOKUP(A100,Internal_lists_bugs!$A$2:$C$73,3,FALSE()), VLOOKUP(A100,Internal_lists_bugs!$A$2:$C$73,3,FALSE())&amp;Char(10) &amp; Char(10) &amp; VLOOKUP(A100,Internal_lists_bugs!$A$2:$Z$73,26,FALSE())),"please select a BUG ID")</f>
        <v>please select a BUG ID</v>
      </c>
      <c r="C100" s="51" t="str">
        <f>IFERROR(__xludf.DUMMYFUNCTION("IFERROR(IF(REGEXMATCH(VLOOKUP(A100,Internal_lists_bugs!$A$2:$R$73,18,FALSE()), ""Yes""), VLOOKUP(A100,Internal_lists_bugs!$A$2:$U$73,21,FALSE()), VLOOKUP(A100,Internal_lists_bugs!$A$2:$R$73,18,FALSE())),""please select a BUG ID"")"),"please select a BUG ID")</f>
        <v>please select a BUG ID</v>
      </c>
      <c r="D100" s="43"/>
      <c r="F100" s="60"/>
      <c r="G100" s="63"/>
      <c r="H100" s="43"/>
      <c r="J100" s="60"/>
      <c r="K100" s="63"/>
    </row>
    <row r="101">
      <c r="A101" s="71"/>
      <c r="B101" s="59" t="str">
        <f>IFERROR(HYPERLINK(VLOOKUP(A101,Internal_lists_bugs!$A$2:$C$73,3,FALSE()), VLOOKUP(A101,Internal_lists_bugs!$A$2:$C$73,3,FALSE())&amp;Char(10) &amp; Char(10) &amp; VLOOKUP(A101,Internal_lists_bugs!$A$2:$Z$73,26,FALSE())),"please select a BUG ID")</f>
        <v>please select a BUG ID</v>
      </c>
      <c r="C101" s="51" t="str">
        <f>IFERROR(__xludf.DUMMYFUNCTION("IFERROR(IF(REGEXMATCH(VLOOKUP(A101,Internal_lists_bugs!$A$2:$R$73,18,FALSE()), ""Yes""), VLOOKUP(A101,Internal_lists_bugs!$A$2:$U$73,21,FALSE()), VLOOKUP(A101,Internal_lists_bugs!$A$2:$R$73,18,FALSE())),""please select a BUG ID"")"),"please select a BUG ID")</f>
        <v>please select a BUG ID</v>
      </c>
      <c r="D101" s="43"/>
      <c r="F101" s="62"/>
      <c r="G101" s="63"/>
      <c r="H101" s="43"/>
      <c r="J101" s="62"/>
      <c r="K101" s="63"/>
    </row>
    <row r="102">
      <c r="A102" s="71"/>
      <c r="B102" s="59" t="str">
        <f>IFERROR(HYPERLINK(VLOOKUP(A102,Internal_lists_bugs!$A$2:$C$73,3,FALSE()), VLOOKUP(A102,Internal_lists_bugs!$A$2:$C$73,3,FALSE())&amp;Char(10) &amp; Char(10) &amp; VLOOKUP(A102,Internal_lists_bugs!$A$2:$Z$73,26,FALSE())),"please select a BUG ID")</f>
        <v>please select a BUG ID</v>
      </c>
      <c r="C102" s="51" t="str">
        <f>IFERROR(__xludf.DUMMYFUNCTION("IFERROR(IF(REGEXMATCH(VLOOKUP(A102,Internal_lists_bugs!$A$2:$R$73,18,FALSE()), ""Yes""), VLOOKUP(A102,Internal_lists_bugs!$A$2:$U$73,21,FALSE()), VLOOKUP(A102,Internal_lists_bugs!$A$2:$R$73,18,FALSE())),""please select a BUG ID"")"),"please select a BUG ID")</f>
        <v>please select a BUG ID</v>
      </c>
      <c r="D102" s="43"/>
      <c r="F102" s="62"/>
      <c r="G102" s="63"/>
      <c r="H102" s="43"/>
      <c r="J102" s="62"/>
      <c r="K102" s="63"/>
    </row>
    <row r="103">
      <c r="A103" s="71"/>
      <c r="B103" s="59" t="str">
        <f>IFERROR(HYPERLINK(VLOOKUP(A103,Internal_lists_bugs!$A$2:$C$73,3,FALSE()), VLOOKUP(A103,Internal_lists_bugs!$A$2:$C$73,3,FALSE())&amp;Char(10) &amp; Char(10) &amp; VLOOKUP(A103,Internal_lists_bugs!$A$2:$Z$73,26,FALSE())),"please select a BUG ID")</f>
        <v>please select a BUG ID</v>
      </c>
      <c r="C103" s="51" t="str">
        <f>IFERROR(__xludf.DUMMYFUNCTION("IFERROR(IF(REGEXMATCH(VLOOKUP(A103,Internal_lists_bugs!$A$2:$R$73,18,FALSE()), ""Yes""), VLOOKUP(A103,Internal_lists_bugs!$A$2:$U$73,21,FALSE()), VLOOKUP(A103,Internal_lists_bugs!$A$2:$R$73,18,FALSE())),""please select a BUG ID"")"),"please select a BUG ID")</f>
        <v>please select a BUG ID</v>
      </c>
      <c r="D103" s="43"/>
      <c r="F103" s="62"/>
      <c r="G103" s="63"/>
      <c r="H103" s="43"/>
      <c r="J103" s="62"/>
      <c r="K103" s="63"/>
    </row>
    <row r="104">
      <c r="A104" s="71"/>
      <c r="B104" s="59" t="str">
        <f>IFERROR(HYPERLINK(VLOOKUP(A104,Internal_lists_bugs!$A$2:$C$73,3,FALSE()), VLOOKUP(A104,Internal_lists_bugs!$A$2:$C$73,3,FALSE())&amp;Char(10) &amp; Char(10) &amp; VLOOKUP(A104,Internal_lists_bugs!$A$2:$Z$73,26,FALSE())),"please select a BUG ID")</f>
        <v>please select a BUG ID</v>
      </c>
      <c r="C104" s="51" t="str">
        <f>IFERROR(__xludf.DUMMYFUNCTION("IFERROR(IF(REGEXMATCH(VLOOKUP(A104,Internal_lists_bugs!$A$2:$R$73,18,FALSE()), ""Yes""), VLOOKUP(A104,Internal_lists_bugs!$A$2:$U$73,21,FALSE()), VLOOKUP(A104,Internal_lists_bugs!$A$2:$R$73,18,FALSE())),""please select a BUG ID"")"),"please select a BUG ID")</f>
        <v>please select a BUG ID</v>
      </c>
      <c r="D104" s="43"/>
      <c r="F104" s="60"/>
      <c r="G104" s="63"/>
      <c r="H104" s="43"/>
      <c r="J104" s="60"/>
      <c r="K104" s="63"/>
    </row>
    <row r="105">
      <c r="A105" s="71"/>
      <c r="B105" s="59" t="str">
        <f>IFERROR(HYPERLINK(VLOOKUP(A105,Internal_lists_bugs!$A$2:$C$73,3,FALSE()), VLOOKUP(A105,Internal_lists_bugs!$A$2:$C$73,3,FALSE())&amp;Char(10) &amp; Char(10) &amp; VLOOKUP(A105,Internal_lists_bugs!$A$2:$Z$73,26,FALSE())),"please select a BUG ID")</f>
        <v>please select a BUG ID</v>
      </c>
      <c r="C105" s="51" t="str">
        <f>IFERROR(__xludf.DUMMYFUNCTION("IFERROR(IF(REGEXMATCH(VLOOKUP(A105,Internal_lists_bugs!$A$2:$R$73,18,FALSE()), ""Yes""), VLOOKUP(A105,Internal_lists_bugs!$A$2:$U$73,21,FALSE()), VLOOKUP(A105,Internal_lists_bugs!$A$2:$R$73,18,FALSE())),""please select a BUG ID"")"),"please select a BUG ID")</f>
        <v>please select a BUG ID</v>
      </c>
      <c r="D105" s="43"/>
      <c r="F105" s="60"/>
      <c r="G105" s="63"/>
      <c r="H105" s="43"/>
      <c r="J105" s="60"/>
      <c r="K105" s="63"/>
    </row>
    <row r="106">
      <c r="A106" s="71"/>
      <c r="B106" s="59" t="str">
        <f>IFERROR(HYPERLINK(VLOOKUP(A106,Internal_lists_bugs!$A$2:$C$73,3,FALSE()), VLOOKUP(A106,Internal_lists_bugs!$A$2:$C$73,3,FALSE())&amp;Char(10) &amp; Char(10) &amp; VLOOKUP(A106,Internal_lists_bugs!$A$2:$Z$73,26,FALSE())),"please select a BUG ID")</f>
        <v>please select a BUG ID</v>
      </c>
      <c r="C106" s="51" t="str">
        <f>IFERROR(__xludf.DUMMYFUNCTION("IFERROR(IF(REGEXMATCH(VLOOKUP(A106,Internal_lists_bugs!$A$2:$R$73,18,FALSE()), ""Yes""), VLOOKUP(A106,Internal_lists_bugs!$A$2:$U$73,21,FALSE()), VLOOKUP(A106,Internal_lists_bugs!$A$2:$R$73,18,FALSE())),""please select a BUG ID"")"),"please select a BUG ID")</f>
        <v>please select a BUG ID</v>
      </c>
      <c r="D106" s="43"/>
      <c r="F106" s="62"/>
      <c r="G106" s="63"/>
      <c r="H106" s="43"/>
      <c r="J106" s="62"/>
      <c r="K106" s="63"/>
    </row>
    <row r="107">
      <c r="A107" s="71"/>
      <c r="B107" s="59" t="str">
        <f>IFERROR(HYPERLINK(VLOOKUP(A107,Internal_lists_bugs!$A$2:$C$73,3,FALSE()), VLOOKUP(A107,Internal_lists_bugs!$A$2:$C$73,3,FALSE())&amp;Char(10) &amp; Char(10) &amp; VLOOKUP(A107,Internal_lists_bugs!$A$2:$Z$73,26,FALSE())),"please select a BUG ID")</f>
        <v>please select a BUG ID</v>
      </c>
      <c r="C107" s="51" t="str">
        <f>IFERROR(__xludf.DUMMYFUNCTION("IFERROR(IF(REGEXMATCH(VLOOKUP(A107,Internal_lists_bugs!$A$2:$R$73,18,FALSE()), ""Yes""), VLOOKUP(A107,Internal_lists_bugs!$A$2:$U$73,21,FALSE()), VLOOKUP(A107,Internal_lists_bugs!$A$2:$R$73,18,FALSE())),""please select a BUG ID"")"),"please select a BUG ID")</f>
        <v>please select a BUG ID</v>
      </c>
      <c r="D107" s="43"/>
      <c r="F107" s="62"/>
      <c r="G107" s="63"/>
      <c r="H107" s="43"/>
      <c r="J107" s="62"/>
      <c r="K107" s="63"/>
    </row>
    <row r="108">
      <c r="A108" s="71"/>
      <c r="B108" s="59" t="str">
        <f>IFERROR(HYPERLINK(VLOOKUP(A108,Internal_lists_bugs!$A$2:$C$73,3,FALSE()), VLOOKUP(A108,Internal_lists_bugs!$A$2:$C$73,3,FALSE())&amp;Char(10) &amp; Char(10) &amp; VLOOKUP(A108,Internal_lists_bugs!$A$2:$Z$73,26,FALSE())),"please select a BUG ID")</f>
        <v>please select a BUG ID</v>
      </c>
      <c r="C108" s="51" t="str">
        <f>IFERROR(__xludf.DUMMYFUNCTION("IFERROR(IF(REGEXMATCH(VLOOKUP(A108,Internal_lists_bugs!$A$2:$R$73,18,FALSE()), ""Yes""), VLOOKUP(A108,Internal_lists_bugs!$A$2:$U$73,21,FALSE()), VLOOKUP(A108,Internal_lists_bugs!$A$2:$R$73,18,FALSE())),""please select a BUG ID"")"),"please select a BUG ID")</f>
        <v>please select a BUG ID</v>
      </c>
      <c r="D108" s="43"/>
      <c r="F108" s="62"/>
      <c r="G108" s="63"/>
      <c r="H108" s="43"/>
      <c r="J108" s="62"/>
      <c r="K108" s="63"/>
    </row>
    <row r="109">
      <c r="A109" s="71"/>
      <c r="B109" s="59" t="str">
        <f>IFERROR(HYPERLINK(VLOOKUP(A109,Internal_lists_bugs!$A$2:$C$73,3,FALSE()), VLOOKUP(A109,Internal_lists_bugs!$A$2:$C$73,3,FALSE())&amp;Char(10) &amp; Char(10) &amp; VLOOKUP(A109,Internal_lists_bugs!$A$2:$Z$73,26,FALSE())),"please select a BUG ID")</f>
        <v>please select a BUG ID</v>
      </c>
      <c r="C109" s="51" t="str">
        <f>IFERROR(__xludf.DUMMYFUNCTION("IFERROR(IF(REGEXMATCH(VLOOKUP(A109,Internal_lists_bugs!$A$2:$R$73,18,FALSE()), ""Yes""), VLOOKUP(A109,Internal_lists_bugs!$A$2:$U$73,21,FALSE()), VLOOKUP(A109,Internal_lists_bugs!$A$2:$R$73,18,FALSE())),""please select a BUG ID"")"),"please select a BUG ID")</f>
        <v>please select a BUG ID</v>
      </c>
      <c r="D109" s="43"/>
      <c r="F109" s="62"/>
      <c r="G109" s="63"/>
      <c r="H109" s="43"/>
      <c r="J109" s="62"/>
      <c r="K109" s="63"/>
    </row>
    <row r="110">
      <c r="A110" s="71"/>
      <c r="B110" s="59" t="str">
        <f>IFERROR(HYPERLINK(VLOOKUP(A110,Internal_lists_bugs!$A$2:$C$73,3,FALSE()), VLOOKUP(A110,Internal_lists_bugs!$A$2:$C$73,3,FALSE())&amp;Char(10) &amp; Char(10) &amp; VLOOKUP(A110,Internal_lists_bugs!$A$2:$Z$73,26,FALSE())),"please select a BUG ID")</f>
        <v>please select a BUG ID</v>
      </c>
      <c r="C110" s="51" t="str">
        <f>IFERROR(__xludf.DUMMYFUNCTION("IFERROR(IF(REGEXMATCH(VLOOKUP(A110,Internal_lists_bugs!$A$2:$R$73,18,FALSE()), ""Yes""), VLOOKUP(A110,Internal_lists_bugs!$A$2:$U$73,21,FALSE()), VLOOKUP(A110,Internal_lists_bugs!$A$2:$R$73,18,FALSE())),""please select a BUG ID"")"),"please select a BUG ID")</f>
        <v>please select a BUG ID</v>
      </c>
      <c r="D110" s="43"/>
      <c r="F110" s="62"/>
      <c r="G110" s="63"/>
      <c r="H110" s="43"/>
      <c r="J110" s="62"/>
      <c r="K110" s="63"/>
    </row>
    <row r="111">
      <c r="A111" s="71"/>
      <c r="B111" s="59" t="str">
        <f>IFERROR(HYPERLINK(VLOOKUP(A111,Internal_lists_bugs!$A$2:$C$73,3,FALSE()), VLOOKUP(A111,Internal_lists_bugs!$A$2:$C$73,3,FALSE())&amp;Char(10) &amp; Char(10) &amp; VLOOKUP(A111,Internal_lists_bugs!$A$2:$Z$73,26,FALSE())),"please select a BUG ID")</f>
        <v>please select a BUG ID</v>
      </c>
      <c r="C111" s="51" t="str">
        <f>IFERROR(__xludf.DUMMYFUNCTION("IFERROR(IF(REGEXMATCH(VLOOKUP(A111,Internal_lists_bugs!$A$2:$R$73,18,FALSE()), ""Yes""), VLOOKUP(A111,Internal_lists_bugs!$A$2:$U$73,21,FALSE()), VLOOKUP(A111,Internal_lists_bugs!$A$2:$R$73,18,FALSE())),""please select a BUG ID"")"),"please select a BUG ID")</f>
        <v>please select a BUG ID</v>
      </c>
      <c r="D111" s="43"/>
      <c r="F111" s="62"/>
      <c r="G111" s="63"/>
      <c r="H111" s="43"/>
      <c r="J111" s="62"/>
      <c r="K111" s="63"/>
    </row>
    <row r="112">
      <c r="A112" s="71"/>
      <c r="B112" s="59" t="str">
        <f>IFERROR(HYPERLINK(VLOOKUP(A112,Internal_lists_bugs!$A$2:$C$73,3,FALSE()), VLOOKUP(A112,Internal_lists_bugs!$A$2:$C$73,3,FALSE())&amp;Char(10) &amp; Char(10) &amp; VLOOKUP(A112,Internal_lists_bugs!$A$2:$Z$73,26,FALSE())),"please select a BUG ID")</f>
        <v>please select a BUG ID</v>
      </c>
      <c r="C112" s="51" t="str">
        <f>IFERROR(__xludf.DUMMYFUNCTION("IFERROR(IF(REGEXMATCH(VLOOKUP(A112,Internal_lists_bugs!$A$2:$R$73,18,FALSE()), ""Yes""), VLOOKUP(A112,Internal_lists_bugs!$A$2:$U$73,21,FALSE()), VLOOKUP(A112,Internal_lists_bugs!$A$2:$R$73,18,FALSE())),""please select a BUG ID"")"),"please select a BUG ID")</f>
        <v>please select a BUG ID</v>
      </c>
      <c r="D112" s="43"/>
      <c r="F112" s="62"/>
      <c r="G112" s="63"/>
      <c r="H112" s="43"/>
      <c r="J112" s="62"/>
      <c r="K112" s="63"/>
    </row>
    <row r="113">
      <c r="A113" s="71"/>
      <c r="B113" s="59" t="str">
        <f>IFERROR(HYPERLINK(VLOOKUP(A113,Internal_lists_bugs!$A$2:$C$73,3,FALSE()), VLOOKUP(A113,Internal_lists_bugs!$A$2:$C$73,3,FALSE())&amp;Char(10) &amp; Char(10) &amp; VLOOKUP(A113,Internal_lists_bugs!$A$2:$Z$73,26,FALSE())),"please select a BUG ID")</f>
        <v>please select a BUG ID</v>
      </c>
      <c r="C113" s="51" t="str">
        <f>IFERROR(__xludf.DUMMYFUNCTION("IFERROR(IF(REGEXMATCH(VLOOKUP(A113,Internal_lists_bugs!$A$2:$R$73,18,FALSE()), ""Yes""), VLOOKUP(A113,Internal_lists_bugs!$A$2:$U$73,21,FALSE()), VLOOKUP(A113,Internal_lists_bugs!$A$2:$R$73,18,FALSE())),""please select a BUG ID"")"),"please select a BUG ID")</f>
        <v>please select a BUG ID</v>
      </c>
      <c r="D113" s="43"/>
      <c r="F113" s="62"/>
      <c r="G113" s="63"/>
      <c r="H113" s="43"/>
      <c r="J113" s="62"/>
      <c r="K113" s="63"/>
    </row>
    <row r="114">
      <c r="A114" s="71"/>
      <c r="B114" s="59" t="str">
        <f>IFERROR(HYPERLINK(VLOOKUP(A114,Internal_lists_bugs!$A$2:$C$73,3,FALSE()), VLOOKUP(A114,Internal_lists_bugs!$A$2:$C$73,3,FALSE())&amp;Char(10) &amp; Char(10) &amp; VLOOKUP(A114,Internal_lists_bugs!$A$2:$Z$73,26,FALSE())),"please select a BUG ID")</f>
        <v>please select a BUG ID</v>
      </c>
      <c r="C114" s="51" t="str">
        <f>IFERROR(__xludf.DUMMYFUNCTION("IFERROR(IF(REGEXMATCH(VLOOKUP(A114,Internal_lists_bugs!$A$2:$R$73,18,FALSE()), ""Yes""), VLOOKUP(A114,Internal_lists_bugs!$A$2:$U$73,21,FALSE()), VLOOKUP(A114,Internal_lists_bugs!$A$2:$R$73,18,FALSE())),""please select a BUG ID"")"),"please select a BUG ID")</f>
        <v>please select a BUG ID</v>
      </c>
      <c r="D114" s="43"/>
      <c r="F114" s="62"/>
      <c r="G114" s="63"/>
      <c r="H114" s="43"/>
      <c r="J114" s="62"/>
      <c r="K114" s="63"/>
    </row>
    <row r="115">
      <c r="A115" s="71"/>
      <c r="B115" s="59" t="str">
        <f>IFERROR(HYPERLINK(VLOOKUP(A115,Internal_lists_bugs!$A$2:$C$73,3,FALSE()), VLOOKUP(A115,Internal_lists_bugs!$A$2:$C$73,3,FALSE())&amp;Char(10) &amp; Char(10) &amp; VLOOKUP(A115,Internal_lists_bugs!$A$2:$Z$73,26,FALSE())),"please select a BUG ID")</f>
        <v>please select a BUG ID</v>
      </c>
      <c r="C115" s="51" t="str">
        <f>IFERROR(__xludf.DUMMYFUNCTION("IFERROR(IF(REGEXMATCH(VLOOKUP(A115,Internal_lists_bugs!$A$2:$R$73,18,FALSE()), ""Yes""), VLOOKUP(A115,Internal_lists_bugs!$A$2:$U$73,21,FALSE()), VLOOKUP(A115,Internal_lists_bugs!$A$2:$R$73,18,FALSE())),""please select a BUG ID"")"),"please select a BUG ID")</f>
        <v>please select a BUG ID</v>
      </c>
      <c r="D115" s="43"/>
      <c r="F115" s="62"/>
      <c r="G115" s="63"/>
      <c r="H115" s="43"/>
      <c r="J115" s="62"/>
      <c r="K115" s="63"/>
    </row>
    <row r="116">
      <c r="A116" s="71"/>
      <c r="B116" s="59" t="str">
        <f>IFERROR(HYPERLINK(VLOOKUP(A116,Internal_lists_bugs!$A$2:$C$73,3,FALSE()), VLOOKUP(A116,Internal_lists_bugs!$A$2:$C$73,3,FALSE())&amp;Char(10) &amp; Char(10) &amp; VLOOKUP(A116,Internal_lists_bugs!$A$2:$Z$73,26,FALSE())),"please select a BUG ID")</f>
        <v>please select a BUG ID</v>
      </c>
      <c r="C116" s="51" t="str">
        <f>IFERROR(__xludf.DUMMYFUNCTION("IFERROR(IF(REGEXMATCH(VLOOKUP(A116,Internal_lists_bugs!$A$2:$R$73,18,FALSE()), ""Yes""), VLOOKUP(A116,Internal_lists_bugs!$A$2:$U$73,21,FALSE()), VLOOKUP(A116,Internal_lists_bugs!$A$2:$R$73,18,FALSE())),""please select a BUG ID"")"),"please select a BUG ID")</f>
        <v>please select a BUG ID</v>
      </c>
      <c r="D116" s="43"/>
      <c r="F116" s="62"/>
      <c r="G116" s="63"/>
      <c r="H116" s="43"/>
      <c r="J116" s="62"/>
      <c r="K116" s="63"/>
    </row>
    <row r="117">
      <c r="A117" s="71"/>
      <c r="B117" s="59" t="str">
        <f>IFERROR(HYPERLINK(VLOOKUP(A117,Internal_lists_bugs!$A$2:$C$73,3,FALSE()), VLOOKUP(A117,Internal_lists_bugs!$A$2:$C$73,3,FALSE())&amp;Char(10) &amp; Char(10) &amp; VLOOKUP(A117,Internal_lists_bugs!$A$2:$Z$73,26,FALSE())),"please select a BUG ID")</f>
        <v>please select a BUG ID</v>
      </c>
      <c r="C117" s="51" t="str">
        <f>IFERROR(__xludf.DUMMYFUNCTION("IFERROR(IF(REGEXMATCH(VLOOKUP(A117,Internal_lists_bugs!$A$2:$R$73,18,FALSE()), ""Yes""), VLOOKUP(A117,Internal_lists_bugs!$A$2:$U$73,21,FALSE()), VLOOKUP(A117,Internal_lists_bugs!$A$2:$R$73,18,FALSE())),""please select a BUG ID"")"),"please select a BUG ID")</f>
        <v>please select a BUG ID</v>
      </c>
      <c r="D117" s="43"/>
      <c r="F117" s="62"/>
      <c r="G117" s="63"/>
      <c r="H117" s="43"/>
      <c r="J117" s="62"/>
      <c r="K117" s="63"/>
    </row>
    <row r="118">
      <c r="A118" s="71"/>
      <c r="B118" s="59" t="str">
        <f>IFERROR(HYPERLINK(VLOOKUP(A118,Internal_lists_bugs!$A$2:$C$73,3,FALSE()), VLOOKUP(A118,Internal_lists_bugs!$A$2:$C$73,3,FALSE())&amp;Char(10) &amp; Char(10) &amp; VLOOKUP(A118,Internal_lists_bugs!$A$2:$Z$73,26,FALSE())),"please select a BUG ID")</f>
        <v>please select a BUG ID</v>
      </c>
      <c r="C118" s="51" t="str">
        <f>IFERROR(__xludf.DUMMYFUNCTION("IFERROR(IF(REGEXMATCH(VLOOKUP(A118,Internal_lists_bugs!$A$2:$R$73,18,FALSE()), ""Yes""), VLOOKUP(A118,Internal_lists_bugs!$A$2:$U$73,21,FALSE()), VLOOKUP(A118,Internal_lists_bugs!$A$2:$R$73,18,FALSE())),""please select a BUG ID"")"),"please select a BUG ID")</f>
        <v>please select a BUG ID</v>
      </c>
      <c r="D118" s="43"/>
      <c r="F118" s="62"/>
      <c r="G118" s="63"/>
      <c r="H118" s="43"/>
      <c r="J118" s="62"/>
      <c r="K118" s="63"/>
    </row>
    <row r="119">
      <c r="A119" s="71"/>
      <c r="B119" s="59" t="str">
        <f>IFERROR(HYPERLINK(VLOOKUP(A119,Internal_lists_bugs!$A$2:$C$73,3,FALSE()), VLOOKUP(A119,Internal_lists_bugs!$A$2:$C$73,3,FALSE())&amp;Char(10) &amp; Char(10) &amp; VLOOKUP(A119,Internal_lists_bugs!$A$2:$Z$73,26,FALSE())),"please select a BUG ID")</f>
        <v>please select a BUG ID</v>
      </c>
      <c r="C119" s="51" t="str">
        <f>IFERROR(__xludf.DUMMYFUNCTION("IFERROR(IF(REGEXMATCH(VLOOKUP(A119,Internal_lists_bugs!$A$2:$R$73,18,FALSE()), ""Yes""), VLOOKUP(A119,Internal_lists_bugs!$A$2:$U$73,21,FALSE()), VLOOKUP(A119,Internal_lists_bugs!$A$2:$R$73,18,FALSE())),""please select a BUG ID"")"),"please select a BUG ID")</f>
        <v>please select a BUG ID</v>
      </c>
      <c r="D119" s="43"/>
      <c r="F119" s="62"/>
      <c r="G119" s="63"/>
      <c r="H119" s="43"/>
      <c r="J119" s="62"/>
      <c r="K119" s="63"/>
    </row>
    <row r="120">
      <c r="A120" s="71"/>
      <c r="B120" s="59" t="str">
        <f>IFERROR(HYPERLINK(VLOOKUP(A120,Internal_lists_bugs!$A$2:$C$73,3,FALSE()), VLOOKUP(A120,Internal_lists_bugs!$A$2:$C$73,3,FALSE())&amp;Char(10) &amp; Char(10) &amp; VLOOKUP(A120,Internal_lists_bugs!$A$2:$Z$73,26,FALSE())),"please select a BUG ID")</f>
        <v>please select a BUG ID</v>
      </c>
      <c r="C120" s="51" t="str">
        <f>IFERROR(__xludf.DUMMYFUNCTION("IFERROR(IF(REGEXMATCH(VLOOKUP(A120,Internal_lists_bugs!$A$2:$R$73,18,FALSE()), ""Yes""), VLOOKUP(A120,Internal_lists_bugs!$A$2:$U$73,21,FALSE()), VLOOKUP(A120,Internal_lists_bugs!$A$2:$R$73,18,FALSE())),""please select a BUG ID"")"),"please select a BUG ID")</f>
        <v>please select a BUG ID</v>
      </c>
      <c r="D120" s="43"/>
      <c r="F120" s="62"/>
      <c r="G120" s="63"/>
      <c r="H120" s="43"/>
      <c r="J120" s="62"/>
      <c r="K120" s="63"/>
    </row>
    <row r="121">
      <c r="A121" s="71"/>
      <c r="B121" s="59" t="str">
        <f>IFERROR(HYPERLINK(VLOOKUP(A121,Internal_lists_bugs!$A$2:$C$73,3,FALSE()), VLOOKUP(A121,Internal_lists_bugs!$A$2:$C$73,3,FALSE())&amp;Char(10) &amp; Char(10) &amp; VLOOKUP(A121,Internal_lists_bugs!$A$2:$Z$73,26,FALSE())),"please select a BUG ID")</f>
        <v>please select a BUG ID</v>
      </c>
      <c r="C121" s="51" t="str">
        <f>IFERROR(__xludf.DUMMYFUNCTION("IFERROR(IF(REGEXMATCH(VLOOKUP(A121,Internal_lists_bugs!$A$2:$R$73,18,FALSE()), ""Yes""), VLOOKUP(A121,Internal_lists_bugs!$A$2:$U$73,21,FALSE()), VLOOKUP(A121,Internal_lists_bugs!$A$2:$R$73,18,FALSE())),""please select a BUG ID"")"),"please select a BUG ID")</f>
        <v>please select a BUG ID</v>
      </c>
      <c r="D121" s="43"/>
      <c r="F121" s="62"/>
      <c r="G121" s="63"/>
      <c r="H121" s="43"/>
      <c r="J121" s="62"/>
      <c r="K121" s="63"/>
    </row>
    <row r="122">
      <c r="A122" s="71"/>
      <c r="B122" s="59" t="str">
        <f>IFERROR(HYPERLINK(VLOOKUP(A122,Internal_lists_bugs!$A$2:$C$73,3,FALSE()), VLOOKUP(A122,Internal_lists_bugs!$A$2:$C$73,3,FALSE())&amp;Char(10) &amp; Char(10) &amp; VLOOKUP(A122,Internal_lists_bugs!$A$2:$Z$73,26,FALSE())),"please select a BUG ID")</f>
        <v>please select a BUG ID</v>
      </c>
      <c r="C122" s="51" t="str">
        <f>IFERROR(__xludf.DUMMYFUNCTION("IFERROR(IF(REGEXMATCH(VLOOKUP(A122,Internal_lists_bugs!$A$2:$R$73,18,FALSE()), ""Yes""), VLOOKUP(A122,Internal_lists_bugs!$A$2:$U$73,21,FALSE()), VLOOKUP(A122,Internal_lists_bugs!$A$2:$R$73,18,FALSE())),""please select a BUG ID"")"),"please select a BUG ID")</f>
        <v>please select a BUG ID</v>
      </c>
      <c r="D122" s="43"/>
      <c r="F122" s="60"/>
      <c r="G122" s="63"/>
      <c r="H122" s="43"/>
      <c r="J122" s="60"/>
      <c r="K122" s="63"/>
    </row>
    <row r="123">
      <c r="A123" s="71"/>
      <c r="B123" s="59" t="str">
        <f>IFERROR(HYPERLINK(VLOOKUP(A123,Internal_lists_bugs!$A$2:$C$73,3,FALSE()), VLOOKUP(A123,Internal_lists_bugs!$A$2:$C$73,3,FALSE())&amp;Char(10) &amp; Char(10) &amp; VLOOKUP(A123,Internal_lists_bugs!$A$2:$Z$73,26,FALSE())),"please select a BUG ID")</f>
        <v>please select a BUG ID</v>
      </c>
      <c r="C123" s="51" t="str">
        <f>IFERROR(__xludf.DUMMYFUNCTION("IFERROR(IF(REGEXMATCH(VLOOKUP(A123,Internal_lists_bugs!$A$2:$R$73,18,FALSE()), ""Yes""), VLOOKUP(A123,Internal_lists_bugs!$A$2:$U$73,21,FALSE()), VLOOKUP(A123,Internal_lists_bugs!$A$2:$R$73,18,FALSE())),""please select a BUG ID"")"),"please select a BUG ID")</f>
        <v>please select a BUG ID</v>
      </c>
      <c r="D123" s="43"/>
      <c r="F123" s="62"/>
      <c r="G123" s="63"/>
      <c r="H123" s="43"/>
      <c r="J123" s="62"/>
      <c r="K123" s="63"/>
    </row>
    <row r="124">
      <c r="A124" s="71"/>
      <c r="B124" s="59" t="str">
        <f>IFERROR(HYPERLINK(VLOOKUP(A124,Internal_lists_bugs!$A$2:$C$73,3,FALSE()), VLOOKUP(A124,Internal_lists_bugs!$A$2:$C$73,3,FALSE())&amp;Char(10) &amp; Char(10) &amp; VLOOKUP(A124,Internal_lists_bugs!$A$2:$Z$73,26,FALSE())),"please select a BUG ID")</f>
        <v>please select a BUG ID</v>
      </c>
      <c r="C124" s="51" t="str">
        <f>IFERROR(__xludf.DUMMYFUNCTION("IFERROR(IF(REGEXMATCH(VLOOKUP(A124,Internal_lists_bugs!$A$2:$R$73,18,FALSE()), ""Yes""), VLOOKUP(A124,Internal_lists_bugs!$A$2:$U$73,21,FALSE()), VLOOKUP(A124,Internal_lists_bugs!$A$2:$R$73,18,FALSE())),""please select a BUG ID"")"),"please select a BUG ID")</f>
        <v>please select a BUG ID</v>
      </c>
      <c r="D124" s="43"/>
      <c r="F124" s="62"/>
      <c r="G124" s="63"/>
      <c r="H124" s="43"/>
      <c r="J124" s="62"/>
      <c r="K124" s="63"/>
    </row>
    <row r="125">
      <c r="A125" s="71"/>
      <c r="B125" s="59" t="str">
        <f>IFERROR(HYPERLINK(VLOOKUP(A125,Internal_lists_bugs!$A$2:$C$73,3,FALSE()), VLOOKUP(A125,Internal_lists_bugs!$A$2:$C$73,3,FALSE())&amp;Char(10) &amp; Char(10) &amp; VLOOKUP(A125,Internal_lists_bugs!$A$2:$Z$73,26,FALSE())),"please select a BUG ID")</f>
        <v>please select a BUG ID</v>
      </c>
      <c r="C125" s="51" t="str">
        <f>IFERROR(__xludf.DUMMYFUNCTION("IFERROR(IF(REGEXMATCH(VLOOKUP(A125,Internal_lists_bugs!$A$2:$R$73,18,FALSE()), ""Yes""), VLOOKUP(A125,Internal_lists_bugs!$A$2:$U$73,21,FALSE()), VLOOKUP(A125,Internal_lists_bugs!$A$2:$R$73,18,FALSE())),""please select a BUG ID"")"),"please select a BUG ID")</f>
        <v>please select a BUG ID</v>
      </c>
      <c r="D125" s="43"/>
      <c r="F125" s="62"/>
      <c r="G125" s="63"/>
      <c r="H125" s="43"/>
      <c r="J125" s="62"/>
      <c r="K125" s="63"/>
    </row>
    <row r="126">
      <c r="A126" s="71"/>
      <c r="B126" s="59" t="str">
        <f>IFERROR(HYPERLINK(VLOOKUP(A126,Internal_lists_bugs!$A$2:$C$73,3,FALSE()), VLOOKUP(A126,Internal_lists_bugs!$A$2:$C$73,3,FALSE())&amp;Char(10) &amp; Char(10) &amp; VLOOKUP(A126,Internal_lists_bugs!$A$2:$Z$73,26,FALSE())),"please select a BUG ID")</f>
        <v>please select a BUG ID</v>
      </c>
      <c r="C126" s="51" t="str">
        <f>IFERROR(__xludf.DUMMYFUNCTION("IFERROR(IF(REGEXMATCH(VLOOKUP(A126,Internal_lists_bugs!$A$2:$R$73,18,FALSE()), ""Yes""), VLOOKUP(A126,Internal_lists_bugs!$A$2:$U$73,21,FALSE()), VLOOKUP(A126,Internal_lists_bugs!$A$2:$R$73,18,FALSE())),""please select a BUG ID"")"),"please select a BUG ID")</f>
        <v>please select a BUG ID</v>
      </c>
      <c r="D126" s="43"/>
      <c r="F126" s="60"/>
      <c r="G126" s="63"/>
      <c r="H126" s="43"/>
      <c r="J126" s="60"/>
      <c r="K126" s="63"/>
    </row>
    <row r="127">
      <c r="A127" s="71"/>
      <c r="B127" s="59" t="str">
        <f>IFERROR(HYPERLINK(VLOOKUP(A127,Internal_lists_bugs!$A$2:$C$73,3,FALSE()), VLOOKUP(A127,Internal_lists_bugs!$A$2:$C$73,3,FALSE())&amp;Char(10) &amp; Char(10) &amp; VLOOKUP(A127,Internal_lists_bugs!$A$2:$Z$73,26,FALSE())),"please select a BUG ID")</f>
        <v>please select a BUG ID</v>
      </c>
      <c r="C127" s="51" t="str">
        <f>IFERROR(__xludf.DUMMYFUNCTION("IFERROR(IF(REGEXMATCH(VLOOKUP(A127,Internal_lists_bugs!$A$2:$R$73,18,FALSE()), ""Yes""), VLOOKUP(A127,Internal_lists_bugs!$A$2:$U$73,21,FALSE()), VLOOKUP(A127,Internal_lists_bugs!$A$2:$R$73,18,FALSE())),""please select a BUG ID"")"),"please select a BUG ID")</f>
        <v>please select a BUG ID</v>
      </c>
      <c r="D127" s="43"/>
      <c r="F127" s="60"/>
      <c r="G127" s="63"/>
      <c r="H127" s="43"/>
      <c r="J127" s="60"/>
      <c r="K127" s="63"/>
    </row>
    <row r="128">
      <c r="A128" s="71"/>
      <c r="B128" s="59" t="str">
        <f>IFERROR(HYPERLINK(VLOOKUP(A128,Internal_lists_bugs!$A$2:$C$73,3,FALSE()), VLOOKUP(A128,Internal_lists_bugs!$A$2:$C$73,3,FALSE())&amp;Char(10) &amp; Char(10) &amp; VLOOKUP(A128,Internal_lists_bugs!$A$2:$Z$73,26,FALSE())),"please select a BUG ID")</f>
        <v>please select a BUG ID</v>
      </c>
      <c r="C128" s="51" t="str">
        <f>IFERROR(__xludf.DUMMYFUNCTION("IFERROR(IF(REGEXMATCH(VLOOKUP(A128,Internal_lists_bugs!$A$2:$R$73,18,FALSE()), ""Yes""), VLOOKUP(A128,Internal_lists_bugs!$A$2:$U$73,21,FALSE()), VLOOKUP(A128,Internal_lists_bugs!$A$2:$R$73,18,FALSE())),""please select a BUG ID"")"),"please select a BUG ID")</f>
        <v>please select a BUG ID</v>
      </c>
      <c r="D128" s="43"/>
      <c r="F128" s="62"/>
      <c r="G128" s="63"/>
      <c r="H128" s="43"/>
      <c r="J128" s="62"/>
      <c r="K128" s="63"/>
    </row>
    <row r="129">
      <c r="A129" s="71"/>
      <c r="B129" s="59" t="str">
        <f>IFERROR(HYPERLINK(VLOOKUP(A129,Internal_lists_bugs!$A$2:$C$73,3,FALSE()), VLOOKUP(A129,Internal_lists_bugs!$A$2:$C$73,3,FALSE())&amp;Char(10) &amp; Char(10) &amp; VLOOKUP(A129,Internal_lists_bugs!$A$2:$Z$73,26,FALSE())),"please select a BUG ID")</f>
        <v>please select a BUG ID</v>
      </c>
      <c r="C129" s="51" t="str">
        <f>IFERROR(__xludf.DUMMYFUNCTION("IFERROR(IF(REGEXMATCH(VLOOKUP(A129,Internal_lists_bugs!$A$2:$R$73,18,FALSE()), ""Yes""), VLOOKUP(A129,Internal_lists_bugs!$A$2:$U$73,21,FALSE()), VLOOKUP(A129,Internal_lists_bugs!$A$2:$R$73,18,FALSE())),""please select a BUG ID"")"),"please select a BUG ID")</f>
        <v>please select a BUG ID</v>
      </c>
      <c r="D129" s="43"/>
      <c r="F129" s="62"/>
      <c r="G129" s="63"/>
      <c r="H129" s="43"/>
      <c r="J129" s="62"/>
      <c r="K129" s="63"/>
    </row>
    <row r="130">
      <c r="A130" s="71"/>
      <c r="B130" s="59" t="str">
        <f>IFERROR(HYPERLINK(VLOOKUP(A130,Internal_lists_bugs!$A$2:$C$73,3,FALSE()), VLOOKUP(A130,Internal_lists_bugs!$A$2:$C$73,3,FALSE())&amp;Char(10) &amp; Char(10) &amp; VLOOKUP(A130,Internal_lists_bugs!$A$2:$Z$73,26,FALSE())),"please select a BUG ID")</f>
        <v>please select a BUG ID</v>
      </c>
      <c r="C130" s="51" t="str">
        <f>IFERROR(__xludf.DUMMYFUNCTION("IFERROR(IF(REGEXMATCH(VLOOKUP(A130,Internal_lists_bugs!$A$2:$R$73,18,FALSE()), ""Yes""), VLOOKUP(A130,Internal_lists_bugs!$A$2:$U$73,21,FALSE()), VLOOKUP(A130,Internal_lists_bugs!$A$2:$R$73,18,FALSE())),""please select a BUG ID"")"),"please select a BUG ID")</f>
        <v>please select a BUG ID</v>
      </c>
      <c r="D130" s="43"/>
      <c r="F130" s="62"/>
      <c r="G130" s="63"/>
      <c r="H130" s="43"/>
      <c r="J130" s="62"/>
      <c r="K130" s="63"/>
    </row>
    <row r="131">
      <c r="A131" s="71"/>
      <c r="B131" s="59" t="str">
        <f>IFERROR(HYPERLINK(VLOOKUP(A131,Internal_lists_bugs!$A$2:$C$73,3,FALSE()), VLOOKUP(A131,Internal_lists_bugs!$A$2:$C$73,3,FALSE())&amp;Char(10) &amp; Char(10) &amp; VLOOKUP(A131,Internal_lists_bugs!$A$2:$Z$73,26,FALSE())),"please select a BUG ID")</f>
        <v>please select a BUG ID</v>
      </c>
      <c r="C131" s="51" t="str">
        <f>IFERROR(__xludf.DUMMYFUNCTION("IFERROR(IF(REGEXMATCH(VLOOKUP(A131,Internal_lists_bugs!$A$2:$R$73,18,FALSE()), ""Yes""), VLOOKUP(A131,Internal_lists_bugs!$A$2:$U$73,21,FALSE()), VLOOKUP(A131,Internal_lists_bugs!$A$2:$R$73,18,FALSE())),""please select a BUG ID"")"),"please select a BUG ID")</f>
        <v>please select a BUG ID</v>
      </c>
      <c r="D131" s="43"/>
      <c r="F131" s="62"/>
      <c r="G131" s="63"/>
      <c r="H131" s="43"/>
      <c r="J131" s="62"/>
      <c r="K131" s="63"/>
    </row>
    <row r="132">
      <c r="A132" s="71"/>
      <c r="B132" s="59" t="str">
        <f>IFERROR(HYPERLINK(VLOOKUP(A132,Internal_lists_bugs!$A$2:$C$73,3,FALSE()), VLOOKUP(A132,Internal_lists_bugs!$A$2:$C$73,3,FALSE())&amp;Char(10) &amp; Char(10) &amp; VLOOKUP(A132,Internal_lists_bugs!$A$2:$Z$73,26,FALSE())),"please select a BUG ID")</f>
        <v>please select a BUG ID</v>
      </c>
      <c r="C132" s="51" t="str">
        <f>IFERROR(__xludf.DUMMYFUNCTION("IFERROR(IF(REGEXMATCH(VLOOKUP(A132,Internal_lists_bugs!$A$2:$R$73,18,FALSE()), ""Yes""), VLOOKUP(A132,Internal_lists_bugs!$A$2:$U$73,21,FALSE()), VLOOKUP(A132,Internal_lists_bugs!$A$2:$R$73,18,FALSE())),""please select a BUG ID"")"),"please select a BUG ID")</f>
        <v>please select a BUG ID</v>
      </c>
      <c r="D132" s="43"/>
      <c r="F132" s="62"/>
      <c r="G132" s="63"/>
      <c r="H132" s="43"/>
      <c r="J132" s="62"/>
      <c r="K132" s="63"/>
    </row>
    <row r="133">
      <c r="A133" s="71"/>
      <c r="B133" s="59" t="str">
        <f>IFERROR(HYPERLINK(VLOOKUP(A133,Internal_lists_bugs!$A$2:$C$73,3,FALSE()), VLOOKUP(A133,Internal_lists_bugs!$A$2:$C$73,3,FALSE())&amp;Char(10) &amp; Char(10) &amp; VLOOKUP(A133,Internal_lists_bugs!$A$2:$Z$73,26,FALSE())),"please select a BUG ID")</f>
        <v>please select a BUG ID</v>
      </c>
      <c r="C133" s="51" t="str">
        <f>IFERROR(__xludf.DUMMYFUNCTION("IFERROR(IF(REGEXMATCH(VLOOKUP(A133,Internal_lists_bugs!$A$2:$R$73,18,FALSE()), ""Yes""), VLOOKUP(A133,Internal_lists_bugs!$A$2:$U$73,21,FALSE()), VLOOKUP(A133,Internal_lists_bugs!$A$2:$R$73,18,FALSE())),""please select a BUG ID"")"),"please select a BUG ID")</f>
        <v>please select a BUG ID</v>
      </c>
      <c r="D133" s="43"/>
      <c r="F133" s="60"/>
      <c r="G133" s="63"/>
      <c r="H133" s="43"/>
      <c r="J133" s="60"/>
      <c r="K133" s="63"/>
    </row>
    <row r="134">
      <c r="A134" s="71"/>
      <c r="B134" s="59" t="str">
        <f>IFERROR(HYPERLINK(VLOOKUP(A134,Internal_lists_bugs!$A$2:$C$73,3,FALSE()), VLOOKUP(A134,Internal_lists_bugs!$A$2:$C$73,3,FALSE())&amp;Char(10) &amp; Char(10) &amp; VLOOKUP(A134,Internal_lists_bugs!$A$2:$Z$73,26,FALSE())),"please select a BUG ID")</f>
        <v>please select a BUG ID</v>
      </c>
      <c r="C134" s="51" t="str">
        <f>IFERROR(__xludf.DUMMYFUNCTION("IFERROR(IF(REGEXMATCH(VLOOKUP(A134,Internal_lists_bugs!$A$2:$R$73,18,FALSE()), ""Yes""), VLOOKUP(A134,Internal_lists_bugs!$A$2:$U$73,21,FALSE()), VLOOKUP(A134,Internal_lists_bugs!$A$2:$R$73,18,FALSE())),""please select a BUG ID"")"),"please select a BUG ID")</f>
        <v>please select a BUG ID</v>
      </c>
      <c r="D134" s="43"/>
      <c r="F134" s="60"/>
      <c r="G134" s="63"/>
      <c r="H134" s="43"/>
      <c r="J134" s="60"/>
      <c r="K134" s="63"/>
    </row>
    <row r="135">
      <c r="A135" s="71"/>
      <c r="B135" s="59" t="str">
        <f>IFERROR(HYPERLINK(VLOOKUP(A135,Internal_lists_bugs!$A$2:$C$73,3,FALSE()), VLOOKUP(A135,Internal_lists_bugs!$A$2:$C$73,3,FALSE())&amp;Char(10) &amp; Char(10) &amp; VLOOKUP(A135,Internal_lists_bugs!$A$2:$Z$73,26,FALSE())),"please select a BUG ID")</f>
        <v>please select a BUG ID</v>
      </c>
      <c r="C135" s="51" t="str">
        <f>IFERROR(__xludf.DUMMYFUNCTION("IFERROR(IF(REGEXMATCH(VLOOKUP(A135,Internal_lists_bugs!$A$2:$R$73,18,FALSE()), ""Yes""), VLOOKUP(A135,Internal_lists_bugs!$A$2:$U$73,21,FALSE()), VLOOKUP(A135,Internal_lists_bugs!$A$2:$R$73,18,FALSE())),""please select a BUG ID"")"),"please select a BUG ID")</f>
        <v>please select a BUG ID</v>
      </c>
      <c r="D135" s="43"/>
      <c r="F135" s="62"/>
      <c r="G135" s="63"/>
      <c r="H135" s="43"/>
      <c r="J135" s="62"/>
      <c r="K135" s="63"/>
    </row>
    <row r="136">
      <c r="A136" s="71"/>
      <c r="B136" s="59" t="str">
        <f>IFERROR(HYPERLINK(VLOOKUP(A136,Internal_lists_bugs!$A$2:$C$73,3,FALSE()), VLOOKUP(A136,Internal_lists_bugs!$A$2:$C$73,3,FALSE())&amp;Char(10) &amp; Char(10) &amp; VLOOKUP(A136,Internal_lists_bugs!$A$2:$Z$73,26,FALSE())),"please select a BUG ID")</f>
        <v>please select a BUG ID</v>
      </c>
      <c r="C136" s="51" t="str">
        <f>IFERROR(__xludf.DUMMYFUNCTION("IFERROR(IF(REGEXMATCH(VLOOKUP(A136,Internal_lists_bugs!$A$2:$R$73,18,FALSE()), ""Yes""), VLOOKUP(A136,Internal_lists_bugs!$A$2:$U$73,21,FALSE()), VLOOKUP(A136,Internal_lists_bugs!$A$2:$R$73,18,FALSE())),""please select a BUG ID"")"),"please select a BUG ID")</f>
        <v>please select a BUG ID</v>
      </c>
      <c r="D136" s="43"/>
      <c r="F136" s="62"/>
      <c r="G136" s="63"/>
      <c r="H136" s="43"/>
      <c r="J136" s="62"/>
      <c r="K136" s="63"/>
    </row>
    <row r="137">
      <c r="A137" s="71"/>
      <c r="B137" s="59" t="str">
        <f>IFERROR(HYPERLINK(VLOOKUP(A137,Internal_lists_bugs!$A$2:$C$73,3,FALSE()), VLOOKUP(A137,Internal_lists_bugs!$A$2:$C$73,3,FALSE())&amp;Char(10) &amp; Char(10) &amp; VLOOKUP(A137,Internal_lists_bugs!$A$2:$Z$73,26,FALSE())),"please select a BUG ID")</f>
        <v>please select a BUG ID</v>
      </c>
      <c r="C137" s="51" t="str">
        <f>IFERROR(__xludf.DUMMYFUNCTION("IFERROR(IF(REGEXMATCH(VLOOKUP(A137,Internal_lists_bugs!$A$2:$R$73,18,FALSE()), ""Yes""), VLOOKUP(A137,Internal_lists_bugs!$A$2:$U$73,21,FALSE()), VLOOKUP(A137,Internal_lists_bugs!$A$2:$R$73,18,FALSE())),""please select a BUG ID"")"),"please select a BUG ID")</f>
        <v>please select a BUG ID</v>
      </c>
      <c r="D137" s="43"/>
      <c r="F137" s="62"/>
      <c r="G137" s="63"/>
      <c r="H137" s="43"/>
      <c r="J137" s="62"/>
      <c r="K137" s="63"/>
    </row>
    <row r="138">
      <c r="A138" s="71"/>
      <c r="B138" s="59" t="str">
        <f>IFERROR(HYPERLINK(VLOOKUP(A138,Internal_lists_bugs!$A$2:$C$73,3,FALSE()), VLOOKUP(A138,Internal_lists_bugs!$A$2:$C$73,3,FALSE())&amp;Char(10) &amp; Char(10) &amp; VLOOKUP(A138,Internal_lists_bugs!$A$2:$Z$73,26,FALSE())),"please select a BUG ID")</f>
        <v>please select a BUG ID</v>
      </c>
      <c r="C138" s="51" t="str">
        <f>IFERROR(__xludf.DUMMYFUNCTION("IFERROR(IF(REGEXMATCH(VLOOKUP(A138,Internal_lists_bugs!$A$2:$R$73,18,FALSE()), ""Yes""), VLOOKUP(A138,Internal_lists_bugs!$A$2:$U$73,21,FALSE()), VLOOKUP(A138,Internal_lists_bugs!$A$2:$R$73,18,FALSE())),""please select a BUG ID"")"),"please select a BUG ID")</f>
        <v>please select a BUG ID</v>
      </c>
      <c r="D138" s="43"/>
      <c r="F138" s="62"/>
      <c r="G138" s="63"/>
      <c r="H138" s="43"/>
      <c r="J138" s="62"/>
      <c r="K138" s="63"/>
    </row>
    <row r="139">
      <c r="A139" s="71"/>
      <c r="B139" s="59" t="str">
        <f>IFERROR(HYPERLINK(VLOOKUP(A139,Internal_lists_bugs!$A$2:$C$73,3,FALSE()), VLOOKUP(A139,Internal_lists_bugs!$A$2:$C$73,3,FALSE())&amp;Char(10) &amp; Char(10) &amp; VLOOKUP(A139,Internal_lists_bugs!$A$2:$Z$73,26,FALSE())),"please select a BUG ID")</f>
        <v>please select a BUG ID</v>
      </c>
      <c r="C139" s="51" t="str">
        <f>IFERROR(__xludf.DUMMYFUNCTION("IFERROR(IF(REGEXMATCH(VLOOKUP(A139,Internal_lists_bugs!$A$2:$R$73,18,FALSE()), ""Yes""), VLOOKUP(A139,Internal_lists_bugs!$A$2:$U$73,21,FALSE()), VLOOKUP(A139,Internal_lists_bugs!$A$2:$R$73,18,FALSE())),""please select a BUG ID"")"),"please select a BUG ID")</f>
        <v>please select a BUG ID</v>
      </c>
      <c r="D139" s="43"/>
      <c r="F139" s="62"/>
      <c r="G139" s="63"/>
      <c r="H139" s="43"/>
      <c r="J139" s="62"/>
      <c r="K139" s="63"/>
    </row>
    <row r="140">
      <c r="A140" s="71"/>
      <c r="B140" s="59" t="str">
        <f>IFERROR(HYPERLINK(VLOOKUP(A140,Internal_lists_bugs!$A$2:$C$73,3,FALSE()), VLOOKUP(A140,Internal_lists_bugs!$A$2:$C$73,3,FALSE())&amp;Char(10) &amp; Char(10) &amp; VLOOKUP(A140,Internal_lists_bugs!$A$2:$Z$73,26,FALSE())),"please select a BUG ID")</f>
        <v>please select a BUG ID</v>
      </c>
      <c r="C140" s="51" t="str">
        <f>IFERROR(__xludf.DUMMYFUNCTION("IFERROR(IF(REGEXMATCH(VLOOKUP(A140,Internal_lists_bugs!$A$2:$R$73,18,FALSE()), ""Yes""), VLOOKUP(A140,Internal_lists_bugs!$A$2:$U$73,21,FALSE()), VLOOKUP(A140,Internal_lists_bugs!$A$2:$R$73,18,FALSE())),""please select a BUG ID"")"),"please select a BUG ID")</f>
        <v>please select a BUG ID</v>
      </c>
      <c r="D140" s="43"/>
      <c r="F140" s="62"/>
      <c r="G140" s="63"/>
      <c r="H140" s="43"/>
      <c r="J140" s="62"/>
      <c r="K140" s="63"/>
    </row>
    <row r="141">
      <c r="A141" s="71"/>
      <c r="B141" s="59" t="str">
        <f>IFERROR(HYPERLINK(VLOOKUP(A141,Internal_lists_bugs!$A$2:$C$73,3,FALSE()), VLOOKUP(A141,Internal_lists_bugs!$A$2:$C$73,3,FALSE())&amp;Char(10) &amp; Char(10) &amp; VLOOKUP(A141,Internal_lists_bugs!$A$2:$Z$73,26,FALSE())),"please select a BUG ID")</f>
        <v>please select a BUG ID</v>
      </c>
      <c r="C141" s="51" t="str">
        <f>IFERROR(__xludf.DUMMYFUNCTION("IFERROR(IF(REGEXMATCH(VLOOKUP(A141,Internal_lists_bugs!$A$2:$R$73,18,FALSE()), ""Yes""), VLOOKUP(A141,Internal_lists_bugs!$A$2:$U$73,21,FALSE()), VLOOKUP(A141,Internal_lists_bugs!$A$2:$R$73,18,FALSE())),""please select a BUG ID"")"),"please select a BUG ID")</f>
        <v>please select a BUG ID</v>
      </c>
      <c r="D141" s="43"/>
      <c r="F141" s="60"/>
      <c r="G141" s="63"/>
      <c r="H141" s="43"/>
      <c r="J141" s="60"/>
      <c r="K141" s="61"/>
    </row>
    <row r="142">
      <c r="A142" s="71"/>
      <c r="B142" s="59" t="str">
        <f>IFERROR(HYPERLINK(VLOOKUP(A142,Internal_lists_bugs!$A$2:$C$73,3,FALSE()), VLOOKUP(A142,Internal_lists_bugs!$A$2:$C$73,3,FALSE())&amp;Char(10) &amp; Char(10) &amp; VLOOKUP(A142,Internal_lists_bugs!$A$2:$Z$73,26,FALSE())),"please select a BUG ID")</f>
        <v>please select a BUG ID</v>
      </c>
      <c r="C142" s="51" t="str">
        <f>IFERROR(__xludf.DUMMYFUNCTION("IFERROR(IF(REGEXMATCH(VLOOKUP(A142,Internal_lists_bugs!$A$2:$R$73,18,FALSE()), ""Yes""), VLOOKUP(A142,Internal_lists_bugs!$A$2:$U$73,21,FALSE()), VLOOKUP(A142,Internal_lists_bugs!$A$2:$R$73,18,FALSE())),""please select a BUG ID"")"),"please select a BUG ID")</f>
        <v>please select a BUG ID</v>
      </c>
      <c r="D142" s="43"/>
      <c r="F142" s="60"/>
      <c r="G142" s="63"/>
      <c r="H142" s="43"/>
      <c r="J142" s="60"/>
      <c r="K142" s="61"/>
    </row>
    <row r="143">
      <c r="A143" s="71"/>
      <c r="B143" s="59" t="str">
        <f>IFERROR(HYPERLINK(VLOOKUP(A143,Internal_lists_bugs!$A$2:$C$73,3,FALSE()), VLOOKUP(A143,Internal_lists_bugs!$A$2:$C$73,3,FALSE())&amp;Char(10) &amp; Char(10) &amp; VLOOKUP(A143,Internal_lists_bugs!$A$2:$Z$73,26,FALSE())),"please select a BUG ID")</f>
        <v>please select a BUG ID</v>
      </c>
      <c r="C143" s="51" t="str">
        <f>IFERROR(__xludf.DUMMYFUNCTION("IFERROR(IF(REGEXMATCH(VLOOKUP(A143,Internal_lists_bugs!$A$2:$R$73,18,FALSE()), ""Yes""), VLOOKUP(A143,Internal_lists_bugs!$A$2:$U$73,21,FALSE()), VLOOKUP(A143,Internal_lists_bugs!$A$2:$R$73,18,FALSE())),""please select a BUG ID"")"),"please select a BUG ID")</f>
        <v>please select a BUG ID</v>
      </c>
      <c r="D143" s="43"/>
      <c r="F143" s="62"/>
      <c r="G143" s="63"/>
      <c r="H143" s="43"/>
      <c r="J143" s="62"/>
      <c r="K143" s="63"/>
    </row>
    <row r="144">
      <c r="A144" s="71"/>
      <c r="B144" s="59" t="str">
        <f>IFERROR(HYPERLINK(VLOOKUP(A144,Internal_lists_bugs!$A$2:$C$73,3,FALSE()), VLOOKUP(A144,Internal_lists_bugs!$A$2:$C$73,3,FALSE())&amp;Char(10) &amp; Char(10) &amp; VLOOKUP(A144,Internal_lists_bugs!$A$2:$Z$73,26,FALSE())),"please select a BUG ID")</f>
        <v>please select a BUG ID</v>
      </c>
      <c r="C144" s="51" t="str">
        <f>IFERROR(__xludf.DUMMYFUNCTION("IFERROR(IF(REGEXMATCH(VLOOKUP(A144,Internal_lists_bugs!$A$2:$R$73,18,FALSE()), ""Yes""), VLOOKUP(A144,Internal_lists_bugs!$A$2:$U$73,21,FALSE()), VLOOKUP(A144,Internal_lists_bugs!$A$2:$R$73,18,FALSE())),""please select a BUG ID"")"),"please select a BUG ID")</f>
        <v>please select a BUG ID</v>
      </c>
      <c r="D144" s="43"/>
      <c r="F144" s="62"/>
      <c r="G144" s="63"/>
      <c r="H144" s="43"/>
      <c r="J144" s="62"/>
      <c r="K144" s="63"/>
    </row>
    <row r="145">
      <c r="A145" s="71"/>
      <c r="B145" s="59" t="str">
        <f>IFERROR(HYPERLINK(VLOOKUP(A145,Internal_lists_bugs!$A$2:$C$73,3,FALSE()), VLOOKUP(A145,Internal_lists_bugs!$A$2:$C$73,3,FALSE())&amp;Char(10) &amp; Char(10) &amp; VLOOKUP(A145,Internal_lists_bugs!$A$2:$Z$73,26,FALSE())),"please select a BUG ID")</f>
        <v>please select a BUG ID</v>
      </c>
      <c r="C145" s="51" t="str">
        <f>IFERROR(__xludf.DUMMYFUNCTION("IFERROR(IF(REGEXMATCH(VLOOKUP(A145,Internal_lists_bugs!$A$2:$R$73,18,FALSE()), ""Yes""), VLOOKUP(A145,Internal_lists_bugs!$A$2:$U$73,21,FALSE()), VLOOKUP(A145,Internal_lists_bugs!$A$2:$R$73,18,FALSE())),""please select a BUG ID"")"),"please select a BUG ID")</f>
        <v>please select a BUG ID</v>
      </c>
      <c r="D145" s="43"/>
      <c r="F145" s="62"/>
      <c r="G145" s="63"/>
      <c r="H145" s="43"/>
      <c r="J145" s="62"/>
      <c r="K145" s="63"/>
    </row>
    <row r="146">
      <c r="A146" s="71"/>
      <c r="B146" s="59" t="str">
        <f>IFERROR(HYPERLINK(VLOOKUP(A146,Internal_lists_bugs!$A$2:$C$73,3,FALSE()), VLOOKUP(A146,Internal_lists_bugs!$A$2:$C$73,3,FALSE())&amp;Char(10) &amp; Char(10) &amp; VLOOKUP(A146,Internal_lists_bugs!$A$2:$Z$73,26,FALSE())),"please select a BUG ID")</f>
        <v>please select a BUG ID</v>
      </c>
      <c r="C146" s="51" t="str">
        <f>IFERROR(__xludf.DUMMYFUNCTION("IFERROR(IF(REGEXMATCH(VLOOKUP(A146,Internal_lists_bugs!$A$2:$R$73,18,FALSE()), ""Yes""), VLOOKUP(A146,Internal_lists_bugs!$A$2:$U$73,21,FALSE()), VLOOKUP(A146,Internal_lists_bugs!$A$2:$R$73,18,FALSE())),""please select a BUG ID"")"),"please select a BUG ID")</f>
        <v>please select a BUG ID</v>
      </c>
      <c r="D146" s="43"/>
      <c r="F146" s="62"/>
      <c r="G146" s="63"/>
      <c r="H146" s="43"/>
      <c r="J146" s="62"/>
      <c r="K146" s="63"/>
    </row>
    <row r="147">
      <c r="A147" s="71"/>
      <c r="B147" s="59" t="str">
        <f>IFERROR(HYPERLINK(VLOOKUP(A147,Internal_lists_bugs!$A$2:$C$73,3,FALSE()), VLOOKUP(A147,Internal_lists_bugs!$A$2:$C$73,3,FALSE())&amp;Char(10) &amp; Char(10) &amp; VLOOKUP(A147,Internal_lists_bugs!$A$2:$Z$73,26,FALSE())),"please select a BUG ID")</f>
        <v>please select a BUG ID</v>
      </c>
      <c r="C147" s="51" t="str">
        <f>IFERROR(__xludf.DUMMYFUNCTION("IFERROR(IF(REGEXMATCH(VLOOKUP(A147,Internal_lists_bugs!$A$2:$R$73,18,FALSE()), ""Yes""), VLOOKUP(A147,Internal_lists_bugs!$A$2:$U$73,21,FALSE()), VLOOKUP(A147,Internal_lists_bugs!$A$2:$R$73,18,FALSE())),""please select a BUG ID"")"),"please select a BUG ID")</f>
        <v>please select a BUG ID</v>
      </c>
      <c r="D147" s="43"/>
      <c r="F147" s="62"/>
      <c r="G147" s="63"/>
      <c r="H147" s="43"/>
      <c r="J147" s="62"/>
      <c r="K147" s="63"/>
    </row>
    <row r="148">
      <c r="A148" s="71"/>
      <c r="B148" s="59" t="str">
        <f>IFERROR(HYPERLINK(VLOOKUP(A148,Internal_lists_bugs!$A$2:$C$73,3,FALSE()), VLOOKUP(A148,Internal_lists_bugs!$A$2:$C$73,3,FALSE())&amp;Char(10) &amp; Char(10) &amp; VLOOKUP(A148,Internal_lists_bugs!$A$2:$Z$73,26,FALSE())),"please select a BUG ID")</f>
        <v>please select a BUG ID</v>
      </c>
      <c r="C148" s="51" t="str">
        <f>IFERROR(__xludf.DUMMYFUNCTION("IFERROR(IF(REGEXMATCH(VLOOKUP(A148,Internal_lists_bugs!$A$2:$R$73,18,FALSE()), ""Yes""), VLOOKUP(A148,Internal_lists_bugs!$A$2:$U$73,21,FALSE()), VLOOKUP(A148,Internal_lists_bugs!$A$2:$R$73,18,FALSE())),""please select a BUG ID"")"),"please select a BUG ID")</f>
        <v>please select a BUG ID</v>
      </c>
      <c r="D148" s="43"/>
      <c r="F148" s="62"/>
      <c r="G148" s="63"/>
      <c r="H148" s="43"/>
      <c r="J148" s="62"/>
      <c r="K148" s="63"/>
    </row>
    <row r="149">
      <c r="A149" s="71"/>
      <c r="B149" s="59" t="str">
        <f>IFERROR(HYPERLINK(VLOOKUP(A149,Internal_lists_bugs!$A$2:$C$73,3,FALSE()), VLOOKUP(A149,Internal_lists_bugs!$A$2:$C$73,3,FALSE())&amp;Char(10) &amp; Char(10) &amp; VLOOKUP(A149,Internal_lists_bugs!$A$2:$Z$73,26,FALSE())),"please select a BUG ID")</f>
        <v>please select a BUG ID</v>
      </c>
      <c r="C149" s="51" t="str">
        <f>IFERROR(__xludf.DUMMYFUNCTION("IFERROR(IF(REGEXMATCH(VLOOKUP(A149,Internal_lists_bugs!$A$2:$R$73,18,FALSE()), ""Yes""), VLOOKUP(A149,Internal_lists_bugs!$A$2:$U$73,21,FALSE()), VLOOKUP(A149,Internal_lists_bugs!$A$2:$R$73,18,FALSE())),""please select a BUG ID"")"),"please select a BUG ID")</f>
        <v>please select a BUG ID</v>
      </c>
      <c r="D149" s="43"/>
      <c r="F149" s="62"/>
      <c r="G149" s="63"/>
      <c r="H149" s="43"/>
      <c r="J149" s="62"/>
      <c r="K149" s="63"/>
    </row>
    <row r="150">
      <c r="A150" s="71"/>
      <c r="B150" s="59" t="str">
        <f>IFERROR(HYPERLINK(VLOOKUP(A150,Internal_lists_bugs!$A$2:$C$73,3,FALSE()), VLOOKUP(A150,Internal_lists_bugs!$A$2:$C$73,3,FALSE())&amp;Char(10) &amp; Char(10) &amp; VLOOKUP(A150,Internal_lists_bugs!$A$2:$Z$73,26,FALSE())),"please select a BUG ID")</f>
        <v>please select a BUG ID</v>
      </c>
      <c r="C150" s="51" t="str">
        <f>IFERROR(__xludf.DUMMYFUNCTION("IFERROR(IF(REGEXMATCH(VLOOKUP(A150,Internal_lists_bugs!$A$2:$R$73,18,FALSE()), ""Yes""), VLOOKUP(A150,Internal_lists_bugs!$A$2:$U$73,21,FALSE()), VLOOKUP(A150,Internal_lists_bugs!$A$2:$R$73,18,FALSE())),""please select a BUG ID"")"),"please select a BUG ID")</f>
        <v>please select a BUG ID</v>
      </c>
      <c r="D150" s="43"/>
      <c r="F150" s="62"/>
      <c r="G150" s="63"/>
      <c r="H150" s="43"/>
      <c r="J150" s="62"/>
      <c r="K150" s="63"/>
    </row>
    <row r="151">
      <c r="A151" s="71"/>
      <c r="B151" s="59" t="str">
        <f>IFERROR(HYPERLINK(VLOOKUP(A151,Internal_lists_bugs!$A$2:$C$73,3,FALSE()), VLOOKUP(A151,Internal_lists_bugs!$A$2:$C$73,3,FALSE())&amp;Char(10) &amp; Char(10) &amp; VLOOKUP(A151,Internal_lists_bugs!$A$2:$Z$73,26,FALSE())),"please select a BUG ID")</f>
        <v>please select a BUG ID</v>
      </c>
      <c r="C151" s="51" t="str">
        <f>IFERROR(__xludf.DUMMYFUNCTION("IFERROR(IF(REGEXMATCH(VLOOKUP(A151,Internal_lists_bugs!$A$2:$R$73,18,FALSE()), ""Yes""), VLOOKUP(A151,Internal_lists_bugs!$A$2:$U$73,21,FALSE()), VLOOKUP(A151,Internal_lists_bugs!$A$2:$R$73,18,FALSE())),""please select a BUG ID"")"),"please select a BUG ID")</f>
        <v>please select a BUG ID</v>
      </c>
      <c r="D151" s="43"/>
      <c r="F151" s="62"/>
      <c r="G151" s="63"/>
      <c r="H151" s="43"/>
      <c r="J151" s="62"/>
      <c r="K151" s="63"/>
    </row>
    <row r="152">
      <c r="A152" s="71"/>
      <c r="B152" s="59" t="str">
        <f>IFERROR(HYPERLINK(VLOOKUP(A152,Internal_lists_bugs!$A$2:$C$73,3,FALSE()), VLOOKUP(A152,Internal_lists_bugs!$A$2:$C$73,3,FALSE())&amp;Char(10) &amp; Char(10) &amp; VLOOKUP(A152,Internal_lists_bugs!$A$2:$Z$73,26,FALSE())),"please select a BUG ID")</f>
        <v>please select a BUG ID</v>
      </c>
      <c r="C152" s="51" t="str">
        <f>IFERROR(__xludf.DUMMYFUNCTION("IFERROR(IF(REGEXMATCH(VLOOKUP(A152,Internal_lists_bugs!$A$2:$R$73,18,FALSE()), ""Yes""), VLOOKUP(A152,Internal_lists_bugs!$A$2:$U$73,21,FALSE()), VLOOKUP(A152,Internal_lists_bugs!$A$2:$R$73,18,FALSE())),""please select a BUG ID"")"),"please select a BUG ID")</f>
        <v>please select a BUG ID</v>
      </c>
      <c r="D152" s="43"/>
      <c r="F152" s="62"/>
      <c r="G152" s="63"/>
      <c r="H152" s="43"/>
      <c r="J152" s="62"/>
      <c r="K152" s="63"/>
    </row>
    <row r="153">
      <c r="A153" s="71"/>
      <c r="B153" s="59" t="str">
        <f>IFERROR(HYPERLINK(VLOOKUP(A153,Internal_lists_bugs!$A$2:$C$73,3,FALSE()), VLOOKUP(A153,Internal_lists_bugs!$A$2:$C$73,3,FALSE())&amp;Char(10) &amp; Char(10) &amp; VLOOKUP(A153,Internal_lists_bugs!$A$2:$Z$73,26,FALSE())),"please select a BUG ID")</f>
        <v>please select a BUG ID</v>
      </c>
      <c r="C153" s="51" t="str">
        <f>IFERROR(__xludf.DUMMYFUNCTION("IFERROR(IF(REGEXMATCH(VLOOKUP(A153,Internal_lists_bugs!$A$2:$R$73,18,FALSE()), ""Yes""), VLOOKUP(A153,Internal_lists_bugs!$A$2:$U$73,21,FALSE()), VLOOKUP(A153,Internal_lists_bugs!$A$2:$R$73,18,FALSE())),""please select a BUG ID"")"),"please select a BUG ID")</f>
        <v>please select a BUG ID</v>
      </c>
      <c r="D153" s="43"/>
      <c r="F153" s="62"/>
      <c r="G153" s="63"/>
      <c r="H153" s="43"/>
      <c r="J153" s="62"/>
      <c r="K153" s="63"/>
    </row>
    <row r="154">
      <c r="A154" s="71"/>
      <c r="B154" s="59" t="str">
        <f>IFERROR(HYPERLINK(VLOOKUP(A154,Internal_lists_bugs!$A$2:$C$73,3,FALSE()), VLOOKUP(A154,Internal_lists_bugs!$A$2:$C$73,3,FALSE())&amp;Char(10) &amp; Char(10) &amp; VLOOKUP(A154,Internal_lists_bugs!$A$2:$Z$73,26,FALSE())),"please select a BUG ID")</f>
        <v>please select a BUG ID</v>
      </c>
      <c r="C154" s="51" t="str">
        <f>IFERROR(__xludf.DUMMYFUNCTION("IFERROR(IF(REGEXMATCH(VLOOKUP(A154,Internal_lists_bugs!$A$2:$R$73,18,FALSE()), ""Yes""), VLOOKUP(A154,Internal_lists_bugs!$A$2:$U$73,21,FALSE()), VLOOKUP(A154,Internal_lists_bugs!$A$2:$R$73,18,FALSE())),""please select a BUG ID"")"),"please select a BUG ID")</f>
        <v>please select a BUG ID</v>
      </c>
      <c r="D154" s="43"/>
      <c r="F154" s="62"/>
      <c r="G154" s="63"/>
      <c r="H154" s="43"/>
      <c r="J154" s="62"/>
      <c r="K154" s="63"/>
    </row>
    <row r="155">
      <c r="A155" s="71"/>
      <c r="B155" s="59" t="str">
        <f>IFERROR(HYPERLINK(VLOOKUP(A155,Internal_lists_bugs!$A$2:$C$73,3,FALSE()), VLOOKUP(A155,Internal_lists_bugs!$A$2:$C$73,3,FALSE())&amp;Char(10) &amp; Char(10) &amp; VLOOKUP(A155,Internal_lists_bugs!$A$2:$Z$73,26,FALSE())),"please select a BUG ID")</f>
        <v>please select a BUG ID</v>
      </c>
      <c r="C155" s="51" t="str">
        <f>IFERROR(__xludf.DUMMYFUNCTION("IFERROR(IF(REGEXMATCH(VLOOKUP(A155,Internal_lists_bugs!$A$2:$R$73,18,FALSE()), ""Yes""), VLOOKUP(A155,Internal_lists_bugs!$A$2:$U$73,21,FALSE()), VLOOKUP(A155,Internal_lists_bugs!$A$2:$R$73,18,FALSE())),""please select a BUG ID"")"),"please select a BUG ID")</f>
        <v>please select a BUG ID</v>
      </c>
      <c r="D155" s="43"/>
      <c r="F155" s="62"/>
      <c r="G155" s="63"/>
      <c r="H155" s="43"/>
      <c r="J155" s="62"/>
      <c r="K155" s="63"/>
    </row>
    <row r="156">
      <c r="A156" s="71"/>
      <c r="B156" s="59" t="str">
        <f>IFERROR(HYPERLINK(VLOOKUP(A156,Internal_lists_bugs!$A$2:$C$73,3,FALSE()), VLOOKUP(A156,Internal_lists_bugs!$A$2:$C$73,3,FALSE())&amp;Char(10) &amp; Char(10) &amp; VLOOKUP(A156,Internal_lists_bugs!$A$2:$Z$73,26,FALSE())),"please select a BUG ID")</f>
        <v>please select a BUG ID</v>
      </c>
      <c r="C156" s="51" t="str">
        <f>IFERROR(__xludf.DUMMYFUNCTION("IFERROR(IF(REGEXMATCH(VLOOKUP(A156,Internal_lists_bugs!$A$2:$R$73,18,FALSE()), ""Yes""), VLOOKUP(A156,Internal_lists_bugs!$A$2:$U$73,21,FALSE()), VLOOKUP(A156,Internal_lists_bugs!$A$2:$R$73,18,FALSE())),""please select a BUG ID"")"),"please select a BUG ID")</f>
        <v>please select a BUG ID</v>
      </c>
      <c r="D156" s="43"/>
      <c r="F156" s="62"/>
      <c r="G156" s="63"/>
      <c r="H156" s="43"/>
      <c r="J156" s="62"/>
      <c r="K156" s="63"/>
    </row>
    <row r="157">
      <c r="A157" s="71"/>
      <c r="B157" s="59" t="str">
        <f>IFERROR(HYPERLINK(VLOOKUP(A157,Internal_lists_bugs!$A$2:$C$73,3,FALSE()), VLOOKUP(A157,Internal_lists_bugs!$A$2:$C$73,3,FALSE())&amp;Char(10) &amp; Char(10) &amp; VLOOKUP(A157,Internal_lists_bugs!$A$2:$Z$73,26,FALSE())),"please select a BUG ID")</f>
        <v>please select a BUG ID</v>
      </c>
      <c r="C157" s="51" t="str">
        <f>IFERROR(__xludf.DUMMYFUNCTION("IFERROR(IF(REGEXMATCH(VLOOKUP(A157,Internal_lists_bugs!$A$2:$R$73,18,FALSE()), ""Yes""), VLOOKUP(A157,Internal_lists_bugs!$A$2:$U$73,21,FALSE()), VLOOKUP(A157,Internal_lists_bugs!$A$2:$R$73,18,FALSE())),""please select a BUG ID"")"),"please select a BUG ID")</f>
        <v>please select a BUG ID</v>
      </c>
      <c r="D157" s="43"/>
      <c r="F157" s="62"/>
      <c r="G157" s="63"/>
      <c r="H157" s="43"/>
      <c r="J157" s="62"/>
      <c r="K157" s="63"/>
    </row>
    <row r="158">
      <c r="A158" s="71"/>
      <c r="B158" s="59" t="str">
        <f>IFERROR(HYPERLINK(VLOOKUP(A158,Internal_lists_bugs!$A$2:$C$73,3,FALSE()), VLOOKUP(A158,Internal_lists_bugs!$A$2:$C$73,3,FALSE())&amp;Char(10) &amp; Char(10) &amp; VLOOKUP(A158,Internal_lists_bugs!$A$2:$Z$73,26,FALSE())),"please select a BUG ID")</f>
        <v>please select a BUG ID</v>
      </c>
      <c r="C158" s="51" t="str">
        <f>IFERROR(__xludf.DUMMYFUNCTION("IFERROR(IF(REGEXMATCH(VLOOKUP(A158,Internal_lists_bugs!$A$2:$R$73,18,FALSE()), ""Yes""), VLOOKUP(A158,Internal_lists_bugs!$A$2:$U$73,21,FALSE()), VLOOKUP(A158,Internal_lists_bugs!$A$2:$R$73,18,FALSE())),""please select a BUG ID"")"),"please select a BUG ID")</f>
        <v>please select a BUG ID</v>
      </c>
      <c r="D158" s="43"/>
      <c r="F158" s="62"/>
      <c r="G158" s="63"/>
      <c r="H158" s="43"/>
      <c r="J158" s="62"/>
      <c r="K158" s="63"/>
    </row>
    <row r="159">
      <c r="A159" s="71"/>
      <c r="B159" s="59" t="str">
        <f>IFERROR(HYPERLINK(VLOOKUP(A159,Internal_lists_bugs!$A$2:$C$73,3,FALSE()), VLOOKUP(A159,Internal_lists_bugs!$A$2:$C$73,3,FALSE())&amp;Char(10) &amp; Char(10) &amp; VLOOKUP(A159,Internal_lists_bugs!$A$2:$Z$73,26,FALSE())),"please select a BUG ID")</f>
        <v>please select a BUG ID</v>
      </c>
      <c r="C159" s="51" t="str">
        <f>IFERROR(__xludf.DUMMYFUNCTION("IFERROR(IF(REGEXMATCH(VLOOKUP(A159,Internal_lists_bugs!$A$2:$R$73,18,FALSE()), ""Yes""), VLOOKUP(A159,Internal_lists_bugs!$A$2:$U$73,21,FALSE()), VLOOKUP(A159,Internal_lists_bugs!$A$2:$R$73,18,FALSE())),""please select a BUG ID"")"),"please select a BUG ID")</f>
        <v>please select a BUG ID</v>
      </c>
      <c r="D159" s="43"/>
      <c r="F159" s="62"/>
      <c r="G159" s="63"/>
      <c r="H159" s="43"/>
      <c r="J159" s="62"/>
      <c r="K159" s="63"/>
    </row>
    <row r="160">
      <c r="A160" s="71"/>
      <c r="B160" s="59" t="str">
        <f>IFERROR(HYPERLINK(VLOOKUP(A160,Internal_lists_bugs!$A$2:$C$73,3,FALSE()), VLOOKUP(A160,Internal_lists_bugs!$A$2:$C$73,3,FALSE())&amp;Char(10) &amp; Char(10) &amp; VLOOKUP(A160,Internal_lists_bugs!$A$2:$Z$73,26,FALSE())),"please select a BUG ID")</f>
        <v>please select a BUG ID</v>
      </c>
      <c r="C160" s="51" t="str">
        <f>IFERROR(__xludf.DUMMYFUNCTION("IFERROR(IF(REGEXMATCH(VLOOKUP(A160,Internal_lists_bugs!$A$2:$R$73,18,FALSE()), ""Yes""), VLOOKUP(A160,Internal_lists_bugs!$A$2:$U$73,21,FALSE()), VLOOKUP(A160,Internal_lists_bugs!$A$2:$R$73,18,FALSE())),""please select a BUG ID"")"),"please select a BUG ID")</f>
        <v>please select a BUG ID</v>
      </c>
      <c r="D160" s="43"/>
      <c r="F160" s="62"/>
      <c r="G160" s="63"/>
      <c r="H160" s="43"/>
      <c r="J160" s="62"/>
      <c r="K160" s="63"/>
    </row>
    <row r="161">
      <c r="A161" s="71"/>
      <c r="B161" s="59" t="str">
        <f>IFERROR(HYPERLINK(VLOOKUP(A161,Internal_lists_bugs!$A$2:$C$73,3,FALSE()), VLOOKUP(A161,Internal_lists_bugs!$A$2:$C$73,3,FALSE())&amp;Char(10) &amp; Char(10) &amp; VLOOKUP(A161,Internal_lists_bugs!$A$2:$Z$73,26,FALSE())),"please select a BUG ID")</f>
        <v>please select a BUG ID</v>
      </c>
      <c r="C161" s="51" t="str">
        <f>IFERROR(__xludf.DUMMYFUNCTION("IFERROR(IF(REGEXMATCH(VLOOKUP(A161,Internal_lists_bugs!$A$2:$R$73,18,FALSE()), ""Yes""), VLOOKUP(A161,Internal_lists_bugs!$A$2:$U$73,21,FALSE()), VLOOKUP(A161,Internal_lists_bugs!$A$2:$R$73,18,FALSE())),""please select a BUG ID"")"),"please select a BUG ID")</f>
        <v>please select a BUG ID</v>
      </c>
      <c r="D161" s="43"/>
      <c r="F161" s="62"/>
      <c r="G161" s="63"/>
      <c r="H161" s="43"/>
      <c r="J161" s="62"/>
      <c r="K161" s="63"/>
    </row>
    <row r="162">
      <c r="A162" s="71"/>
      <c r="B162" s="59" t="str">
        <f>IFERROR(HYPERLINK(VLOOKUP(A162,Internal_lists_bugs!$A$2:$C$73,3,FALSE()), VLOOKUP(A162,Internal_lists_bugs!$A$2:$C$73,3,FALSE())&amp;Char(10) &amp; Char(10) &amp; VLOOKUP(A162,Internal_lists_bugs!$A$2:$Z$73,26,FALSE())),"please select a BUG ID")</f>
        <v>please select a BUG ID</v>
      </c>
      <c r="C162" s="51" t="str">
        <f>IFERROR(__xludf.DUMMYFUNCTION("IFERROR(IF(REGEXMATCH(VLOOKUP(A162,Internal_lists_bugs!$A$2:$R$73,18,FALSE()), ""Yes""), VLOOKUP(A162,Internal_lists_bugs!$A$2:$U$73,21,FALSE()), VLOOKUP(A162,Internal_lists_bugs!$A$2:$R$73,18,FALSE())),""please select a BUG ID"")"),"please select a BUG ID")</f>
        <v>please select a BUG ID</v>
      </c>
      <c r="D162" s="43"/>
      <c r="F162" s="62"/>
      <c r="G162" s="63"/>
      <c r="H162" s="43"/>
      <c r="J162" s="62"/>
      <c r="K162" s="63"/>
    </row>
    <row r="163">
      <c r="A163" s="71"/>
      <c r="B163" s="59" t="str">
        <f>IFERROR(HYPERLINK(VLOOKUP(A163,Internal_lists_bugs!$A$2:$C$73,3,FALSE()), VLOOKUP(A163,Internal_lists_bugs!$A$2:$C$73,3,FALSE())&amp;Char(10) &amp; Char(10) &amp; VLOOKUP(A163,Internal_lists_bugs!$A$2:$Z$73,26,FALSE())),"please select a BUG ID")</f>
        <v>please select a BUG ID</v>
      </c>
      <c r="C163" s="51" t="str">
        <f>IFERROR(__xludf.DUMMYFUNCTION("IFERROR(IF(REGEXMATCH(VLOOKUP(A163,Internal_lists_bugs!$A$2:$R$73,18,FALSE()), ""Yes""), VLOOKUP(A163,Internal_lists_bugs!$A$2:$U$73,21,FALSE()), VLOOKUP(A163,Internal_lists_bugs!$A$2:$R$73,18,FALSE())),""please select a BUG ID"")"),"please select a BUG ID")</f>
        <v>please select a BUG ID</v>
      </c>
      <c r="D163" s="43"/>
      <c r="F163" s="62"/>
      <c r="G163" s="63"/>
      <c r="H163" s="43"/>
      <c r="J163" s="62"/>
      <c r="K163" s="63"/>
    </row>
    <row r="164">
      <c r="A164" s="71"/>
      <c r="B164" s="59" t="str">
        <f>IFERROR(HYPERLINK(VLOOKUP(A164,Internal_lists_bugs!$A$2:$C$73,3,FALSE()), VLOOKUP(A164,Internal_lists_bugs!$A$2:$C$73,3,FALSE())&amp;Char(10) &amp; Char(10) &amp; VLOOKUP(A164,Internal_lists_bugs!$A$2:$Z$73,26,FALSE())),"please select a BUG ID")</f>
        <v>please select a BUG ID</v>
      </c>
      <c r="C164" s="51" t="str">
        <f>IFERROR(__xludf.DUMMYFUNCTION("IFERROR(IF(REGEXMATCH(VLOOKUP(A164,Internal_lists_bugs!$A$2:$R$73,18,FALSE()), ""Yes""), VLOOKUP(A164,Internal_lists_bugs!$A$2:$U$73,21,FALSE()), VLOOKUP(A164,Internal_lists_bugs!$A$2:$R$73,18,FALSE())),""please select a BUG ID"")"),"please select a BUG ID")</f>
        <v>please select a BUG ID</v>
      </c>
      <c r="D164" s="43"/>
      <c r="F164" s="62"/>
      <c r="G164" s="63"/>
      <c r="H164" s="43"/>
      <c r="J164" s="62"/>
      <c r="K164" s="63"/>
    </row>
    <row r="165">
      <c r="A165" s="71"/>
      <c r="B165" s="59" t="str">
        <f>IFERROR(HYPERLINK(VLOOKUP(A165,Internal_lists_bugs!$A$2:$C$73,3,FALSE()), VLOOKUP(A165,Internal_lists_bugs!$A$2:$C$73,3,FALSE())&amp;Char(10) &amp; Char(10) &amp; VLOOKUP(A165,Internal_lists_bugs!$A$2:$Z$73,26,FALSE())),"please select a BUG ID")</f>
        <v>please select a BUG ID</v>
      </c>
      <c r="C165" s="51" t="str">
        <f>IFERROR(__xludf.DUMMYFUNCTION("IFERROR(IF(REGEXMATCH(VLOOKUP(A165,Internal_lists_bugs!$A$2:$R$73,18,FALSE()), ""Yes""), VLOOKUP(A165,Internal_lists_bugs!$A$2:$U$73,21,FALSE()), VLOOKUP(A165,Internal_lists_bugs!$A$2:$R$73,18,FALSE())),""please select a BUG ID"")"),"please select a BUG ID")</f>
        <v>please select a BUG ID</v>
      </c>
      <c r="D165" s="43"/>
      <c r="F165" s="62"/>
      <c r="G165" s="63"/>
      <c r="H165" s="43"/>
      <c r="J165" s="62"/>
      <c r="K165" s="63"/>
    </row>
    <row r="166">
      <c r="A166" s="71"/>
      <c r="B166" s="59" t="str">
        <f>IFERROR(HYPERLINK(VLOOKUP(A166,Internal_lists_bugs!$A$2:$C$73,3,FALSE()), VLOOKUP(A166,Internal_lists_bugs!$A$2:$C$73,3,FALSE())&amp;Char(10) &amp; Char(10) &amp; VLOOKUP(A166,Internal_lists_bugs!$A$2:$Z$73,26,FALSE())),"please select a BUG ID")</f>
        <v>please select a BUG ID</v>
      </c>
      <c r="C166" s="51" t="str">
        <f>IFERROR(__xludf.DUMMYFUNCTION("IFERROR(IF(REGEXMATCH(VLOOKUP(A166,Internal_lists_bugs!$A$2:$R$73,18,FALSE()), ""Yes""), VLOOKUP(A166,Internal_lists_bugs!$A$2:$U$73,21,FALSE()), VLOOKUP(A166,Internal_lists_bugs!$A$2:$R$73,18,FALSE())),""please select a BUG ID"")"),"please select a BUG ID")</f>
        <v>please select a BUG ID</v>
      </c>
      <c r="D166" s="43"/>
      <c r="F166" s="62"/>
      <c r="G166" s="63"/>
      <c r="H166" s="43"/>
      <c r="J166" s="62"/>
      <c r="K166" s="63"/>
    </row>
    <row r="167">
      <c r="A167" s="71"/>
      <c r="B167" s="59" t="str">
        <f>IFERROR(HYPERLINK(VLOOKUP(A167,Internal_lists_bugs!$A$2:$C$73,3,FALSE()), VLOOKUP(A167,Internal_lists_bugs!$A$2:$C$73,3,FALSE())&amp;Char(10) &amp; Char(10) &amp; VLOOKUP(A167,Internal_lists_bugs!$A$2:$Z$73,26,FALSE())),"please select a BUG ID")</f>
        <v>please select a BUG ID</v>
      </c>
      <c r="C167" s="51" t="str">
        <f>IFERROR(__xludf.DUMMYFUNCTION("IFERROR(IF(REGEXMATCH(VLOOKUP(A167,Internal_lists_bugs!$A$2:$R$73,18,FALSE()), ""Yes""), VLOOKUP(A167,Internal_lists_bugs!$A$2:$U$73,21,FALSE()), VLOOKUP(A167,Internal_lists_bugs!$A$2:$R$73,18,FALSE())),""please select a BUG ID"")"),"please select a BUG ID")</f>
        <v>please select a BUG ID</v>
      </c>
      <c r="D167" s="43"/>
      <c r="F167" s="62"/>
      <c r="G167" s="63"/>
      <c r="H167" s="43"/>
      <c r="J167" s="62"/>
      <c r="K167" s="63"/>
    </row>
    <row r="168">
      <c r="A168" s="71"/>
      <c r="B168" s="59" t="str">
        <f>IFERROR(HYPERLINK(VLOOKUP(A168,Internal_lists_bugs!$A$2:$C$73,3,FALSE()), VLOOKUP(A168,Internal_lists_bugs!$A$2:$C$73,3,FALSE())&amp;Char(10) &amp; Char(10) &amp; VLOOKUP(A168,Internal_lists_bugs!$A$2:$Z$73,26,FALSE())),"please select a BUG ID")</f>
        <v>please select a BUG ID</v>
      </c>
      <c r="C168" s="51" t="str">
        <f>IFERROR(__xludf.DUMMYFUNCTION("IFERROR(IF(REGEXMATCH(VLOOKUP(A168,Internal_lists_bugs!$A$2:$R$73,18,FALSE()), ""Yes""), VLOOKUP(A168,Internal_lists_bugs!$A$2:$U$73,21,FALSE()), VLOOKUP(A168,Internal_lists_bugs!$A$2:$R$73,18,FALSE())),""please select a BUG ID"")"),"please select a BUG ID")</f>
        <v>please select a BUG ID</v>
      </c>
      <c r="D168" s="43"/>
      <c r="F168" s="60"/>
      <c r="G168" s="61"/>
      <c r="H168" s="43"/>
      <c r="J168" s="72"/>
      <c r="K168" s="73"/>
    </row>
    <row r="169">
      <c r="A169" s="71"/>
      <c r="B169" s="59" t="str">
        <f>IFERROR(HYPERLINK(VLOOKUP(A169,Internal_lists_bugs!$A$2:$C$73,3,FALSE()), VLOOKUP(A169,Internal_lists_bugs!$A$2:$C$73,3,FALSE())&amp;Char(10) &amp; Char(10) &amp; VLOOKUP(A169,Internal_lists_bugs!$A$2:$Z$73,26,FALSE())),"please select a BUG ID")</f>
        <v>please select a BUG ID</v>
      </c>
      <c r="C169" s="51" t="str">
        <f>IFERROR(__xludf.DUMMYFUNCTION("IFERROR(IF(REGEXMATCH(VLOOKUP(A169,Internal_lists_bugs!$A$2:$R$73,18,FALSE()), ""Yes""), VLOOKUP(A169,Internal_lists_bugs!$A$2:$U$73,21,FALSE()), VLOOKUP(A169,Internal_lists_bugs!$A$2:$R$73,18,FALSE())),""please select a BUG ID"")"),"please select a BUG ID")</f>
        <v>please select a BUG ID</v>
      </c>
      <c r="D169" s="43"/>
      <c r="F169" s="60"/>
      <c r="G169" s="61"/>
      <c r="H169" s="43"/>
      <c r="J169" s="72"/>
      <c r="K169" s="73"/>
    </row>
    <row r="170">
      <c r="A170" s="71"/>
      <c r="B170" s="59" t="str">
        <f>IFERROR(HYPERLINK(VLOOKUP(A170,Internal_lists_bugs!$A$2:$C$73,3,FALSE()), VLOOKUP(A170,Internal_lists_bugs!$A$2:$C$73,3,FALSE())&amp;Char(10) &amp; Char(10) &amp; VLOOKUP(A170,Internal_lists_bugs!$A$2:$Z$73,26,FALSE())),"please select a BUG ID")</f>
        <v>please select a BUG ID</v>
      </c>
      <c r="C170" s="51" t="str">
        <f>IFERROR(__xludf.DUMMYFUNCTION("IFERROR(IF(REGEXMATCH(VLOOKUP(A170,Internal_lists_bugs!$A$2:$R$73,18,FALSE()), ""Yes""), VLOOKUP(A170,Internal_lists_bugs!$A$2:$U$73,21,FALSE()), VLOOKUP(A170,Internal_lists_bugs!$A$2:$R$73,18,FALSE())),""please select a BUG ID"")"),"please select a BUG ID")</f>
        <v>please select a BUG ID</v>
      </c>
      <c r="D170" s="43"/>
      <c r="F170" s="62"/>
      <c r="G170" s="63"/>
      <c r="H170" s="43"/>
      <c r="J170" s="62"/>
      <c r="K170" s="63"/>
    </row>
    <row r="171">
      <c r="A171" s="71"/>
      <c r="B171" s="59" t="str">
        <f>IFERROR(HYPERLINK(VLOOKUP(A171,Internal_lists_bugs!$A$2:$C$73,3,FALSE()), VLOOKUP(A171,Internal_lists_bugs!$A$2:$C$73,3,FALSE())&amp;Char(10) &amp; Char(10) &amp; VLOOKUP(A171,Internal_lists_bugs!$A$2:$Z$73,26,FALSE())),"please select a BUG ID")</f>
        <v>please select a BUG ID</v>
      </c>
      <c r="C171" s="51" t="str">
        <f>IFERROR(__xludf.DUMMYFUNCTION("IFERROR(IF(REGEXMATCH(VLOOKUP(A171,Internal_lists_bugs!$A$2:$R$73,18,FALSE()), ""Yes""), VLOOKUP(A171,Internal_lists_bugs!$A$2:$U$73,21,FALSE()), VLOOKUP(A171,Internal_lists_bugs!$A$2:$R$73,18,FALSE())),""please select a BUG ID"")"),"please select a BUG ID")</f>
        <v>please select a BUG ID</v>
      </c>
      <c r="D171" s="43"/>
      <c r="F171" s="62"/>
      <c r="G171" s="63"/>
      <c r="H171" s="43"/>
      <c r="J171" s="62"/>
      <c r="K171" s="63"/>
    </row>
    <row r="172">
      <c r="A172" s="71"/>
      <c r="B172" s="59" t="str">
        <f>IFERROR(HYPERLINK(VLOOKUP(A172,Internal_lists_bugs!$A$2:$C$73,3,FALSE()), VLOOKUP(A172,Internal_lists_bugs!$A$2:$C$73,3,FALSE())&amp;Char(10) &amp; Char(10) &amp; VLOOKUP(A172,Internal_lists_bugs!$A$2:$Z$73,26,FALSE())),"please select a BUG ID")</f>
        <v>please select a BUG ID</v>
      </c>
      <c r="C172" s="51" t="str">
        <f>IFERROR(__xludf.DUMMYFUNCTION("IFERROR(IF(REGEXMATCH(VLOOKUP(A172,Internal_lists_bugs!$A$2:$R$73,18,FALSE()), ""Yes""), VLOOKUP(A172,Internal_lists_bugs!$A$2:$U$73,21,FALSE()), VLOOKUP(A172,Internal_lists_bugs!$A$2:$R$73,18,FALSE())),""please select a BUG ID"")"),"please select a BUG ID")</f>
        <v>please select a BUG ID</v>
      </c>
      <c r="D172" s="43"/>
      <c r="F172" s="62"/>
      <c r="G172" s="63"/>
      <c r="H172" s="43"/>
      <c r="J172" s="62"/>
      <c r="K172" s="63"/>
    </row>
    <row r="173">
      <c r="A173" s="71"/>
      <c r="B173" s="59" t="str">
        <f>IFERROR(HYPERLINK(VLOOKUP(A173,Internal_lists_bugs!$A$2:$C$73,3,FALSE()), VLOOKUP(A173,Internal_lists_bugs!$A$2:$C$73,3,FALSE())&amp;Char(10) &amp; Char(10) &amp; VLOOKUP(A173,Internal_lists_bugs!$A$2:$Z$73,26,FALSE())),"please select a BUG ID")</f>
        <v>please select a BUG ID</v>
      </c>
      <c r="C173" s="51" t="str">
        <f>IFERROR(__xludf.DUMMYFUNCTION("IFERROR(IF(REGEXMATCH(VLOOKUP(A173,Internal_lists_bugs!$A$2:$R$73,18,FALSE()), ""Yes""), VLOOKUP(A173,Internal_lists_bugs!$A$2:$U$73,21,FALSE()), VLOOKUP(A173,Internal_lists_bugs!$A$2:$R$73,18,FALSE())),""please select a BUG ID"")"),"please select a BUG ID")</f>
        <v>please select a BUG ID</v>
      </c>
      <c r="D173" s="43"/>
      <c r="F173" s="62"/>
      <c r="G173" s="63"/>
      <c r="H173" s="43"/>
      <c r="J173" s="62"/>
      <c r="K173" s="63"/>
    </row>
    <row r="174">
      <c r="A174" s="71"/>
      <c r="B174" s="59" t="str">
        <f>IFERROR(HYPERLINK(VLOOKUP(A174,Internal_lists_bugs!$A$2:$C$73,3,FALSE()), VLOOKUP(A174,Internal_lists_bugs!$A$2:$C$73,3,FALSE())&amp;Char(10) &amp; Char(10) &amp; VLOOKUP(A174,Internal_lists_bugs!$A$2:$Z$73,26,FALSE())),"please select a BUG ID")</f>
        <v>please select a BUG ID</v>
      </c>
      <c r="C174" s="51" t="str">
        <f>IFERROR(__xludf.DUMMYFUNCTION("IFERROR(IF(REGEXMATCH(VLOOKUP(A174,Internal_lists_bugs!$A$2:$R$73,18,FALSE()), ""Yes""), VLOOKUP(A174,Internal_lists_bugs!$A$2:$U$73,21,FALSE()), VLOOKUP(A174,Internal_lists_bugs!$A$2:$R$73,18,FALSE())),""please select a BUG ID"")"),"please select a BUG ID")</f>
        <v>please select a BUG ID</v>
      </c>
      <c r="D174" s="43"/>
      <c r="F174" s="62"/>
      <c r="G174" s="63"/>
      <c r="H174" s="43"/>
      <c r="J174" s="62"/>
      <c r="K174" s="63"/>
    </row>
    <row r="175">
      <c r="A175" s="71"/>
      <c r="B175" s="59" t="str">
        <f>IFERROR(HYPERLINK(VLOOKUP(A175,Internal_lists_bugs!$A$2:$C$73,3,FALSE()), VLOOKUP(A175,Internal_lists_bugs!$A$2:$C$73,3,FALSE())&amp;Char(10) &amp; Char(10) &amp; VLOOKUP(A175,Internal_lists_bugs!$A$2:$Z$73,26,FALSE())),"please select a BUG ID")</f>
        <v>please select a BUG ID</v>
      </c>
      <c r="C175" s="51" t="str">
        <f>IFERROR(__xludf.DUMMYFUNCTION("IFERROR(IF(REGEXMATCH(VLOOKUP(A175,Internal_lists_bugs!$A$2:$R$73,18,FALSE()), ""Yes""), VLOOKUP(A175,Internal_lists_bugs!$A$2:$U$73,21,FALSE()), VLOOKUP(A175,Internal_lists_bugs!$A$2:$R$73,18,FALSE())),""please select a BUG ID"")"),"please select a BUG ID")</f>
        <v>please select a BUG ID</v>
      </c>
      <c r="D175" s="43"/>
      <c r="F175" s="62"/>
      <c r="G175" s="63"/>
      <c r="H175" s="43"/>
      <c r="J175" s="62"/>
      <c r="K175" s="63"/>
    </row>
    <row r="176">
      <c r="A176" s="71"/>
      <c r="B176" s="59" t="str">
        <f>IFERROR(HYPERLINK(VLOOKUP(A176,Internal_lists_bugs!$A$2:$C$73,3,FALSE()), VLOOKUP(A176,Internal_lists_bugs!$A$2:$C$73,3,FALSE())&amp;Char(10) &amp; Char(10) &amp; VLOOKUP(A176,Internal_lists_bugs!$A$2:$Z$73,26,FALSE())),"please select a BUG ID")</f>
        <v>please select a BUG ID</v>
      </c>
      <c r="C176" s="51" t="str">
        <f>IFERROR(__xludf.DUMMYFUNCTION("IFERROR(IF(REGEXMATCH(VLOOKUP(A176,Internal_lists_bugs!$A$2:$R$73,18,FALSE()), ""Yes""), VLOOKUP(A176,Internal_lists_bugs!$A$2:$U$73,21,FALSE()), VLOOKUP(A176,Internal_lists_bugs!$A$2:$R$73,18,FALSE())),""please select a BUG ID"")"),"please select a BUG ID")</f>
        <v>please select a BUG ID</v>
      </c>
      <c r="D176" s="43"/>
      <c r="F176" s="62"/>
      <c r="G176" s="63"/>
      <c r="H176" s="43"/>
      <c r="J176" s="62"/>
      <c r="K176" s="63"/>
    </row>
    <row r="177">
      <c r="A177" s="71"/>
      <c r="B177" s="59" t="str">
        <f>IFERROR(HYPERLINK(VLOOKUP(A177,Internal_lists_bugs!$A$2:$C$73,3,FALSE()), VLOOKUP(A177,Internal_lists_bugs!$A$2:$C$73,3,FALSE())&amp;Char(10) &amp; Char(10) &amp; VLOOKUP(A177,Internal_lists_bugs!$A$2:$Z$73,26,FALSE())),"please select a BUG ID")</f>
        <v>please select a BUG ID</v>
      </c>
      <c r="C177" s="51" t="str">
        <f>IFERROR(__xludf.DUMMYFUNCTION("IFERROR(IF(REGEXMATCH(VLOOKUP(A177,Internal_lists_bugs!$A$2:$R$73,18,FALSE()), ""Yes""), VLOOKUP(A177,Internal_lists_bugs!$A$2:$U$73,21,FALSE()), VLOOKUP(A177,Internal_lists_bugs!$A$2:$R$73,18,FALSE())),""please select a BUG ID"")"),"please select a BUG ID")</f>
        <v>please select a BUG ID</v>
      </c>
      <c r="D177" s="43"/>
      <c r="E177" s="74"/>
      <c r="F177" s="60"/>
      <c r="G177" s="63"/>
      <c r="H177" s="43"/>
      <c r="J177" s="75"/>
      <c r="K177" s="76"/>
    </row>
    <row r="178">
      <c r="A178" s="71"/>
      <c r="B178" s="59" t="str">
        <f>IFERROR(HYPERLINK(VLOOKUP(A178,Internal_lists_bugs!$A$2:$C$73,3,FALSE()), VLOOKUP(A178,Internal_lists_bugs!$A$2:$C$73,3,FALSE())&amp;Char(10) &amp; Char(10) &amp; VLOOKUP(A178,Internal_lists_bugs!$A$2:$Z$73,26,FALSE())),"please select a BUG ID")</f>
        <v>please select a BUG ID</v>
      </c>
      <c r="C178" s="51" t="str">
        <f>IFERROR(__xludf.DUMMYFUNCTION("IFERROR(IF(REGEXMATCH(VLOOKUP(A178,Internal_lists_bugs!$A$2:$R$73,18,FALSE()), ""Yes""), VLOOKUP(A178,Internal_lists_bugs!$A$2:$U$73,21,FALSE()), VLOOKUP(A178,Internal_lists_bugs!$A$2:$R$73,18,FALSE())),""please select a BUG ID"")"),"please select a BUG ID")</f>
        <v>please select a BUG ID</v>
      </c>
      <c r="D178" s="43"/>
      <c r="E178" s="74"/>
      <c r="F178" s="60"/>
      <c r="G178" s="63"/>
      <c r="H178" s="43"/>
      <c r="J178" s="75"/>
      <c r="K178" s="76"/>
    </row>
    <row r="179">
      <c r="A179" s="71"/>
      <c r="B179" s="59" t="str">
        <f>IFERROR(HYPERLINK(VLOOKUP(A179,Internal_lists_bugs!$A$2:$C$73,3,FALSE()), VLOOKUP(A179,Internal_lists_bugs!$A$2:$C$73,3,FALSE())&amp;Char(10) &amp; Char(10) &amp; VLOOKUP(A179,Internal_lists_bugs!$A$2:$Z$73,26,FALSE())),"please select a BUG ID")</f>
        <v>please select a BUG ID</v>
      </c>
      <c r="C179" s="51" t="str">
        <f>IFERROR(__xludf.DUMMYFUNCTION("IFERROR(IF(REGEXMATCH(VLOOKUP(A179,Internal_lists_bugs!$A$2:$R$73,18,FALSE()), ""Yes""), VLOOKUP(A179,Internal_lists_bugs!$A$2:$U$73,21,FALSE()), VLOOKUP(A179,Internal_lists_bugs!$A$2:$R$73,18,FALSE())),""please select a BUG ID"")"),"please select a BUG ID")</f>
        <v>please select a BUG ID</v>
      </c>
      <c r="D179" s="43"/>
      <c r="E179" s="74"/>
      <c r="F179" s="60"/>
      <c r="G179" s="63"/>
      <c r="H179" s="43"/>
      <c r="J179" s="75"/>
      <c r="K179" s="76"/>
    </row>
    <row r="180">
      <c r="A180" s="71"/>
      <c r="B180" s="59" t="str">
        <f>IFERROR(HYPERLINK(VLOOKUP(A180,Internal_lists_bugs!$A$2:$C$73,3,FALSE()), VLOOKUP(A180,Internal_lists_bugs!$A$2:$C$73,3,FALSE())&amp;Char(10) &amp; Char(10) &amp; VLOOKUP(A180,Internal_lists_bugs!$A$2:$Z$73,26,FALSE())),"please select a BUG ID")</f>
        <v>please select a BUG ID</v>
      </c>
      <c r="C180" s="51" t="str">
        <f>IFERROR(__xludf.DUMMYFUNCTION("IFERROR(IF(REGEXMATCH(VLOOKUP(A180,Internal_lists_bugs!$A$2:$R$73,18,FALSE()), ""Yes""), VLOOKUP(A180,Internal_lists_bugs!$A$2:$U$73,21,FALSE()), VLOOKUP(A180,Internal_lists_bugs!$A$2:$R$73,18,FALSE())),""please select a BUG ID"")"),"please select a BUG ID")</f>
        <v>please select a BUG ID</v>
      </c>
      <c r="D180" s="43"/>
      <c r="F180" s="62"/>
      <c r="G180" s="63"/>
      <c r="H180" s="43"/>
      <c r="J180" s="62"/>
      <c r="K180" s="63"/>
    </row>
    <row r="181">
      <c r="A181" s="71"/>
      <c r="B181" s="59" t="str">
        <f>IFERROR(HYPERLINK(VLOOKUP(A181,Internal_lists_bugs!$A$2:$C$73,3,FALSE()), VLOOKUP(A181,Internal_lists_bugs!$A$2:$C$73,3,FALSE())&amp;Char(10) &amp; Char(10) &amp; VLOOKUP(A181,Internal_lists_bugs!$A$2:$Z$73,26,FALSE())),"please select a BUG ID")</f>
        <v>please select a BUG ID</v>
      </c>
      <c r="C181" s="51" t="str">
        <f>IFERROR(__xludf.DUMMYFUNCTION("IFERROR(IF(REGEXMATCH(VLOOKUP(A181,Internal_lists_bugs!$A$2:$R$73,18,FALSE()), ""Yes""), VLOOKUP(A181,Internal_lists_bugs!$A$2:$U$73,21,FALSE()), VLOOKUP(A181,Internal_lists_bugs!$A$2:$R$73,18,FALSE())),""please select a BUG ID"")"),"please select a BUG ID")</f>
        <v>please select a BUG ID</v>
      </c>
      <c r="D181" s="43"/>
      <c r="F181" s="62"/>
      <c r="G181" s="63"/>
      <c r="H181" s="43"/>
      <c r="J181" s="62"/>
      <c r="K181" s="63"/>
    </row>
    <row r="182">
      <c r="A182" s="71"/>
      <c r="B182" s="59" t="str">
        <f>IFERROR(HYPERLINK(VLOOKUP(A182,Internal_lists_bugs!$A$2:$C$73,3,FALSE()), VLOOKUP(A182,Internal_lists_bugs!$A$2:$C$73,3,FALSE())&amp;Char(10) &amp; Char(10) &amp; VLOOKUP(A182,Internal_lists_bugs!$A$2:$Z$73,26,FALSE())),"please select a BUG ID")</f>
        <v>please select a BUG ID</v>
      </c>
      <c r="C182" s="51" t="str">
        <f>IFERROR(__xludf.DUMMYFUNCTION("IFERROR(IF(REGEXMATCH(VLOOKUP(A182,Internal_lists_bugs!$A$2:$R$73,18,FALSE()), ""Yes""), VLOOKUP(A182,Internal_lists_bugs!$A$2:$U$73,21,FALSE()), VLOOKUP(A182,Internal_lists_bugs!$A$2:$R$73,18,FALSE())),""please select a BUG ID"")"),"please select a BUG ID")</f>
        <v>please select a BUG ID</v>
      </c>
      <c r="D182" s="43"/>
      <c r="F182" s="62"/>
      <c r="G182" s="63"/>
      <c r="H182" s="43"/>
      <c r="J182" s="62"/>
      <c r="K182" s="63"/>
    </row>
    <row r="183">
      <c r="A183" s="71"/>
      <c r="B183" s="59" t="str">
        <f>IFERROR(HYPERLINK(VLOOKUP(A183,Internal_lists_bugs!$A$2:$C$73,3,FALSE()), VLOOKUP(A183,Internal_lists_bugs!$A$2:$C$73,3,FALSE())&amp;Char(10) &amp; Char(10) &amp; VLOOKUP(A183,Internal_lists_bugs!$A$2:$Z$73,26,FALSE())),"please select a BUG ID")</f>
        <v>please select a BUG ID</v>
      </c>
      <c r="C183" s="51" t="str">
        <f>IFERROR(__xludf.DUMMYFUNCTION("IFERROR(IF(REGEXMATCH(VLOOKUP(A183,Internal_lists_bugs!$A$2:$R$73,18,FALSE()), ""Yes""), VLOOKUP(A183,Internal_lists_bugs!$A$2:$U$73,21,FALSE()), VLOOKUP(A183,Internal_lists_bugs!$A$2:$R$73,18,FALSE())),""please select a BUG ID"")"),"please select a BUG ID")</f>
        <v>please select a BUG ID</v>
      </c>
      <c r="D183" s="43"/>
      <c r="F183" s="62"/>
      <c r="G183" s="63"/>
      <c r="H183" s="43"/>
      <c r="J183" s="62"/>
      <c r="K183" s="63"/>
    </row>
    <row r="184">
      <c r="A184" s="71"/>
      <c r="B184" s="59" t="str">
        <f>IFERROR(HYPERLINK(VLOOKUP(A184,Internal_lists_bugs!$A$2:$C$73,3,FALSE()), VLOOKUP(A184,Internal_lists_bugs!$A$2:$C$73,3,FALSE())&amp;Char(10) &amp; Char(10) &amp; VLOOKUP(A184,Internal_lists_bugs!$A$2:$Z$73,26,FALSE())),"please select a BUG ID")</f>
        <v>please select a BUG ID</v>
      </c>
      <c r="C184" s="51" t="str">
        <f>IFERROR(__xludf.DUMMYFUNCTION("IFERROR(IF(REGEXMATCH(VLOOKUP(A184,Internal_lists_bugs!$A$2:$R$73,18,FALSE()), ""Yes""), VLOOKUP(A184,Internal_lists_bugs!$A$2:$U$73,21,FALSE()), VLOOKUP(A184,Internal_lists_bugs!$A$2:$R$73,18,FALSE())),""please select a BUG ID"")"),"please select a BUG ID")</f>
        <v>please select a BUG ID</v>
      </c>
      <c r="D184" s="43"/>
      <c r="F184" s="62"/>
      <c r="G184" s="63"/>
      <c r="H184" s="43"/>
      <c r="J184" s="62"/>
      <c r="K184" s="63"/>
    </row>
    <row r="185">
      <c r="A185" s="71"/>
      <c r="B185" s="59" t="str">
        <f>IFERROR(HYPERLINK(VLOOKUP(A185,Internal_lists_bugs!$A$2:$C$73,3,FALSE()), VLOOKUP(A185,Internal_lists_bugs!$A$2:$C$73,3,FALSE())&amp;Char(10) &amp; Char(10) &amp; VLOOKUP(A185,Internal_lists_bugs!$A$2:$Z$73,26,FALSE())),"please select a BUG ID")</f>
        <v>please select a BUG ID</v>
      </c>
      <c r="C185" s="51" t="str">
        <f>IFERROR(__xludf.DUMMYFUNCTION("IFERROR(IF(REGEXMATCH(VLOOKUP(A185,Internal_lists_bugs!$A$2:$R$73,18,FALSE()), ""Yes""), VLOOKUP(A185,Internal_lists_bugs!$A$2:$U$73,21,FALSE()), VLOOKUP(A185,Internal_lists_bugs!$A$2:$R$73,18,FALSE())),""please select a BUG ID"")"),"please select a BUG ID")</f>
        <v>please select a BUG ID</v>
      </c>
      <c r="D185" s="43"/>
      <c r="F185" s="62"/>
      <c r="G185" s="63"/>
      <c r="H185" s="43"/>
      <c r="J185" s="62"/>
      <c r="K185" s="63"/>
    </row>
    <row r="186">
      <c r="A186" s="71"/>
      <c r="B186" s="59" t="str">
        <f>IFERROR(HYPERLINK(VLOOKUP(A186,Internal_lists_bugs!$A$2:$C$73,3,FALSE()), VLOOKUP(A186,Internal_lists_bugs!$A$2:$C$73,3,FALSE())&amp;Char(10) &amp; Char(10) &amp; VLOOKUP(A186,Internal_lists_bugs!$A$2:$Z$73,26,FALSE())),"please select a BUG ID")</f>
        <v>please select a BUG ID</v>
      </c>
      <c r="C186" s="51" t="str">
        <f>IFERROR(__xludf.DUMMYFUNCTION("IFERROR(IF(REGEXMATCH(VLOOKUP(A186,Internal_lists_bugs!$A$2:$R$73,18,FALSE()), ""Yes""), VLOOKUP(A186,Internal_lists_bugs!$A$2:$U$73,21,FALSE()), VLOOKUP(A186,Internal_lists_bugs!$A$2:$R$73,18,FALSE())),""please select a BUG ID"")"),"please select a BUG ID")</f>
        <v>please select a BUG ID</v>
      </c>
      <c r="D186" s="43"/>
      <c r="F186" s="62"/>
      <c r="G186" s="63"/>
      <c r="H186" s="43"/>
      <c r="J186" s="62"/>
      <c r="K186" s="63"/>
    </row>
    <row r="187">
      <c r="A187" s="71"/>
      <c r="B187" s="59" t="str">
        <f>IFERROR(HYPERLINK(VLOOKUP(A187,Internal_lists_bugs!$A$2:$C$73,3,FALSE()), VLOOKUP(A187,Internal_lists_bugs!$A$2:$C$73,3,FALSE())&amp;Char(10) &amp; Char(10) &amp; VLOOKUP(A187,Internal_lists_bugs!$A$2:$Z$73,26,FALSE())),"please select a BUG ID")</f>
        <v>please select a BUG ID</v>
      </c>
      <c r="C187" s="51" t="str">
        <f>IFERROR(__xludf.DUMMYFUNCTION("IFERROR(IF(REGEXMATCH(VLOOKUP(A187,Internal_lists_bugs!$A$2:$R$73,18,FALSE()), ""Yes""), VLOOKUP(A187,Internal_lists_bugs!$A$2:$U$73,21,FALSE()), VLOOKUP(A187,Internal_lists_bugs!$A$2:$R$73,18,FALSE())),""please select a BUG ID"")"),"please select a BUG ID")</f>
        <v>please select a BUG ID</v>
      </c>
      <c r="D187" s="43"/>
      <c r="F187" s="62"/>
      <c r="G187" s="63"/>
      <c r="H187" s="43"/>
      <c r="J187" s="62"/>
      <c r="K187" s="63"/>
    </row>
    <row r="188">
      <c r="A188" s="71"/>
      <c r="B188" s="59" t="str">
        <f>IFERROR(HYPERLINK(VLOOKUP(A188,Internal_lists_bugs!$A$2:$C$73,3,FALSE()), VLOOKUP(A188,Internal_lists_bugs!$A$2:$C$73,3,FALSE())&amp;Char(10) &amp; Char(10) &amp; VLOOKUP(A188,Internal_lists_bugs!$A$2:$Z$73,26,FALSE())),"please select a BUG ID")</f>
        <v>please select a BUG ID</v>
      </c>
      <c r="C188" s="51" t="str">
        <f>IFERROR(__xludf.DUMMYFUNCTION("IFERROR(IF(REGEXMATCH(VLOOKUP(A188,Internal_lists_bugs!$A$2:$R$73,18,FALSE()), ""Yes""), VLOOKUP(A188,Internal_lists_bugs!$A$2:$U$73,21,FALSE()), VLOOKUP(A188,Internal_lists_bugs!$A$2:$R$73,18,FALSE())),""please select a BUG ID"")"),"please select a BUG ID")</f>
        <v>please select a BUG ID</v>
      </c>
      <c r="D188" s="43"/>
      <c r="F188" s="62"/>
      <c r="G188" s="63"/>
      <c r="H188" s="43"/>
      <c r="J188" s="62"/>
      <c r="K188" s="63"/>
    </row>
    <row r="189">
      <c r="A189" s="71"/>
      <c r="B189" s="59" t="str">
        <f>IFERROR(HYPERLINK(VLOOKUP(A189,Internal_lists_bugs!$A$2:$C$73,3,FALSE()), VLOOKUP(A189,Internal_lists_bugs!$A$2:$C$73,3,FALSE())&amp;Char(10) &amp; Char(10) &amp; VLOOKUP(A189,Internal_lists_bugs!$A$2:$Z$73,26,FALSE())),"please select a BUG ID")</f>
        <v>please select a BUG ID</v>
      </c>
      <c r="C189" s="51" t="str">
        <f>IFERROR(__xludf.DUMMYFUNCTION("IFERROR(IF(REGEXMATCH(VLOOKUP(A189,Internal_lists_bugs!$A$2:$R$73,18,FALSE()), ""Yes""), VLOOKUP(A189,Internal_lists_bugs!$A$2:$U$73,21,FALSE()), VLOOKUP(A189,Internal_lists_bugs!$A$2:$R$73,18,FALSE())),""please select a BUG ID"")"),"please select a BUG ID")</f>
        <v>please select a BUG ID</v>
      </c>
      <c r="D189" s="43"/>
      <c r="F189" s="62"/>
      <c r="G189" s="63"/>
      <c r="H189" s="43"/>
      <c r="J189" s="62"/>
      <c r="K189" s="63"/>
    </row>
    <row r="190">
      <c r="A190" s="71"/>
      <c r="B190" s="59" t="str">
        <f>IFERROR(HYPERLINK(VLOOKUP(A190,Internal_lists_bugs!$A$2:$C$73,3,FALSE()), VLOOKUP(A190,Internal_lists_bugs!$A$2:$C$73,3,FALSE())&amp;Char(10) &amp; Char(10) &amp; VLOOKUP(A190,Internal_lists_bugs!$A$2:$Z$73,26,FALSE())),"please select a BUG ID")</f>
        <v>please select a BUG ID</v>
      </c>
      <c r="C190" s="51" t="str">
        <f>IFERROR(__xludf.DUMMYFUNCTION("IFERROR(IF(REGEXMATCH(VLOOKUP(A190,Internal_lists_bugs!$A$2:$R$73,18,FALSE()), ""Yes""), VLOOKUP(A190,Internal_lists_bugs!$A$2:$U$73,21,FALSE()), VLOOKUP(A190,Internal_lists_bugs!$A$2:$R$73,18,FALSE())),""please select a BUG ID"")"),"please select a BUG ID")</f>
        <v>please select a BUG ID</v>
      </c>
      <c r="D190" s="43"/>
      <c r="F190" s="62"/>
      <c r="G190" s="63"/>
      <c r="H190" s="43"/>
      <c r="J190" s="62"/>
      <c r="K190" s="63"/>
    </row>
    <row r="191">
      <c r="A191" s="71"/>
      <c r="B191" s="59" t="str">
        <f>IFERROR(HYPERLINK(VLOOKUP(A191,Internal_lists_bugs!$A$2:$C$73,3,FALSE()), VLOOKUP(A191,Internal_lists_bugs!$A$2:$C$73,3,FALSE())&amp;Char(10) &amp; Char(10) &amp; VLOOKUP(A191,Internal_lists_bugs!$A$2:$Z$73,26,FALSE())),"please select a BUG ID")</f>
        <v>please select a BUG ID</v>
      </c>
      <c r="C191" s="51" t="str">
        <f>IFERROR(__xludf.DUMMYFUNCTION("IFERROR(IF(REGEXMATCH(VLOOKUP(A191,Internal_lists_bugs!$A$2:$R$73,18,FALSE()), ""Yes""), VLOOKUP(A191,Internal_lists_bugs!$A$2:$U$73,21,FALSE()), VLOOKUP(A191,Internal_lists_bugs!$A$2:$R$73,18,FALSE())),""please select a BUG ID"")"),"please select a BUG ID")</f>
        <v>please select a BUG ID</v>
      </c>
      <c r="D191" s="43"/>
      <c r="F191" s="62"/>
      <c r="G191" s="63"/>
      <c r="H191" s="43"/>
      <c r="J191" s="62"/>
      <c r="K191" s="63"/>
    </row>
    <row r="192">
      <c r="A192" s="71"/>
      <c r="B192" s="59" t="str">
        <f>IFERROR(HYPERLINK(VLOOKUP(A192,Internal_lists_bugs!$A$2:$C$73,3,FALSE()), VLOOKUP(A192,Internal_lists_bugs!$A$2:$C$73,3,FALSE())&amp;Char(10) &amp; Char(10) &amp; VLOOKUP(A192,Internal_lists_bugs!$A$2:$Z$73,26,FALSE())),"please select a BUG ID")</f>
        <v>please select a BUG ID</v>
      </c>
      <c r="C192" s="51" t="str">
        <f>IFERROR(__xludf.DUMMYFUNCTION("IFERROR(IF(REGEXMATCH(VLOOKUP(A192,Internal_lists_bugs!$A$2:$R$73,18,FALSE()), ""Yes""), VLOOKUP(A192,Internal_lists_bugs!$A$2:$U$73,21,FALSE()), VLOOKUP(A192,Internal_lists_bugs!$A$2:$R$73,18,FALSE())),""please select a BUG ID"")"),"please select a BUG ID")</f>
        <v>please select a BUG ID</v>
      </c>
      <c r="D192" s="43"/>
      <c r="F192" s="62"/>
      <c r="G192" s="63"/>
      <c r="H192" s="43"/>
      <c r="J192" s="62"/>
      <c r="K192" s="63"/>
    </row>
    <row r="193">
      <c r="A193" s="71"/>
      <c r="B193" s="59" t="str">
        <f>IFERROR(HYPERLINK(VLOOKUP(A193,Internal_lists_bugs!$A$2:$C$73,3,FALSE()), VLOOKUP(A193,Internal_lists_bugs!$A$2:$C$73,3,FALSE())&amp;Char(10) &amp; Char(10) &amp; VLOOKUP(A193,Internal_lists_bugs!$A$2:$Z$73,26,FALSE())),"please select a BUG ID")</f>
        <v>please select a BUG ID</v>
      </c>
      <c r="C193" s="51" t="str">
        <f>IFERROR(__xludf.DUMMYFUNCTION("IFERROR(IF(REGEXMATCH(VLOOKUP(A193,Internal_lists_bugs!$A$2:$R$73,18,FALSE()), ""Yes""), VLOOKUP(A193,Internal_lists_bugs!$A$2:$U$73,21,FALSE()), VLOOKUP(A193,Internal_lists_bugs!$A$2:$R$73,18,FALSE())),""please select a BUG ID"")"),"please select a BUG ID")</f>
        <v>please select a BUG ID</v>
      </c>
      <c r="D193" s="43"/>
      <c r="F193" s="62"/>
      <c r="G193" s="63"/>
      <c r="H193" s="43"/>
      <c r="J193" s="62"/>
      <c r="K193" s="63"/>
    </row>
    <row r="194">
      <c r="A194" s="71"/>
      <c r="B194" s="59" t="str">
        <f>IFERROR(HYPERLINK(VLOOKUP(A194,Internal_lists_bugs!$A$2:$C$73,3,FALSE()), VLOOKUP(A194,Internal_lists_bugs!$A$2:$C$73,3,FALSE())&amp;Char(10) &amp; Char(10) &amp; VLOOKUP(A194,Internal_lists_bugs!$A$2:$Z$73,26,FALSE())),"please select a BUG ID")</f>
        <v>please select a BUG ID</v>
      </c>
      <c r="C194" s="51" t="str">
        <f>IFERROR(__xludf.DUMMYFUNCTION("IFERROR(IF(REGEXMATCH(VLOOKUP(A194,Internal_lists_bugs!$A$2:$R$73,18,FALSE()), ""Yes""), VLOOKUP(A194,Internal_lists_bugs!$A$2:$U$73,21,FALSE()), VLOOKUP(A194,Internal_lists_bugs!$A$2:$R$73,18,FALSE())),""please select a BUG ID"")"),"please select a BUG ID")</f>
        <v>please select a BUG ID</v>
      </c>
      <c r="D194" s="43"/>
      <c r="F194" s="62"/>
      <c r="G194" s="63"/>
      <c r="H194" s="43"/>
      <c r="J194" s="62"/>
      <c r="K194" s="63"/>
    </row>
    <row r="195">
      <c r="A195" s="71"/>
      <c r="B195" s="59" t="str">
        <f>IFERROR(HYPERLINK(VLOOKUP(A195,Internal_lists_bugs!$A$2:$C$73,3,FALSE()), VLOOKUP(A195,Internal_lists_bugs!$A$2:$C$73,3,FALSE())&amp;Char(10) &amp; Char(10) &amp; VLOOKUP(A195,Internal_lists_bugs!$A$2:$Z$73,26,FALSE())),"please select a BUG ID")</f>
        <v>please select a BUG ID</v>
      </c>
      <c r="C195" s="51" t="str">
        <f>IFERROR(__xludf.DUMMYFUNCTION("IFERROR(IF(REGEXMATCH(VLOOKUP(A195,Internal_lists_bugs!$A$2:$R$73,18,FALSE()), ""Yes""), VLOOKUP(A195,Internal_lists_bugs!$A$2:$U$73,21,FALSE()), VLOOKUP(A195,Internal_lists_bugs!$A$2:$R$73,18,FALSE())),""please select a BUG ID"")"),"please select a BUG ID")</f>
        <v>please select a BUG ID</v>
      </c>
      <c r="D195" s="43"/>
      <c r="F195" s="62"/>
      <c r="G195" s="63"/>
      <c r="H195" s="43"/>
      <c r="J195" s="62"/>
      <c r="K195" s="63"/>
    </row>
    <row r="196">
      <c r="A196" s="71"/>
      <c r="B196" s="59" t="str">
        <f>IFERROR(HYPERLINK(VLOOKUP(A196,Internal_lists_bugs!$A$2:$C$73,3,FALSE()), VLOOKUP(A196,Internal_lists_bugs!$A$2:$C$73,3,FALSE())&amp;Char(10) &amp; Char(10) &amp; VLOOKUP(A196,Internal_lists_bugs!$A$2:$Z$73,26,FALSE())),"please select a BUG ID")</f>
        <v>please select a BUG ID</v>
      </c>
      <c r="C196" s="51" t="str">
        <f>IFERROR(__xludf.DUMMYFUNCTION("IFERROR(IF(REGEXMATCH(VLOOKUP(A196,Internal_lists_bugs!$A$2:$R$73,18,FALSE()), ""Yes""), VLOOKUP(A196,Internal_lists_bugs!$A$2:$U$73,21,FALSE()), VLOOKUP(A196,Internal_lists_bugs!$A$2:$R$73,18,FALSE())),""please select a BUG ID"")"),"please select a BUG ID")</f>
        <v>please select a BUG ID</v>
      </c>
      <c r="D196" s="43"/>
      <c r="F196" s="62"/>
      <c r="G196" s="63"/>
      <c r="H196" s="43"/>
      <c r="J196" s="62"/>
      <c r="K196" s="63"/>
    </row>
    <row r="197">
      <c r="A197" s="71"/>
      <c r="B197" s="59" t="str">
        <f>IFERROR(HYPERLINK(VLOOKUP(A197,Internal_lists_bugs!$A$2:$C$73,3,FALSE()), VLOOKUP(A197,Internal_lists_bugs!$A$2:$C$73,3,FALSE())&amp;Char(10) &amp; Char(10) &amp; VLOOKUP(A197,Internal_lists_bugs!$A$2:$Z$73,26,FALSE())),"please select a BUG ID")</f>
        <v>please select a BUG ID</v>
      </c>
      <c r="C197" s="51" t="str">
        <f>IFERROR(__xludf.DUMMYFUNCTION("IFERROR(IF(REGEXMATCH(VLOOKUP(A197,Internal_lists_bugs!$A$2:$R$73,18,FALSE()), ""Yes""), VLOOKUP(A197,Internal_lists_bugs!$A$2:$U$73,21,FALSE()), VLOOKUP(A197,Internal_lists_bugs!$A$2:$R$73,18,FALSE())),""please select a BUG ID"")"),"please select a BUG ID")</f>
        <v>please select a BUG ID</v>
      </c>
      <c r="D197" s="43"/>
      <c r="F197" s="62"/>
      <c r="G197" s="63"/>
      <c r="H197" s="43"/>
      <c r="J197" s="62"/>
      <c r="K197" s="63"/>
    </row>
    <row r="198">
      <c r="A198" s="71"/>
      <c r="B198" s="59" t="str">
        <f>IFERROR(HYPERLINK(VLOOKUP(A198,Internal_lists_bugs!$A$2:$C$73,3,FALSE()), VLOOKUP(A198,Internal_lists_bugs!$A$2:$C$73,3,FALSE())&amp;Char(10) &amp; Char(10) &amp; VLOOKUP(A198,Internal_lists_bugs!$A$2:$Z$73,26,FALSE())),"please select a BUG ID")</f>
        <v>please select a BUG ID</v>
      </c>
      <c r="C198" s="51" t="str">
        <f>IFERROR(__xludf.DUMMYFUNCTION("IFERROR(IF(REGEXMATCH(VLOOKUP(A198,Internal_lists_bugs!$A$2:$R$73,18,FALSE()), ""Yes""), VLOOKUP(A198,Internal_lists_bugs!$A$2:$U$73,21,FALSE()), VLOOKUP(A198,Internal_lists_bugs!$A$2:$R$73,18,FALSE())),""please select a BUG ID"")"),"please select a BUG ID")</f>
        <v>please select a BUG ID</v>
      </c>
      <c r="D198" s="43"/>
      <c r="F198" s="62"/>
      <c r="G198" s="63"/>
      <c r="H198" s="43"/>
      <c r="J198" s="62"/>
      <c r="K198" s="63"/>
    </row>
    <row r="199">
      <c r="A199" s="71"/>
      <c r="B199" s="59" t="str">
        <f>IFERROR(HYPERLINK(VLOOKUP(A199,Internal_lists_bugs!$A$2:$C$73,3,FALSE()), VLOOKUP(A199,Internal_lists_bugs!$A$2:$C$73,3,FALSE())&amp;Char(10) &amp; Char(10) &amp; VLOOKUP(A199,Internal_lists_bugs!$A$2:$Z$73,26,FALSE())),"please select a BUG ID")</f>
        <v>please select a BUG ID</v>
      </c>
      <c r="C199" s="51" t="str">
        <f>IFERROR(__xludf.DUMMYFUNCTION("IFERROR(IF(REGEXMATCH(VLOOKUP(A199,Internal_lists_bugs!$A$2:$R$73,18,FALSE()), ""Yes""), VLOOKUP(A199,Internal_lists_bugs!$A$2:$U$73,21,FALSE()), VLOOKUP(A199,Internal_lists_bugs!$A$2:$R$73,18,FALSE())),""please select a BUG ID"")"),"please select a BUG ID")</f>
        <v>please select a BUG ID</v>
      </c>
      <c r="D199" s="43"/>
      <c r="F199" s="62"/>
      <c r="G199" s="63"/>
      <c r="H199" s="43"/>
      <c r="J199" s="62"/>
      <c r="K199" s="63"/>
    </row>
    <row r="200">
      <c r="A200" s="71"/>
      <c r="B200" s="59" t="str">
        <f>IFERROR(HYPERLINK(VLOOKUP(A200,Internal_lists_bugs!$A$2:$C$73,3,FALSE()), VLOOKUP(A200,Internal_lists_bugs!$A$2:$C$73,3,FALSE())&amp;Char(10) &amp; Char(10) &amp; VLOOKUP(A200,Internal_lists_bugs!$A$2:$Z$73,26,FALSE())),"please select a BUG ID")</f>
        <v>please select a BUG ID</v>
      </c>
      <c r="C200" s="51" t="str">
        <f>IFERROR(__xludf.DUMMYFUNCTION("IFERROR(IF(REGEXMATCH(VLOOKUP(A200,Internal_lists_bugs!$A$2:$R$73,18,FALSE()), ""Yes""), VLOOKUP(A200,Internal_lists_bugs!$A$2:$U$73,21,FALSE()), VLOOKUP(A200,Internal_lists_bugs!$A$2:$R$73,18,FALSE())),""please select a BUG ID"")"),"please select a BUG ID")</f>
        <v>please select a BUG ID</v>
      </c>
      <c r="D200" s="43"/>
      <c r="F200" s="62"/>
      <c r="G200" s="63"/>
      <c r="H200" s="43"/>
      <c r="J200" s="62"/>
      <c r="K200" s="63"/>
    </row>
    <row r="201">
      <c r="A201" s="71"/>
      <c r="B201" s="59" t="str">
        <f>IFERROR(HYPERLINK(VLOOKUP(A201,Internal_lists_bugs!$A$2:$C$73,3,FALSE()), VLOOKUP(A201,Internal_lists_bugs!$A$2:$C$73,3,FALSE())&amp;Char(10) &amp; Char(10) &amp; VLOOKUP(A201,Internal_lists_bugs!$A$2:$Z$73,26,FALSE())),"please select a BUG ID")</f>
        <v>please select a BUG ID</v>
      </c>
      <c r="C201" s="51" t="str">
        <f>IFERROR(__xludf.DUMMYFUNCTION("IFERROR(IF(REGEXMATCH(VLOOKUP(A201,Internal_lists_bugs!$A$2:$R$73,18,FALSE()), ""Yes""), VLOOKUP(A201,Internal_lists_bugs!$A$2:$U$73,21,FALSE()), VLOOKUP(A201,Internal_lists_bugs!$A$2:$R$73,18,FALSE())),""please select a BUG ID"")"),"please select a BUG ID")</f>
        <v>please select a BUG ID</v>
      </c>
      <c r="D201" s="43"/>
      <c r="F201" s="62"/>
      <c r="G201" s="63"/>
      <c r="H201" s="43"/>
      <c r="J201" s="62"/>
      <c r="K201" s="63"/>
    </row>
    <row r="202">
      <c r="A202" s="71"/>
      <c r="B202" s="59" t="str">
        <f>IFERROR(HYPERLINK(VLOOKUP(A202,Internal_lists_bugs!$A$2:$C$73,3,FALSE()), VLOOKUP(A202,Internal_lists_bugs!$A$2:$C$73,3,FALSE())&amp;Char(10) &amp; Char(10) &amp; VLOOKUP(A202,Internal_lists_bugs!$A$2:$Z$73,26,FALSE())),"please select a BUG ID")</f>
        <v>please select a BUG ID</v>
      </c>
      <c r="C202" s="51" t="str">
        <f>IFERROR(__xludf.DUMMYFUNCTION("IFERROR(IF(REGEXMATCH(VLOOKUP(A202,Internal_lists_bugs!$A$2:$R$73,18,FALSE()), ""Yes""), VLOOKUP(A202,Internal_lists_bugs!$A$2:$U$73,21,FALSE()), VLOOKUP(A202,Internal_lists_bugs!$A$2:$R$73,18,FALSE())),""please select a BUG ID"")"),"please select a BUG ID")</f>
        <v>please select a BUG ID</v>
      </c>
      <c r="D202" s="43"/>
      <c r="F202" s="62"/>
      <c r="G202" s="63"/>
      <c r="H202" s="43"/>
      <c r="J202" s="62"/>
      <c r="K202" s="63"/>
    </row>
    <row r="203">
      <c r="A203" s="71"/>
      <c r="B203" s="59" t="str">
        <f>IFERROR(HYPERLINK(VLOOKUP(A203,Internal_lists_bugs!$A$2:$C$73,3,FALSE()), VLOOKUP(A203,Internal_lists_bugs!$A$2:$C$73,3,FALSE())&amp;Char(10) &amp; Char(10) &amp; VLOOKUP(A203,Internal_lists_bugs!$A$2:$Z$73,26,FALSE())),"please select a BUG ID")</f>
        <v>please select a BUG ID</v>
      </c>
      <c r="C203" s="51" t="str">
        <f>IFERROR(__xludf.DUMMYFUNCTION("IFERROR(IF(REGEXMATCH(VLOOKUP(A203,Internal_lists_bugs!$A$2:$R$73,18,FALSE()), ""Yes""), VLOOKUP(A203,Internal_lists_bugs!$A$2:$U$73,21,FALSE()), VLOOKUP(A203,Internal_lists_bugs!$A$2:$R$73,18,FALSE())),""please select a BUG ID"")"),"please select a BUG ID")</f>
        <v>please select a BUG ID</v>
      </c>
      <c r="D203" s="43"/>
      <c r="F203" s="62"/>
      <c r="G203" s="63"/>
      <c r="H203" s="43"/>
      <c r="J203" s="62"/>
      <c r="K203" s="63"/>
    </row>
    <row r="204">
      <c r="A204" s="71"/>
      <c r="B204" s="59" t="str">
        <f>IFERROR(HYPERLINK(VLOOKUP(A204,Internal_lists_bugs!$A$2:$C$73,3,FALSE()), VLOOKUP(A204,Internal_lists_bugs!$A$2:$C$73,3,FALSE())&amp;Char(10) &amp; Char(10) &amp; VLOOKUP(A204,Internal_lists_bugs!$A$2:$Z$73,26,FALSE())),"please select a BUG ID")</f>
        <v>please select a BUG ID</v>
      </c>
      <c r="C204" s="51" t="str">
        <f>IFERROR(__xludf.DUMMYFUNCTION("IFERROR(IF(REGEXMATCH(VLOOKUP(A204,Internal_lists_bugs!$A$2:$R$73,18,FALSE()), ""Yes""), VLOOKUP(A204,Internal_lists_bugs!$A$2:$U$73,21,FALSE()), VLOOKUP(A204,Internal_lists_bugs!$A$2:$R$73,18,FALSE())),""please select a BUG ID"")"),"please select a BUG ID")</f>
        <v>please select a BUG ID</v>
      </c>
      <c r="D204" s="43"/>
      <c r="F204" s="62"/>
      <c r="G204" s="63"/>
      <c r="H204" s="43"/>
      <c r="J204" s="62"/>
      <c r="K204" s="63"/>
    </row>
    <row r="205">
      <c r="A205" s="71"/>
      <c r="B205" s="59" t="str">
        <f>IFERROR(HYPERLINK(VLOOKUP(A205,Internal_lists_bugs!$A$2:$C$73,3,FALSE()), VLOOKUP(A205,Internal_lists_bugs!$A$2:$C$73,3,FALSE())&amp;Char(10) &amp; Char(10) &amp; VLOOKUP(A205,Internal_lists_bugs!$A$2:$Z$73,26,FALSE())),"please select a BUG ID")</f>
        <v>please select a BUG ID</v>
      </c>
      <c r="C205" s="51" t="str">
        <f>IFERROR(__xludf.DUMMYFUNCTION("IFERROR(IF(REGEXMATCH(VLOOKUP(A205,Internal_lists_bugs!$A$2:$R$73,18,FALSE()), ""Yes""), VLOOKUP(A205,Internal_lists_bugs!$A$2:$U$73,21,FALSE()), VLOOKUP(A205,Internal_lists_bugs!$A$2:$R$73,18,FALSE())),""please select a BUG ID"")"),"please select a BUG ID")</f>
        <v>please select a BUG ID</v>
      </c>
      <c r="D205" s="43"/>
      <c r="F205" s="62"/>
      <c r="G205" s="63"/>
      <c r="H205" s="43"/>
      <c r="J205" s="62"/>
      <c r="K205" s="63"/>
    </row>
    <row r="206">
      <c r="A206" s="71"/>
      <c r="B206" s="59" t="str">
        <f>IFERROR(HYPERLINK(VLOOKUP(A206,Internal_lists_bugs!$A$2:$C$73,3,FALSE()), VLOOKUP(A206,Internal_lists_bugs!$A$2:$C$73,3,FALSE())&amp;Char(10) &amp; Char(10) &amp; VLOOKUP(A206,Internal_lists_bugs!$A$2:$Z$73,26,FALSE())),"please select a BUG ID")</f>
        <v>please select a BUG ID</v>
      </c>
      <c r="C206" s="51" t="str">
        <f>IFERROR(__xludf.DUMMYFUNCTION("IFERROR(IF(REGEXMATCH(VLOOKUP(A206,Internal_lists_bugs!$A$2:$R$73,18,FALSE()), ""Yes""), VLOOKUP(A206,Internal_lists_bugs!$A$2:$U$73,21,FALSE()), VLOOKUP(A206,Internal_lists_bugs!$A$2:$R$73,18,FALSE())),""please select a BUG ID"")"),"please select a BUG ID")</f>
        <v>please select a BUG ID</v>
      </c>
      <c r="D206" s="43"/>
      <c r="F206" s="62"/>
      <c r="G206" s="63"/>
      <c r="H206" s="43"/>
      <c r="J206" s="62"/>
      <c r="K206" s="63"/>
    </row>
    <row r="207">
      <c r="A207" s="71"/>
      <c r="B207" s="59" t="str">
        <f>IFERROR(HYPERLINK(VLOOKUP(A207,Internal_lists_bugs!$A$2:$C$73,3,FALSE()), VLOOKUP(A207,Internal_lists_bugs!$A$2:$C$73,3,FALSE())&amp;Char(10) &amp; Char(10) &amp; VLOOKUP(A207,Internal_lists_bugs!$A$2:$Z$73,26,FALSE())),"please select a BUG ID")</f>
        <v>please select a BUG ID</v>
      </c>
      <c r="C207" s="51" t="str">
        <f>IFERROR(__xludf.DUMMYFUNCTION("IFERROR(IF(REGEXMATCH(VLOOKUP(A207,Internal_lists_bugs!$A$2:$R$73,18,FALSE()), ""Yes""), VLOOKUP(A207,Internal_lists_bugs!$A$2:$U$73,21,FALSE()), VLOOKUP(A207,Internal_lists_bugs!$A$2:$R$73,18,FALSE())),""please select a BUG ID"")"),"please select a BUG ID")</f>
        <v>please select a BUG ID</v>
      </c>
      <c r="D207" s="43"/>
      <c r="F207" s="62"/>
      <c r="G207" s="63"/>
      <c r="H207" s="43"/>
      <c r="J207" s="62"/>
      <c r="K207" s="63"/>
    </row>
    <row r="208">
      <c r="A208" s="71"/>
      <c r="B208" s="59" t="str">
        <f>IFERROR(HYPERLINK(VLOOKUP(A208,Internal_lists_bugs!$A$2:$C$73,3,FALSE()), VLOOKUP(A208,Internal_lists_bugs!$A$2:$C$73,3,FALSE())&amp;Char(10) &amp; Char(10) &amp; VLOOKUP(A208,Internal_lists_bugs!$A$2:$Z$73,26,FALSE())),"please select a BUG ID")</f>
        <v>please select a BUG ID</v>
      </c>
      <c r="C208" s="51" t="str">
        <f>IFERROR(__xludf.DUMMYFUNCTION("IFERROR(IF(REGEXMATCH(VLOOKUP(A208,Internal_lists_bugs!$A$2:$R$73,18,FALSE()), ""Yes""), VLOOKUP(A208,Internal_lists_bugs!$A$2:$U$73,21,FALSE()), VLOOKUP(A208,Internal_lists_bugs!$A$2:$R$73,18,FALSE())),""please select a BUG ID"")"),"please select a BUG ID")</f>
        <v>please select a BUG ID</v>
      </c>
      <c r="D208" s="43"/>
      <c r="F208" s="62"/>
      <c r="G208" s="63"/>
      <c r="H208" s="43"/>
      <c r="J208" s="62"/>
      <c r="K208" s="63"/>
    </row>
    <row r="209">
      <c r="A209" s="71"/>
      <c r="B209" s="59" t="str">
        <f>IFERROR(HYPERLINK(VLOOKUP(A209,Internal_lists_bugs!$A$2:$C$73,3,FALSE()), VLOOKUP(A209,Internal_lists_bugs!$A$2:$C$73,3,FALSE())&amp;Char(10) &amp; Char(10) &amp; VLOOKUP(A209,Internal_lists_bugs!$A$2:$Z$73,26,FALSE())),"please select a BUG ID")</f>
        <v>please select a BUG ID</v>
      </c>
      <c r="C209" s="51" t="str">
        <f>IFERROR(__xludf.DUMMYFUNCTION("IFERROR(IF(REGEXMATCH(VLOOKUP(A209,Internal_lists_bugs!$A$2:$R$73,18,FALSE()), ""Yes""), VLOOKUP(A209,Internal_lists_bugs!$A$2:$U$73,21,FALSE()), VLOOKUP(A209,Internal_lists_bugs!$A$2:$R$73,18,FALSE())),""please select a BUG ID"")"),"please select a BUG ID")</f>
        <v>please select a BUG ID</v>
      </c>
      <c r="D209" s="43"/>
      <c r="F209" s="62"/>
      <c r="G209" s="63"/>
      <c r="H209" s="43"/>
      <c r="J209" s="62"/>
      <c r="K209" s="63"/>
    </row>
    <row r="210">
      <c r="A210" s="71"/>
      <c r="B210" s="59" t="str">
        <f>IFERROR(HYPERLINK(VLOOKUP(A210,Internal_lists_bugs!$A$2:$C$73,3,FALSE()), VLOOKUP(A210,Internal_lists_bugs!$A$2:$C$73,3,FALSE())&amp;Char(10) &amp; Char(10) &amp; VLOOKUP(A210,Internal_lists_bugs!$A$2:$Z$73,26,FALSE())),"please select a BUG ID")</f>
        <v>please select a BUG ID</v>
      </c>
      <c r="C210" s="51" t="str">
        <f>IFERROR(__xludf.DUMMYFUNCTION("IFERROR(IF(REGEXMATCH(VLOOKUP(A210,Internal_lists_bugs!$A$2:$R$73,18,FALSE()), ""Yes""), VLOOKUP(A210,Internal_lists_bugs!$A$2:$U$73,21,FALSE()), VLOOKUP(A210,Internal_lists_bugs!$A$2:$R$73,18,FALSE())),""please select a BUG ID"")"),"please select a BUG ID")</f>
        <v>please select a BUG ID</v>
      </c>
      <c r="D210" s="43"/>
      <c r="F210" s="62"/>
      <c r="G210" s="63"/>
      <c r="H210" s="43"/>
      <c r="J210" s="62"/>
      <c r="K210" s="63"/>
    </row>
    <row r="211">
      <c r="A211" s="71"/>
      <c r="B211" s="59" t="str">
        <f>IFERROR(HYPERLINK(VLOOKUP(A211,Internal_lists_bugs!$A$2:$C$73,3,FALSE()), VLOOKUP(A211,Internal_lists_bugs!$A$2:$C$73,3,FALSE())&amp;Char(10) &amp; Char(10) &amp; VLOOKUP(A211,Internal_lists_bugs!$A$2:$Z$73,26,FALSE())),"please select a BUG ID")</f>
        <v>please select a BUG ID</v>
      </c>
      <c r="C211" s="51" t="str">
        <f>IFERROR(__xludf.DUMMYFUNCTION("IFERROR(IF(REGEXMATCH(VLOOKUP(A211,Internal_lists_bugs!$A$2:$R$73,18,FALSE()), ""Yes""), VLOOKUP(A211,Internal_lists_bugs!$A$2:$U$73,21,FALSE()), VLOOKUP(A211,Internal_lists_bugs!$A$2:$R$73,18,FALSE())),""please select a BUG ID"")"),"please select a BUG ID")</f>
        <v>please select a BUG ID</v>
      </c>
      <c r="D211" s="43"/>
      <c r="F211" s="62"/>
      <c r="G211" s="63"/>
      <c r="H211" s="43"/>
      <c r="J211" s="62"/>
      <c r="K211" s="63"/>
    </row>
    <row r="212">
      <c r="A212" s="71"/>
      <c r="B212" s="59" t="str">
        <f>IFERROR(HYPERLINK(VLOOKUP(A212,Internal_lists_bugs!$A$2:$C$73,3,FALSE()), VLOOKUP(A212,Internal_lists_bugs!$A$2:$C$73,3,FALSE())&amp;Char(10) &amp; Char(10) &amp; VLOOKUP(A212,Internal_lists_bugs!$A$2:$Z$73,26,FALSE())),"please select a BUG ID")</f>
        <v>please select a BUG ID</v>
      </c>
      <c r="C212" s="51" t="str">
        <f>IFERROR(__xludf.DUMMYFUNCTION("IFERROR(IF(REGEXMATCH(VLOOKUP(A212,Internal_lists_bugs!$A$2:$R$73,18,FALSE()), ""Yes""), VLOOKUP(A212,Internal_lists_bugs!$A$2:$U$73,21,FALSE()), VLOOKUP(A212,Internal_lists_bugs!$A$2:$R$73,18,FALSE())),""please select a BUG ID"")"),"please select a BUG ID")</f>
        <v>please select a BUG ID</v>
      </c>
      <c r="D212" s="43"/>
      <c r="F212" s="62"/>
      <c r="G212" s="63"/>
      <c r="H212" s="43"/>
      <c r="J212" s="62"/>
      <c r="K212" s="63"/>
    </row>
    <row r="213">
      <c r="A213" s="71"/>
      <c r="B213" s="59" t="str">
        <f>IFERROR(HYPERLINK(VLOOKUP(A213,Internal_lists_bugs!$A$2:$C$73,3,FALSE()), VLOOKUP(A213,Internal_lists_bugs!$A$2:$C$73,3,FALSE())&amp;Char(10) &amp; Char(10) &amp; VLOOKUP(A213,Internal_lists_bugs!$A$2:$Z$73,26,FALSE())),"please select a BUG ID")</f>
        <v>please select a BUG ID</v>
      </c>
      <c r="C213" s="51" t="str">
        <f>IFERROR(__xludf.DUMMYFUNCTION("IFERROR(IF(REGEXMATCH(VLOOKUP(A213,Internal_lists_bugs!$A$2:$R$73,18,FALSE()), ""Yes""), VLOOKUP(A213,Internal_lists_bugs!$A$2:$U$73,21,FALSE()), VLOOKUP(A213,Internal_lists_bugs!$A$2:$R$73,18,FALSE())),""please select a BUG ID"")"),"please select a BUG ID")</f>
        <v>please select a BUG ID</v>
      </c>
      <c r="D213" s="43"/>
      <c r="F213" s="62"/>
      <c r="G213" s="63"/>
      <c r="H213" s="43"/>
      <c r="J213" s="62"/>
      <c r="K213" s="63"/>
    </row>
    <row r="214">
      <c r="A214" s="71"/>
      <c r="B214" s="59" t="str">
        <f>IFERROR(HYPERLINK(VLOOKUP(A214,Internal_lists_bugs!$A$2:$C$73,3,FALSE()), VLOOKUP(A214,Internal_lists_bugs!$A$2:$C$73,3,FALSE())&amp;Char(10) &amp; Char(10) &amp; VLOOKUP(A214,Internal_lists_bugs!$A$2:$Z$73,26,FALSE())),"please select a BUG ID")</f>
        <v>please select a BUG ID</v>
      </c>
      <c r="C214" s="51" t="str">
        <f>IFERROR(__xludf.DUMMYFUNCTION("IFERROR(IF(REGEXMATCH(VLOOKUP(A214,Internal_lists_bugs!$A$2:$R$73,18,FALSE()), ""Yes""), VLOOKUP(A214,Internal_lists_bugs!$A$2:$U$73,21,FALSE()), VLOOKUP(A214,Internal_lists_bugs!$A$2:$R$73,18,FALSE())),""please select a BUG ID"")"),"please select a BUG ID")</f>
        <v>please select a BUG ID</v>
      </c>
      <c r="D214" s="43"/>
      <c r="F214" s="62"/>
      <c r="G214" s="63"/>
      <c r="H214" s="43"/>
      <c r="J214" s="62"/>
      <c r="K214" s="63"/>
    </row>
    <row r="215">
      <c r="A215" s="71"/>
      <c r="B215" s="59" t="str">
        <f>IFERROR(HYPERLINK(VLOOKUP(A215,Internal_lists_bugs!$A$2:$C$73,3,FALSE()), VLOOKUP(A215,Internal_lists_bugs!$A$2:$C$73,3,FALSE())&amp;Char(10) &amp; Char(10) &amp; VLOOKUP(A215,Internal_lists_bugs!$A$2:$Z$73,26,FALSE())),"please select a BUG ID")</f>
        <v>please select a BUG ID</v>
      </c>
      <c r="C215" s="51" t="str">
        <f>IFERROR(__xludf.DUMMYFUNCTION("IFERROR(IF(REGEXMATCH(VLOOKUP(A215,Internal_lists_bugs!$A$2:$R$73,18,FALSE()), ""Yes""), VLOOKUP(A215,Internal_lists_bugs!$A$2:$U$73,21,FALSE()), VLOOKUP(A215,Internal_lists_bugs!$A$2:$R$73,18,FALSE())),""please select a BUG ID"")"),"please select a BUG ID")</f>
        <v>please select a BUG ID</v>
      </c>
      <c r="D215" s="43"/>
      <c r="F215" s="62"/>
      <c r="G215" s="63"/>
      <c r="H215" s="43"/>
      <c r="J215" s="62"/>
      <c r="K215" s="63"/>
    </row>
    <row r="216">
      <c r="A216" s="71"/>
      <c r="B216" s="59" t="str">
        <f>IFERROR(HYPERLINK(VLOOKUP(A216,Internal_lists_bugs!$A$2:$C$73,3,FALSE()), VLOOKUP(A216,Internal_lists_bugs!$A$2:$C$73,3,FALSE())&amp;Char(10) &amp; Char(10) &amp; VLOOKUP(A216,Internal_lists_bugs!$A$2:$Z$73,26,FALSE())),"please select a BUG ID")</f>
        <v>please select a BUG ID</v>
      </c>
      <c r="C216" s="51" t="str">
        <f>IFERROR(__xludf.DUMMYFUNCTION("IFERROR(IF(REGEXMATCH(VLOOKUP(A216,Internal_lists_bugs!$A$2:$R$73,18,FALSE()), ""Yes""), VLOOKUP(A216,Internal_lists_bugs!$A$2:$U$73,21,FALSE()), VLOOKUP(A216,Internal_lists_bugs!$A$2:$R$73,18,FALSE())),""please select a BUG ID"")"),"please select a BUG ID")</f>
        <v>please select a BUG ID</v>
      </c>
      <c r="D216" s="43"/>
      <c r="F216" s="62"/>
      <c r="G216" s="63"/>
      <c r="H216" s="43"/>
      <c r="J216" s="62"/>
      <c r="K216" s="63"/>
    </row>
    <row r="217">
      <c r="A217" s="71"/>
      <c r="B217" s="59" t="str">
        <f>IFERROR(HYPERLINK(VLOOKUP(A217,Internal_lists_bugs!$A$2:$C$73,3,FALSE()), VLOOKUP(A217,Internal_lists_bugs!$A$2:$C$73,3,FALSE())&amp;Char(10) &amp; Char(10) &amp; VLOOKUP(A217,Internal_lists_bugs!$A$2:$Z$73,26,FALSE())),"please select a BUG ID")</f>
        <v>please select a BUG ID</v>
      </c>
      <c r="C217" s="51" t="str">
        <f>IFERROR(__xludf.DUMMYFUNCTION("IFERROR(IF(REGEXMATCH(VLOOKUP(A217,Internal_lists_bugs!$A$2:$R$73,18,FALSE()), ""Yes""), VLOOKUP(A217,Internal_lists_bugs!$A$2:$U$73,21,FALSE()), VLOOKUP(A217,Internal_lists_bugs!$A$2:$R$73,18,FALSE())),""please select a BUG ID"")"),"please select a BUG ID")</f>
        <v>please select a BUG ID</v>
      </c>
      <c r="D217" s="43"/>
      <c r="F217" s="62"/>
      <c r="G217" s="63"/>
      <c r="H217" s="43"/>
      <c r="J217" s="62"/>
      <c r="K217" s="63"/>
    </row>
    <row r="218">
      <c r="A218" s="71"/>
      <c r="B218" s="59" t="str">
        <f>IFERROR(HYPERLINK(VLOOKUP(A218,Internal_lists_bugs!$A$2:$C$73,3,FALSE()), VLOOKUP(A218,Internal_lists_bugs!$A$2:$C$73,3,FALSE())&amp;Char(10) &amp; Char(10) &amp; VLOOKUP(A218,Internal_lists_bugs!$A$2:$Z$73,26,FALSE())),"please select a BUG ID")</f>
        <v>please select a BUG ID</v>
      </c>
      <c r="C218" s="51" t="str">
        <f>IFERROR(__xludf.DUMMYFUNCTION("IFERROR(IF(REGEXMATCH(VLOOKUP(A218,Internal_lists_bugs!$A$2:$R$73,18,FALSE()), ""Yes""), VLOOKUP(A218,Internal_lists_bugs!$A$2:$U$73,21,FALSE()), VLOOKUP(A218,Internal_lists_bugs!$A$2:$R$73,18,FALSE())),""please select a BUG ID"")"),"please select a BUG ID")</f>
        <v>please select a BUG ID</v>
      </c>
      <c r="D218" s="43"/>
      <c r="F218" s="62"/>
      <c r="G218" s="63"/>
      <c r="H218" s="43"/>
      <c r="J218" s="62"/>
      <c r="K218" s="63"/>
    </row>
    <row r="219">
      <c r="A219" s="71"/>
      <c r="B219" s="59" t="str">
        <f>IFERROR(HYPERLINK(VLOOKUP(A219,Internal_lists_bugs!$A$2:$C$73,3,FALSE()), VLOOKUP(A219,Internal_lists_bugs!$A$2:$C$73,3,FALSE())&amp;Char(10) &amp; Char(10) &amp; VLOOKUP(A219,Internal_lists_bugs!$A$2:$Z$73,26,FALSE())),"please select a BUG ID")</f>
        <v>please select a BUG ID</v>
      </c>
      <c r="C219" s="51" t="str">
        <f>IFERROR(__xludf.DUMMYFUNCTION("IFERROR(IF(REGEXMATCH(VLOOKUP(A219,Internal_lists_bugs!$A$2:$R$73,18,FALSE()), ""Yes""), VLOOKUP(A219,Internal_lists_bugs!$A$2:$U$73,21,FALSE()), VLOOKUP(A219,Internal_lists_bugs!$A$2:$R$73,18,FALSE())),""please select a BUG ID"")"),"please select a BUG ID")</f>
        <v>please select a BUG ID</v>
      </c>
      <c r="D219" s="43"/>
      <c r="F219" s="62"/>
      <c r="G219" s="63"/>
      <c r="H219" s="43"/>
      <c r="J219" s="62"/>
      <c r="K219" s="63"/>
    </row>
    <row r="220">
      <c r="A220" s="71"/>
      <c r="B220" s="59" t="str">
        <f>IFERROR(HYPERLINK(VLOOKUP(A220,Internal_lists_bugs!$A$2:$C$73,3,FALSE()), VLOOKUP(A220,Internal_lists_bugs!$A$2:$C$73,3,FALSE())&amp;Char(10) &amp; Char(10) &amp; VLOOKUP(A220,Internal_lists_bugs!$A$2:$Z$73,26,FALSE())),"please select a BUG ID")</f>
        <v>please select a BUG ID</v>
      </c>
      <c r="C220" s="51" t="str">
        <f>IFERROR(__xludf.DUMMYFUNCTION("IFERROR(IF(REGEXMATCH(VLOOKUP(A220,Internal_lists_bugs!$A$2:$R$73,18,FALSE()), ""Yes""), VLOOKUP(A220,Internal_lists_bugs!$A$2:$U$73,21,FALSE()), VLOOKUP(A220,Internal_lists_bugs!$A$2:$R$73,18,FALSE())),""please select a BUG ID"")"),"please select a BUG ID")</f>
        <v>please select a BUG ID</v>
      </c>
      <c r="D220" s="43"/>
      <c r="F220" s="60"/>
      <c r="G220" s="63"/>
      <c r="H220" s="43"/>
      <c r="J220" s="60"/>
      <c r="K220" s="63"/>
    </row>
    <row r="221">
      <c r="A221" s="71"/>
      <c r="B221" s="59" t="str">
        <f>IFERROR(HYPERLINK(VLOOKUP(A221,Internal_lists_bugs!$A$2:$C$73,3,FALSE()), VLOOKUP(A221,Internal_lists_bugs!$A$2:$C$73,3,FALSE())&amp;Char(10) &amp; Char(10) &amp; VLOOKUP(A221,Internal_lists_bugs!$A$2:$Z$73,26,FALSE())),"please select a BUG ID")</f>
        <v>please select a BUG ID</v>
      </c>
      <c r="C221" s="51" t="str">
        <f>IFERROR(__xludf.DUMMYFUNCTION("IFERROR(IF(REGEXMATCH(VLOOKUP(A221,Internal_lists_bugs!$A$2:$R$73,18,FALSE()), ""Yes""), VLOOKUP(A221,Internal_lists_bugs!$A$2:$U$73,21,FALSE()), VLOOKUP(A221,Internal_lists_bugs!$A$2:$R$73,18,FALSE())),""please select a BUG ID"")"),"please select a BUG ID")</f>
        <v>please select a BUG ID</v>
      </c>
      <c r="D221" s="43"/>
      <c r="F221" s="62"/>
      <c r="G221" s="63"/>
      <c r="H221" s="43"/>
      <c r="J221" s="62"/>
      <c r="K221" s="63"/>
    </row>
    <row r="222">
      <c r="A222" s="71"/>
      <c r="B222" s="59" t="str">
        <f>IFERROR(HYPERLINK(VLOOKUP(A222,Internal_lists_bugs!$A$2:$C$73,3,FALSE()), VLOOKUP(A222,Internal_lists_bugs!$A$2:$C$73,3,FALSE())&amp;Char(10) &amp; Char(10) &amp; VLOOKUP(A222,Internal_lists_bugs!$A$2:$Z$73,26,FALSE())),"please select a BUG ID")</f>
        <v>please select a BUG ID</v>
      </c>
      <c r="C222" s="51" t="str">
        <f>IFERROR(__xludf.DUMMYFUNCTION("IFERROR(IF(REGEXMATCH(VLOOKUP(A222,Internal_lists_bugs!$A$2:$R$73,18,FALSE()), ""Yes""), VLOOKUP(A222,Internal_lists_bugs!$A$2:$U$73,21,FALSE()), VLOOKUP(A222,Internal_lists_bugs!$A$2:$R$73,18,FALSE())),""please select a BUG ID"")"),"please select a BUG ID")</f>
        <v>please select a BUG ID</v>
      </c>
      <c r="D222" s="43"/>
      <c r="F222" s="62"/>
      <c r="G222" s="63"/>
      <c r="H222" s="43"/>
      <c r="J222" s="62"/>
      <c r="K222" s="63"/>
    </row>
    <row r="223">
      <c r="A223" s="71"/>
      <c r="B223" s="59" t="str">
        <f>IFERROR(HYPERLINK(VLOOKUP(A223,Internal_lists_bugs!$A$2:$C$73,3,FALSE()), VLOOKUP(A223,Internal_lists_bugs!$A$2:$C$73,3,FALSE())&amp;Char(10) &amp; Char(10) &amp; VLOOKUP(A223,Internal_lists_bugs!$A$2:$Z$73,26,FALSE())),"please select a BUG ID")</f>
        <v>please select a BUG ID</v>
      </c>
      <c r="C223" s="51" t="str">
        <f>IFERROR(__xludf.DUMMYFUNCTION("IFERROR(IF(REGEXMATCH(VLOOKUP(A223,Internal_lists_bugs!$A$2:$R$73,18,FALSE()), ""Yes""), VLOOKUP(A223,Internal_lists_bugs!$A$2:$U$73,21,FALSE()), VLOOKUP(A223,Internal_lists_bugs!$A$2:$R$73,18,FALSE())),""please select a BUG ID"")"),"please select a BUG ID")</f>
        <v>please select a BUG ID</v>
      </c>
      <c r="D223" s="43"/>
      <c r="F223" s="62"/>
      <c r="G223" s="63"/>
      <c r="H223" s="43"/>
      <c r="J223" s="62"/>
      <c r="K223" s="63"/>
    </row>
    <row r="224">
      <c r="A224" s="71"/>
      <c r="B224" s="59" t="str">
        <f>IFERROR(HYPERLINK(VLOOKUP(A224,Internal_lists_bugs!$A$2:$C$73,3,FALSE()), VLOOKUP(A224,Internal_lists_bugs!$A$2:$C$73,3,FALSE())&amp;Char(10) &amp; Char(10) &amp; VLOOKUP(A224,Internal_lists_bugs!$A$2:$Z$73,26,FALSE())),"please select a BUG ID")</f>
        <v>please select a BUG ID</v>
      </c>
      <c r="C224" s="51" t="str">
        <f>IFERROR(__xludf.DUMMYFUNCTION("IFERROR(IF(REGEXMATCH(VLOOKUP(A224,Internal_lists_bugs!$A$2:$R$73,18,FALSE()), ""Yes""), VLOOKUP(A224,Internal_lists_bugs!$A$2:$U$73,21,FALSE()), VLOOKUP(A224,Internal_lists_bugs!$A$2:$R$73,18,FALSE())),""please select a BUG ID"")"),"please select a BUG ID")</f>
        <v>please select a BUG ID</v>
      </c>
      <c r="D224" s="43"/>
      <c r="F224" s="62"/>
      <c r="G224" s="63"/>
      <c r="H224" s="43"/>
      <c r="J224" s="62"/>
      <c r="K224" s="63"/>
    </row>
    <row r="225">
      <c r="A225" s="71"/>
      <c r="B225" s="59" t="str">
        <f>IFERROR(HYPERLINK(VLOOKUP(A225,Internal_lists_bugs!$A$2:$C$73,3,FALSE()), VLOOKUP(A225,Internal_lists_bugs!$A$2:$C$73,3,FALSE())&amp;Char(10) &amp; Char(10) &amp; VLOOKUP(A225,Internal_lists_bugs!$A$2:$Z$73,26,FALSE())),"please select a BUG ID")</f>
        <v>please select a BUG ID</v>
      </c>
      <c r="C225" s="51" t="str">
        <f>IFERROR(__xludf.DUMMYFUNCTION("IFERROR(IF(REGEXMATCH(VLOOKUP(A225,Internal_lists_bugs!$A$2:$R$73,18,FALSE()), ""Yes""), VLOOKUP(A225,Internal_lists_bugs!$A$2:$U$73,21,FALSE()), VLOOKUP(A225,Internal_lists_bugs!$A$2:$R$73,18,FALSE())),""please select a BUG ID"")"),"please select a BUG ID")</f>
        <v>please select a BUG ID</v>
      </c>
      <c r="D225" s="43"/>
      <c r="F225" s="62"/>
      <c r="G225" s="63"/>
      <c r="H225" s="43"/>
      <c r="J225" s="62"/>
      <c r="K225" s="63"/>
    </row>
    <row r="226">
      <c r="A226" s="71"/>
      <c r="B226" s="59" t="str">
        <f>IFERROR(HYPERLINK(VLOOKUP(A226,Internal_lists_bugs!$A$2:$C$73,3,FALSE()), VLOOKUP(A226,Internal_lists_bugs!$A$2:$C$73,3,FALSE())&amp;Char(10) &amp; Char(10) &amp; VLOOKUP(A226,Internal_lists_bugs!$A$2:$Z$73,26,FALSE())),"please select a BUG ID")</f>
        <v>please select a BUG ID</v>
      </c>
      <c r="C226" s="51" t="str">
        <f>IFERROR(__xludf.DUMMYFUNCTION("IFERROR(IF(REGEXMATCH(VLOOKUP(A226,Internal_lists_bugs!$A$2:$R$73,18,FALSE()), ""Yes""), VLOOKUP(A226,Internal_lists_bugs!$A$2:$U$73,21,FALSE()), VLOOKUP(A226,Internal_lists_bugs!$A$2:$R$73,18,FALSE())),""please select a BUG ID"")"),"please select a BUG ID")</f>
        <v>please select a BUG ID</v>
      </c>
      <c r="D226" s="43"/>
      <c r="F226" s="60"/>
      <c r="G226" s="63"/>
      <c r="H226" s="43"/>
      <c r="J226" s="60"/>
      <c r="K226" s="63"/>
    </row>
    <row r="227">
      <c r="A227" s="71"/>
      <c r="B227" s="59" t="str">
        <f>IFERROR(HYPERLINK(VLOOKUP(A227,Internal_lists_bugs!$A$2:$C$73,3,FALSE()), VLOOKUP(A227,Internal_lists_bugs!$A$2:$C$73,3,FALSE())&amp;Char(10) &amp; Char(10) &amp; VLOOKUP(A227,Internal_lists_bugs!$A$2:$Z$73,26,FALSE())),"please select a BUG ID")</f>
        <v>please select a BUG ID</v>
      </c>
      <c r="C227" s="51" t="str">
        <f>IFERROR(__xludf.DUMMYFUNCTION("IFERROR(IF(REGEXMATCH(VLOOKUP(A227,Internal_lists_bugs!$A$2:$R$73,18,FALSE()), ""Yes""), VLOOKUP(A227,Internal_lists_bugs!$A$2:$U$73,21,FALSE()), VLOOKUP(A227,Internal_lists_bugs!$A$2:$R$73,18,FALSE())),""please select a BUG ID"")"),"please select a BUG ID")</f>
        <v>please select a BUG ID</v>
      </c>
      <c r="D227" s="43"/>
      <c r="F227" s="62"/>
      <c r="G227" s="63"/>
      <c r="H227" s="43"/>
      <c r="J227" s="62"/>
      <c r="K227" s="63"/>
    </row>
    <row r="228">
      <c r="A228" s="71"/>
      <c r="B228" s="59" t="str">
        <f>IFERROR(HYPERLINK(VLOOKUP(A228,Internal_lists_bugs!$A$2:$C$73,3,FALSE()), VLOOKUP(A228,Internal_lists_bugs!$A$2:$C$73,3,FALSE())&amp;Char(10) &amp; Char(10) &amp; VLOOKUP(A228,Internal_lists_bugs!$A$2:$Z$73,26,FALSE())),"please select a BUG ID")</f>
        <v>please select a BUG ID</v>
      </c>
      <c r="C228" s="51" t="str">
        <f>IFERROR(__xludf.DUMMYFUNCTION("IFERROR(IF(REGEXMATCH(VLOOKUP(A228,Internal_lists_bugs!$A$2:$R$73,18,FALSE()), ""Yes""), VLOOKUP(A228,Internal_lists_bugs!$A$2:$U$73,21,FALSE()), VLOOKUP(A228,Internal_lists_bugs!$A$2:$R$73,18,FALSE())),""please select a BUG ID"")"),"please select a BUG ID")</f>
        <v>please select a BUG ID</v>
      </c>
      <c r="D228" s="43"/>
      <c r="F228" s="62"/>
      <c r="G228" s="63"/>
      <c r="H228" s="43"/>
      <c r="J228" s="62"/>
      <c r="K228" s="63"/>
    </row>
    <row r="229">
      <c r="A229" s="71"/>
      <c r="B229" s="59" t="str">
        <f>IFERROR(HYPERLINK(VLOOKUP(A229,Internal_lists_bugs!$A$2:$C$73,3,FALSE()), VLOOKUP(A229,Internal_lists_bugs!$A$2:$C$73,3,FALSE())&amp;Char(10) &amp; Char(10) &amp; VLOOKUP(A229,Internal_lists_bugs!$A$2:$Z$73,26,FALSE())),"please select a BUG ID")</f>
        <v>please select a BUG ID</v>
      </c>
      <c r="C229" s="51" t="str">
        <f>IFERROR(__xludf.DUMMYFUNCTION("IFERROR(IF(REGEXMATCH(VLOOKUP(A229,Internal_lists_bugs!$A$2:$R$73,18,FALSE()), ""Yes""), VLOOKUP(A229,Internal_lists_bugs!$A$2:$U$73,21,FALSE()), VLOOKUP(A229,Internal_lists_bugs!$A$2:$R$73,18,FALSE())),""please select a BUG ID"")"),"please select a BUG ID")</f>
        <v>please select a BUG ID</v>
      </c>
      <c r="D229" s="43"/>
      <c r="F229" s="62"/>
      <c r="G229" s="63"/>
      <c r="H229" s="43"/>
      <c r="J229" s="62"/>
      <c r="K229" s="63"/>
    </row>
    <row r="230">
      <c r="A230" s="71"/>
      <c r="B230" s="59" t="str">
        <f>IFERROR(HYPERLINK(VLOOKUP(A230,Internal_lists_bugs!$A$2:$C$73,3,FALSE()), VLOOKUP(A230,Internal_lists_bugs!$A$2:$C$73,3,FALSE())&amp;Char(10) &amp; Char(10) &amp; VLOOKUP(A230,Internal_lists_bugs!$A$2:$Z$73,26,FALSE())),"please select a BUG ID")</f>
        <v>please select a BUG ID</v>
      </c>
      <c r="C230" s="51" t="str">
        <f>IFERROR(__xludf.DUMMYFUNCTION("IFERROR(IF(REGEXMATCH(VLOOKUP(A230,Internal_lists_bugs!$A$2:$R$73,18,FALSE()), ""Yes""), VLOOKUP(A230,Internal_lists_bugs!$A$2:$U$73,21,FALSE()), VLOOKUP(A230,Internal_lists_bugs!$A$2:$R$73,18,FALSE())),""please select a BUG ID"")"),"please select a BUG ID")</f>
        <v>please select a BUG ID</v>
      </c>
      <c r="D230" s="43"/>
      <c r="F230" s="62"/>
      <c r="G230" s="63"/>
      <c r="H230" s="43"/>
      <c r="J230" s="62"/>
      <c r="K230" s="63"/>
    </row>
    <row r="231">
      <c r="A231" s="71"/>
      <c r="B231" s="59" t="str">
        <f>IFERROR(HYPERLINK(VLOOKUP(A231,Internal_lists_bugs!$A$2:$C$73,3,FALSE()), VLOOKUP(A231,Internal_lists_bugs!$A$2:$C$73,3,FALSE())&amp;Char(10) &amp; Char(10) &amp; VLOOKUP(A231,Internal_lists_bugs!$A$2:$Z$73,26,FALSE())),"please select a BUG ID")</f>
        <v>please select a BUG ID</v>
      </c>
      <c r="C231" s="51" t="str">
        <f>IFERROR(__xludf.DUMMYFUNCTION("IFERROR(IF(REGEXMATCH(VLOOKUP(A231,Internal_lists_bugs!$A$2:$R$73,18,FALSE()), ""Yes""), VLOOKUP(A231,Internal_lists_bugs!$A$2:$U$73,21,FALSE()), VLOOKUP(A231,Internal_lists_bugs!$A$2:$R$73,18,FALSE())),""please select a BUG ID"")"),"please select a BUG ID")</f>
        <v>please select a BUG ID</v>
      </c>
      <c r="D231" s="43"/>
      <c r="F231" s="62"/>
      <c r="G231" s="63"/>
      <c r="H231" s="43"/>
      <c r="J231" s="62"/>
      <c r="K231" s="63"/>
    </row>
    <row r="232">
      <c r="A232" s="71"/>
      <c r="B232" s="59" t="str">
        <f>IFERROR(HYPERLINK(VLOOKUP(A232,Internal_lists_bugs!$A$2:$C$73,3,FALSE()), VLOOKUP(A232,Internal_lists_bugs!$A$2:$C$73,3,FALSE())&amp;Char(10) &amp; Char(10) &amp; VLOOKUP(A232,Internal_lists_bugs!$A$2:$Z$73,26,FALSE())),"please select a BUG ID")</f>
        <v>please select a BUG ID</v>
      </c>
      <c r="C232" s="51" t="str">
        <f>IFERROR(__xludf.DUMMYFUNCTION("IFERROR(IF(REGEXMATCH(VLOOKUP(A232,Internal_lists_bugs!$A$2:$R$73,18,FALSE()), ""Yes""), VLOOKUP(A232,Internal_lists_bugs!$A$2:$U$73,21,FALSE()), VLOOKUP(A232,Internal_lists_bugs!$A$2:$R$73,18,FALSE())),""please select a BUG ID"")"),"please select a BUG ID")</f>
        <v>please select a BUG ID</v>
      </c>
      <c r="D232" s="43"/>
      <c r="F232" s="62"/>
      <c r="G232" s="63"/>
      <c r="H232" s="43"/>
      <c r="J232" s="62"/>
      <c r="K232" s="63"/>
    </row>
    <row r="233">
      <c r="A233" s="71"/>
      <c r="B233" s="59" t="str">
        <f>IFERROR(HYPERLINK(VLOOKUP(A233,Internal_lists_bugs!$A$2:$C$73,3,FALSE()), VLOOKUP(A233,Internal_lists_bugs!$A$2:$C$73,3,FALSE())&amp;Char(10) &amp; Char(10) &amp; VLOOKUP(A233,Internal_lists_bugs!$A$2:$Z$73,26,FALSE())),"please select a BUG ID")</f>
        <v>please select a BUG ID</v>
      </c>
      <c r="C233" s="51" t="str">
        <f>IFERROR(__xludf.DUMMYFUNCTION("IFERROR(IF(REGEXMATCH(VLOOKUP(A233,Internal_lists_bugs!$A$2:$R$73,18,FALSE()), ""Yes""), VLOOKUP(A233,Internal_lists_bugs!$A$2:$U$73,21,FALSE()), VLOOKUP(A233,Internal_lists_bugs!$A$2:$R$73,18,FALSE())),""please select a BUG ID"")"),"please select a BUG ID")</f>
        <v>please select a BUG ID</v>
      </c>
      <c r="D233" s="43"/>
      <c r="F233" s="62"/>
      <c r="G233" s="63"/>
      <c r="H233" s="43"/>
      <c r="J233" s="62"/>
      <c r="K233" s="63"/>
    </row>
    <row r="234">
      <c r="A234" s="71"/>
      <c r="B234" s="59" t="str">
        <f>IFERROR(HYPERLINK(VLOOKUP(A234,Internal_lists_bugs!$A$2:$C$73,3,FALSE()), VLOOKUP(A234,Internal_lists_bugs!$A$2:$C$73,3,FALSE())&amp;Char(10) &amp; Char(10) &amp; VLOOKUP(A234,Internal_lists_bugs!$A$2:$Z$73,26,FALSE())),"please select a BUG ID")</f>
        <v>please select a BUG ID</v>
      </c>
      <c r="C234" s="51" t="str">
        <f>IFERROR(__xludf.DUMMYFUNCTION("IFERROR(IF(REGEXMATCH(VLOOKUP(A234,Internal_lists_bugs!$A$2:$R$73,18,FALSE()), ""Yes""), VLOOKUP(A234,Internal_lists_bugs!$A$2:$U$73,21,FALSE()), VLOOKUP(A234,Internal_lists_bugs!$A$2:$R$73,18,FALSE())),""please select a BUG ID"")"),"please select a BUG ID")</f>
        <v>please select a BUG ID</v>
      </c>
      <c r="D234" s="43"/>
      <c r="F234" s="60"/>
      <c r="G234" s="63"/>
      <c r="H234" s="43"/>
      <c r="J234" s="60"/>
      <c r="K234" s="63"/>
    </row>
    <row r="235">
      <c r="A235" s="71"/>
      <c r="B235" s="59" t="str">
        <f>IFERROR(HYPERLINK(VLOOKUP(A235,Internal_lists_bugs!$A$2:$C$73,3,FALSE()), VLOOKUP(A235,Internal_lists_bugs!$A$2:$C$73,3,FALSE())&amp;Char(10) &amp; Char(10) &amp; VLOOKUP(A235,Internal_lists_bugs!$A$2:$Z$73,26,FALSE())),"please select a BUG ID")</f>
        <v>please select a BUG ID</v>
      </c>
      <c r="C235" s="51" t="str">
        <f>IFERROR(__xludf.DUMMYFUNCTION("IFERROR(IF(REGEXMATCH(VLOOKUP(A235,Internal_lists_bugs!$A$2:$R$73,18,FALSE()), ""Yes""), VLOOKUP(A235,Internal_lists_bugs!$A$2:$U$73,21,FALSE()), VLOOKUP(A235,Internal_lists_bugs!$A$2:$R$73,18,FALSE())),""please select a BUG ID"")"),"please select a BUG ID")</f>
        <v>please select a BUG ID</v>
      </c>
      <c r="D235" s="43"/>
      <c r="F235" s="62"/>
      <c r="G235" s="63"/>
      <c r="H235" s="43"/>
      <c r="J235" s="62"/>
      <c r="K235" s="63"/>
    </row>
    <row r="236">
      <c r="A236" s="71"/>
      <c r="B236" s="59" t="str">
        <f>IFERROR(HYPERLINK(VLOOKUP(A236,Internal_lists_bugs!$A$2:$C$73,3,FALSE()), VLOOKUP(A236,Internal_lists_bugs!$A$2:$C$73,3,FALSE())&amp;Char(10) &amp; Char(10) &amp; VLOOKUP(A236,Internal_lists_bugs!$A$2:$Z$73,26,FALSE())),"please select a BUG ID")</f>
        <v>please select a BUG ID</v>
      </c>
      <c r="C236" s="51" t="str">
        <f>IFERROR(__xludf.DUMMYFUNCTION("IFERROR(IF(REGEXMATCH(VLOOKUP(A236,Internal_lists_bugs!$A$2:$R$73,18,FALSE()), ""Yes""), VLOOKUP(A236,Internal_lists_bugs!$A$2:$U$73,21,FALSE()), VLOOKUP(A236,Internal_lists_bugs!$A$2:$R$73,18,FALSE())),""please select a BUG ID"")"),"please select a BUG ID")</f>
        <v>please select a BUG ID</v>
      </c>
      <c r="D236" s="43"/>
      <c r="F236" s="62"/>
      <c r="G236" s="63"/>
      <c r="H236" s="43"/>
      <c r="J236" s="62"/>
      <c r="K236" s="63"/>
    </row>
    <row r="237">
      <c r="A237" s="71"/>
      <c r="B237" s="59" t="str">
        <f>IFERROR(HYPERLINK(VLOOKUP(A237,Internal_lists_bugs!$A$2:$C$73,3,FALSE()), VLOOKUP(A237,Internal_lists_bugs!$A$2:$C$73,3,FALSE())&amp;Char(10) &amp; Char(10) &amp; VLOOKUP(A237,Internal_lists_bugs!$A$2:$Z$73,26,FALSE())),"please select a BUG ID")</f>
        <v>please select a BUG ID</v>
      </c>
      <c r="C237" s="51" t="str">
        <f>IFERROR(__xludf.DUMMYFUNCTION("IFERROR(IF(REGEXMATCH(VLOOKUP(A237,Internal_lists_bugs!$A$2:$R$73,18,FALSE()), ""Yes""), VLOOKUP(A237,Internal_lists_bugs!$A$2:$U$73,21,FALSE()), VLOOKUP(A237,Internal_lists_bugs!$A$2:$R$73,18,FALSE())),""please select a BUG ID"")"),"please select a BUG ID")</f>
        <v>please select a BUG ID</v>
      </c>
      <c r="D237" s="43"/>
      <c r="F237" s="62"/>
      <c r="G237" s="63"/>
      <c r="H237" s="43"/>
      <c r="J237" s="62"/>
      <c r="K237" s="63"/>
    </row>
    <row r="238">
      <c r="A238" s="71"/>
      <c r="B238" s="59" t="str">
        <f>IFERROR(HYPERLINK(VLOOKUP(A238,Internal_lists_bugs!$A$2:$C$73,3,FALSE()), VLOOKUP(A238,Internal_lists_bugs!$A$2:$C$73,3,FALSE())&amp;Char(10) &amp; Char(10) &amp; VLOOKUP(A238,Internal_lists_bugs!$A$2:$Z$73,26,FALSE())),"please select a BUG ID")</f>
        <v>please select a BUG ID</v>
      </c>
      <c r="C238" s="51" t="str">
        <f>IFERROR(__xludf.DUMMYFUNCTION("IFERROR(IF(REGEXMATCH(VLOOKUP(A238,Internal_lists_bugs!$A$2:$R$73,18,FALSE()), ""Yes""), VLOOKUP(A238,Internal_lists_bugs!$A$2:$U$73,21,FALSE()), VLOOKUP(A238,Internal_lists_bugs!$A$2:$R$73,18,FALSE())),""please select a BUG ID"")"),"please select a BUG ID")</f>
        <v>please select a BUG ID</v>
      </c>
      <c r="D238" s="43"/>
      <c r="F238" s="62"/>
      <c r="G238" s="63"/>
      <c r="H238" s="43"/>
      <c r="J238" s="62"/>
      <c r="K238" s="63"/>
    </row>
    <row r="239">
      <c r="A239" s="71"/>
      <c r="B239" s="59" t="str">
        <f>IFERROR(HYPERLINK(VLOOKUP(A239,Internal_lists_bugs!$A$2:$C$73,3,FALSE()), VLOOKUP(A239,Internal_lists_bugs!$A$2:$C$73,3,FALSE())&amp;Char(10) &amp; Char(10) &amp; VLOOKUP(A239,Internal_lists_bugs!$A$2:$Z$73,26,FALSE())),"please select a BUG ID")</f>
        <v>please select a BUG ID</v>
      </c>
      <c r="C239" s="51" t="str">
        <f>IFERROR(__xludf.DUMMYFUNCTION("IFERROR(IF(REGEXMATCH(VLOOKUP(A239,Internal_lists_bugs!$A$2:$R$73,18,FALSE()), ""Yes""), VLOOKUP(A239,Internal_lists_bugs!$A$2:$U$73,21,FALSE()), VLOOKUP(A239,Internal_lists_bugs!$A$2:$R$73,18,FALSE())),""please select a BUG ID"")"),"please select a BUG ID")</f>
        <v>please select a BUG ID</v>
      </c>
      <c r="D239" s="43"/>
      <c r="F239" s="62"/>
      <c r="G239" s="63"/>
      <c r="H239" s="43"/>
      <c r="J239" s="62"/>
      <c r="K239" s="63"/>
    </row>
    <row r="240">
      <c r="A240" s="71"/>
      <c r="B240" s="59" t="str">
        <f>IFERROR(HYPERLINK(VLOOKUP(A240,Internal_lists_bugs!$A$2:$C$73,3,FALSE()), VLOOKUP(A240,Internal_lists_bugs!$A$2:$C$73,3,FALSE())&amp;Char(10) &amp; Char(10) &amp; VLOOKUP(A240,Internal_lists_bugs!$A$2:$Z$73,26,FALSE())),"please select a BUG ID")</f>
        <v>please select a BUG ID</v>
      </c>
      <c r="C240" s="51" t="str">
        <f>IFERROR(__xludf.DUMMYFUNCTION("IFERROR(IF(REGEXMATCH(VLOOKUP(A240,Internal_lists_bugs!$A$2:$R$73,18,FALSE()), ""Yes""), VLOOKUP(A240,Internal_lists_bugs!$A$2:$U$73,21,FALSE()), VLOOKUP(A240,Internal_lists_bugs!$A$2:$R$73,18,FALSE())),""please select a BUG ID"")"),"please select a BUG ID")</f>
        <v>please select a BUG ID</v>
      </c>
      <c r="D240" s="43"/>
      <c r="F240" s="62"/>
      <c r="G240" s="63"/>
      <c r="H240" s="43"/>
      <c r="J240" s="62"/>
      <c r="K240" s="63"/>
    </row>
    <row r="241">
      <c r="A241" s="71"/>
      <c r="B241" s="59" t="str">
        <f>IFERROR(HYPERLINK(VLOOKUP(A241,Internal_lists_bugs!$A$2:$C$73,3,FALSE()), VLOOKUP(A241,Internal_lists_bugs!$A$2:$C$73,3,FALSE())&amp;Char(10) &amp; Char(10) &amp; VLOOKUP(A241,Internal_lists_bugs!$A$2:$Z$73,26,FALSE())),"please select a BUG ID")</f>
        <v>please select a BUG ID</v>
      </c>
      <c r="C241" s="51" t="str">
        <f>IFERROR(__xludf.DUMMYFUNCTION("IFERROR(IF(REGEXMATCH(VLOOKUP(A241,Internal_lists_bugs!$A$2:$R$73,18,FALSE()), ""Yes""), VLOOKUP(A241,Internal_lists_bugs!$A$2:$U$73,21,FALSE()), VLOOKUP(A241,Internal_lists_bugs!$A$2:$R$73,18,FALSE())),""please select a BUG ID"")"),"please select a BUG ID")</f>
        <v>please select a BUG ID</v>
      </c>
      <c r="D241" s="43"/>
      <c r="F241" s="62"/>
      <c r="G241" s="63"/>
      <c r="H241" s="43"/>
      <c r="J241" s="62"/>
      <c r="K241" s="63"/>
    </row>
    <row r="242">
      <c r="A242" s="71"/>
      <c r="B242" s="59" t="str">
        <f>IFERROR(HYPERLINK(VLOOKUP(A242,Internal_lists_bugs!$A$2:$C$73,3,FALSE()), VLOOKUP(A242,Internal_lists_bugs!$A$2:$C$73,3,FALSE())&amp;Char(10) &amp; Char(10) &amp; VLOOKUP(A242,Internal_lists_bugs!$A$2:$Z$73,26,FALSE())),"please select a BUG ID")</f>
        <v>please select a BUG ID</v>
      </c>
      <c r="C242" s="51" t="str">
        <f>IFERROR(__xludf.DUMMYFUNCTION("IFERROR(IF(REGEXMATCH(VLOOKUP(A242,Internal_lists_bugs!$A$2:$R$73,18,FALSE()), ""Yes""), VLOOKUP(A242,Internal_lists_bugs!$A$2:$U$73,21,FALSE()), VLOOKUP(A242,Internal_lists_bugs!$A$2:$R$73,18,FALSE())),""please select a BUG ID"")"),"please select a BUG ID")</f>
        <v>please select a BUG ID</v>
      </c>
      <c r="D242" s="43"/>
      <c r="F242" s="62"/>
      <c r="G242" s="63"/>
      <c r="H242" s="43"/>
      <c r="J242" s="62"/>
      <c r="K242" s="63"/>
    </row>
    <row r="243">
      <c r="A243" s="71"/>
      <c r="B243" s="59" t="str">
        <f>IFERROR(HYPERLINK(VLOOKUP(A243,Internal_lists_bugs!$A$2:$C$73,3,FALSE()), VLOOKUP(A243,Internal_lists_bugs!$A$2:$C$73,3,FALSE())&amp;Char(10) &amp; Char(10) &amp; VLOOKUP(A243,Internal_lists_bugs!$A$2:$Z$73,26,FALSE())),"please select a BUG ID")</f>
        <v>please select a BUG ID</v>
      </c>
      <c r="C243" s="51" t="str">
        <f>IFERROR(__xludf.DUMMYFUNCTION("IFERROR(IF(REGEXMATCH(VLOOKUP(A243,Internal_lists_bugs!$A$2:$R$73,18,FALSE()), ""Yes""), VLOOKUP(A243,Internal_lists_bugs!$A$2:$U$73,21,FALSE()), VLOOKUP(A243,Internal_lists_bugs!$A$2:$R$73,18,FALSE())),""please select a BUG ID"")"),"please select a BUG ID")</f>
        <v>please select a BUG ID</v>
      </c>
      <c r="D243" s="43"/>
      <c r="F243" s="62"/>
      <c r="G243" s="63"/>
      <c r="H243" s="43"/>
      <c r="J243" s="62"/>
      <c r="K243" s="63"/>
    </row>
    <row r="244">
      <c r="A244" s="71"/>
      <c r="B244" s="59" t="str">
        <f>IFERROR(HYPERLINK(VLOOKUP(A244,Internal_lists_bugs!$A$2:$C$73,3,FALSE()), VLOOKUP(A244,Internal_lists_bugs!$A$2:$C$73,3,FALSE())&amp;Char(10) &amp; Char(10) &amp; VLOOKUP(A244,Internal_lists_bugs!$A$2:$Z$73,26,FALSE())),"please select a BUG ID")</f>
        <v>please select a BUG ID</v>
      </c>
      <c r="C244" s="51" t="str">
        <f>IFERROR(__xludf.DUMMYFUNCTION("IFERROR(IF(REGEXMATCH(VLOOKUP(A244,Internal_lists_bugs!$A$2:$R$73,18,FALSE()), ""Yes""), VLOOKUP(A244,Internal_lists_bugs!$A$2:$U$73,21,FALSE()), VLOOKUP(A244,Internal_lists_bugs!$A$2:$R$73,18,FALSE())),""please select a BUG ID"")"),"please select a BUG ID")</f>
        <v>please select a BUG ID</v>
      </c>
      <c r="D244" s="43"/>
      <c r="F244" s="62"/>
      <c r="G244" s="63"/>
      <c r="H244" s="43"/>
      <c r="J244" s="62"/>
      <c r="K244" s="63"/>
    </row>
    <row r="245">
      <c r="A245" s="71"/>
      <c r="B245" s="59" t="str">
        <f>IFERROR(HYPERLINK(VLOOKUP(A245,Internal_lists_bugs!$A$2:$C$73,3,FALSE()), VLOOKUP(A245,Internal_lists_bugs!$A$2:$C$73,3,FALSE())&amp;Char(10) &amp; Char(10) &amp; VLOOKUP(A245,Internal_lists_bugs!$A$2:$Z$73,26,FALSE())),"please select a BUG ID")</f>
        <v>please select a BUG ID</v>
      </c>
      <c r="C245" s="51" t="str">
        <f>IFERROR(__xludf.DUMMYFUNCTION("IFERROR(IF(REGEXMATCH(VLOOKUP(A245,Internal_lists_bugs!$A$2:$R$73,18,FALSE()), ""Yes""), VLOOKUP(A245,Internal_lists_bugs!$A$2:$U$73,21,FALSE()), VLOOKUP(A245,Internal_lists_bugs!$A$2:$R$73,18,FALSE())),""please select a BUG ID"")"),"please select a BUG ID")</f>
        <v>please select a BUG ID</v>
      </c>
      <c r="D245" s="43"/>
      <c r="F245" s="62"/>
      <c r="G245" s="63"/>
      <c r="H245" s="43"/>
      <c r="J245" s="62"/>
      <c r="K245" s="63"/>
    </row>
    <row r="246">
      <c r="A246" s="71"/>
      <c r="B246" s="59" t="str">
        <f>IFERROR(HYPERLINK(VLOOKUP(A246,Internal_lists_bugs!$A$2:$C$73,3,FALSE()), VLOOKUP(A246,Internal_lists_bugs!$A$2:$C$73,3,FALSE())&amp;Char(10) &amp; Char(10) &amp; VLOOKUP(A246,Internal_lists_bugs!$A$2:$Z$73,26,FALSE())),"please select a BUG ID")</f>
        <v>please select a BUG ID</v>
      </c>
      <c r="C246" s="51" t="str">
        <f>IFERROR(__xludf.DUMMYFUNCTION("IFERROR(IF(REGEXMATCH(VLOOKUP(A246,Internal_lists_bugs!$A$2:$R$73,18,FALSE()), ""Yes""), VLOOKUP(A246,Internal_lists_bugs!$A$2:$U$73,21,FALSE()), VLOOKUP(A246,Internal_lists_bugs!$A$2:$R$73,18,FALSE())),""please select a BUG ID"")"),"please select a BUG ID")</f>
        <v>please select a BUG ID</v>
      </c>
      <c r="D246" s="43"/>
      <c r="F246" s="62"/>
      <c r="G246" s="63"/>
      <c r="H246" s="43"/>
      <c r="J246" s="62"/>
      <c r="K246" s="63"/>
    </row>
    <row r="247">
      <c r="A247" s="71"/>
      <c r="B247" s="59" t="str">
        <f>IFERROR(HYPERLINK(VLOOKUP(A247,Internal_lists_bugs!$A$2:$C$73,3,FALSE()), VLOOKUP(A247,Internal_lists_bugs!$A$2:$C$73,3,FALSE())&amp;Char(10) &amp; Char(10) &amp; VLOOKUP(A247,Internal_lists_bugs!$A$2:$Z$73,26,FALSE())),"please select a BUG ID")</f>
        <v>please select a BUG ID</v>
      </c>
      <c r="C247" s="51" t="str">
        <f>IFERROR(__xludf.DUMMYFUNCTION("IFERROR(IF(REGEXMATCH(VLOOKUP(A247,Internal_lists_bugs!$A$2:$R$73,18,FALSE()), ""Yes""), VLOOKUP(A247,Internal_lists_bugs!$A$2:$U$73,21,FALSE()), VLOOKUP(A247,Internal_lists_bugs!$A$2:$R$73,18,FALSE())),""please select a BUG ID"")"),"please select a BUG ID")</f>
        <v>please select a BUG ID</v>
      </c>
      <c r="D247" s="43"/>
      <c r="F247" s="62"/>
      <c r="G247" s="63"/>
      <c r="H247" s="43"/>
      <c r="J247" s="62"/>
      <c r="K247" s="63"/>
    </row>
    <row r="248">
      <c r="A248" s="71"/>
      <c r="B248" s="59" t="str">
        <f>IFERROR(HYPERLINK(VLOOKUP(A248,Internal_lists_bugs!$A$2:$C$73,3,FALSE()), VLOOKUP(A248,Internal_lists_bugs!$A$2:$C$73,3,FALSE())&amp;Char(10) &amp; Char(10) &amp; VLOOKUP(A248,Internal_lists_bugs!$A$2:$Z$73,26,FALSE())),"please select a BUG ID")</f>
        <v>please select a BUG ID</v>
      </c>
      <c r="C248" s="51" t="str">
        <f>IFERROR(__xludf.DUMMYFUNCTION("IFERROR(IF(REGEXMATCH(VLOOKUP(A248,Internal_lists_bugs!$A$2:$R$73,18,FALSE()), ""Yes""), VLOOKUP(A248,Internal_lists_bugs!$A$2:$U$73,21,FALSE()), VLOOKUP(A248,Internal_lists_bugs!$A$2:$R$73,18,FALSE())),""please select a BUG ID"")"),"please select a BUG ID")</f>
        <v>please select a BUG ID</v>
      </c>
      <c r="D248" s="43"/>
      <c r="F248" s="62"/>
      <c r="G248" s="63"/>
      <c r="H248" s="43"/>
      <c r="J248" s="62"/>
      <c r="K248" s="63"/>
    </row>
    <row r="249">
      <c r="A249" s="71"/>
      <c r="B249" s="59" t="str">
        <f>IFERROR(HYPERLINK(VLOOKUP(A249,Internal_lists_bugs!$A$2:$C$73,3,FALSE()), VLOOKUP(A249,Internal_lists_bugs!$A$2:$C$73,3,FALSE())&amp;Char(10) &amp; Char(10) &amp; VLOOKUP(A249,Internal_lists_bugs!$A$2:$Z$73,26,FALSE())),"please select a BUG ID")</f>
        <v>please select a BUG ID</v>
      </c>
      <c r="C249" s="51" t="str">
        <f>IFERROR(__xludf.DUMMYFUNCTION("IFERROR(IF(REGEXMATCH(VLOOKUP(A249,Internal_lists_bugs!$A$2:$R$73,18,FALSE()), ""Yes""), VLOOKUP(A249,Internal_lists_bugs!$A$2:$U$73,21,FALSE()), VLOOKUP(A249,Internal_lists_bugs!$A$2:$R$73,18,FALSE())),""please select a BUG ID"")"),"please select a BUG ID")</f>
        <v>please select a BUG ID</v>
      </c>
      <c r="D249" s="43"/>
      <c r="F249" s="60"/>
      <c r="G249" s="63"/>
      <c r="H249" s="43"/>
      <c r="J249" s="60"/>
      <c r="K249" s="63"/>
    </row>
    <row r="250">
      <c r="A250" s="71"/>
      <c r="B250" s="59" t="str">
        <f>IFERROR(HYPERLINK(VLOOKUP(A250,Internal_lists_bugs!$A$2:$C$73,3,FALSE()), VLOOKUP(A250,Internal_lists_bugs!$A$2:$C$73,3,FALSE())&amp;Char(10) &amp; Char(10) &amp; VLOOKUP(A250,Internal_lists_bugs!$A$2:$Z$73,26,FALSE())),"please select a BUG ID")</f>
        <v>please select a BUG ID</v>
      </c>
      <c r="C250" s="51" t="str">
        <f>IFERROR(__xludf.DUMMYFUNCTION("IFERROR(IF(REGEXMATCH(VLOOKUP(A250,Internal_lists_bugs!$A$2:$R$73,18,FALSE()), ""Yes""), VLOOKUP(A250,Internal_lists_bugs!$A$2:$U$73,21,FALSE()), VLOOKUP(A250,Internal_lists_bugs!$A$2:$R$73,18,FALSE())),""please select a BUG ID"")"),"please select a BUG ID")</f>
        <v>please select a BUG ID</v>
      </c>
      <c r="D250" s="43"/>
      <c r="F250" s="62"/>
      <c r="G250" s="63"/>
      <c r="H250" s="43"/>
      <c r="J250" s="62"/>
      <c r="K250" s="63"/>
    </row>
    <row r="251">
      <c r="A251" s="71"/>
      <c r="B251" s="59" t="str">
        <f>IFERROR(HYPERLINK(VLOOKUP(A251,Internal_lists_bugs!$A$2:$C$73,3,FALSE()), VLOOKUP(A251,Internal_lists_bugs!$A$2:$C$73,3,FALSE())&amp;Char(10) &amp; Char(10) &amp; VLOOKUP(A251,Internal_lists_bugs!$A$2:$Z$73,26,FALSE())),"please select a BUG ID")</f>
        <v>please select a BUG ID</v>
      </c>
      <c r="C251" s="51" t="str">
        <f>IFERROR(__xludf.DUMMYFUNCTION("IFERROR(IF(REGEXMATCH(VLOOKUP(A251,Internal_lists_bugs!$A$2:$R$73,18,FALSE()), ""Yes""), VLOOKUP(A251,Internal_lists_bugs!$A$2:$U$73,21,FALSE()), VLOOKUP(A251,Internal_lists_bugs!$A$2:$R$73,18,FALSE())),""please select a BUG ID"")"),"please select a BUG ID")</f>
        <v>please select a BUG ID</v>
      </c>
      <c r="D251" s="43"/>
      <c r="F251" s="62"/>
      <c r="G251" s="63"/>
      <c r="H251" s="43"/>
      <c r="J251" s="62"/>
      <c r="K251" s="63"/>
    </row>
    <row r="252">
      <c r="A252" s="71"/>
      <c r="B252" s="59" t="str">
        <f>IFERROR(HYPERLINK(VLOOKUP(A252,Internal_lists_bugs!$A$2:$C$73,3,FALSE()), VLOOKUP(A252,Internal_lists_bugs!$A$2:$C$73,3,FALSE())&amp;Char(10) &amp; Char(10) &amp; VLOOKUP(A252,Internal_lists_bugs!$A$2:$Z$73,26,FALSE())),"please select a BUG ID")</f>
        <v>please select a BUG ID</v>
      </c>
      <c r="C252" s="51" t="str">
        <f>IFERROR(__xludf.DUMMYFUNCTION("IFERROR(IF(REGEXMATCH(VLOOKUP(A252,Internal_lists_bugs!$A$2:$R$73,18,FALSE()), ""Yes""), VLOOKUP(A252,Internal_lists_bugs!$A$2:$U$73,21,FALSE()), VLOOKUP(A252,Internal_lists_bugs!$A$2:$R$73,18,FALSE())),""please select a BUG ID"")"),"please select a BUG ID")</f>
        <v>please select a BUG ID</v>
      </c>
      <c r="D252" s="43"/>
      <c r="E252" s="74"/>
      <c r="F252" s="62"/>
      <c r="G252" s="63"/>
      <c r="H252" s="43"/>
      <c r="J252" s="62"/>
      <c r="K252" s="63"/>
    </row>
    <row r="253">
      <c r="A253" s="71"/>
      <c r="B253" s="59" t="str">
        <f>IFERROR(HYPERLINK(VLOOKUP(A253,Internal_lists_bugs!$A$2:$C$73,3,FALSE()), VLOOKUP(A253,Internal_lists_bugs!$A$2:$C$73,3,FALSE())&amp;Char(10) &amp; Char(10) &amp; VLOOKUP(A253,Internal_lists_bugs!$A$2:$Z$73,26,FALSE())),"please select a BUG ID")</f>
        <v>please select a BUG ID</v>
      </c>
      <c r="C253" s="51" t="str">
        <f>IFERROR(__xludf.DUMMYFUNCTION("IFERROR(IF(REGEXMATCH(VLOOKUP(A253,Internal_lists_bugs!$A$2:$R$73,18,FALSE()), ""Yes""), VLOOKUP(A253,Internal_lists_bugs!$A$2:$U$73,21,FALSE()), VLOOKUP(A253,Internal_lists_bugs!$A$2:$R$73,18,FALSE())),""please select a BUG ID"")"),"please select a BUG ID")</f>
        <v>please select a BUG ID</v>
      </c>
      <c r="D253" s="43"/>
      <c r="E253" s="74"/>
      <c r="F253" s="62"/>
      <c r="G253" s="63"/>
      <c r="H253" s="43"/>
      <c r="J253" s="62"/>
      <c r="K253" s="63"/>
    </row>
    <row r="254">
      <c r="A254" s="71"/>
      <c r="B254" s="59" t="str">
        <f>IFERROR(HYPERLINK(VLOOKUP(A254,Internal_lists_bugs!$A$2:$C$73,3,FALSE()), VLOOKUP(A254,Internal_lists_bugs!$A$2:$C$73,3,FALSE())&amp;Char(10) &amp; Char(10) &amp; VLOOKUP(A254,Internal_lists_bugs!$A$2:$Z$73,26,FALSE())),"please select a BUG ID")</f>
        <v>please select a BUG ID</v>
      </c>
      <c r="C254" s="51" t="str">
        <f>IFERROR(__xludf.DUMMYFUNCTION("IFERROR(IF(REGEXMATCH(VLOOKUP(A254,Internal_lists_bugs!$A$2:$R$73,18,FALSE()), ""Yes""), VLOOKUP(A254,Internal_lists_bugs!$A$2:$U$73,21,FALSE()), VLOOKUP(A254,Internal_lists_bugs!$A$2:$R$73,18,FALSE())),""please select a BUG ID"")"),"please select a BUG ID")</f>
        <v>please select a BUG ID</v>
      </c>
      <c r="D254" s="43"/>
      <c r="E254" s="74"/>
      <c r="F254" s="62"/>
      <c r="G254" s="63"/>
      <c r="H254" s="43"/>
      <c r="J254" s="62"/>
      <c r="K254" s="63"/>
    </row>
    <row r="255">
      <c r="A255" s="71"/>
      <c r="B255" s="59" t="str">
        <f>IFERROR(HYPERLINK(VLOOKUP(A255,Internal_lists_bugs!$A$2:$C$73,3,FALSE()), VLOOKUP(A255,Internal_lists_bugs!$A$2:$C$73,3,FALSE())&amp;Char(10) &amp; Char(10) &amp; VLOOKUP(A255,Internal_lists_bugs!$A$2:$Z$73,26,FALSE())),"please select a BUG ID")</f>
        <v>please select a BUG ID</v>
      </c>
      <c r="C255" s="51" t="str">
        <f>IFERROR(__xludf.DUMMYFUNCTION("IFERROR(IF(REGEXMATCH(VLOOKUP(A255,Internal_lists_bugs!$A$2:$R$73,18,FALSE()), ""Yes""), VLOOKUP(A255,Internal_lists_bugs!$A$2:$U$73,21,FALSE()), VLOOKUP(A255,Internal_lists_bugs!$A$2:$R$73,18,FALSE())),""please select a BUG ID"")"),"please select a BUG ID")</f>
        <v>please select a BUG ID</v>
      </c>
      <c r="D255" s="43"/>
      <c r="E255" s="74"/>
      <c r="F255" s="62"/>
      <c r="G255" s="63"/>
      <c r="H255" s="43"/>
      <c r="J255" s="62"/>
      <c r="K255" s="63"/>
    </row>
    <row r="256">
      <c r="A256" s="71"/>
      <c r="B256" s="59" t="str">
        <f>IFERROR(HYPERLINK(VLOOKUP(A256,Internal_lists_bugs!$A$2:$C$73,3,FALSE()), VLOOKUP(A256,Internal_lists_bugs!$A$2:$C$73,3,FALSE())&amp;Char(10) &amp; Char(10) &amp; VLOOKUP(A256,Internal_lists_bugs!$A$2:$Z$73,26,FALSE())),"please select a BUG ID")</f>
        <v>please select a BUG ID</v>
      </c>
      <c r="C256" s="51" t="str">
        <f>IFERROR(__xludf.DUMMYFUNCTION("IFERROR(IF(REGEXMATCH(VLOOKUP(A256,Internal_lists_bugs!$A$2:$R$73,18,FALSE()), ""Yes""), VLOOKUP(A256,Internal_lists_bugs!$A$2:$U$73,21,FALSE()), VLOOKUP(A256,Internal_lists_bugs!$A$2:$R$73,18,FALSE())),""please select a BUG ID"")"),"please select a BUG ID")</f>
        <v>please select a BUG ID</v>
      </c>
      <c r="D256" s="43"/>
      <c r="E256" s="74"/>
      <c r="F256" s="62"/>
      <c r="G256" s="63"/>
      <c r="H256" s="43"/>
      <c r="J256" s="62"/>
      <c r="K256" s="63"/>
    </row>
    <row r="257">
      <c r="A257" s="71"/>
      <c r="B257" s="59" t="str">
        <f>IFERROR(HYPERLINK(VLOOKUP(A257,Internal_lists_bugs!$A$2:$C$73,3,FALSE()), VLOOKUP(A257,Internal_lists_bugs!$A$2:$C$73,3,FALSE())&amp;Char(10) &amp; Char(10) &amp; VLOOKUP(A257,Internal_lists_bugs!$A$2:$Z$73,26,FALSE())),"please select a BUG ID")</f>
        <v>please select a BUG ID</v>
      </c>
      <c r="C257" s="51" t="str">
        <f>IFERROR(__xludf.DUMMYFUNCTION("IFERROR(IF(REGEXMATCH(VLOOKUP(A257,Internal_lists_bugs!$A$2:$R$73,18,FALSE()), ""Yes""), VLOOKUP(A257,Internal_lists_bugs!$A$2:$U$73,21,FALSE()), VLOOKUP(A257,Internal_lists_bugs!$A$2:$R$73,18,FALSE())),""please select a BUG ID"")"),"please select a BUG ID")</f>
        <v>please select a BUG ID</v>
      </c>
      <c r="D257" s="43"/>
      <c r="E257" s="74"/>
      <c r="F257" s="62"/>
      <c r="G257" s="63"/>
      <c r="H257" s="43"/>
      <c r="J257" s="62"/>
      <c r="K257" s="63"/>
    </row>
    <row r="258">
      <c r="A258" s="71"/>
      <c r="B258" s="59" t="str">
        <f>IFERROR(HYPERLINK(VLOOKUP(A258,Internal_lists_bugs!$A$2:$C$73,3,FALSE()), VLOOKUP(A258,Internal_lists_bugs!$A$2:$C$73,3,FALSE())&amp;Char(10) &amp; Char(10) &amp; VLOOKUP(A258,Internal_lists_bugs!$A$2:$Z$73,26,FALSE())),"please select a BUG ID")</f>
        <v>please select a BUG ID</v>
      </c>
      <c r="C258" s="51" t="str">
        <f>IFERROR(__xludf.DUMMYFUNCTION("IFERROR(IF(REGEXMATCH(VLOOKUP(A258,Internal_lists_bugs!$A$2:$R$73,18,FALSE()), ""Yes""), VLOOKUP(A258,Internal_lists_bugs!$A$2:$U$73,21,FALSE()), VLOOKUP(A258,Internal_lists_bugs!$A$2:$R$73,18,FALSE())),""please select a BUG ID"")"),"please select a BUG ID")</f>
        <v>please select a BUG ID</v>
      </c>
      <c r="D258" s="43"/>
      <c r="E258" s="74"/>
      <c r="F258" s="62"/>
      <c r="G258" s="63"/>
      <c r="H258" s="43"/>
      <c r="J258" s="62"/>
      <c r="K258" s="63"/>
    </row>
    <row r="259">
      <c r="A259" s="71"/>
      <c r="B259" s="59" t="str">
        <f>IFERROR(HYPERLINK(VLOOKUP(A259,Internal_lists_bugs!$A$2:$C$73,3,FALSE()), VLOOKUP(A259,Internal_lists_bugs!$A$2:$C$73,3,FALSE())&amp;Char(10) &amp; Char(10) &amp; VLOOKUP(A259,Internal_lists_bugs!$A$2:$Z$73,26,FALSE())),"please select a BUG ID")</f>
        <v>please select a BUG ID</v>
      </c>
      <c r="C259" s="51" t="str">
        <f>IFERROR(__xludf.DUMMYFUNCTION("IFERROR(IF(REGEXMATCH(VLOOKUP(A259,Internal_lists_bugs!$A$2:$R$73,18,FALSE()), ""Yes""), VLOOKUP(A259,Internal_lists_bugs!$A$2:$U$73,21,FALSE()), VLOOKUP(A259,Internal_lists_bugs!$A$2:$R$73,18,FALSE())),""please select a BUG ID"")"),"please select a BUG ID")</f>
        <v>please select a BUG ID</v>
      </c>
      <c r="D259" s="43"/>
      <c r="E259" s="74"/>
      <c r="F259" s="62"/>
      <c r="G259" s="63"/>
      <c r="H259" s="43"/>
      <c r="J259" s="62"/>
      <c r="K259" s="63"/>
    </row>
    <row r="260">
      <c r="A260" s="71"/>
      <c r="B260" s="59" t="str">
        <f>IFERROR(HYPERLINK(VLOOKUP(A260,Internal_lists_bugs!$A$2:$C$73,3,FALSE()), VLOOKUP(A260,Internal_lists_bugs!$A$2:$C$73,3,FALSE())&amp;Char(10) &amp; Char(10) &amp; VLOOKUP(A260,Internal_lists_bugs!$A$2:$Z$73,26,FALSE())),"please select a BUG ID")</f>
        <v>please select a BUG ID</v>
      </c>
      <c r="C260" s="51" t="str">
        <f>IFERROR(__xludf.DUMMYFUNCTION("IFERROR(IF(REGEXMATCH(VLOOKUP(A260,Internal_lists_bugs!$A$2:$R$73,18,FALSE()), ""Yes""), VLOOKUP(A260,Internal_lists_bugs!$A$2:$U$73,21,FALSE()), VLOOKUP(A260,Internal_lists_bugs!$A$2:$R$73,18,FALSE())),""please select a BUG ID"")"),"please select a BUG ID")</f>
        <v>please select a BUG ID</v>
      </c>
      <c r="D260" s="43"/>
      <c r="E260" s="74"/>
      <c r="F260" s="62"/>
      <c r="G260" s="63"/>
      <c r="H260" s="43"/>
      <c r="J260" s="62"/>
      <c r="K260" s="63"/>
    </row>
    <row r="261">
      <c r="A261" s="71"/>
      <c r="B261" s="59" t="str">
        <f>IFERROR(HYPERLINK(VLOOKUP(A261,Internal_lists_bugs!$A$2:$C$73,3,FALSE()), VLOOKUP(A261,Internal_lists_bugs!$A$2:$C$73,3,FALSE())&amp;Char(10) &amp; Char(10) &amp; VLOOKUP(A261,Internal_lists_bugs!$A$2:$Z$73,26,FALSE())),"please select a BUG ID")</f>
        <v>please select a BUG ID</v>
      </c>
      <c r="C261" s="51" t="str">
        <f>IFERROR(__xludf.DUMMYFUNCTION("IFERROR(IF(REGEXMATCH(VLOOKUP(A261,Internal_lists_bugs!$A$2:$R$73,18,FALSE()), ""Yes""), VLOOKUP(A261,Internal_lists_bugs!$A$2:$U$73,21,FALSE()), VLOOKUP(A261,Internal_lists_bugs!$A$2:$R$73,18,FALSE())),""please select a BUG ID"")"),"please select a BUG ID")</f>
        <v>please select a BUG ID</v>
      </c>
      <c r="D261" s="43"/>
      <c r="E261" s="74"/>
      <c r="F261" s="62"/>
      <c r="G261" s="63"/>
      <c r="H261" s="43"/>
      <c r="J261" s="62"/>
      <c r="K261" s="63"/>
    </row>
    <row r="262">
      <c r="A262" s="71"/>
      <c r="B262" s="59" t="str">
        <f>IFERROR(HYPERLINK(VLOOKUP(A262,Internal_lists_bugs!$A$2:$C$73,3,FALSE()), VLOOKUP(A262,Internal_lists_bugs!$A$2:$C$73,3,FALSE())&amp;Char(10) &amp; Char(10) &amp; VLOOKUP(A262,Internal_lists_bugs!$A$2:$Z$73,26,FALSE())),"please select a BUG ID")</f>
        <v>please select a BUG ID</v>
      </c>
      <c r="C262" s="51" t="str">
        <f>IFERROR(__xludf.DUMMYFUNCTION("IFERROR(IF(REGEXMATCH(VLOOKUP(A262,Internal_lists_bugs!$A$2:$R$73,18,FALSE()), ""Yes""), VLOOKUP(A262,Internal_lists_bugs!$A$2:$U$73,21,FALSE()), VLOOKUP(A262,Internal_lists_bugs!$A$2:$R$73,18,FALSE())),""please select a BUG ID"")"),"please select a BUG ID")</f>
        <v>please select a BUG ID</v>
      </c>
      <c r="D262" s="43"/>
      <c r="E262" s="74"/>
      <c r="F262" s="62"/>
      <c r="G262" s="63"/>
      <c r="H262" s="43"/>
      <c r="J262" s="62"/>
      <c r="K262" s="63"/>
    </row>
    <row r="263">
      <c r="A263" s="71"/>
      <c r="B263" s="59" t="str">
        <f>IFERROR(HYPERLINK(VLOOKUP(A263,Internal_lists_bugs!$A$2:$C$73,3,FALSE()), VLOOKUP(A263,Internal_lists_bugs!$A$2:$C$73,3,FALSE())&amp;Char(10) &amp; Char(10) &amp; VLOOKUP(A263,Internal_lists_bugs!$A$2:$Z$73,26,FALSE())),"please select a BUG ID")</f>
        <v>please select a BUG ID</v>
      </c>
      <c r="C263" s="51" t="str">
        <f>IFERROR(__xludf.DUMMYFUNCTION("IFERROR(IF(REGEXMATCH(VLOOKUP(A263,Internal_lists_bugs!$A$2:$R$73,18,FALSE()), ""Yes""), VLOOKUP(A263,Internal_lists_bugs!$A$2:$U$73,21,FALSE()), VLOOKUP(A263,Internal_lists_bugs!$A$2:$R$73,18,FALSE())),""please select a BUG ID"")"),"please select a BUG ID")</f>
        <v>please select a BUG ID</v>
      </c>
      <c r="D263" s="43"/>
      <c r="E263" s="74"/>
      <c r="F263" s="62"/>
      <c r="G263" s="63"/>
      <c r="H263" s="43"/>
      <c r="J263" s="62"/>
      <c r="K263" s="63"/>
    </row>
    <row r="264">
      <c r="A264" s="71"/>
      <c r="B264" s="59" t="str">
        <f>IFERROR(HYPERLINK(VLOOKUP(A264,Internal_lists_bugs!$A$2:$C$73,3,FALSE()), VLOOKUP(A264,Internal_lists_bugs!$A$2:$C$73,3,FALSE())&amp;Char(10) &amp; Char(10) &amp; VLOOKUP(A264,Internal_lists_bugs!$A$2:$Z$73,26,FALSE())),"please select a BUG ID")</f>
        <v>please select a BUG ID</v>
      </c>
      <c r="C264" s="51" t="str">
        <f>IFERROR(__xludf.DUMMYFUNCTION("IFERROR(IF(REGEXMATCH(VLOOKUP(A264,Internal_lists_bugs!$A$2:$R$73,18,FALSE()), ""Yes""), VLOOKUP(A264,Internal_lists_bugs!$A$2:$U$73,21,FALSE()), VLOOKUP(A264,Internal_lists_bugs!$A$2:$R$73,18,FALSE())),""please select a BUG ID"")"),"please select a BUG ID")</f>
        <v>please select a BUG ID</v>
      </c>
      <c r="D264" s="43"/>
      <c r="E264" s="74"/>
      <c r="F264" s="62"/>
      <c r="G264" s="63"/>
      <c r="H264" s="43"/>
      <c r="J264" s="62"/>
      <c r="K264" s="63"/>
    </row>
    <row r="265">
      <c r="A265" s="71"/>
      <c r="B265" s="59" t="str">
        <f>IFERROR(HYPERLINK(VLOOKUP(A265,Internal_lists_bugs!$A$2:$C$73,3,FALSE()), VLOOKUP(A265,Internal_lists_bugs!$A$2:$C$73,3,FALSE())&amp;Char(10) &amp; Char(10) &amp; VLOOKUP(A265,Internal_lists_bugs!$A$2:$Z$73,26,FALSE())),"please select a BUG ID")</f>
        <v>please select a BUG ID</v>
      </c>
      <c r="C265" s="51" t="str">
        <f>IFERROR(__xludf.DUMMYFUNCTION("IFERROR(IF(REGEXMATCH(VLOOKUP(A265,Internal_lists_bugs!$A$2:$R$73,18,FALSE()), ""Yes""), VLOOKUP(A265,Internal_lists_bugs!$A$2:$U$73,21,FALSE()), VLOOKUP(A265,Internal_lists_bugs!$A$2:$R$73,18,FALSE())),""please select a BUG ID"")"),"please select a BUG ID")</f>
        <v>please select a BUG ID</v>
      </c>
      <c r="D265" s="43"/>
      <c r="E265" s="74"/>
      <c r="F265" s="62"/>
      <c r="G265" s="63"/>
      <c r="H265" s="43"/>
      <c r="J265" s="62"/>
      <c r="K265" s="63"/>
    </row>
    <row r="266">
      <c r="A266" s="71"/>
      <c r="B266" s="59" t="str">
        <f>IFERROR(HYPERLINK(VLOOKUP(A266,Internal_lists_bugs!$A$2:$C$73,3,FALSE()), VLOOKUP(A266,Internal_lists_bugs!$A$2:$C$73,3,FALSE())&amp;Char(10) &amp; Char(10) &amp; VLOOKUP(A266,Internal_lists_bugs!$A$2:$Z$73,26,FALSE())),"please select a BUG ID")</f>
        <v>please select a BUG ID</v>
      </c>
      <c r="C266" s="51" t="str">
        <f>IFERROR(__xludf.DUMMYFUNCTION("IFERROR(IF(REGEXMATCH(VLOOKUP(A266,Internal_lists_bugs!$A$2:$R$73,18,FALSE()), ""Yes""), VLOOKUP(A266,Internal_lists_bugs!$A$2:$U$73,21,FALSE()), VLOOKUP(A266,Internal_lists_bugs!$A$2:$R$73,18,FALSE())),""please select a BUG ID"")"),"please select a BUG ID")</f>
        <v>please select a BUG ID</v>
      </c>
      <c r="D266" s="43"/>
      <c r="E266" s="74"/>
      <c r="F266" s="62"/>
      <c r="G266" s="63"/>
      <c r="H266" s="43"/>
      <c r="J266" s="62"/>
      <c r="K266" s="63"/>
    </row>
    <row r="267">
      <c r="A267" s="71"/>
      <c r="B267" s="59" t="str">
        <f>IFERROR(HYPERLINK(VLOOKUP(A267,Internal_lists_bugs!$A$2:$C$73,3,FALSE()), VLOOKUP(A267,Internal_lists_bugs!$A$2:$C$73,3,FALSE())&amp;Char(10) &amp; Char(10) &amp; VLOOKUP(A267,Internal_lists_bugs!$A$2:$Z$73,26,FALSE())),"please select a BUG ID")</f>
        <v>please select a BUG ID</v>
      </c>
      <c r="C267" s="51" t="str">
        <f>IFERROR(__xludf.DUMMYFUNCTION("IFERROR(IF(REGEXMATCH(VLOOKUP(A267,Internal_lists_bugs!$A$2:$R$73,18,FALSE()), ""Yes""), VLOOKUP(A267,Internal_lists_bugs!$A$2:$U$73,21,FALSE()), VLOOKUP(A267,Internal_lists_bugs!$A$2:$R$73,18,FALSE())),""please select a BUG ID"")"),"please select a BUG ID")</f>
        <v>please select a BUG ID</v>
      </c>
      <c r="D267" s="43"/>
      <c r="E267" s="74"/>
      <c r="F267" s="62"/>
      <c r="G267" s="63"/>
      <c r="H267" s="43"/>
      <c r="J267" s="62"/>
      <c r="K267" s="63"/>
    </row>
    <row r="268">
      <c r="A268" s="71"/>
      <c r="B268" s="59" t="str">
        <f>IFERROR(HYPERLINK(VLOOKUP(A268,Internal_lists_bugs!$A$2:$C$73,3,FALSE()), VLOOKUP(A268,Internal_lists_bugs!$A$2:$C$73,3,FALSE())&amp;Char(10) &amp; Char(10) &amp; VLOOKUP(A268,Internal_lists_bugs!$A$2:$Z$73,26,FALSE())),"please select a BUG ID")</f>
        <v>please select a BUG ID</v>
      </c>
      <c r="C268" s="51" t="str">
        <f>IFERROR(__xludf.DUMMYFUNCTION("IFERROR(IF(REGEXMATCH(VLOOKUP(A268,Internal_lists_bugs!$A$2:$R$73,18,FALSE()), ""Yes""), VLOOKUP(A268,Internal_lists_bugs!$A$2:$U$73,21,FALSE()), VLOOKUP(A268,Internal_lists_bugs!$A$2:$R$73,18,FALSE())),""please select a BUG ID"")"),"please select a BUG ID")</f>
        <v>please select a BUG ID</v>
      </c>
      <c r="D268" s="43"/>
      <c r="E268" s="74"/>
      <c r="F268" s="62"/>
      <c r="G268" s="63"/>
      <c r="H268" s="43"/>
      <c r="J268" s="62"/>
      <c r="K268" s="63"/>
    </row>
    <row r="269">
      <c r="A269" s="71"/>
      <c r="B269" s="59" t="str">
        <f>IFERROR(HYPERLINK(VLOOKUP(A269,Internal_lists_bugs!$A$2:$C$73,3,FALSE()), VLOOKUP(A269,Internal_lists_bugs!$A$2:$C$73,3,FALSE())&amp;Char(10) &amp; Char(10) &amp; VLOOKUP(A269,Internal_lists_bugs!$A$2:$Z$73,26,FALSE())),"please select a BUG ID")</f>
        <v>please select a BUG ID</v>
      </c>
      <c r="C269" s="51" t="str">
        <f>IFERROR(__xludf.DUMMYFUNCTION("IFERROR(IF(REGEXMATCH(VLOOKUP(A269,Internal_lists_bugs!$A$2:$R$73,18,FALSE()), ""Yes""), VLOOKUP(A269,Internal_lists_bugs!$A$2:$U$73,21,FALSE()), VLOOKUP(A269,Internal_lists_bugs!$A$2:$R$73,18,FALSE())),""please select a BUG ID"")"),"please select a BUG ID")</f>
        <v>please select a BUG ID</v>
      </c>
      <c r="D269" s="43"/>
      <c r="E269" s="74"/>
      <c r="F269" s="62"/>
      <c r="G269" s="63"/>
      <c r="H269" s="43"/>
      <c r="J269" s="62"/>
      <c r="K269" s="63"/>
    </row>
    <row r="270">
      <c r="A270" s="71"/>
      <c r="B270" s="59" t="str">
        <f>IFERROR(HYPERLINK(VLOOKUP(A270,Internal_lists_bugs!$A$2:$C$73,3,FALSE()), VLOOKUP(A270,Internal_lists_bugs!$A$2:$C$73,3,FALSE())&amp;Char(10) &amp; Char(10) &amp; VLOOKUP(A270,Internal_lists_bugs!$A$2:$Z$73,26,FALSE())),"please select a BUG ID")</f>
        <v>please select a BUG ID</v>
      </c>
      <c r="C270" s="51" t="str">
        <f>IFERROR(__xludf.DUMMYFUNCTION("IFERROR(IF(REGEXMATCH(VLOOKUP(A270,Internal_lists_bugs!$A$2:$R$73,18,FALSE()), ""Yes""), VLOOKUP(A270,Internal_lists_bugs!$A$2:$U$73,21,FALSE()), VLOOKUP(A270,Internal_lists_bugs!$A$2:$R$73,18,FALSE())),""please select a BUG ID"")"),"please select a BUG ID")</f>
        <v>please select a BUG ID</v>
      </c>
      <c r="D270" s="43"/>
      <c r="E270" s="74"/>
      <c r="F270" s="62"/>
      <c r="G270" s="63"/>
      <c r="H270" s="43"/>
      <c r="J270" s="62"/>
      <c r="K270" s="63"/>
    </row>
    <row r="271">
      <c r="A271" s="71"/>
      <c r="B271" s="59" t="str">
        <f>IFERROR(HYPERLINK(VLOOKUP(A271,Internal_lists_bugs!$A$2:$C$73,3,FALSE()), VLOOKUP(A271,Internal_lists_bugs!$A$2:$C$73,3,FALSE())&amp;Char(10) &amp; Char(10) &amp; VLOOKUP(A271,Internal_lists_bugs!$A$2:$Z$73,26,FALSE())),"please select a BUG ID")</f>
        <v>please select a BUG ID</v>
      </c>
      <c r="C271" s="51" t="str">
        <f>IFERROR(__xludf.DUMMYFUNCTION("IFERROR(IF(REGEXMATCH(VLOOKUP(A271,Internal_lists_bugs!$A$2:$R$73,18,FALSE()), ""Yes""), VLOOKUP(A271,Internal_lists_bugs!$A$2:$U$73,21,FALSE()), VLOOKUP(A271,Internal_lists_bugs!$A$2:$R$73,18,FALSE())),""please select a BUG ID"")"),"please select a BUG ID")</f>
        <v>please select a BUG ID</v>
      </c>
      <c r="D271" s="43"/>
      <c r="E271" s="74"/>
      <c r="F271" s="62"/>
      <c r="G271" s="63"/>
      <c r="H271" s="43"/>
      <c r="J271" s="62"/>
      <c r="K271" s="63"/>
    </row>
    <row r="272">
      <c r="A272" s="71"/>
      <c r="B272" s="59" t="str">
        <f>IFERROR(HYPERLINK(VLOOKUP(A272,Internal_lists_bugs!$A$2:$C$73,3,FALSE()), VLOOKUP(A272,Internal_lists_bugs!$A$2:$C$73,3,FALSE())&amp;Char(10) &amp; Char(10) &amp; VLOOKUP(A272,Internal_lists_bugs!$A$2:$Z$73,26,FALSE())),"please select a BUG ID")</f>
        <v>please select a BUG ID</v>
      </c>
      <c r="C272" s="51" t="str">
        <f>IFERROR(__xludf.DUMMYFUNCTION("IFERROR(IF(REGEXMATCH(VLOOKUP(A272,Internal_lists_bugs!$A$2:$R$73,18,FALSE()), ""Yes""), VLOOKUP(A272,Internal_lists_bugs!$A$2:$U$73,21,FALSE()), VLOOKUP(A272,Internal_lists_bugs!$A$2:$R$73,18,FALSE())),""please select a BUG ID"")"),"please select a BUG ID")</f>
        <v>please select a BUG ID</v>
      </c>
      <c r="D272" s="43"/>
      <c r="E272" s="74"/>
      <c r="F272" s="62"/>
      <c r="G272" s="63"/>
      <c r="H272" s="43"/>
      <c r="J272" s="62"/>
      <c r="K272" s="63"/>
    </row>
    <row r="273">
      <c r="A273" s="71"/>
      <c r="B273" s="59" t="str">
        <f>IFERROR(HYPERLINK(VLOOKUP(A273,Internal_lists_bugs!$A$2:$C$73,3,FALSE()), VLOOKUP(A273,Internal_lists_bugs!$A$2:$C$73,3,FALSE())&amp;Char(10) &amp; Char(10) &amp; VLOOKUP(A273,Internal_lists_bugs!$A$2:$Z$73,26,FALSE())),"please select a BUG ID")</f>
        <v>please select a BUG ID</v>
      </c>
      <c r="C273" s="51" t="str">
        <f>IFERROR(__xludf.DUMMYFUNCTION("IFERROR(IF(REGEXMATCH(VLOOKUP(A273,Internal_lists_bugs!$A$2:$R$73,18,FALSE()), ""Yes""), VLOOKUP(A273,Internal_lists_bugs!$A$2:$U$73,21,FALSE()), VLOOKUP(A273,Internal_lists_bugs!$A$2:$R$73,18,FALSE())),""please select a BUG ID"")"),"please select a BUG ID")</f>
        <v>please select a BUG ID</v>
      </c>
      <c r="D273" s="43"/>
      <c r="E273" s="74"/>
      <c r="F273" s="62"/>
      <c r="G273" s="63"/>
      <c r="H273" s="43"/>
      <c r="J273" s="62"/>
      <c r="K273" s="63"/>
    </row>
    <row r="274">
      <c r="A274" s="71"/>
      <c r="B274" s="59" t="str">
        <f>IFERROR(HYPERLINK(VLOOKUP(A274,Internal_lists_bugs!$A$2:$C$73,3,FALSE()), VLOOKUP(A274,Internal_lists_bugs!$A$2:$C$73,3,FALSE())&amp;Char(10) &amp; Char(10) &amp; VLOOKUP(A274,Internal_lists_bugs!$A$2:$Z$73,26,FALSE())),"please select a BUG ID")</f>
        <v>please select a BUG ID</v>
      </c>
      <c r="C274" s="51" t="str">
        <f>IFERROR(__xludf.DUMMYFUNCTION("IFERROR(IF(REGEXMATCH(VLOOKUP(A274,Internal_lists_bugs!$A$2:$R$73,18,FALSE()), ""Yes""), VLOOKUP(A274,Internal_lists_bugs!$A$2:$U$73,21,FALSE()), VLOOKUP(A274,Internal_lists_bugs!$A$2:$R$73,18,FALSE())),""please select a BUG ID"")"),"please select a BUG ID")</f>
        <v>please select a BUG ID</v>
      </c>
      <c r="D274" s="43"/>
      <c r="E274" s="74"/>
      <c r="F274" s="62"/>
      <c r="G274" s="63"/>
      <c r="H274" s="43"/>
      <c r="J274" s="62"/>
      <c r="K274" s="63"/>
    </row>
    <row r="275">
      <c r="A275" s="71"/>
      <c r="B275" s="59" t="str">
        <f>IFERROR(HYPERLINK(VLOOKUP(A275,Internal_lists_bugs!$A$2:$C$73,3,FALSE()), VLOOKUP(A275,Internal_lists_bugs!$A$2:$C$73,3,FALSE())&amp;Char(10) &amp; Char(10) &amp; VLOOKUP(A275,Internal_lists_bugs!$A$2:$Z$73,26,FALSE())),"please select a BUG ID")</f>
        <v>please select a BUG ID</v>
      </c>
      <c r="C275" s="51" t="str">
        <f>IFERROR(__xludf.DUMMYFUNCTION("IFERROR(IF(REGEXMATCH(VLOOKUP(A275,Internal_lists_bugs!$A$2:$R$73,18,FALSE()), ""Yes""), VLOOKUP(A275,Internal_lists_bugs!$A$2:$U$73,21,FALSE()), VLOOKUP(A275,Internal_lists_bugs!$A$2:$R$73,18,FALSE())),""please select a BUG ID"")"),"please select a BUG ID")</f>
        <v>please select a BUG ID</v>
      </c>
      <c r="D275" s="43"/>
      <c r="E275" s="74"/>
      <c r="F275" s="62"/>
      <c r="G275" s="63"/>
      <c r="H275" s="43"/>
      <c r="J275" s="62"/>
      <c r="K275" s="63"/>
    </row>
    <row r="276">
      <c r="A276" s="71"/>
      <c r="B276" s="59" t="str">
        <f>IFERROR(HYPERLINK(VLOOKUP(A276,Internal_lists_bugs!$A$2:$C$73,3,FALSE()), VLOOKUP(A276,Internal_lists_bugs!$A$2:$C$73,3,FALSE())&amp;Char(10) &amp; Char(10) &amp; VLOOKUP(A276,Internal_lists_bugs!$A$2:$Z$73,26,FALSE())),"please select a BUG ID")</f>
        <v>please select a BUG ID</v>
      </c>
      <c r="C276" s="51" t="str">
        <f>IFERROR(__xludf.DUMMYFUNCTION("IFERROR(IF(REGEXMATCH(VLOOKUP(A276,Internal_lists_bugs!$A$2:$R$73,18,FALSE()), ""Yes""), VLOOKUP(A276,Internal_lists_bugs!$A$2:$U$73,21,FALSE()), VLOOKUP(A276,Internal_lists_bugs!$A$2:$R$73,18,FALSE())),""please select a BUG ID"")"),"please select a BUG ID")</f>
        <v>please select a BUG ID</v>
      </c>
      <c r="D276" s="43"/>
      <c r="E276" s="74"/>
      <c r="F276" s="62"/>
      <c r="G276" s="63"/>
      <c r="H276" s="43"/>
      <c r="J276" s="62"/>
      <c r="K276" s="63"/>
    </row>
    <row r="277">
      <c r="A277" s="71"/>
      <c r="B277" s="59" t="str">
        <f>IFERROR(HYPERLINK(VLOOKUP(A277,Internal_lists_bugs!$A$2:$C$73,3,FALSE()), VLOOKUP(A277,Internal_lists_bugs!$A$2:$C$73,3,FALSE())&amp;Char(10) &amp; Char(10) &amp; VLOOKUP(A277,Internal_lists_bugs!$A$2:$Z$73,26,FALSE())),"please select a BUG ID")</f>
        <v>please select a BUG ID</v>
      </c>
      <c r="C277" s="51" t="str">
        <f>IFERROR(__xludf.DUMMYFUNCTION("IFERROR(IF(REGEXMATCH(VLOOKUP(A277,Internal_lists_bugs!$A$2:$R$73,18,FALSE()), ""Yes""), VLOOKUP(A277,Internal_lists_bugs!$A$2:$U$73,21,FALSE()), VLOOKUP(A277,Internal_lists_bugs!$A$2:$R$73,18,FALSE())),""please select a BUG ID"")"),"please select a BUG ID")</f>
        <v>please select a BUG ID</v>
      </c>
      <c r="D277" s="43"/>
      <c r="E277" s="74"/>
      <c r="F277" s="62"/>
      <c r="G277" s="63"/>
      <c r="H277" s="43"/>
      <c r="J277" s="62"/>
      <c r="K277" s="63"/>
    </row>
    <row r="278">
      <c r="A278" s="71"/>
      <c r="B278" s="59" t="str">
        <f>IFERROR(HYPERLINK(VLOOKUP(A278,Internal_lists_bugs!$A$2:$C$73,3,FALSE()), VLOOKUP(A278,Internal_lists_bugs!$A$2:$C$73,3,FALSE())&amp;Char(10) &amp; Char(10) &amp; VLOOKUP(A278,Internal_lists_bugs!$A$2:$Z$73,26,FALSE())),"please select a BUG ID")</f>
        <v>please select a BUG ID</v>
      </c>
      <c r="C278" s="51" t="str">
        <f>IFERROR(__xludf.DUMMYFUNCTION("IFERROR(IF(REGEXMATCH(VLOOKUP(A278,Internal_lists_bugs!$A$2:$R$73,18,FALSE()), ""Yes""), VLOOKUP(A278,Internal_lists_bugs!$A$2:$U$73,21,FALSE()), VLOOKUP(A278,Internal_lists_bugs!$A$2:$R$73,18,FALSE())),""please select a BUG ID"")"),"please select a BUG ID")</f>
        <v>please select a BUG ID</v>
      </c>
      <c r="D278" s="43"/>
      <c r="E278" s="74"/>
      <c r="F278" s="62"/>
      <c r="G278" s="63"/>
      <c r="H278" s="43"/>
      <c r="J278" s="62"/>
      <c r="K278" s="63"/>
    </row>
    <row r="279">
      <c r="A279" s="71"/>
      <c r="B279" s="59" t="str">
        <f>IFERROR(HYPERLINK(VLOOKUP(A279,Internal_lists_bugs!$A$2:$C$73,3,FALSE()), VLOOKUP(A279,Internal_lists_bugs!$A$2:$C$73,3,FALSE())&amp;Char(10) &amp; Char(10) &amp; VLOOKUP(A279,Internal_lists_bugs!$A$2:$Z$73,26,FALSE())),"please select a BUG ID")</f>
        <v>please select a BUG ID</v>
      </c>
      <c r="C279" s="51" t="str">
        <f>IFERROR(__xludf.DUMMYFUNCTION("IFERROR(IF(REGEXMATCH(VLOOKUP(A279,Internal_lists_bugs!$A$2:$R$73,18,FALSE()), ""Yes""), VLOOKUP(A279,Internal_lists_bugs!$A$2:$U$73,21,FALSE()), VLOOKUP(A279,Internal_lists_bugs!$A$2:$R$73,18,FALSE())),""please select a BUG ID"")"),"please select a BUG ID")</f>
        <v>please select a BUG ID</v>
      </c>
      <c r="D279" s="43"/>
      <c r="E279" s="74"/>
      <c r="F279" s="62"/>
      <c r="G279" s="63"/>
      <c r="H279" s="43"/>
      <c r="J279" s="62"/>
      <c r="K279" s="63"/>
    </row>
    <row r="280">
      <c r="A280" s="71"/>
      <c r="B280" s="59" t="str">
        <f>IFERROR(HYPERLINK(VLOOKUP(A280,Internal_lists_bugs!$A$2:$C$73,3,FALSE()), VLOOKUP(A280,Internal_lists_bugs!$A$2:$C$73,3,FALSE())&amp;Char(10) &amp; Char(10) &amp; VLOOKUP(A280,Internal_lists_bugs!$A$2:$Z$73,26,FALSE())),"please select a BUG ID")</f>
        <v>please select a BUG ID</v>
      </c>
      <c r="C280" s="51" t="str">
        <f>IFERROR(__xludf.DUMMYFUNCTION("IFERROR(IF(REGEXMATCH(VLOOKUP(A280,Internal_lists_bugs!$A$2:$R$73,18,FALSE()), ""Yes""), VLOOKUP(A280,Internal_lists_bugs!$A$2:$U$73,21,FALSE()), VLOOKUP(A280,Internal_lists_bugs!$A$2:$R$73,18,FALSE())),""please select a BUG ID"")"),"please select a BUG ID")</f>
        <v>please select a BUG ID</v>
      </c>
      <c r="D280" s="43"/>
      <c r="E280" s="74"/>
      <c r="F280" s="62"/>
      <c r="G280" s="63"/>
      <c r="H280" s="43"/>
      <c r="J280" s="62"/>
      <c r="K280" s="63"/>
    </row>
    <row r="281">
      <c r="A281" s="71"/>
      <c r="B281" s="59" t="str">
        <f>IFERROR(HYPERLINK(VLOOKUP(A281,Internal_lists_bugs!$A$2:$C$73,3,FALSE()), VLOOKUP(A281,Internal_lists_bugs!$A$2:$C$73,3,FALSE())&amp;Char(10) &amp; Char(10) &amp; VLOOKUP(A281,Internal_lists_bugs!$A$2:$Z$73,26,FALSE())),"please select a BUG ID")</f>
        <v>please select a BUG ID</v>
      </c>
      <c r="C281" s="51" t="str">
        <f>IFERROR(__xludf.DUMMYFUNCTION("IFERROR(IF(REGEXMATCH(VLOOKUP(A281,Internal_lists_bugs!$A$2:$R$73,18,FALSE()), ""Yes""), VLOOKUP(A281,Internal_lists_bugs!$A$2:$U$73,21,FALSE()), VLOOKUP(A281,Internal_lists_bugs!$A$2:$R$73,18,FALSE())),""please select a BUG ID"")"),"please select a BUG ID")</f>
        <v>please select a BUG ID</v>
      </c>
      <c r="D281" s="43"/>
      <c r="E281" s="74"/>
      <c r="F281" s="62"/>
      <c r="G281" s="63"/>
      <c r="H281" s="43"/>
      <c r="J281" s="62"/>
      <c r="K281" s="63"/>
    </row>
    <row r="282">
      <c r="A282" s="71"/>
      <c r="B282" s="59" t="str">
        <f>IFERROR(HYPERLINK(VLOOKUP(A282,Internal_lists_bugs!$A$2:$C$73,3,FALSE()), VLOOKUP(A282,Internal_lists_bugs!$A$2:$C$73,3,FALSE())&amp;Char(10) &amp; Char(10) &amp; VLOOKUP(A282,Internal_lists_bugs!$A$2:$Z$73,26,FALSE())),"please select a BUG ID")</f>
        <v>please select a BUG ID</v>
      </c>
      <c r="C282" s="51" t="str">
        <f>IFERROR(__xludf.DUMMYFUNCTION("IFERROR(IF(REGEXMATCH(VLOOKUP(A282,Internal_lists_bugs!$A$2:$R$73,18,FALSE()), ""Yes""), VLOOKUP(A282,Internal_lists_bugs!$A$2:$U$73,21,FALSE()), VLOOKUP(A282,Internal_lists_bugs!$A$2:$R$73,18,FALSE())),""please select a BUG ID"")"),"please select a BUG ID")</f>
        <v>please select a BUG ID</v>
      </c>
      <c r="D282" s="43"/>
      <c r="E282" s="74"/>
      <c r="F282" s="62"/>
      <c r="G282" s="63"/>
      <c r="H282" s="43"/>
      <c r="J282" s="62"/>
      <c r="K282" s="63"/>
    </row>
    <row r="283">
      <c r="A283" s="71"/>
      <c r="B283" s="59" t="str">
        <f>IFERROR(HYPERLINK(VLOOKUP(A283,Internal_lists_bugs!$A$2:$C$73,3,FALSE()), VLOOKUP(A283,Internal_lists_bugs!$A$2:$C$73,3,FALSE())&amp;Char(10) &amp; Char(10) &amp; VLOOKUP(A283,Internal_lists_bugs!$A$2:$Z$73,26,FALSE())),"please select a BUG ID")</f>
        <v>please select a BUG ID</v>
      </c>
      <c r="C283" s="51" t="str">
        <f>IFERROR(__xludf.DUMMYFUNCTION("IFERROR(IF(REGEXMATCH(VLOOKUP(A283,Internal_lists_bugs!$A$2:$R$73,18,FALSE()), ""Yes""), VLOOKUP(A283,Internal_lists_bugs!$A$2:$U$73,21,FALSE()), VLOOKUP(A283,Internal_lists_bugs!$A$2:$R$73,18,FALSE())),""please select a BUG ID"")"),"please select a BUG ID")</f>
        <v>please select a BUG ID</v>
      </c>
      <c r="D283" s="43"/>
      <c r="E283" s="74"/>
      <c r="F283" s="62"/>
      <c r="G283" s="63"/>
      <c r="H283" s="43"/>
      <c r="J283" s="62"/>
      <c r="K283" s="63"/>
    </row>
    <row r="284">
      <c r="A284" s="71"/>
      <c r="B284" s="59" t="str">
        <f>IFERROR(HYPERLINK(VLOOKUP(A284,Internal_lists_bugs!$A$2:$C$73,3,FALSE()), VLOOKUP(A284,Internal_lists_bugs!$A$2:$C$73,3,FALSE())&amp;Char(10) &amp; Char(10) &amp; VLOOKUP(A284,Internal_lists_bugs!$A$2:$Z$73,26,FALSE())),"please select a BUG ID")</f>
        <v>please select a BUG ID</v>
      </c>
      <c r="C284" s="51" t="str">
        <f>IFERROR(__xludf.DUMMYFUNCTION("IFERROR(IF(REGEXMATCH(VLOOKUP(A284,Internal_lists_bugs!$A$2:$R$73,18,FALSE()), ""Yes""), VLOOKUP(A284,Internal_lists_bugs!$A$2:$U$73,21,FALSE()), VLOOKUP(A284,Internal_lists_bugs!$A$2:$R$73,18,FALSE())),""please select a BUG ID"")"),"please select a BUG ID")</f>
        <v>please select a BUG ID</v>
      </c>
      <c r="D284" s="43"/>
      <c r="E284" s="74"/>
      <c r="F284" s="62"/>
      <c r="G284" s="63"/>
      <c r="H284" s="43"/>
      <c r="J284" s="62"/>
      <c r="K284" s="63"/>
    </row>
    <row r="285">
      <c r="A285" s="71"/>
      <c r="B285" s="59" t="str">
        <f>IFERROR(HYPERLINK(VLOOKUP(A285,Internal_lists_bugs!$A$2:$C$73,3,FALSE()), VLOOKUP(A285,Internal_lists_bugs!$A$2:$C$73,3,FALSE())&amp;Char(10) &amp; Char(10) &amp; VLOOKUP(A285,Internal_lists_bugs!$A$2:$Z$73,26,FALSE())),"please select a BUG ID")</f>
        <v>please select a BUG ID</v>
      </c>
      <c r="C285" s="51" t="str">
        <f>IFERROR(__xludf.DUMMYFUNCTION("IFERROR(IF(REGEXMATCH(VLOOKUP(A285,Internal_lists_bugs!$A$2:$R$73,18,FALSE()), ""Yes""), VLOOKUP(A285,Internal_lists_bugs!$A$2:$U$73,21,FALSE()), VLOOKUP(A285,Internal_lists_bugs!$A$2:$R$73,18,FALSE())),""please select a BUG ID"")"),"please select a BUG ID")</f>
        <v>please select a BUG ID</v>
      </c>
      <c r="D285" s="43"/>
      <c r="E285" s="74"/>
      <c r="F285" s="62"/>
      <c r="G285" s="63"/>
      <c r="H285" s="43"/>
      <c r="J285" s="62"/>
      <c r="K285" s="63"/>
    </row>
    <row r="286">
      <c r="A286" s="71"/>
      <c r="B286" s="59" t="str">
        <f>IFERROR(HYPERLINK(VLOOKUP(A286,Internal_lists_bugs!$A$2:$C$73,3,FALSE()), VLOOKUP(A286,Internal_lists_bugs!$A$2:$C$73,3,FALSE())&amp;Char(10) &amp; Char(10) &amp; VLOOKUP(A286,Internal_lists_bugs!$A$2:$Z$73,26,FALSE())),"please select a BUG ID")</f>
        <v>please select a BUG ID</v>
      </c>
      <c r="C286" s="51" t="str">
        <f>IFERROR(__xludf.DUMMYFUNCTION("IFERROR(IF(REGEXMATCH(VLOOKUP(A286,Internal_lists_bugs!$A$2:$R$73,18,FALSE()), ""Yes""), VLOOKUP(A286,Internal_lists_bugs!$A$2:$U$73,21,FALSE()), VLOOKUP(A286,Internal_lists_bugs!$A$2:$R$73,18,FALSE())),""please select a BUG ID"")"),"please select a BUG ID")</f>
        <v>please select a BUG ID</v>
      </c>
      <c r="D286" s="43"/>
      <c r="E286" s="74"/>
      <c r="F286" s="62"/>
      <c r="G286" s="63"/>
      <c r="H286" s="43"/>
      <c r="J286" s="62"/>
      <c r="K286" s="63"/>
    </row>
    <row r="287">
      <c r="A287" s="71"/>
      <c r="B287" s="59" t="str">
        <f>IFERROR(HYPERLINK(VLOOKUP(A287,Internal_lists_bugs!$A$2:$C$73,3,FALSE()), VLOOKUP(A287,Internal_lists_bugs!$A$2:$C$73,3,FALSE())&amp;Char(10) &amp; Char(10) &amp; VLOOKUP(A287,Internal_lists_bugs!$A$2:$Z$73,26,FALSE())),"please select a BUG ID")</f>
        <v>please select a BUG ID</v>
      </c>
      <c r="C287" s="51" t="str">
        <f>IFERROR(__xludf.DUMMYFUNCTION("IFERROR(IF(REGEXMATCH(VLOOKUP(A287,Internal_lists_bugs!$A$2:$R$73,18,FALSE()), ""Yes""), VLOOKUP(A287,Internal_lists_bugs!$A$2:$U$73,21,FALSE()), VLOOKUP(A287,Internal_lists_bugs!$A$2:$R$73,18,FALSE())),""please select a BUG ID"")"),"please select a BUG ID")</f>
        <v>please select a BUG ID</v>
      </c>
      <c r="D287" s="43"/>
      <c r="E287" s="74"/>
      <c r="F287" s="62"/>
      <c r="G287" s="63"/>
      <c r="H287" s="43"/>
      <c r="J287" s="62"/>
      <c r="K287" s="63"/>
    </row>
    <row r="288">
      <c r="A288" s="71"/>
      <c r="B288" s="59" t="str">
        <f>IFERROR(HYPERLINK(VLOOKUP(A288,Internal_lists_bugs!$A$2:$C$73,3,FALSE()), VLOOKUP(A288,Internal_lists_bugs!$A$2:$C$73,3,FALSE())&amp;Char(10) &amp; Char(10) &amp; VLOOKUP(A288,Internal_lists_bugs!$A$2:$Z$73,26,FALSE())),"please select a BUG ID")</f>
        <v>please select a BUG ID</v>
      </c>
      <c r="C288" s="51" t="str">
        <f>IFERROR(__xludf.DUMMYFUNCTION("IFERROR(IF(REGEXMATCH(VLOOKUP(A288,Internal_lists_bugs!$A$2:$R$73,18,FALSE()), ""Yes""), VLOOKUP(A288,Internal_lists_bugs!$A$2:$U$73,21,FALSE()), VLOOKUP(A288,Internal_lists_bugs!$A$2:$R$73,18,FALSE())),""please select a BUG ID"")"),"please select a BUG ID")</f>
        <v>please select a BUG ID</v>
      </c>
      <c r="D288" s="43"/>
      <c r="E288" s="74"/>
      <c r="F288" s="62"/>
      <c r="G288" s="63"/>
      <c r="H288" s="43"/>
      <c r="J288" s="62"/>
      <c r="K288" s="63"/>
    </row>
    <row r="289">
      <c r="A289" s="71"/>
      <c r="B289" s="59" t="str">
        <f>IFERROR(HYPERLINK(VLOOKUP(A289,Internal_lists_bugs!$A$2:$C$73,3,FALSE()), VLOOKUP(A289,Internal_lists_bugs!$A$2:$C$73,3,FALSE())&amp;Char(10) &amp; Char(10) &amp; VLOOKUP(A289,Internal_lists_bugs!$A$2:$Z$73,26,FALSE())),"please select a BUG ID")</f>
        <v>please select a BUG ID</v>
      </c>
      <c r="C289" s="51" t="str">
        <f>IFERROR(__xludf.DUMMYFUNCTION("IFERROR(IF(REGEXMATCH(VLOOKUP(A289,Internal_lists_bugs!$A$2:$R$73,18,FALSE()), ""Yes""), VLOOKUP(A289,Internal_lists_bugs!$A$2:$U$73,21,FALSE()), VLOOKUP(A289,Internal_lists_bugs!$A$2:$R$73,18,FALSE())),""please select a BUG ID"")"),"please select a BUG ID")</f>
        <v>please select a BUG ID</v>
      </c>
      <c r="D289" s="43"/>
      <c r="E289" s="74"/>
      <c r="F289" s="62"/>
      <c r="G289" s="63"/>
      <c r="H289" s="43"/>
      <c r="J289" s="62"/>
      <c r="K289" s="63"/>
    </row>
    <row r="290">
      <c r="A290" s="71"/>
      <c r="B290" s="59" t="str">
        <f>IFERROR(HYPERLINK(VLOOKUP(A290,Internal_lists_bugs!$A$2:$C$73,3,FALSE()), VLOOKUP(A290,Internal_lists_bugs!$A$2:$C$73,3,FALSE())&amp;Char(10) &amp; Char(10) &amp; VLOOKUP(A290,Internal_lists_bugs!$A$2:$Z$73,26,FALSE())),"please select a BUG ID")</f>
        <v>please select a BUG ID</v>
      </c>
      <c r="C290" s="51" t="str">
        <f>IFERROR(__xludf.DUMMYFUNCTION("IFERROR(IF(REGEXMATCH(VLOOKUP(A290,Internal_lists_bugs!$A$2:$R$73,18,FALSE()), ""Yes""), VLOOKUP(A290,Internal_lists_bugs!$A$2:$U$73,21,FALSE()), VLOOKUP(A290,Internal_lists_bugs!$A$2:$R$73,18,FALSE())),""please select a BUG ID"")"),"please select a BUG ID")</f>
        <v>please select a BUG ID</v>
      </c>
      <c r="D290" s="43"/>
      <c r="E290" s="74"/>
      <c r="F290" s="62"/>
      <c r="G290" s="63"/>
      <c r="H290" s="43"/>
      <c r="J290" s="62"/>
      <c r="K290" s="63"/>
    </row>
    <row r="291">
      <c r="A291" s="71"/>
      <c r="B291" s="59" t="str">
        <f>IFERROR(HYPERLINK(VLOOKUP(A291,Internal_lists_bugs!$A$2:$C$73,3,FALSE()), VLOOKUP(A291,Internal_lists_bugs!$A$2:$C$73,3,FALSE())&amp;Char(10) &amp; Char(10) &amp; VLOOKUP(A291,Internal_lists_bugs!$A$2:$Z$73,26,FALSE())),"please select a BUG ID")</f>
        <v>please select a BUG ID</v>
      </c>
      <c r="C291" s="51" t="str">
        <f>IFERROR(__xludf.DUMMYFUNCTION("IFERROR(IF(REGEXMATCH(VLOOKUP(A291,Internal_lists_bugs!$A$2:$R$73,18,FALSE()), ""Yes""), VLOOKUP(A291,Internal_lists_bugs!$A$2:$U$73,21,FALSE()), VLOOKUP(A291,Internal_lists_bugs!$A$2:$R$73,18,FALSE())),""please select a BUG ID"")"),"please select a BUG ID")</f>
        <v>please select a BUG ID</v>
      </c>
      <c r="D291" s="43"/>
      <c r="E291" s="74"/>
      <c r="F291" s="62"/>
      <c r="G291" s="63"/>
      <c r="H291" s="43"/>
      <c r="J291" s="62"/>
      <c r="K291" s="63"/>
    </row>
    <row r="292">
      <c r="A292" s="71"/>
      <c r="B292" s="59" t="str">
        <f>IFERROR(HYPERLINK(VLOOKUP(A292,Internal_lists_bugs!$A$2:$C$73,3,FALSE()), VLOOKUP(A292,Internal_lists_bugs!$A$2:$C$73,3,FALSE())&amp;Char(10) &amp; Char(10) &amp; VLOOKUP(A292,Internal_lists_bugs!$A$2:$Z$73,26,FALSE())),"please select a BUG ID")</f>
        <v>please select a BUG ID</v>
      </c>
      <c r="C292" s="51" t="str">
        <f>IFERROR(__xludf.DUMMYFUNCTION("IFERROR(IF(REGEXMATCH(VLOOKUP(A292,Internal_lists_bugs!$A$2:$R$73,18,FALSE()), ""Yes""), VLOOKUP(A292,Internal_lists_bugs!$A$2:$U$73,21,FALSE()), VLOOKUP(A292,Internal_lists_bugs!$A$2:$R$73,18,FALSE())),""please select a BUG ID"")"),"please select a BUG ID")</f>
        <v>please select a BUG ID</v>
      </c>
      <c r="D292" s="43"/>
      <c r="E292" s="74"/>
      <c r="F292" s="62"/>
      <c r="G292" s="63"/>
      <c r="H292" s="43"/>
      <c r="J292" s="62"/>
      <c r="K292" s="63"/>
    </row>
    <row r="293">
      <c r="A293" s="71"/>
      <c r="B293" s="59" t="str">
        <f>IFERROR(HYPERLINK(VLOOKUP(A293,Internal_lists_bugs!$A$2:$C$73,3,FALSE()), VLOOKUP(A293,Internal_lists_bugs!$A$2:$C$73,3,FALSE())&amp;Char(10) &amp; Char(10) &amp; VLOOKUP(A293,Internal_lists_bugs!$A$2:$Z$73,26,FALSE())),"please select a BUG ID")</f>
        <v>please select a BUG ID</v>
      </c>
      <c r="C293" s="51" t="str">
        <f>IFERROR(__xludf.DUMMYFUNCTION("IFERROR(IF(REGEXMATCH(VLOOKUP(A293,Internal_lists_bugs!$A$2:$R$73,18,FALSE()), ""Yes""), VLOOKUP(A293,Internal_lists_bugs!$A$2:$U$73,21,FALSE()), VLOOKUP(A293,Internal_lists_bugs!$A$2:$R$73,18,FALSE())),""please select a BUG ID"")"),"please select a BUG ID")</f>
        <v>please select a BUG ID</v>
      </c>
      <c r="D293" s="43"/>
      <c r="E293" s="74"/>
      <c r="F293" s="62"/>
      <c r="G293" s="63"/>
      <c r="H293" s="43"/>
      <c r="J293" s="62"/>
      <c r="K293" s="63"/>
    </row>
    <row r="294">
      <c r="A294" s="71"/>
      <c r="B294" s="59" t="str">
        <f>IFERROR(HYPERLINK(VLOOKUP(A294,Internal_lists_bugs!$A$2:$C$73,3,FALSE()), VLOOKUP(A294,Internal_lists_bugs!$A$2:$C$73,3,FALSE())&amp;Char(10) &amp; Char(10) &amp; VLOOKUP(A294,Internal_lists_bugs!$A$2:$Z$73,26,FALSE())),"please select a BUG ID")</f>
        <v>please select a BUG ID</v>
      </c>
      <c r="C294" s="51" t="str">
        <f>IFERROR(__xludf.DUMMYFUNCTION("IFERROR(IF(REGEXMATCH(VLOOKUP(A294,Internal_lists_bugs!$A$2:$R$73,18,FALSE()), ""Yes""), VLOOKUP(A294,Internal_lists_bugs!$A$2:$U$73,21,FALSE()), VLOOKUP(A294,Internal_lists_bugs!$A$2:$R$73,18,FALSE())),""please select a BUG ID"")"),"please select a BUG ID")</f>
        <v>please select a BUG ID</v>
      </c>
      <c r="D294" s="43"/>
      <c r="F294" s="62"/>
      <c r="G294" s="63"/>
      <c r="H294" s="43"/>
      <c r="J294" s="62"/>
      <c r="K294" s="63"/>
    </row>
    <row r="295">
      <c r="A295" s="71"/>
      <c r="B295" s="59" t="str">
        <f>IFERROR(HYPERLINK(VLOOKUP(A295,Internal_lists_bugs!$A$2:$C$73,3,FALSE()), VLOOKUP(A295,Internal_lists_bugs!$A$2:$C$73,3,FALSE())&amp;Char(10) &amp; Char(10) &amp; VLOOKUP(A295,Internal_lists_bugs!$A$2:$Z$73,26,FALSE())),"please select a BUG ID")</f>
        <v>please select a BUG ID</v>
      </c>
      <c r="C295" s="51" t="str">
        <f>IFERROR(__xludf.DUMMYFUNCTION("IFERROR(IF(REGEXMATCH(VLOOKUP(A295,Internal_lists_bugs!$A$2:$R$73,18,FALSE()), ""Yes""), VLOOKUP(A295,Internal_lists_bugs!$A$2:$U$73,21,FALSE()), VLOOKUP(A295,Internal_lists_bugs!$A$2:$R$73,18,FALSE())),""please select a BUG ID"")"),"please select a BUG ID")</f>
        <v>please select a BUG ID</v>
      </c>
      <c r="D295" s="43"/>
      <c r="F295" s="62"/>
      <c r="G295" s="63"/>
      <c r="H295" s="43"/>
      <c r="J295" s="62"/>
      <c r="K295" s="63"/>
    </row>
    <row r="296">
      <c r="A296" s="71"/>
      <c r="B296" s="59" t="str">
        <f>IFERROR(HYPERLINK(VLOOKUP(A296,Internal_lists_bugs!$A$2:$C$73,3,FALSE()), VLOOKUP(A296,Internal_lists_bugs!$A$2:$C$73,3,FALSE())&amp;Char(10) &amp; Char(10) &amp; VLOOKUP(A296,Internal_lists_bugs!$A$2:$Z$73,26,FALSE())),"please select a BUG ID")</f>
        <v>please select a BUG ID</v>
      </c>
      <c r="C296" s="51" t="str">
        <f>IFERROR(__xludf.DUMMYFUNCTION("IFERROR(IF(REGEXMATCH(VLOOKUP(A296,Internal_lists_bugs!$A$2:$R$73,18,FALSE()), ""Yes""), VLOOKUP(A296,Internal_lists_bugs!$A$2:$U$73,21,FALSE()), VLOOKUP(A296,Internal_lists_bugs!$A$2:$R$73,18,FALSE())),""please select a BUG ID"")"),"please select a BUG ID")</f>
        <v>please select a BUG ID</v>
      </c>
      <c r="D296" s="43"/>
      <c r="F296" s="62"/>
      <c r="G296" s="63"/>
      <c r="H296" s="43"/>
      <c r="J296" s="62"/>
      <c r="K296" s="63"/>
    </row>
    <row r="297">
      <c r="A297" s="71"/>
      <c r="B297" s="59" t="str">
        <f>IFERROR(HYPERLINK(VLOOKUP(A297,Internal_lists_bugs!$A$2:$C$73,3,FALSE()), VLOOKUP(A297,Internal_lists_bugs!$A$2:$C$73,3,FALSE())&amp;Char(10) &amp; Char(10) &amp; VLOOKUP(A297,Internal_lists_bugs!$A$2:$Z$73,26,FALSE())),"please select a BUG ID")</f>
        <v>please select a BUG ID</v>
      </c>
      <c r="C297" s="51" t="str">
        <f>IFERROR(__xludf.DUMMYFUNCTION("IFERROR(IF(REGEXMATCH(VLOOKUP(A297,Internal_lists_bugs!$A$2:$R$73,18,FALSE()), ""Yes""), VLOOKUP(A297,Internal_lists_bugs!$A$2:$U$73,21,FALSE()), VLOOKUP(A297,Internal_lists_bugs!$A$2:$R$73,18,FALSE())),""please select a BUG ID"")"),"please select a BUG ID")</f>
        <v>please select a BUG ID</v>
      </c>
      <c r="D297" s="43"/>
      <c r="F297" s="62"/>
      <c r="G297" s="63"/>
      <c r="H297" s="43"/>
      <c r="J297" s="62"/>
      <c r="K297" s="63"/>
    </row>
    <row r="298">
      <c r="A298" s="71"/>
      <c r="B298" s="59" t="str">
        <f>IFERROR(HYPERLINK(VLOOKUP(A298,Internal_lists_bugs!$A$2:$C$73,3,FALSE()), VLOOKUP(A298,Internal_lists_bugs!$A$2:$C$73,3,FALSE())&amp;Char(10) &amp; Char(10) &amp; VLOOKUP(A298,Internal_lists_bugs!$A$2:$Z$73,26,FALSE())),"please select a BUG ID")</f>
        <v>please select a BUG ID</v>
      </c>
      <c r="C298" s="51" t="str">
        <f>IFERROR(__xludf.DUMMYFUNCTION("IFERROR(IF(REGEXMATCH(VLOOKUP(A298,Internal_lists_bugs!$A$2:$R$73,18,FALSE()), ""Yes""), VLOOKUP(A298,Internal_lists_bugs!$A$2:$U$73,21,FALSE()), VLOOKUP(A298,Internal_lists_bugs!$A$2:$R$73,18,FALSE())),""please select a BUG ID"")"),"please select a BUG ID")</f>
        <v>please select a BUG ID</v>
      </c>
      <c r="D298" s="43"/>
      <c r="E298" s="74"/>
      <c r="F298" s="62"/>
      <c r="G298" s="63"/>
      <c r="H298" s="43"/>
      <c r="J298" s="62"/>
      <c r="K298" s="63"/>
    </row>
    <row r="299">
      <c r="A299" s="71"/>
      <c r="B299" s="59" t="str">
        <f>IFERROR(HYPERLINK(VLOOKUP(A299,Internal_lists_bugs!$A$2:$C$73,3,FALSE()), VLOOKUP(A299,Internal_lists_bugs!$A$2:$C$73,3,FALSE())&amp;Char(10) &amp; Char(10) &amp; VLOOKUP(A299,Internal_lists_bugs!$A$2:$Z$73,26,FALSE())),"please select a BUG ID")</f>
        <v>please select a BUG ID</v>
      </c>
      <c r="C299" s="51" t="str">
        <f>IFERROR(__xludf.DUMMYFUNCTION("IFERROR(IF(REGEXMATCH(VLOOKUP(A299,Internal_lists_bugs!$A$2:$R$73,18,FALSE()), ""Yes""), VLOOKUP(A299,Internal_lists_bugs!$A$2:$U$73,21,FALSE()), VLOOKUP(A299,Internal_lists_bugs!$A$2:$R$73,18,FALSE())),""please select a BUG ID"")"),"please select a BUG ID")</f>
        <v>please select a BUG ID</v>
      </c>
      <c r="D299" s="43"/>
      <c r="F299" s="62"/>
      <c r="G299" s="63"/>
      <c r="H299" s="43"/>
      <c r="J299" s="62"/>
      <c r="K299" s="63"/>
    </row>
    <row r="300">
      <c r="A300" s="71"/>
      <c r="B300" s="59" t="str">
        <f>IFERROR(HYPERLINK(VLOOKUP(A300,Internal_lists_bugs!$A$2:$C$73,3,FALSE()), VLOOKUP(A300,Internal_lists_bugs!$A$2:$C$73,3,FALSE())&amp;Char(10) &amp; Char(10) &amp; VLOOKUP(A300,Internal_lists_bugs!$A$2:$Z$73,26,FALSE())),"please select a BUG ID")</f>
        <v>please select a BUG ID</v>
      </c>
      <c r="C300" s="51" t="str">
        <f>IFERROR(__xludf.DUMMYFUNCTION("IFERROR(IF(REGEXMATCH(VLOOKUP(A300,Internal_lists_bugs!$A$2:$R$73,18,FALSE()), ""Yes""), VLOOKUP(A300,Internal_lists_bugs!$A$2:$U$73,21,FALSE()), VLOOKUP(A300,Internal_lists_bugs!$A$2:$R$73,18,FALSE())),""please select a BUG ID"")"),"please select a BUG ID")</f>
        <v>please select a BUG ID</v>
      </c>
      <c r="D300" s="43"/>
      <c r="F300" s="62"/>
      <c r="G300" s="63"/>
      <c r="H300" s="43"/>
      <c r="J300" s="62"/>
      <c r="K300" s="63"/>
    </row>
    <row r="301">
      <c r="A301" s="71"/>
      <c r="B301" s="59" t="str">
        <f>IFERROR(HYPERLINK(VLOOKUP(A301,Internal_lists_bugs!$A$2:$C$73,3,FALSE()), VLOOKUP(A301,Internal_lists_bugs!$A$2:$C$73,3,FALSE())&amp;Char(10) &amp; Char(10) &amp; VLOOKUP(A301,Internal_lists_bugs!$A$2:$Z$73,26,FALSE())),"please select a BUG ID")</f>
        <v>please select a BUG ID</v>
      </c>
      <c r="C301" s="51" t="str">
        <f>IFERROR(__xludf.DUMMYFUNCTION("IFERROR(IF(REGEXMATCH(VLOOKUP(A301,Internal_lists_bugs!$A$2:$R$73,18,FALSE()), ""Yes""), VLOOKUP(A301,Internal_lists_bugs!$A$2:$U$73,21,FALSE()), VLOOKUP(A301,Internal_lists_bugs!$A$2:$R$73,18,FALSE())),""please select a BUG ID"")"),"please select a BUG ID")</f>
        <v>please select a BUG ID</v>
      </c>
      <c r="D301" s="43"/>
      <c r="F301" s="62"/>
      <c r="G301" s="63"/>
      <c r="H301" s="43"/>
      <c r="J301" s="62"/>
      <c r="K301" s="63"/>
    </row>
    <row r="302">
      <c r="A302" s="71"/>
      <c r="B302" s="59" t="str">
        <f>IFERROR(HYPERLINK(VLOOKUP(A302,Internal_lists_bugs!$A$2:$C$73,3,FALSE()), VLOOKUP(A302,Internal_lists_bugs!$A$2:$C$73,3,FALSE())&amp;Char(10) &amp; Char(10) &amp; VLOOKUP(A302,Internal_lists_bugs!$A$2:$Z$73,26,FALSE())),"please select a BUG ID")</f>
        <v>please select a BUG ID</v>
      </c>
      <c r="C302" s="51" t="str">
        <f>IFERROR(__xludf.DUMMYFUNCTION("IFERROR(IF(REGEXMATCH(VLOOKUP(A302,Internal_lists_bugs!$A$2:$R$73,18,FALSE()), ""Yes""), VLOOKUP(A302,Internal_lists_bugs!$A$2:$U$73,21,FALSE()), VLOOKUP(A302,Internal_lists_bugs!$A$2:$R$73,18,FALSE())),""please select a BUG ID"")"),"please select a BUG ID")</f>
        <v>please select a BUG ID</v>
      </c>
      <c r="D302" s="43"/>
      <c r="F302" s="62"/>
      <c r="G302" s="63"/>
      <c r="H302" s="43"/>
      <c r="J302" s="62"/>
      <c r="K302" s="63"/>
    </row>
    <row r="303">
      <c r="A303" s="71"/>
      <c r="B303" s="59" t="str">
        <f>IFERROR(HYPERLINK(VLOOKUP(A303,Internal_lists_bugs!$A$2:$C$73,3,FALSE()), VLOOKUP(A303,Internal_lists_bugs!$A$2:$C$73,3,FALSE())&amp;Char(10) &amp; Char(10) &amp; VLOOKUP(A303,Internal_lists_bugs!$A$2:$Z$73,26,FALSE())),"please select a BUG ID")</f>
        <v>please select a BUG ID</v>
      </c>
      <c r="C303" s="51" t="str">
        <f>IFERROR(__xludf.DUMMYFUNCTION("IFERROR(IF(REGEXMATCH(VLOOKUP(A303,Internal_lists_bugs!$A$2:$R$73,18,FALSE()), ""Yes""), VLOOKUP(A303,Internal_lists_bugs!$A$2:$U$73,21,FALSE()), VLOOKUP(A303,Internal_lists_bugs!$A$2:$R$73,18,FALSE())),""please select a BUG ID"")"),"please select a BUG ID")</f>
        <v>please select a BUG ID</v>
      </c>
      <c r="D303" s="43"/>
      <c r="F303" s="62"/>
      <c r="G303" s="63"/>
      <c r="H303" s="43"/>
      <c r="J303" s="62"/>
      <c r="K303" s="63"/>
    </row>
    <row r="304">
      <c r="A304" s="71"/>
      <c r="B304" s="59" t="str">
        <f>IFERROR(HYPERLINK(VLOOKUP(A304,Internal_lists_bugs!$A$2:$C$73,3,FALSE()), VLOOKUP(A304,Internal_lists_bugs!$A$2:$C$73,3,FALSE())&amp;Char(10) &amp; Char(10) &amp; VLOOKUP(A304,Internal_lists_bugs!$A$2:$Z$73,26,FALSE())),"please select a BUG ID")</f>
        <v>please select a BUG ID</v>
      </c>
      <c r="C304" s="51" t="str">
        <f>IFERROR(__xludf.DUMMYFUNCTION("IFERROR(IF(REGEXMATCH(VLOOKUP(A304,Internal_lists_bugs!$A$2:$R$73,18,FALSE()), ""Yes""), VLOOKUP(A304,Internal_lists_bugs!$A$2:$U$73,21,FALSE()), VLOOKUP(A304,Internal_lists_bugs!$A$2:$R$73,18,FALSE())),""please select a BUG ID"")"),"please select a BUG ID")</f>
        <v>please select a BUG ID</v>
      </c>
      <c r="D304" s="43"/>
      <c r="F304" s="62"/>
      <c r="G304" s="63"/>
      <c r="H304" s="43"/>
      <c r="J304" s="62"/>
      <c r="K304" s="63"/>
    </row>
    <row r="305">
      <c r="A305" s="71"/>
      <c r="B305" s="59" t="str">
        <f>IFERROR(HYPERLINK(VLOOKUP(A305,Internal_lists_bugs!$A$2:$C$73,3,FALSE()), VLOOKUP(A305,Internal_lists_bugs!$A$2:$C$73,3,FALSE())&amp;Char(10) &amp; Char(10) &amp; VLOOKUP(A305,Internal_lists_bugs!$A$2:$Z$73,26,FALSE())),"please select a BUG ID")</f>
        <v>please select a BUG ID</v>
      </c>
      <c r="C305" s="51" t="str">
        <f>IFERROR(__xludf.DUMMYFUNCTION("IFERROR(IF(REGEXMATCH(VLOOKUP(A305,Internal_lists_bugs!$A$2:$R$73,18,FALSE()), ""Yes""), VLOOKUP(A305,Internal_lists_bugs!$A$2:$U$73,21,FALSE()), VLOOKUP(A305,Internal_lists_bugs!$A$2:$R$73,18,FALSE())),""please select a BUG ID"")"),"please select a BUG ID")</f>
        <v>please select a BUG ID</v>
      </c>
      <c r="D305" s="43"/>
      <c r="F305" s="62"/>
      <c r="G305" s="63"/>
      <c r="H305" s="43"/>
      <c r="J305" s="62"/>
      <c r="K305" s="63"/>
    </row>
    <row r="306">
      <c r="A306" s="71"/>
      <c r="B306" s="59" t="str">
        <f>IFERROR(HYPERLINK(VLOOKUP(A306,Internal_lists_bugs!$A$2:$C$73,3,FALSE()), VLOOKUP(A306,Internal_lists_bugs!$A$2:$C$73,3,FALSE())&amp;Char(10) &amp; Char(10) &amp; VLOOKUP(A306,Internal_lists_bugs!$A$2:$Z$73,26,FALSE())),"please select a BUG ID")</f>
        <v>please select a BUG ID</v>
      </c>
      <c r="C306" s="51" t="str">
        <f>IFERROR(__xludf.DUMMYFUNCTION("IFERROR(IF(REGEXMATCH(VLOOKUP(A306,Internal_lists_bugs!$A$2:$R$73,18,FALSE()), ""Yes""), VLOOKUP(A306,Internal_lists_bugs!$A$2:$U$73,21,FALSE()), VLOOKUP(A306,Internal_lists_bugs!$A$2:$R$73,18,FALSE())),""please select a BUG ID"")"),"please select a BUG ID")</f>
        <v>please select a BUG ID</v>
      </c>
      <c r="D306" s="43"/>
      <c r="F306" s="62"/>
      <c r="G306" s="63"/>
      <c r="H306" s="43"/>
      <c r="J306" s="62"/>
      <c r="K306" s="63"/>
    </row>
    <row r="307">
      <c r="A307" s="71"/>
      <c r="B307" s="59" t="str">
        <f>IFERROR(HYPERLINK(VLOOKUP(A307,Internal_lists_bugs!$A$2:$C$73,3,FALSE()), VLOOKUP(A307,Internal_lists_bugs!$A$2:$C$73,3,FALSE())&amp;Char(10) &amp; Char(10) &amp; VLOOKUP(A307,Internal_lists_bugs!$A$2:$Z$73,26,FALSE())),"please select a BUG ID")</f>
        <v>please select a BUG ID</v>
      </c>
      <c r="C307" s="51" t="str">
        <f>IFERROR(__xludf.DUMMYFUNCTION("IFERROR(IF(REGEXMATCH(VLOOKUP(A307,Internal_lists_bugs!$A$2:$R$73,18,FALSE()), ""Yes""), VLOOKUP(A307,Internal_lists_bugs!$A$2:$U$73,21,FALSE()), VLOOKUP(A307,Internal_lists_bugs!$A$2:$R$73,18,FALSE())),""please select a BUG ID"")"),"please select a BUG ID")</f>
        <v>please select a BUG ID</v>
      </c>
      <c r="D307" s="43"/>
      <c r="F307" s="62"/>
      <c r="G307" s="63"/>
      <c r="H307" s="43"/>
      <c r="J307" s="62"/>
      <c r="K307" s="63"/>
    </row>
    <row r="308">
      <c r="A308" s="71"/>
      <c r="B308" s="59" t="str">
        <f>IFERROR(HYPERLINK(VLOOKUP(A308,Internal_lists_bugs!$A$2:$C$73,3,FALSE()), VLOOKUP(A308,Internal_lists_bugs!$A$2:$C$73,3,FALSE())&amp;Char(10) &amp; Char(10) &amp; VLOOKUP(A308,Internal_lists_bugs!$A$2:$Z$73,26,FALSE())),"please select a BUG ID")</f>
        <v>please select a BUG ID</v>
      </c>
      <c r="C308" s="51" t="str">
        <f>IFERROR(__xludf.DUMMYFUNCTION("IFERROR(IF(REGEXMATCH(VLOOKUP(A308,Internal_lists_bugs!$A$2:$R$73,18,FALSE()), ""Yes""), VLOOKUP(A308,Internal_lists_bugs!$A$2:$U$73,21,FALSE()), VLOOKUP(A308,Internal_lists_bugs!$A$2:$R$73,18,FALSE())),""please select a BUG ID"")"),"please select a BUG ID")</f>
        <v>please select a BUG ID</v>
      </c>
      <c r="D308" s="43"/>
      <c r="F308" s="62"/>
      <c r="G308" s="63"/>
      <c r="H308" s="43"/>
      <c r="J308" s="62"/>
      <c r="K308" s="63"/>
    </row>
    <row r="309">
      <c r="A309" s="71"/>
      <c r="B309" s="59" t="str">
        <f>IFERROR(HYPERLINK(VLOOKUP(A309,Internal_lists_bugs!$A$2:$C$73,3,FALSE()), VLOOKUP(A309,Internal_lists_bugs!$A$2:$C$73,3,FALSE())&amp;Char(10) &amp; Char(10) &amp; VLOOKUP(A309,Internal_lists_bugs!$A$2:$Z$73,26,FALSE())),"please select a BUG ID")</f>
        <v>please select a BUG ID</v>
      </c>
      <c r="C309" s="51" t="str">
        <f>IFERROR(__xludf.DUMMYFUNCTION("IFERROR(IF(REGEXMATCH(VLOOKUP(A309,Internal_lists_bugs!$A$2:$R$73,18,FALSE()), ""Yes""), VLOOKUP(A309,Internal_lists_bugs!$A$2:$U$73,21,FALSE()), VLOOKUP(A309,Internal_lists_bugs!$A$2:$R$73,18,FALSE())),""please select a BUG ID"")"),"please select a BUG ID")</f>
        <v>please select a BUG ID</v>
      </c>
      <c r="D309" s="43"/>
      <c r="F309" s="62"/>
      <c r="G309" s="63"/>
      <c r="H309" s="43"/>
      <c r="J309" s="62"/>
      <c r="K309" s="63"/>
    </row>
    <row r="310">
      <c r="A310" s="71"/>
      <c r="B310" s="59" t="str">
        <f>IFERROR(HYPERLINK(VLOOKUP(A310,Internal_lists_bugs!$A$2:$C$73,3,FALSE()), VLOOKUP(A310,Internal_lists_bugs!$A$2:$C$73,3,FALSE())&amp;Char(10) &amp; Char(10) &amp; VLOOKUP(A310,Internal_lists_bugs!$A$2:$Z$73,26,FALSE())),"please select a BUG ID")</f>
        <v>please select a BUG ID</v>
      </c>
      <c r="C310" s="51" t="str">
        <f>IFERROR(__xludf.DUMMYFUNCTION("IFERROR(IF(REGEXMATCH(VLOOKUP(A310,Internal_lists_bugs!$A$2:$R$73,18,FALSE()), ""Yes""), VLOOKUP(A310,Internal_lists_bugs!$A$2:$U$73,21,FALSE()), VLOOKUP(A310,Internal_lists_bugs!$A$2:$R$73,18,FALSE())),""please select a BUG ID"")"),"please select a BUG ID")</f>
        <v>please select a BUG ID</v>
      </c>
      <c r="D310" s="43"/>
      <c r="F310" s="62"/>
      <c r="G310" s="63"/>
      <c r="H310" s="43"/>
      <c r="J310" s="62"/>
      <c r="K310" s="63"/>
    </row>
    <row r="311">
      <c r="A311" s="71"/>
      <c r="B311" s="59" t="str">
        <f>IFERROR(HYPERLINK(VLOOKUP(A311,Internal_lists_bugs!$A$2:$C$73,3,FALSE()), VLOOKUP(A311,Internal_lists_bugs!$A$2:$C$73,3,FALSE())&amp;Char(10) &amp; Char(10) &amp; VLOOKUP(A311,Internal_lists_bugs!$A$2:$Z$73,26,FALSE())),"please select a BUG ID")</f>
        <v>please select a BUG ID</v>
      </c>
      <c r="C311" s="51" t="str">
        <f>IFERROR(__xludf.DUMMYFUNCTION("IFERROR(IF(REGEXMATCH(VLOOKUP(A311,Internal_lists_bugs!$A$2:$R$73,18,FALSE()), ""Yes""), VLOOKUP(A311,Internal_lists_bugs!$A$2:$U$73,21,FALSE()), VLOOKUP(A311,Internal_lists_bugs!$A$2:$R$73,18,FALSE())),""please select a BUG ID"")"),"please select a BUG ID")</f>
        <v>please select a BUG ID</v>
      </c>
      <c r="D311" s="43"/>
      <c r="F311" s="60"/>
      <c r="G311" s="63"/>
      <c r="H311" s="43"/>
      <c r="J311" s="60"/>
      <c r="K311" s="63"/>
    </row>
    <row r="312">
      <c r="A312" s="71"/>
      <c r="B312" s="59" t="str">
        <f>IFERROR(HYPERLINK(VLOOKUP(A312,Internal_lists_bugs!$A$2:$C$73,3,FALSE()), VLOOKUP(A312,Internal_lists_bugs!$A$2:$C$73,3,FALSE())&amp;Char(10) &amp; Char(10) &amp; VLOOKUP(A312,Internal_lists_bugs!$A$2:$Z$73,26,FALSE())),"please select a BUG ID")</f>
        <v>please select a BUG ID</v>
      </c>
      <c r="C312" s="51" t="str">
        <f>IFERROR(__xludf.DUMMYFUNCTION("IFERROR(IF(REGEXMATCH(VLOOKUP(A312,Internal_lists_bugs!$A$2:$R$73,18,FALSE()), ""Yes""), VLOOKUP(A312,Internal_lists_bugs!$A$2:$U$73,21,FALSE()), VLOOKUP(A312,Internal_lists_bugs!$A$2:$R$73,18,FALSE())),""please select a BUG ID"")"),"please select a BUG ID")</f>
        <v>please select a BUG ID</v>
      </c>
      <c r="D312" s="43"/>
      <c r="F312" s="62"/>
      <c r="G312" s="63"/>
      <c r="H312" s="43"/>
      <c r="J312" s="62"/>
      <c r="K312" s="63"/>
    </row>
    <row r="313">
      <c r="A313" s="71"/>
      <c r="B313" s="59" t="str">
        <f>IFERROR(HYPERLINK(VLOOKUP(A313,Internal_lists_bugs!$A$2:$C$73,3,FALSE()), VLOOKUP(A313,Internal_lists_bugs!$A$2:$C$73,3,FALSE())&amp;Char(10) &amp; Char(10) &amp; VLOOKUP(A313,Internal_lists_bugs!$A$2:$Z$73,26,FALSE())),"please select a BUG ID")</f>
        <v>please select a BUG ID</v>
      </c>
      <c r="C313" s="51" t="str">
        <f>IFERROR(__xludf.DUMMYFUNCTION("IFERROR(IF(REGEXMATCH(VLOOKUP(A313,Internal_lists_bugs!$A$2:$R$73,18,FALSE()), ""Yes""), VLOOKUP(A313,Internal_lists_bugs!$A$2:$U$73,21,FALSE()), VLOOKUP(A313,Internal_lists_bugs!$A$2:$R$73,18,FALSE())),""please select a BUG ID"")"),"please select a BUG ID")</f>
        <v>please select a BUG ID</v>
      </c>
      <c r="D313" s="43"/>
      <c r="F313" s="62"/>
      <c r="G313" s="63"/>
      <c r="H313" s="43"/>
      <c r="J313" s="62"/>
      <c r="K313" s="63"/>
    </row>
    <row r="314">
      <c r="A314" s="71"/>
      <c r="B314" s="59" t="str">
        <f>IFERROR(HYPERLINK(VLOOKUP(A314,Internal_lists_bugs!$A$2:$C$73,3,FALSE()), VLOOKUP(A314,Internal_lists_bugs!$A$2:$C$73,3,FALSE())&amp;Char(10) &amp; Char(10) &amp; VLOOKUP(A314,Internal_lists_bugs!$A$2:$Z$73,26,FALSE())),"please select a BUG ID")</f>
        <v>please select a BUG ID</v>
      </c>
      <c r="C314" s="51" t="str">
        <f>IFERROR(__xludf.DUMMYFUNCTION("IFERROR(IF(REGEXMATCH(VLOOKUP(A314,Internal_lists_bugs!$A$2:$R$73,18,FALSE()), ""Yes""), VLOOKUP(A314,Internal_lists_bugs!$A$2:$U$73,21,FALSE()), VLOOKUP(A314,Internal_lists_bugs!$A$2:$R$73,18,FALSE())),""please select a BUG ID"")"),"please select a BUG ID")</f>
        <v>please select a BUG ID</v>
      </c>
      <c r="D314" s="43"/>
      <c r="F314" s="62"/>
      <c r="G314" s="63"/>
      <c r="H314" s="43"/>
      <c r="J314" s="62"/>
      <c r="K314" s="63"/>
    </row>
    <row r="315">
      <c r="A315" s="71"/>
      <c r="B315" s="59" t="str">
        <f>IFERROR(HYPERLINK(VLOOKUP(A315,Internal_lists_bugs!$A$2:$C$73,3,FALSE()), VLOOKUP(A315,Internal_lists_bugs!$A$2:$C$73,3,FALSE())&amp;Char(10) &amp; Char(10) &amp; VLOOKUP(A315,Internal_lists_bugs!$A$2:$Z$73,26,FALSE())),"please select a BUG ID")</f>
        <v>please select a BUG ID</v>
      </c>
      <c r="C315" s="51" t="str">
        <f>IFERROR(__xludf.DUMMYFUNCTION("IFERROR(IF(REGEXMATCH(VLOOKUP(A315,Internal_lists_bugs!$A$2:$R$73,18,FALSE()), ""Yes""), VLOOKUP(A315,Internal_lists_bugs!$A$2:$U$73,21,FALSE()), VLOOKUP(A315,Internal_lists_bugs!$A$2:$R$73,18,FALSE())),""please select a BUG ID"")"),"please select a BUG ID")</f>
        <v>please select a BUG ID</v>
      </c>
      <c r="D315" s="43"/>
      <c r="F315" s="62"/>
      <c r="G315" s="63"/>
      <c r="H315" s="43"/>
      <c r="J315" s="62"/>
      <c r="K315" s="63"/>
    </row>
    <row r="316">
      <c r="A316" s="71"/>
      <c r="B316" s="59" t="str">
        <f>IFERROR(HYPERLINK(VLOOKUP(A316,Internal_lists_bugs!$A$2:$C$73,3,FALSE()), VLOOKUP(A316,Internal_lists_bugs!$A$2:$C$73,3,FALSE())&amp;Char(10) &amp; Char(10) &amp; VLOOKUP(A316,Internal_lists_bugs!$A$2:$Z$73,26,FALSE())),"please select a BUG ID")</f>
        <v>please select a BUG ID</v>
      </c>
      <c r="C316" s="51" t="str">
        <f>IFERROR(__xludf.DUMMYFUNCTION("IFERROR(IF(REGEXMATCH(VLOOKUP(A316,Internal_lists_bugs!$A$2:$R$73,18,FALSE()), ""Yes""), VLOOKUP(A316,Internal_lists_bugs!$A$2:$U$73,21,FALSE()), VLOOKUP(A316,Internal_lists_bugs!$A$2:$R$73,18,FALSE())),""please select a BUG ID"")"),"please select a BUG ID")</f>
        <v>please select a BUG ID</v>
      </c>
      <c r="D316" s="43"/>
      <c r="F316" s="62"/>
      <c r="G316" s="63"/>
      <c r="H316" s="43"/>
      <c r="J316" s="62"/>
      <c r="K316" s="63"/>
    </row>
    <row r="317">
      <c r="A317" s="71"/>
      <c r="B317" s="59" t="str">
        <f>IFERROR(HYPERLINK(VLOOKUP(A317,Internal_lists_bugs!$A$2:$C$73,3,FALSE()), VLOOKUP(A317,Internal_lists_bugs!$A$2:$C$73,3,FALSE())&amp;Char(10) &amp; Char(10) &amp; VLOOKUP(A317,Internal_lists_bugs!$A$2:$Z$73,26,FALSE())),"please select a BUG ID")</f>
        <v>please select a BUG ID</v>
      </c>
      <c r="C317" s="51" t="str">
        <f>IFERROR(__xludf.DUMMYFUNCTION("IFERROR(IF(REGEXMATCH(VLOOKUP(A317,Internal_lists_bugs!$A$2:$R$73,18,FALSE()), ""Yes""), VLOOKUP(A317,Internal_lists_bugs!$A$2:$U$73,21,FALSE()), VLOOKUP(A317,Internal_lists_bugs!$A$2:$R$73,18,FALSE())),""please select a BUG ID"")"),"please select a BUG ID")</f>
        <v>please select a BUG ID</v>
      </c>
      <c r="D317" s="43"/>
      <c r="F317" s="60"/>
      <c r="G317" s="63"/>
      <c r="H317" s="43"/>
      <c r="J317" s="60"/>
      <c r="K317" s="63"/>
    </row>
    <row r="318">
      <c r="A318" s="71"/>
      <c r="B318" s="59" t="str">
        <f>IFERROR(HYPERLINK(VLOOKUP(A318,Internal_lists_bugs!$A$2:$C$73,3,FALSE()), VLOOKUP(A318,Internal_lists_bugs!$A$2:$C$73,3,FALSE())&amp;Char(10) &amp; Char(10) &amp; VLOOKUP(A318,Internal_lists_bugs!$A$2:$Z$73,26,FALSE())),"please select a BUG ID")</f>
        <v>please select a BUG ID</v>
      </c>
      <c r="C318" s="51" t="str">
        <f>IFERROR(__xludf.DUMMYFUNCTION("IFERROR(IF(REGEXMATCH(VLOOKUP(A318,Internal_lists_bugs!$A$2:$R$73,18,FALSE()), ""Yes""), VLOOKUP(A318,Internal_lists_bugs!$A$2:$U$73,21,FALSE()), VLOOKUP(A318,Internal_lists_bugs!$A$2:$R$73,18,FALSE())),""please select a BUG ID"")"),"please select a BUG ID")</f>
        <v>please select a BUG ID</v>
      </c>
      <c r="D318" s="43"/>
      <c r="F318" s="62"/>
      <c r="G318" s="63"/>
      <c r="H318" s="43"/>
      <c r="J318" s="62"/>
      <c r="K318" s="63"/>
    </row>
    <row r="319">
      <c r="A319" s="71"/>
      <c r="B319" s="59" t="str">
        <f>IFERROR(HYPERLINK(VLOOKUP(A319,Internal_lists_bugs!$A$2:$C$73,3,FALSE()), VLOOKUP(A319,Internal_lists_bugs!$A$2:$C$73,3,FALSE())&amp;Char(10) &amp; Char(10) &amp; VLOOKUP(A319,Internal_lists_bugs!$A$2:$Z$73,26,FALSE())),"please select a BUG ID")</f>
        <v>please select a BUG ID</v>
      </c>
      <c r="C319" s="51" t="str">
        <f>IFERROR(__xludf.DUMMYFUNCTION("IFERROR(IF(REGEXMATCH(VLOOKUP(A319,Internal_lists_bugs!$A$2:$R$73,18,FALSE()), ""Yes""), VLOOKUP(A319,Internal_lists_bugs!$A$2:$U$73,21,FALSE()), VLOOKUP(A319,Internal_lists_bugs!$A$2:$R$73,18,FALSE())),""please select a BUG ID"")"),"please select a BUG ID")</f>
        <v>please select a BUG ID</v>
      </c>
      <c r="D319" s="43"/>
      <c r="F319" s="62"/>
      <c r="G319" s="63"/>
      <c r="H319" s="43"/>
      <c r="J319" s="62"/>
      <c r="K319" s="63"/>
    </row>
    <row r="320">
      <c r="A320" s="71"/>
      <c r="B320" s="59" t="str">
        <f>IFERROR(HYPERLINK(VLOOKUP(A320,Internal_lists_bugs!$A$2:$C$73,3,FALSE()), VLOOKUP(A320,Internal_lists_bugs!$A$2:$C$73,3,FALSE())&amp;Char(10) &amp; Char(10) &amp; VLOOKUP(A320,Internal_lists_bugs!$A$2:$Z$73,26,FALSE())),"please select a BUG ID")</f>
        <v>please select a BUG ID</v>
      </c>
      <c r="C320" s="51" t="str">
        <f>IFERROR(__xludf.DUMMYFUNCTION("IFERROR(IF(REGEXMATCH(VLOOKUP(A320,Internal_lists_bugs!$A$2:$R$73,18,FALSE()), ""Yes""), VLOOKUP(A320,Internal_lists_bugs!$A$2:$U$73,21,FALSE()), VLOOKUP(A320,Internal_lists_bugs!$A$2:$R$73,18,FALSE())),""please select a BUG ID"")"),"please select a BUG ID")</f>
        <v>please select a BUG ID</v>
      </c>
      <c r="D320" s="43"/>
      <c r="F320" s="62"/>
      <c r="G320" s="63"/>
      <c r="H320" s="43"/>
      <c r="J320" s="62"/>
      <c r="K320" s="63"/>
    </row>
    <row r="321">
      <c r="A321" s="71"/>
      <c r="B321" s="59" t="str">
        <f>IFERROR(HYPERLINK(VLOOKUP(A321,Internal_lists_bugs!$A$2:$C$73,3,FALSE()), VLOOKUP(A321,Internal_lists_bugs!$A$2:$C$73,3,FALSE())&amp;Char(10) &amp; Char(10) &amp; VLOOKUP(A321,Internal_lists_bugs!$A$2:$Z$73,26,FALSE())),"please select a BUG ID")</f>
        <v>please select a BUG ID</v>
      </c>
      <c r="C321" s="51" t="str">
        <f>IFERROR(__xludf.DUMMYFUNCTION("IFERROR(IF(REGEXMATCH(VLOOKUP(A321,Internal_lists_bugs!$A$2:$R$73,18,FALSE()), ""Yes""), VLOOKUP(A321,Internal_lists_bugs!$A$2:$U$73,21,FALSE()), VLOOKUP(A321,Internal_lists_bugs!$A$2:$R$73,18,FALSE())),""please select a BUG ID"")"),"please select a BUG ID")</f>
        <v>please select a BUG ID</v>
      </c>
      <c r="D321" s="43"/>
      <c r="F321" s="62"/>
      <c r="G321" s="63"/>
      <c r="H321" s="43"/>
      <c r="J321" s="62"/>
      <c r="K321" s="63"/>
    </row>
    <row r="322">
      <c r="A322" s="71"/>
      <c r="B322" s="59" t="str">
        <f>IFERROR(HYPERLINK(VLOOKUP(A322,Internal_lists_bugs!$A$2:$C$73,3,FALSE()), VLOOKUP(A322,Internal_lists_bugs!$A$2:$C$73,3,FALSE())&amp;Char(10) &amp; Char(10) &amp; VLOOKUP(A322,Internal_lists_bugs!$A$2:$Z$73,26,FALSE())),"please select a BUG ID")</f>
        <v>please select a BUG ID</v>
      </c>
      <c r="C322" s="51" t="str">
        <f>IFERROR(__xludf.DUMMYFUNCTION("IFERROR(IF(REGEXMATCH(VLOOKUP(A322,Internal_lists_bugs!$A$2:$R$73,18,FALSE()), ""Yes""), VLOOKUP(A322,Internal_lists_bugs!$A$2:$U$73,21,FALSE()), VLOOKUP(A322,Internal_lists_bugs!$A$2:$R$73,18,FALSE())),""please select a BUG ID"")"),"please select a BUG ID")</f>
        <v>please select a BUG ID</v>
      </c>
      <c r="D322" s="43"/>
      <c r="F322" s="60"/>
      <c r="G322" s="63"/>
      <c r="H322" s="43"/>
      <c r="J322" s="60"/>
      <c r="K322" s="63"/>
    </row>
    <row r="323">
      <c r="A323" s="71"/>
      <c r="B323" s="59" t="str">
        <f>IFERROR(HYPERLINK(VLOOKUP(A323,Internal_lists_bugs!$A$2:$C$73,3,FALSE()), VLOOKUP(A323,Internal_lists_bugs!$A$2:$C$73,3,FALSE())&amp;Char(10) &amp; Char(10) &amp; VLOOKUP(A323,Internal_lists_bugs!$A$2:$Z$73,26,FALSE())),"please select a BUG ID")</f>
        <v>please select a BUG ID</v>
      </c>
      <c r="C323" s="51" t="str">
        <f>IFERROR(__xludf.DUMMYFUNCTION("IFERROR(IF(REGEXMATCH(VLOOKUP(A323,Internal_lists_bugs!$A$2:$R$73,18,FALSE()), ""Yes""), VLOOKUP(A323,Internal_lists_bugs!$A$2:$U$73,21,FALSE()), VLOOKUP(A323,Internal_lists_bugs!$A$2:$R$73,18,FALSE())),""please select a BUG ID"")"),"please select a BUG ID")</f>
        <v>please select a BUG ID</v>
      </c>
      <c r="D323" s="43"/>
      <c r="F323" s="62"/>
      <c r="G323" s="63"/>
      <c r="H323" s="43"/>
      <c r="J323" s="62"/>
      <c r="K323" s="63"/>
    </row>
    <row r="324">
      <c r="A324" s="71"/>
      <c r="B324" s="59" t="str">
        <f>IFERROR(HYPERLINK(VLOOKUP(A324,Internal_lists_bugs!$A$2:$C$73,3,FALSE()), VLOOKUP(A324,Internal_lists_bugs!$A$2:$C$73,3,FALSE())&amp;Char(10) &amp; Char(10) &amp; VLOOKUP(A324,Internal_lists_bugs!$A$2:$Z$73,26,FALSE())),"please select a BUG ID")</f>
        <v>please select a BUG ID</v>
      </c>
      <c r="C324" s="51" t="str">
        <f>IFERROR(__xludf.DUMMYFUNCTION("IFERROR(IF(REGEXMATCH(VLOOKUP(A324,Internal_lists_bugs!$A$2:$R$73,18,FALSE()), ""Yes""), VLOOKUP(A324,Internal_lists_bugs!$A$2:$U$73,21,FALSE()), VLOOKUP(A324,Internal_lists_bugs!$A$2:$R$73,18,FALSE())),""please select a BUG ID"")"),"please select a BUG ID")</f>
        <v>please select a BUG ID</v>
      </c>
      <c r="D324" s="43"/>
      <c r="F324" s="62"/>
      <c r="G324" s="63"/>
      <c r="H324" s="43"/>
      <c r="J324" s="62"/>
      <c r="K324" s="63"/>
    </row>
    <row r="325">
      <c r="A325" s="71"/>
      <c r="B325" s="59" t="str">
        <f>IFERROR(HYPERLINK(VLOOKUP(A325,Internal_lists_bugs!$A$2:$C$73,3,FALSE()), VLOOKUP(A325,Internal_lists_bugs!$A$2:$C$73,3,FALSE())&amp;Char(10) &amp; Char(10) &amp; VLOOKUP(A325,Internal_lists_bugs!$A$2:$Z$73,26,FALSE())),"please select a BUG ID")</f>
        <v>please select a BUG ID</v>
      </c>
      <c r="C325" s="51" t="str">
        <f>IFERROR(__xludf.DUMMYFUNCTION("IFERROR(IF(REGEXMATCH(VLOOKUP(A325,Internal_lists_bugs!$A$2:$R$73,18,FALSE()), ""Yes""), VLOOKUP(A325,Internal_lists_bugs!$A$2:$U$73,21,FALSE()), VLOOKUP(A325,Internal_lists_bugs!$A$2:$R$73,18,FALSE())),""please select a BUG ID"")"),"please select a BUG ID")</f>
        <v>please select a BUG ID</v>
      </c>
      <c r="D325" s="43"/>
      <c r="F325" s="62"/>
      <c r="G325" s="63"/>
      <c r="H325" s="43"/>
      <c r="J325" s="62"/>
      <c r="K325" s="63"/>
    </row>
    <row r="326">
      <c r="A326" s="71"/>
      <c r="B326" s="59" t="str">
        <f>IFERROR(HYPERLINK(VLOOKUP(A326,Internal_lists_bugs!$A$2:$C$73,3,FALSE()), VLOOKUP(A326,Internal_lists_bugs!$A$2:$C$73,3,FALSE())&amp;Char(10) &amp; Char(10) &amp; VLOOKUP(A326,Internal_lists_bugs!$A$2:$Z$73,26,FALSE())),"please select a BUG ID")</f>
        <v>please select a BUG ID</v>
      </c>
      <c r="C326" s="51" t="str">
        <f>IFERROR(__xludf.DUMMYFUNCTION("IFERROR(IF(REGEXMATCH(VLOOKUP(A326,Internal_lists_bugs!$A$2:$R$73,18,FALSE()), ""Yes""), VLOOKUP(A326,Internal_lists_bugs!$A$2:$U$73,21,FALSE()), VLOOKUP(A326,Internal_lists_bugs!$A$2:$R$73,18,FALSE())),""please select a BUG ID"")"),"please select a BUG ID")</f>
        <v>please select a BUG ID</v>
      </c>
      <c r="D326" s="43"/>
      <c r="F326" s="62"/>
      <c r="G326" s="63"/>
      <c r="H326" s="43"/>
      <c r="J326" s="62"/>
      <c r="K326" s="63"/>
    </row>
    <row r="327">
      <c r="A327" s="71"/>
      <c r="B327" s="59" t="str">
        <f>IFERROR(HYPERLINK(VLOOKUP(A327,Internal_lists_bugs!$A$2:$C$73,3,FALSE()), VLOOKUP(A327,Internal_lists_bugs!$A$2:$C$73,3,FALSE())&amp;Char(10) &amp; Char(10) &amp; VLOOKUP(A327,Internal_lists_bugs!$A$2:$Z$73,26,FALSE())),"please select a BUG ID")</f>
        <v>please select a BUG ID</v>
      </c>
      <c r="C327" s="51" t="str">
        <f>IFERROR(__xludf.DUMMYFUNCTION("IFERROR(IF(REGEXMATCH(VLOOKUP(A327,Internal_lists_bugs!$A$2:$R$73,18,FALSE()), ""Yes""), VLOOKUP(A327,Internal_lists_bugs!$A$2:$U$73,21,FALSE()), VLOOKUP(A327,Internal_lists_bugs!$A$2:$R$73,18,FALSE())),""please select a BUG ID"")"),"please select a BUG ID")</f>
        <v>please select a BUG ID</v>
      </c>
      <c r="D327" s="43"/>
      <c r="F327" s="62"/>
      <c r="G327" s="63"/>
      <c r="H327" s="43"/>
      <c r="J327" s="62"/>
      <c r="K327" s="63"/>
    </row>
    <row r="328">
      <c r="A328" s="71"/>
      <c r="B328" s="59" t="str">
        <f>IFERROR(HYPERLINK(VLOOKUP(A328,Internal_lists_bugs!$A$2:$C$73,3,FALSE()), VLOOKUP(A328,Internal_lists_bugs!$A$2:$C$73,3,FALSE())&amp;Char(10) &amp; Char(10) &amp; VLOOKUP(A328,Internal_lists_bugs!$A$2:$Z$73,26,FALSE())),"please select a BUG ID")</f>
        <v>please select a BUG ID</v>
      </c>
      <c r="C328" s="51" t="str">
        <f>IFERROR(__xludf.DUMMYFUNCTION("IFERROR(IF(REGEXMATCH(VLOOKUP(A328,Internal_lists_bugs!$A$2:$R$73,18,FALSE()), ""Yes""), VLOOKUP(A328,Internal_lists_bugs!$A$2:$U$73,21,FALSE()), VLOOKUP(A328,Internal_lists_bugs!$A$2:$R$73,18,FALSE())),""please select a BUG ID"")"),"please select a BUG ID")</f>
        <v>please select a BUG ID</v>
      </c>
      <c r="D328" s="43"/>
      <c r="F328" s="62"/>
      <c r="G328" s="63"/>
      <c r="H328" s="43"/>
      <c r="J328" s="62"/>
      <c r="K328" s="63"/>
    </row>
    <row r="329">
      <c r="A329" s="71"/>
      <c r="B329" s="59" t="str">
        <f>IFERROR(HYPERLINK(VLOOKUP(A329,Internal_lists_bugs!$A$2:$C$73,3,FALSE()), VLOOKUP(A329,Internal_lists_bugs!$A$2:$C$73,3,FALSE())&amp;Char(10) &amp; Char(10) &amp; VLOOKUP(A329,Internal_lists_bugs!$A$2:$Z$73,26,FALSE())),"please select a BUG ID")</f>
        <v>please select a BUG ID</v>
      </c>
      <c r="C329" s="51" t="str">
        <f>IFERROR(__xludf.DUMMYFUNCTION("IFERROR(IF(REGEXMATCH(VLOOKUP(A329,Internal_lists_bugs!$A$2:$R$73,18,FALSE()), ""Yes""), VLOOKUP(A329,Internal_lists_bugs!$A$2:$U$73,21,FALSE()), VLOOKUP(A329,Internal_lists_bugs!$A$2:$R$73,18,FALSE())),""please select a BUG ID"")"),"please select a BUG ID")</f>
        <v>please select a BUG ID</v>
      </c>
      <c r="D329" s="43"/>
      <c r="F329" s="62"/>
      <c r="G329" s="63"/>
      <c r="H329" s="43"/>
      <c r="J329" s="62"/>
      <c r="K329" s="63"/>
    </row>
    <row r="330">
      <c r="A330" s="71"/>
      <c r="B330" s="59" t="str">
        <f>IFERROR(HYPERLINK(VLOOKUP(A330,Internal_lists_bugs!$A$2:$C$73,3,FALSE()), VLOOKUP(A330,Internal_lists_bugs!$A$2:$C$73,3,FALSE())&amp;Char(10) &amp; Char(10) &amp; VLOOKUP(A330,Internal_lists_bugs!$A$2:$Z$73,26,FALSE())),"please select a BUG ID")</f>
        <v>please select a BUG ID</v>
      </c>
      <c r="C330" s="51" t="str">
        <f>IFERROR(__xludf.DUMMYFUNCTION("IFERROR(IF(REGEXMATCH(VLOOKUP(A330,Internal_lists_bugs!$A$2:$R$73,18,FALSE()), ""Yes""), VLOOKUP(A330,Internal_lists_bugs!$A$2:$U$73,21,FALSE()), VLOOKUP(A330,Internal_lists_bugs!$A$2:$R$73,18,FALSE())),""please select a BUG ID"")"),"please select a BUG ID")</f>
        <v>please select a BUG ID</v>
      </c>
      <c r="D330" s="43"/>
      <c r="F330" s="62"/>
      <c r="G330" s="63"/>
      <c r="H330" s="43"/>
      <c r="J330" s="62"/>
      <c r="K330" s="63"/>
    </row>
    <row r="331">
      <c r="A331" s="71"/>
      <c r="B331" s="59" t="str">
        <f>IFERROR(HYPERLINK(VLOOKUP(A331,Internal_lists_bugs!$A$2:$C$73,3,FALSE()), VLOOKUP(A331,Internal_lists_bugs!$A$2:$C$73,3,FALSE())&amp;Char(10) &amp; Char(10) &amp; VLOOKUP(A331,Internal_lists_bugs!$A$2:$Z$73,26,FALSE())),"please select a BUG ID")</f>
        <v>please select a BUG ID</v>
      </c>
      <c r="C331" s="51" t="str">
        <f>IFERROR(__xludf.DUMMYFUNCTION("IFERROR(IF(REGEXMATCH(VLOOKUP(A331,Internal_lists_bugs!$A$2:$R$73,18,FALSE()), ""Yes""), VLOOKUP(A331,Internal_lists_bugs!$A$2:$U$73,21,FALSE()), VLOOKUP(A331,Internal_lists_bugs!$A$2:$R$73,18,FALSE())),""please select a BUG ID"")"),"please select a BUG ID")</f>
        <v>please select a BUG ID</v>
      </c>
      <c r="D331" s="43"/>
      <c r="F331" s="60"/>
      <c r="G331" s="63"/>
      <c r="H331" s="43"/>
      <c r="J331" s="60"/>
      <c r="K331" s="63"/>
    </row>
    <row r="332">
      <c r="A332" s="71"/>
      <c r="B332" s="59" t="str">
        <f>IFERROR(HYPERLINK(VLOOKUP(A332,Internal_lists_bugs!$A$2:$C$73,3,FALSE()), VLOOKUP(A332,Internal_lists_bugs!$A$2:$C$73,3,FALSE())&amp;Char(10) &amp; Char(10) &amp; VLOOKUP(A332,Internal_lists_bugs!$A$2:$Z$73,26,FALSE())),"please select a BUG ID")</f>
        <v>please select a BUG ID</v>
      </c>
      <c r="C332" s="51" t="str">
        <f>IFERROR(__xludf.DUMMYFUNCTION("IFERROR(IF(REGEXMATCH(VLOOKUP(A332,Internal_lists_bugs!$A$2:$R$73,18,FALSE()), ""Yes""), VLOOKUP(A332,Internal_lists_bugs!$A$2:$U$73,21,FALSE()), VLOOKUP(A332,Internal_lists_bugs!$A$2:$R$73,18,FALSE())),""please select a BUG ID"")"),"please select a BUG ID")</f>
        <v>please select a BUG ID</v>
      </c>
      <c r="D332" s="43"/>
      <c r="F332" s="62"/>
      <c r="G332" s="63"/>
      <c r="H332" s="43"/>
      <c r="J332" s="62"/>
      <c r="K332" s="63"/>
    </row>
    <row r="333">
      <c r="A333" s="71"/>
      <c r="B333" s="59" t="str">
        <f>IFERROR(HYPERLINK(VLOOKUP(A333,Internal_lists_bugs!$A$2:$C$73,3,FALSE()), VLOOKUP(A333,Internal_lists_bugs!$A$2:$C$73,3,FALSE())&amp;Char(10) &amp; Char(10) &amp; VLOOKUP(A333,Internal_lists_bugs!$A$2:$Z$73,26,FALSE())),"please select a BUG ID")</f>
        <v>please select a BUG ID</v>
      </c>
      <c r="C333" s="51" t="str">
        <f>IFERROR(__xludf.DUMMYFUNCTION("IFERROR(IF(REGEXMATCH(VLOOKUP(A333,Internal_lists_bugs!$A$2:$R$73,18,FALSE()), ""Yes""), VLOOKUP(A333,Internal_lists_bugs!$A$2:$U$73,21,FALSE()), VLOOKUP(A333,Internal_lists_bugs!$A$2:$R$73,18,FALSE())),""please select a BUG ID"")"),"please select a BUG ID")</f>
        <v>please select a BUG ID</v>
      </c>
      <c r="D333" s="43"/>
      <c r="F333" s="62"/>
      <c r="G333" s="63"/>
      <c r="H333" s="43"/>
      <c r="J333" s="62"/>
      <c r="K333" s="63"/>
    </row>
    <row r="334">
      <c r="A334" s="71"/>
      <c r="B334" s="59" t="str">
        <f>IFERROR(HYPERLINK(VLOOKUP(A334,Internal_lists_bugs!$A$2:$C$73,3,FALSE()), VLOOKUP(A334,Internal_lists_bugs!$A$2:$C$73,3,FALSE())&amp;Char(10) &amp; Char(10) &amp; VLOOKUP(A334,Internal_lists_bugs!$A$2:$Z$73,26,FALSE())),"please select a BUG ID")</f>
        <v>please select a BUG ID</v>
      </c>
      <c r="C334" s="51" t="str">
        <f>IFERROR(__xludf.DUMMYFUNCTION("IFERROR(IF(REGEXMATCH(VLOOKUP(A334,Internal_lists_bugs!$A$2:$R$73,18,FALSE()), ""Yes""), VLOOKUP(A334,Internal_lists_bugs!$A$2:$U$73,21,FALSE()), VLOOKUP(A334,Internal_lists_bugs!$A$2:$R$73,18,FALSE())),""please select a BUG ID"")"),"please select a BUG ID")</f>
        <v>please select a BUG ID</v>
      </c>
      <c r="D334" s="43"/>
      <c r="F334" s="62"/>
      <c r="G334" s="63"/>
      <c r="H334" s="43"/>
      <c r="J334" s="62"/>
      <c r="K334" s="63"/>
    </row>
    <row r="335">
      <c r="A335" s="71"/>
      <c r="B335" s="59" t="str">
        <f>IFERROR(HYPERLINK(VLOOKUP(A335,Internal_lists_bugs!$A$2:$C$73,3,FALSE()), VLOOKUP(A335,Internal_lists_bugs!$A$2:$C$73,3,FALSE())&amp;Char(10) &amp; Char(10) &amp; VLOOKUP(A335,Internal_lists_bugs!$A$2:$Z$73,26,FALSE())),"please select a BUG ID")</f>
        <v>please select a BUG ID</v>
      </c>
      <c r="C335" s="51" t="str">
        <f>IFERROR(__xludf.DUMMYFUNCTION("IFERROR(IF(REGEXMATCH(VLOOKUP(A335,Internal_lists_bugs!$A$2:$R$73,18,FALSE()), ""Yes""), VLOOKUP(A335,Internal_lists_bugs!$A$2:$U$73,21,FALSE()), VLOOKUP(A335,Internal_lists_bugs!$A$2:$R$73,18,FALSE())),""please select a BUG ID"")"),"please select a BUG ID")</f>
        <v>please select a BUG ID</v>
      </c>
      <c r="D335" s="43"/>
      <c r="F335" s="62"/>
      <c r="G335" s="63"/>
      <c r="H335" s="43"/>
      <c r="J335" s="62"/>
      <c r="K335" s="63"/>
    </row>
    <row r="336">
      <c r="A336" s="71"/>
      <c r="B336" s="59" t="str">
        <f>IFERROR(HYPERLINK(VLOOKUP(A336,Internal_lists_bugs!$A$2:$C$73,3,FALSE()), VLOOKUP(A336,Internal_lists_bugs!$A$2:$C$73,3,FALSE())&amp;Char(10) &amp; Char(10) &amp; VLOOKUP(A336,Internal_lists_bugs!$A$2:$Z$73,26,FALSE())),"please select a BUG ID")</f>
        <v>please select a BUG ID</v>
      </c>
      <c r="C336" s="51" t="str">
        <f>IFERROR(__xludf.DUMMYFUNCTION("IFERROR(IF(REGEXMATCH(VLOOKUP(A336,Internal_lists_bugs!$A$2:$R$73,18,FALSE()), ""Yes""), VLOOKUP(A336,Internal_lists_bugs!$A$2:$U$73,21,FALSE()), VLOOKUP(A336,Internal_lists_bugs!$A$2:$R$73,18,FALSE())),""please select a BUG ID"")"),"please select a BUG ID")</f>
        <v>please select a BUG ID</v>
      </c>
      <c r="D336" s="43"/>
      <c r="F336" s="62"/>
      <c r="G336" s="63"/>
      <c r="H336" s="43"/>
      <c r="J336" s="62"/>
      <c r="K336" s="63"/>
    </row>
    <row r="337">
      <c r="A337" s="71"/>
      <c r="B337" s="59" t="str">
        <f>IFERROR(HYPERLINK(VLOOKUP(A337,Internal_lists_bugs!$A$2:$C$73,3,FALSE()), VLOOKUP(A337,Internal_lists_bugs!$A$2:$C$73,3,FALSE())&amp;Char(10) &amp; Char(10) &amp; VLOOKUP(A337,Internal_lists_bugs!$A$2:$Z$73,26,FALSE())),"please select a BUG ID")</f>
        <v>please select a BUG ID</v>
      </c>
      <c r="C337" s="51" t="str">
        <f>IFERROR(__xludf.DUMMYFUNCTION("IFERROR(IF(REGEXMATCH(VLOOKUP(A337,Internal_lists_bugs!$A$2:$R$73,18,FALSE()), ""Yes""), VLOOKUP(A337,Internal_lists_bugs!$A$2:$U$73,21,FALSE()), VLOOKUP(A337,Internal_lists_bugs!$A$2:$R$73,18,FALSE())),""please select a BUG ID"")"),"please select a BUG ID")</f>
        <v>please select a BUG ID</v>
      </c>
      <c r="D337" s="43"/>
      <c r="F337" s="62"/>
      <c r="G337" s="63"/>
      <c r="H337" s="43"/>
      <c r="J337" s="62"/>
      <c r="K337" s="63"/>
    </row>
    <row r="338">
      <c r="A338" s="71"/>
      <c r="B338" s="59" t="str">
        <f>IFERROR(HYPERLINK(VLOOKUP(A338,Internal_lists_bugs!$A$2:$C$73,3,FALSE()), VLOOKUP(A338,Internal_lists_bugs!$A$2:$C$73,3,FALSE())&amp;Char(10) &amp; Char(10) &amp; VLOOKUP(A338,Internal_lists_bugs!$A$2:$Z$73,26,FALSE())),"please select a BUG ID")</f>
        <v>please select a BUG ID</v>
      </c>
      <c r="C338" s="51" t="str">
        <f>IFERROR(__xludf.DUMMYFUNCTION("IFERROR(IF(REGEXMATCH(VLOOKUP(A338,Internal_lists_bugs!$A$2:$R$73,18,FALSE()), ""Yes""), VLOOKUP(A338,Internal_lists_bugs!$A$2:$U$73,21,FALSE()), VLOOKUP(A338,Internal_lists_bugs!$A$2:$R$73,18,FALSE())),""please select a BUG ID"")"),"please select a BUG ID")</f>
        <v>please select a BUG ID</v>
      </c>
      <c r="D338" s="43"/>
      <c r="F338" s="62"/>
      <c r="G338" s="63"/>
      <c r="H338" s="43"/>
      <c r="J338" s="62"/>
      <c r="K338" s="63"/>
    </row>
    <row r="339">
      <c r="A339" s="71"/>
      <c r="B339" s="59" t="str">
        <f>IFERROR(HYPERLINK(VLOOKUP(A339,Internal_lists_bugs!$A$2:$C$73,3,FALSE()), VLOOKUP(A339,Internal_lists_bugs!$A$2:$C$73,3,FALSE())&amp;Char(10) &amp; Char(10) &amp; VLOOKUP(A339,Internal_lists_bugs!$A$2:$Z$73,26,FALSE())),"please select a BUG ID")</f>
        <v>please select a BUG ID</v>
      </c>
      <c r="C339" s="51" t="str">
        <f>IFERROR(__xludf.DUMMYFUNCTION("IFERROR(IF(REGEXMATCH(VLOOKUP(A339,Internal_lists_bugs!$A$2:$R$73,18,FALSE()), ""Yes""), VLOOKUP(A339,Internal_lists_bugs!$A$2:$U$73,21,FALSE()), VLOOKUP(A339,Internal_lists_bugs!$A$2:$R$73,18,FALSE())),""please select a BUG ID"")"),"please select a BUG ID")</f>
        <v>please select a BUG ID</v>
      </c>
      <c r="D339" s="43"/>
      <c r="F339" s="62"/>
      <c r="G339" s="63"/>
      <c r="H339" s="43"/>
      <c r="J339" s="62"/>
      <c r="K339" s="63"/>
    </row>
    <row r="340">
      <c r="A340" s="71"/>
      <c r="B340" s="59" t="str">
        <f>IFERROR(HYPERLINK(VLOOKUP(A340,Internal_lists_bugs!$A$2:$C$73,3,FALSE()), VLOOKUP(A340,Internal_lists_bugs!$A$2:$C$73,3,FALSE())&amp;Char(10) &amp; Char(10) &amp; VLOOKUP(A340,Internal_lists_bugs!$A$2:$Z$73,26,FALSE())),"please select a BUG ID")</f>
        <v>please select a BUG ID</v>
      </c>
      <c r="C340" s="51" t="str">
        <f>IFERROR(__xludf.DUMMYFUNCTION("IFERROR(IF(REGEXMATCH(VLOOKUP(A340,Internal_lists_bugs!$A$2:$R$73,18,FALSE()), ""Yes""), VLOOKUP(A340,Internal_lists_bugs!$A$2:$U$73,21,FALSE()), VLOOKUP(A340,Internal_lists_bugs!$A$2:$R$73,18,FALSE())),""please select a BUG ID"")"),"please select a BUG ID")</f>
        <v>please select a BUG ID</v>
      </c>
      <c r="D340" s="43"/>
      <c r="F340" s="62"/>
      <c r="G340" s="63"/>
      <c r="H340" s="43"/>
      <c r="J340" s="62"/>
      <c r="K340" s="63"/>
    </row>
    <row r="341">
      <c r="A341" s="71"/>
      <c r="B341" s="59" t="str">
        <f>IFERROR(HYPERLINK(VLOOKUP(A341,Internal_lists_bugs!$A$2:$C$73,3,FALSE()), VLOOKUP(A341,Internal_lists_bugs!$A$2:$C$73,3,FALSE())&amp;Char(10) &amp; Char(10) &amp; VLOOKUP(A341,Internal_lists_bugs!$A$2:$Z$73,26,FALSE())),"please select a BUG ID")</f>
        <v>please select a BUG ID</v>
      </c>
      <c r="C341" s="51" t="str">
        <f>IFERROR(__xludf.DUMMYFUNCTION("IFERROR(IF(REGEXMATCH(VLOOKUP(A341,Internal_lists_bugs!$A$2:$R$73,18,FALSE()), ""Yes""), VLOOKUP(A341,Internal_lists_bugs!$A$2:$U$73,21,FALSE()), VLOOKUP(A341,Internal_lists_bugs!$A$2:$R$73,18,FALSE())),""please select a BUG ID"")"),"please select a BUG ID")</f>
        <v>please select a BUG ID</v>
      </c>
      <c r="D341" s="43"/>
      <c r="F341" s="62"/>
      <c r="G341" s="63"/>
      <c r="H341" s="43"/>
      <c r="J341" s="62"/>
      <c r="K341" s="63"/>
    </row>
    <row r="342">
      <c r="A342" s="71"/>
      <c r="B342" s="59" t="str">
        <f>IFERROR(HYPERLINK(VLOOKUP(A342,Internal_lists_bugs!$A$2:$C$73,3,FALSE()), VLOOKUP(A342,Internal_lists_bugs!$A$2:$C$73,3,FALSE())&amp;Char(10) &amp; Char(10) &amp; VLOOKUP(A342,Internal_lists_bugs!$A$2:$Z$73,26,FALSE())),"please select a BUG ID")</f>
        <v>please select a BUG ID</v>
      </c>
      <c r="C342" s="51" t="str">
        <f>IFERROR(__xludf.DUMMYFUNCTION("IFERROR(IF(REGEXMATCH(VLOOKUP(A342,Internal_lists_bugs!$A$2:$R$73,18,FALSE()), ""Yes""), VLOOKUP(A342,Internal_lists_bugs!$A$2:$U$73,21,FALSE()), VLOOKUP(A342,Internal_lists_bugs!$A$2:$R$73,18,FALSE())),""please select a BUG ID"")"),"please select a BUG ID")</f>
        <v>please select a BUG ID</v>
      </c>
      <c r="D342" s="43"/>
      <c r="F342" s="62"/>
      <c r="G342" s="63"/>
      <c r="H342" s="43"/>
      <c r="J342" s="62"/>
      <c r="K342" s="63"/>
    </row>
    <row r="343">
      <c r="A343" s="71"/>
      <c r="B343" s="59" t="str">
        <f>IFERROR(HYPERLINK(VLOOKUP(A343,Internal_lists_bugs!$A$2:$C$73,3,FALSE()), VLOOKUP(A343,Internal_lists_bugs!$A$2:$C$73,3,FALSE())&amp;Char(10) &amp; Char(10) &amp; VLOOKUP(A343,Internal_lists_bugs!$A$2:$Z$73,26,FALSE())),"please select a BUG ID")</f>
        <v>please select a BUG ID</v>
      </c>
      <c r="C343" s="51" t="str">
        <f>IFERROR(__xludf.DUMMYFUNCTION("IFERROR(IF(REGEXMATCH(VLOOKUP(A343,Internal_lists_bugs!$A$2:$R$73,18,FALSE()), ""Yes""), VLOOKUP(A343,Internal_lists_bugs!$A$2:$U$73,21,FALSE()), VLOOKUP(A343,Internal_lists_bugs!$A$2:$R$73,18,FALSE())),""please select a BUG ID"")"),"please select a BUG ID")</f>
        <v>please select a BUG ID</v>
      </c>
      <c r="D343" s="43"/>
      <c r="F343" s="62"/>
      <c r="G343" s="63"/>
      <c r="H343" s="43"/>
      <c r="J343" s="60"/>
      <c r="K343" s="63"/>
    </row>
    <row r="344">
      <c r="A344" s="71"/>
      <c r="B344" s="59" t="str">
        <f>IFERROR(HYPERLINK(VLOOKUP(A344,Internal_lists_bugs!$A$2:$C$73,3,FALSE()), VLOOKUP(A344,Internal_lists_bugs!$A$2:$C$73,3,FALSE())&amp;Char(10) &amp; Char(10) &amp; VLOOKUP(A344,Internal_lists_bugs!$A$2:$Z$73,26,FALSE())),"please select a BUG ID")</f>
        <v>please select a BUG ID</v>
      </c>
      <c r="C344" s="51" t="str">
        <f>IFERROR(__xludf.DUMMYFUNCTION("IFERROR(IF(REGEXMATCH(VLOOKUP(A344,Internal_lists_bugs!$A$2:$R$73,18,FALSE()), ""Yes""), VLOOKUP(A344,Internal_lists_bugs!$A$2:$U$73,21,FALSE()), VLOOKUP(A344,Internal_lists_bugs!$A$2:$R$73,18,FALSE())),""please select a BUG ID"")"),"please select a BUG ID")</f>
        <v>please select a BUG ID</v>
      </c>
      <c r="D344" s="43"/>
      <c r="F344" s="62"/>
      <c r="G344" s="63"/>
      <c r="H344" s="43"/>
      <c r="J344" s="62"/>
      <c r="K344" s="63"/>
    </row>
    <row r="345">
      <c r="A345" s="71"/>
      <c r="B345" s="59" t="str">
        <f>IFERROR(HYPERLINK(VLOOKUP(A345,Internal_lists_bugs!$A$2:$C$73,3,FALSE()), VLOOKUP(A345,Internal_lists_bugs!$A$2:$C$73,3,FALSE())&amp;Char(10) &amp; Char(10) &amp; VLOOKUP(A345,Internal_lists_bugs!$A$2:$Z$73,26,FALSE())),"please select a BUG ID")</f>
        <v>please select a BUG ID</v>
      </c>
      <c r="C345" s="51" t="str">
        <f>IFERROR(__xludf.DUMMYFUNCTION("IFERROR(IF(REGEXMATCH(VLOOKUP(A345,Internal_lists_bugs!$A$2:$R$73,18,FALSE()), ""Yes""), VLOOKUP(A345,Internal_lists_bugs!$A$2:$U$73,21,FALSE()), VLOOKUP(A345,Internal_lists_bugs!$A$2:$R$73,18,FALSE())),""please select a BUG ID"")"),"please select a BUG ID")</f>
        <v>please select a BUG ID</v>
      </c>
      <c r="D345" s="43"/>
      <c r="F345" s="62"/>
      <c r="G345" s="63"/>
      <c r="H345" s="43"/>
      <c r="J345" s="62"/>
      <c r="K345" s="63"/>
    </row>
    <row r="346">
      <c r="A346" s="71"/>
      <c r="B346" s="59" t="str">
        <f>IFERROR(HYPERLINK(VLOOKUP(A346,Internal_lists_bugs!$A$2:$C$73,3,FALSE()), VLOOKUP(A346,Internal_lists_bugs!$A$2:$C$73,3,FALSE())&amp;Char(10) &amp; Char(10) &amp; VLOOKUP(A346,Internal_lists_bugs!$A$2:$Z$73,26,FALSE())),"please select a BUG ID")</f>
        <v>please select a BUG ID</v>
      </c>
      <c r="C346" s="51" t="str">
        <f>IFERROR(__xludf.DUMMYFUNCTION("IFERROR(IF(REGEXMATCH(VLOOKUP(A346,Internal_lists_bugs!$A$2:$R$73,18,FALSE()), ""Yes""), VLOOKUP(A346,Internal_lists_bugs!$A$2:$U$73,21,FALSE()), VLOOKUP(A346,Internal_lists_bugs!$A$2:$R$73,18,FALSE())),""please select a BUG ID"")"),"please select a BUG ID")</f>
        <v>please select a BUG ID</v>
      </c>
      <c r="D346" s="43"/>
      <c r="F346" s="62"/>
      <c r="G346" s="63"/>
      <c r="H346" s="43"/>
      <c r="J346" s="62"/>
      <c r="K346" s="63"/>
    </row>
    <row r="347">
      <c r="A347" s="71"/>
      <c r="B347" s="59" t="str">
        <f>IFERROR(HYPERLINK(VLOOKUP(A347,Internal_lists_bugs!$A$2:$C$73,3,FALSE()), VLOOKUP(A347,Internal_lists_bugs!$A$2:$C$73,3,FALSE())&amp;Char(10) &amp; Char(10) &amp; VLOOKUP(A347,Internal_lists_bugs!$A$2:$Z$73,26,FALSE())),"please select a BUG ID")</f>
        <v>please select a BUG ID</v>
      </c>
      <c r="C347" s="51" t="str">
        <f>IFERROR(__xludf.DUMMYFUNCTION("IFERROR(IF(REGEXMATCH(VLOOKUP(A347,Internal_lists_bugs!$A$2:$R$73,18,FALSE()), ""Yes""), VLOOKUP(A347,Internal_lists_bugs!$A$2:$U$73,21,FALSE()), VLOOKUP(A347,Internal_lists_bugs!$A$2:$R$73,18,FALSE())),""please select a BUG ID"")"),"please select a BUG ID")</f>
        <v>please select a BUG ID</v>
      </c>
      <c r="D347" s="43"/>
      <c r="F347" s="62"/>
      <c r="G347" s="63"/>
      <c r="H347" s="43"/>
      <c r="J347" s="62"/>
      <c r="K347" s="63"/>
    </row>
    <row r="348">
      <c r="A348" s="71"/>
      <c r="B348" s="59" t="str">
        <f>IFERROR(HYPERLINK(VLOOKUP(A348,Internal_lists_bugs!$A$2:$C$73,3,FALSE()), VLOOKUP(A348,Internal_lists_bugs!$A$2:$C$73,3,FALSE())&amp;Char(10) &amp; Char(10) &amp; VLOOKUP(A348,Internal_lists_bugs!$A$2:$Z$73,26,FALSE())),"please select a BUG ID")</f>
        <v>please select a BUG ID</v>
      </c>
      <c r="C348" s="51" t="str">
        <f>IFERROR(__xludf.DUMMYFUNCTION("IFERROR(IF(REGEXMATCH(VLOOKUP(A348,Internal_lists_bugs!$A$2:$R$73,18,FALSE()), ""Yes""), VLOOKUP(A348,Internal_lists_bugs!$A$2:$U$73,21,FALSE()), VLOOKUP(A348,Internal_lists_bugs!$A$2:$R$73,18,FALSE())),""please select a BUG ID"")"),"please select a BUG ID")</f>
        <v>please select a BUG ID</v>
      </c>
      <c r="D348" s="43"/>
      <c r="F348" s="62"/>
      <c r="G348" s="63"/>
      <c r="H348" s="43"/>
      <c r="J348" s="62"/>
      <c r="K348" s="63"/>
    </row>
    <row r="349">
      <c r="A349" s="71"/>
      <c r="B349" s="59" t="str">
        <f>IFERROR(HYPERLINK(VLOOKUP(A349,Internal_lists_bugs!$A$2:$C$73,3,FALSE()), VLOOKUP(A349,Internal_lists_bugs!$A$2:$C$73,3,FALSE())&amp;Char(10) &amp; Char(10) &amp; VLOOKUP(A349,Internal_lists_bugs!$A$2:$Z$73,26,FALSE())),"please select a BUG ID")</f>
        <v>please select a BUG ID</v>
      </c>
      <c r="C349" s="51" t="str">
        <f>IFERROR(__xludf.DUMMYFUNCTION("IFERROR(IF(REGEXMATCH(VLOOKUP(A349,Internal_lists_bugs!$A$2:$R$73,18,FALSE()), ""Yes""), VLOOKUP(A349,Internal_lists_bugs!$A$2:$U$73,21,FALSE()), VLOOKUP(A349,Internal_lists_bugs!$A$2:$R$73,18,FALSE())),""please select a BUG ID"")"),"please select a BUG ID")</f>
        <v>please select a BUG ID</v>
      </c>
      <c r="D349" s="43"/>
      <c r="F349" s="62"/>
      <c r="G349" s="63"/>
      <c r="H349" s="43"/>
      <c r="J349" s="62"/>
      <c r="K349" s="63"/>
    </row>
    <row r="350">
      <c r="A350" s="71"/>
      <c r="B350" s="59" t="str">
        <f>IFERROR(HYPERLINK(VLOOKUP(A350,Internal_lists_bugs!$A$2:$C$73,3,FALSE()), VLOOKUP(A350,Internal_lists_bugs!$A$2:$C$73,3,FALSE())&amp;Char(10) &amp; Char(10) &amp; VLOOKUP(A350,Internal_lists_bugs!$A$2:$Z$73,26,FALSE())),"please select a BUG ID")</f>
        <v>please select a BUG ID</v>
      </c>
      <c r="C350" s="51" t="str">
        <f>IFERROR(__xludf.DUMMYFUNCTION("IFERROR(IF(REGEXMATCH(VLOOKUP(A350,Internal_lists_bugs!$A$2:$R$73,18,FALSE()), ""Yes""), VLOOKUP(A350,Internal_lists_bugs!$A$2:$U$73,21,FALSE()), VLOOKUP(A350,Internal_lists_bugs!$A$2:$R$73,18,FALSE())),""please select a BUG ID"")"),"please select a BUG ID")</f>
        <v>please select a BUG ID</v>
      </c>
      <c r="D350" s="43"/>
      <c r="E350" s="74"/>
      <c r="F350" s="62"/>
      <c r="G350" s="63"/>
      <c r="H350" s="43"/>
      <c r="J350" s="62"/>
      <c r="K350" s="63"/>
    </row>
    <row r="351">
      <c r="A351" s="71"/>
      <c r="B351" s="59" t="str">
        <f>IFERROR(HYPERLINK(VLOOKUP(A351,Internal_lists_bugs!$A$2:$C$73,3,FALSE()), VLOOKUP(A351,Internal_lists_bugs!$A$2:$C$73,3,FALSE())&amp;Char(10) &amp; Char(10) &amp; VLOOKUP(A351,Internal_lists_bugs!$A$2:$Z$73,26,FALSE())),"please select a BUG ID")</f>
        <v>please select a BUG ID</v>
      </c>
      <c r="C351" s="51" t="str">
        <f>IFERROR(__xludf.DUMMYFUNCTION("IFERROR(IF(REGEXMATCH(VLOOKUP(A351,Internal_lists_bugs!$A$2:$R$73,18,FALSE()), ""Yes""), VLOOKUP(A351,Internal_lists_bugs!$A$2:$U$73,21,FALSE()), VLOOKUP(A351,Internal_lists_bugs!$A$2:$R$73,18,FALSE())),""please select a BUG ID"")"),"please select a BUG ID")</f>
        <v>please select a BUG ID</v>
      </c>
      <c r="D351" s="43"/>
      <c r="F351" s="62"/>
      <c r="G351" s="63"/>
      <c r="H351" s="43"/>
      <c r="J351" s="62"/>
      <c r="K351" s="63"/>
    </row>
    <row r="352">
      <c r="A352" s="71"/>
      <c r="B352" s="59" t="str">
        <f>IFERROR(HYPERLINK(VLOOKUP(A352,Internal_lists_bugs!$A$2:$C$73,3,FALSE()), VLOOKUP(A352,Internal_lists_bugs!$A$2:$C$73,3,FALSE())&amp;Char(10) &amp; Char(10) &amp; VLOOKUP(A352,Internal_lists_bugs!$A$2:$Z$73,26,FALSE())),"please select a BUG ID")</f>
        <v>please select a BUG ID</v>
      </c>
      <c r="C352" s="51" t="str">
        <f>IFERROR(__xludf.DUMMYFUNCTION("IFERROR(IF(REGEXMATCH(VLOOKUP(A352,Internal_lists_bugs!$A$2:$R$73,18,FALSE()), ""Yes""), VLOOKUP(A352,Internal_lists_bugs!$A$2:$U$73,21,FALSE()), VLOOKUP(A352,Internal_lists_bugs!$A$2:$R$73,18,FALSE())),""please select a BUG ID"")"),"please select a BUG ID")</f>
        <v>please select a BUG ID</v>
      </c>
      <c r="D352" s="43"/>
      <c r="F352" s="62"/>
      <c r="G352" s="63"/>
      <c r="H352" s="43"/>
      <c r="J352" s="62"/>
      <c r="K352" s="63"/>
    </row>
    <row r="353">
      <c r="A353" s="71"/>
      <c r="B353" s="59" t="str">
        <f>IFERROR(HYPERLINK(VLOOKUP(A353,Internal_lists_bugs!$A$2:$C$73,3,FALSE()), VLOOKUP(A353,Internal_lists_bugs!$A$2:$C$73,3,FALSE())&amp;Char(10) &amp; Char(10) &amp; VLOOKUP(A353,Internal_lists_bugs!$A$2:$Z$73,26,FALSE())),"please select a BUG ID")</f>
        <v>please select a BUG ID</v>
      </c>
      <c r="C353" s="51" t="str">
        <f>IFERROR(__xludf.DUMMYFUNCTION("IFERROR(IF(REGEXMATCH(VLOOKUP(A353,Internal_lists_bugs!$A$2:$R$73,18,FALSE()), ""Yes""), VLOOKUP(A353,Internal_lists_bugs!$A$2:$U$73,21,FALSE()), VLOOKUP(A353,Internal_lists_bugs!$A$2:$R$73,18,FALSE())),""please select a BUG ID"")"),"please select a BUG ID")</f>
        <v>please select a BUG ID</v>
      </c>
      <c r="D353" s="43"/>
      <c r="F353" s="62"/>
      <c r="G353" s="63"/>
      <c r="H353" s="43"/>
      <c r="J353" s="62"/>
      <c r="K353" s="63"/>
    </row>
    <row r="354">
      <c r="A354" s="71"/>
      <c r="B354" s="59" t="str">
        <f>IFERROR(HYPERLINK(VLOOKUP(A354,Internal_lists_bugs!$A$2:$C$73,3,FALSE()), VLOOKUP(A354,Internal_lists_bugs!$A$2:$C$73,3,FALSE())&amp;Char(10) &amp; Char(10) &amp; VLOOKUP(A354,Internal_lists_bugs!$A$2:$Z$73,26,FALSE())),"please select a BUG ID")</f>
        <v>please select a BUG ID</v>
      </c>
      <c r="C354" s="51" t="str">
        <f>IFERROR(__xludf.DUMMYFUNCTION("IFERROR(IF(REGEXMATCH(VLOOKUP(A354,Internal_lists_bugs!$A$2:$R$73,18,FALSE()), ""Yes""), VLOOKUP(A354,Internal_lists_bugs!$A$2:$U$73,21,FALSE()), VLOOKUP(A354,Internal_lists_bugs!$A$2:$R$73,18,FALSE())),""please select a BUG ID"")"),"please select a BUG ID")</f>
        <v>please select a BUG ID</v>
      </c>
      <c r="D354" s="43"/>
      <c r="F354" s="62"/>
      <c r="G354" s="63"/>
      <c r="H354" s="43"/>
      <c r="J354" s="62"/>
      <c r="K354" s="63"/>
    </row>
    <row r="355">
      <c r="A355" s="71"/>
      <c r="B355" s="59" t="str">
        <f>IFERROR(HYPERLINK(VLOOKUP(A355,Internal_lists_bugs!$A$2:$C$73,3,FALSE()), VLOOKUP(A355,Internal_lists_bugs!$A$2:$C$73,3,FALSE())&amp;Char(10) &amp; Char(10) &amp; VLOOKUP(A355,Internal_lists_bugs!$A$2:$Z$73,26,FALSE())),"please select a BUG ID")</f>
        <v>please select a BUG ID</v>
      </c>
      <c r="C355" s="51" t="str">
        <f>IFERROR(__xludf.DUMMYFUNCTION("IFERROR(IF(REGEXMATCH(VLOOKUP(A355,Internal_lists_bugs!$A$2:$R$73,18,FALSE()), ""Yes""), VLOOKUP(A355,Internal_lists_bugs!$A$2:$U$73,21,FALSE()), VLOOKUP(A355,Internal_lists_bugs!$A$2:$R$73,18,FALSE())),""please select a BUG ID"")"),"please select a BUG ID")</f>
        <v>please select a BUG ID</v>
      </c>
      <c r="D355" s="43"/>
      <c r="F355" s="62"/>
      <c r="G355" s="63"/>
      <c r="H355" s="43"/>
      <c r="J355" s="62"/>
      <c r="K355" s="63"/>
    </row>
    <row r="356">
      <c r="A356" s="71"/>
      <c r="B356" s="59" t="str">
        <f>IFERROR(HYPERLINK(VLOOKUP(A356,Internal_lists_bugs!$A$2:$C$73,3,FALSE()), VLOOKUP(A356,Internal_lists_bugs!$A$2:$C$73,3,FALSE())&amp;Char(10) &amp; Char(10) &amp; VLOOKUP(A356,Internal_lists_bugs!$A$2:$Z$73,26,FALSE())),"please select a BUG ID")</f>
        <v>please select a BUG ID</v>
      </c>
      <c r="C356" s="51" t="str">
        <f>IFERROR(__xludf.DUMMYFUNCTION("IFERROR(IF(REGEXMATCH(VLOOKUP(A356,Internal_lists_bugs!$A$2:$R$73,18,FALSE()), ""Yes""), VLOOKUP(A356,Internal_lists_bugs!$A$2:$U$73,21,FALSE()), VLOOKUP(A356,Internal_lists_bugs!$A$2:$R$73,18,FALSE())),""please select a BUG ID"")"),"please select a BUG ID")</f>
        <v>please select a BUG ID</v>
      </c>
      <c r="D356" s="43"/>
      <c r="F356" s="62"/>
      <c r="G356" s="63"/>
      <c r="H356" s="43"/>
      <c r="J356" s="62"/>
      <c r="K356" s="63"/>
    </row>
    <row r="357">
      <c r="A357" s="71"/>
      <c r="B357" s="59" t="str">
        <f>IFERROR(HYPERLINK(VLOOKUP(A357,Internal_lists_bugs!$A$2:$C$73,3,FALSE()), VLOOKUP(A357,Internal_lists_bugs!$A$2:$C$73,3,FALSE())&amp;Char(10) &amp; Char(10) &amp; VLOOKUP(A357,Internal_lists_bugs!$A$2:$Z$73,26,FALSE())),"please select a BUG ID")</f>
        <v>please select a BUG ID</v>
      </c>
      <c r="C357" s="51" t="str">
        <f>IFERROR(__xludf.DUMMYFUNCTION("IFERROR(IF(REGEXMATCH(VLOOKUP(A357,Internal_lists_bugs!$A$2:$R$73,18,FALSE()), ""Yes""), VLOOKUP(A357,Internal_lists_bugs!$A$2:$U$73,21,FALSE()), VLOOKUP(A357,Internal_lists_bugs!$A$2:$R$73,18,FALSE())),""please select a BUG ID"")"),"please select a BUG ID")</f>
        <v>please select a BUG ID</v>
      </c>
      <c r="D357" s="43"/>
      <c r="F357" s="60"/>
      <c r="G357" s="63"/>
      <c r="H357" s="43"/>
      <c r="J357" s="60"/>
      <c r="K357" s="63"/>
    </row>
    <row r="358">
      <c r="A358" s="71"/>
      <c r="B358" s="59" t="str">
        <f>IFERROR(HYPERLINK(VLOOKUP(A358,Internal_lists_bugs!$A$2:$C$73,3,FALSE()), VLOOKUP(A358,Internal_lists_bugs!$A$2:$C$73,3,FALSE())&amp;Char(10) &amp; Char(10) &amp; VLOOKUP(A358,Internal_lists_bugs!$A$2:$Z$73,26,FALSE())),"please select a BUG ID")</f>
        <v>please select a BUG ID</v>
      </c>
      <c r="C358" s="51" t="str">
        <f>IFERROR(__xludf.DUMMYFUNCTION("IFERROR(IF(REGEXMATCH(VLOOKUP(A358,Internal_lists_bugs!$A$2:$R$73,18,FALSE()), ""Yes""), VLOOKUP(A358,Internal_lists_bugs!$A$2:$U$73,21,FALSE()), VLOOKUP(A358,Internal_lists_bugs!$A$2:$R$73,18,FALSE())),""please select a BUG ID"")"),"please select a BUG ID")</f>
        <v>please select a BUG ID</v>
      </c>
      <c r="D358" s="43"/>
      <c r="F358" s="62"/>
      <c r="G358" s="63"/>
      <c r="H358" s="43"/>
      <c r="J358" s="62"/>
      <c r="K358" s="63"/>
    </row>
    <row r="359">
      <c r="A359" s="71"/>
      <c r="B359" s="59" t="str">
        <f>IFERROR(HYPERLINK(VLOOKUP(A359,Internal_lists_bugs!$A$2:$C$73,3,FALSE()), VLOOKUP(A359,Internal_lists_bugs!$A$2:$C$73,3,FALSE())&amp;Char(10) &amp; Char(10) &amp; VLOOKUP(A359,Internal_lists_bugs!$A$2:$Z$73,26,FALSE())),"please select a BUG ID")</f>
        <v>please select a BUG ID</v>
      </c>
      <c r="C359" s="51" t="str">
        <f>IFERROR(__xludf.DUMMYFUNCTION("IFERROR(IF(REGEXMATCH(VLOOKUP(A359,Internal_lists_bugs!$A$2:$R$73,18,FALSE()), ""Yes""), VLOOKUP(A359,Internal_lists_bugs!$A$2:$U$73,21,FALSE()), VLOOKUP(A359,Internal_lists_bugs!$A$2:$R$73,18,FALSE())),""please select a BUG ID"")"),"please select a BUG ID")</f>
        <v>please select a BUG ID</v>
      </c>
      <c r="D359" s="43"/>
      <c r="F359" s="62"/>
      <c r="G359" s="63"/>
      <c r="H359" s="43"/>
      <c r="J359" s="62"/>
      <c r="K359" s="63"/>
    </row>
    <row r="360">
      <c r="A360" s="71"/>
      <c r="B360" s="59" t="str">
        <f>IFERROR(HYPERLINK(VLOOKUP(A360,Internal_lists_bugs!$A$2:$C$73,3,FALSE()), VLOOKUP(A360,Internal_lists_bugs!$A$2:$C$73,3,FALSE())&amp;Char(10) &amp; Char(10) &amp; VLOOKUP(A360,Internal_lists_bugs!$A$2:$Z$73,26,FALSE())),"please select a BUG ID")</f>
        <v>please select a BUG ID</v>
      </c>
      <c r="C360" s="51" t="str">
        <f>IFERROR(__xludf.DUMMYFUNCTION("IFERROR(IF(REGEXMATCH(VLOOKUP(A360,Internal_lists_bugs!$A$2:$R$73,18,FALSE()), ""Yes""), VLOOKUP(A360,Internal_lists_bugs!$A$2:$U$73,21,FALSE()), VLOOKUP(A360,Internal_lists_bugs!$A$2:$R$73,18,FALSE())),""please select a BUG ID"")"),"please select a BUG ID")</f>
        <v>please select a BUG ID</v>
      </c>
      <c r="D360" s="43"/>
      <c r="F360" s="62"/>
      <c r="G360" s="63"/>
      <c r="H360" s="43"/>
      <c r="J360" s="62"/>
      <c r="K360" s="63"/>
    </row>
    <row r="361">
      <c r="A361" s="71"/>
      <c r="B361" s="59" t="str">
        <f>IFERROR(HYPERLINK(VLOOKUP(A361,Internal_lists_bugs!$A$2:$C$73,3,FALSE()), VLOOKUP(A361,Internal_lists_bugs!$A$2:$C$73,3,FALSE())&amp;Char(10) &amp; Char(10) &amp; VLOOKUP(A361,Internal_lists_bugs!$A$2:$Z$73,26,FALSE())),"please select a BUG ID")</f>
        <v>please select a BUG ID</v>
      </c>
      <c r="C361" s="51" t="str">
        <f>IFERROR(__xludf.DUMMYFUNCTION("IFERROR(IF(REGEXMATCH(VLOOKUP(A361,Internal_lists_bugs!$A$2:$R$73,18,FALSE()), ""Yes""), VLOOKUP(A361,Internal_lists_bugs!$A$2:$U$73,21,FALSE()), VLOOKUP(A361,Internal_lists_bugs!$A$2:$R$73,18,FALSE())),""please select a BUG ID"")"),"please select a BUG ID")</f>
        <v>please select a BUG ID</v>
      </c>
      <c r="D361" s="43"/>
      <c r="F361" s="62"/>
      <c r="G361" s="63"/>
      <c r="H361" s="43"/>
      <c r="J361" s="62"/>
      <c r="K361" s="63"/>
    </row>
    <row r="362">
      <c r="A362" s="71"/>
      <c r="B362" s="59" t="str">
        <f>IFERROR(HYPERLINK(VLOOKUP(A362,Internal_lists_bugs!$A$2:$C$73,3,FALSE()), VLOOKUP(A362,Internal_lists_bugs!$A$2:$C$73,3,FALSE())&amp;Char(10) &amp; Char(10) &amp; VLOOKUP(A362,Internal_lists_bugs!$A$2:$Z$73,26,FALSE())),"please select a BUG ID")</f>
        <v>please select a BUG ID</v>
      </c>
      <c r="C362" s="51" t="str">
        <f>IFERROR(__xludf.DUMMYFUNCTION("IFERROR(IF(REGEXMATCH(VLOOKUP(A362,Internal_lists_bugs!$A$2:$R$73,18,FALSE()), ""Yes""), VLOOKUP(A362,Internal_lists_bugs!$A$2:$U$73,21,FALSE()), VLOOKUP(A362,Internal_lists_bugs!$A$2:$R$73,18,FALSE())),""please select a BUG ID"")"),"please select a BUG ID")</f>
        <v>please select a BUG ID</v>
      </c>
      <c r="D362" s="43"/>
      <c r="F362" s="62"/>
      <c r="G362" s="63"/>
      <c r="H362" s="43"/>
      <c r="J362" s="62"/>
      <c r="K362" s="63"/>
    </row>
    <row r="363">
      <c r="A363" s="71"/>
      <c r="B363" s="59" t="str">
        <f>IFERROR(HYPERLINK(VLOOKUP(A363,Internal_lists_bugs!$A$2:$C$73,3,FALSE()), VLOOKUP(A363,Internal_lists_bugs!$A$2:$C$73,3,FALSE())&amp;Char(10) &amp; Char(10) &amp; VLOOKUP(A363,Internal_lists_bugs!$A$2:$Z$73,26,FALSE())),"please select a BUG ID")</f>
        <v>please select a BUG ID</v>
      </c>
      <c r="C363" s="51" t="str">
        <f>IFERROR(__xludf.DUMMYFUNCTION("IFERROR(IF(REGEXMATCH(VLOOKUP(A363,Internal_lists_bugs!$A$2:$R$73,18,FALSE()), ""Yes""), VLOOKUP(A363,Internal_lists_bugs!$A$2:$U$73,21,FALSE()), VLOOKUP(A363,Internal_lists_bugs!$A$2:$R$73,18,FALSE())),""please select a BUG ID"")"),"please select a BUG ID")</f>
        <v>please select a BUG ID</v>
      </c>
      <c r="D363" s="43"/>
      <c r="E363" s="74"/>
      <c r="F363" s="62"/>
      <c r="G363" s="63"/>
      <c r="H363" s="43"/>
      <c r="J363" s="62"/>
      <c r="K363" s="63"/>
    </row>
    <row r="364">
      <c r="A364" s="71"/>
      <c r="B364" s="59" t="str">
        <f>IFERROR(HYPERLINK(VLOOKUP(A364,Internal_lists_bugs!$A$2:$C$73,3,FALSE()), VLOOKUP(A364,Internal_lists_bugs!$A$2:$C$73,3,FALSE())&amp;Char(10) &amp; Char(10) &amp; VLOOKUP(A364,Internal_lists_bugs!$A$2:$Z$73,26,FALSE())),"please select a BUG ID")</f>
        <v>please select a BUG ID</v>
      </c>
      <c r="C364" s="51" t="str">
        <f>IFERROR(__xludf.DUMMYFUNCTION("IFERROR(IF(REGEXMATCH(VLOOKUP(A364,Internal_lists_bugs!$A$2:$R$73,18,FALSE()), ""Yes""), VLOOKUP(A364,Internal_lists_bugs!$A$2:$U$73,21,FALSE()), VLOOKUP(A364,Internal_lists_bugs!$A$2:$R$73,18,FALSE())),""please select a BUG ID"")"),"please select a BUG ID")</f>
        <v>please select a BUG ID</v>
      </c>
      <c r="D364" s="43"/>
      <c r="F364" s="62"/>
      <c r="G364" s="63"/>
      <c r="H364" s="43"/>
      <c r="J364" s="62"/>
      <c r="K364" s="63"/>
    </row>
    <row r="365">
      <c r="A365" s="71"/>
      <c r="B365" s="59" t="str">
        <f>IFERROR(HYPERLINK(VLOOKUP(A365,Internal_lists_bugs!$A$2:$C$73,3,FALSE()), VLOOKUP(A365,Internal_lists_bugs!$A$2:$C$73,3,FALSE())&amp;Char(10) &amp; Char(10) &amp; VLOOKUP(A365,Internal_lists_bugs!$A$2:$Z$73,26,FALSE())),"please select a BUG ID")</f>
        <v>please select a BUG ID</v>
      </c>
      <c r="C365" s="51" t="str">
        <f>IFERROR(__xludf.DUMMYFUNCTION("IFERROR(IF(REGEXMATCH(VLOOKUP(A365,Internal_lists_bugs!$A$2:$R$73,18,FALSE()), ""Yes""), VLOOKUP(A365,Internal_lists_bugs!$A$2:$U$73,21,FALSE()), VLOOKUP(A365,Internal_lists_bugs!$A$2:$R$73,18,FALSE())),""please select a BUG ID"")"),"please select a BUG ID")</f>
        <v>please select a BUG ID</v>
      </c>
      <c r="D365" s="43"/>
      <c r="F365" s="62"/>
      <c r="G365" s="63"/>
      <c r="H365" s="43"/>
      <c r="J365" s="62"/>
      <c r="K365" s="63"/>
    </row>
    <row r="366">
      <c r="A366" s="71"/>
      <c r="B366" s="59" t="str">
        <f>IFERROR(HYPERLINK(VLOOKUP(A366,Internal_lists_bugs!$A$2:$C$73,3,FALSE()), VLOOKUP(A366,Internal_lists_bugs!$A$2:$C$73,3,FALSE())&amp;Char(10) &amp; Char(10) &amp; VLOOKUP(A366,Internal_lists_bugs!$A$2:$Z$73,26,FALSE())),"please select a BUG ID")</f>
        <v>please select a BUG ID</v>
      </c>
      <c r="C366" s="51" t="str">
        <f>IFERROR(__xludf.DUMMYFUNCTION("IFERROR(IF(REGEXMATCH(VLOOKUP(A366,Internal_lists_bugs!$A$2:$R$73,18,FALSE()), ""Yes""), VLOOKUP(A366,Internal_lists_bugs!$A$2:$U$73,21,FALSE()), VLOOKUP(A366,Internal_lists_bugs!$A$2:$R$73,18,FALSE())),""please select a BUG ID"")"),"please select a BUG ID")</f>
        <v>please select a BUG ID</v>
      </c>
      <c r="D366" s="43"/>
      <c r="F366" s="62"/>
      <c r="G366" s="63"/>
      <c r="H366" s="43"/>
      <c r="J366" s="62"/>
      <c r="K366" s="63"/>
    </row>
    <row r="367">
      <c r="A367" s="71"/>
      <c r="B367" s="59" t="str">
        <f>IFERROR(HYPERLINK(VLOOKUP(A367,Internal_lists_bugs!$A$2:$C$73,3,FALSE()), VLOOKUP(A367,Internal_lists_bugs!$A$2:$C$73,3,FALSE())&amp;Char(10) &amp; Char(10) &amp; VLOOKUP(A367,Internal_lists_bugs!$A$2:$Z$73,26,FALSE())),"please select a BUG ID")</f>
        <v>please select a BUG ID</v>
      </c>
      <c r="C367" s="51" t="str">
        <f>IFERROR(__xludf.DUMMYFUNCTION("IFERROR(IF(REGEXMATCH(VLOOKUP(A367,Internal_lists_bugs!$A$2:$R$73,18,FALSE()), ""Yes""), VLOOKUP(A367,Internal_lists_bugs!$A$2:$U$73,21,FALSE()), VLOOKUP(A367,Internal_lists_bugs!$A$2:$R$73,18,FALSE())),""please select a BUG ID"")"),"please select a BUG ID")</f>
        <v>please select a BUG ID</v>
      </c>
      <c r="D367" s="43"/>
      <c r="F367" s="62"/>
      <c r="G367" s="63"/>
      <c r="H367" s="43"/>
      <c r="J367" s="62"/>
      <c r="K367" s="63"/>
    </row>
    <row r="368">
      <c r="A368" s="71"/>
      <c r="B368" s="59" t="str">
        <f>IFERROR(HYPERLINK(VLOOKUP(A368,Internal_lists_bugs!$A$2:$C$73,3,FALSE()), VLOOKUP(A368,Internal_lists_bugs!$A$2:$C$73,3,FALSE())&amp;Char(10) &amp; Char(10) &amp; VLOOKUP(A368,Internal_lists_bugs!$A$2:$Z$73,26,FALSE())),"please select a BUG ID")</f>
        <v>please select a BUG ID</v>
      </c>
      <c r="C368" s="51" t="str">
        <f>IFERROR(__xludf.DUMMYFUNCTION("IFERROR(IF(REGEXMATCH(VLOOKUP(A368,Internal_lists_bugs!$A$2:$R$73,18,FALSE()), ""Yes""), VLOOKUP(A368,Internal_lists_bugs!$A$2:$U$73,21,FALSE()), VLOOKUP(A368,Internal_lists_bugs!$A$2:$R$73,18,FALSE())),""please select a BUG ID"")"),"please select a BUG ID")</f>
        <v>please select a BUG ID</v>
      </c>
      <c r="D368" s="43"/>
      <c r="F368" s="62"/>
      <c r="G368" s="63"/>
      <c r="H368" s="43"/>
      <c r="J368" s="62"/>
      <c r="K368" s="63"/>
    </row>
    <row r="369">
      <c r="A369" s="71"/>
      <c r="B369" s="59" t="str">
        <f>IFERROR(HYPERLINK(VLOOKUP(A369,Internal_lists_bugs!$A$2:$C$73,3,FALSE()), VLOOKUP(A369,Internal_lists_bugs!$A$2:$C$73,3,FALSE())&amp;Char(10) &amp; Char(10) &amp; VLOOKUP(A369,Internal_lists_bugs!$A$2:$Z$73,26,FALSE())),"please select a BUG ID")</f>
        <v>please select a BUG ID</v>
      </c>
      <c r="C369" s="51" t="str">
        <f>IFERROR(__xludf.DUMMYFUNCTION("IFERROR(IF(REGEXMATCH(VLOOKUP(A369,Internal_lists_bugs!$A$2:$R$73,18,FALSE()), ""Yes""), VLOOKUP(A369,Internal_lists_bugs!$A$2:$U$73,21,FALSE()), VLOOKUP(A369,Internal_lists_bugs!$A$2:$R$73,18,FALSE())),""please select a BUG ID"")"),"please select a BUG ID")</f>
        <v>please select a BUG ID</v>
      </c>
      <c r="D369" s="43"/>
      <c r="F369" s="60"/>
      <c r="G369" s="63"/>
      <c r="H369" s="43"/>
      <c r="J369" s="60"/>
      <c r="K369" s="63"/>
    </row>
    <row r="370">
      <c r="A370" s="71"/>
      <c r="B370" s="59" t="str">
        <f>IFERROR(HYPERLINK(VLOOKUP(A370,Internal_lists_bugs!$A$2:$C$73,3,FALSE()), VLOOKUP(A370,Internal_lists_bugs!$A$2:$C$73,3,FALSE())&amp;Char(10) &amp; Char(10) &amp; VLOOKUP(A370,Internal_lists_bugs!$A$2:$Z$73,26,FALSE())),"please select a BUG ID")</f>
        <v>please select a BUG ID</v>
      </c>
      <c r="C370" s="51" t="str">
        <f>IFERROR(__xludf.DUMMYFUNCTION("IFERROR(IF(REGEXMATCH(VLOOKUP(A370,Internal_lists_bugs!$A$2:$R$73,18,FALSE()), ""Yes""), VLOOKUP(A370,Internal_lists_bugs!$A$2:$U$73,21,FALSE()), VLOOKUP(A370,Internal_lists_bugs!$A$2:$R$73,18,FALSE())),""please select a BUG ID"")"),"please select a BUG ID")</f>
        <v>please select a BUG ID</v>
      </c>
      <c r="D370" s="43"/>
      <c r="F370" s="62"/>
      <c r="G370" s="63"/>
      <c r="H370" s="43"/>
      <c r="J370" s="62"/>
      <c r="K370" s="63"/>
    </row>
    <row r="371">
      <c r="A371" s="71"/>
      <c r="B371" s="59" t="str">
        <f>IFERROR(HYPERLINK(VLOOKUP(A371,Internal_lists_bugs!$A$2:$C$73,3,FALSE()), VLOOKUP(A371,Internal_lists_bugs!$A$2:$C$73,3,FALSE())&amp;Char(10) &amp; Char(10) &amp; VLOOKUP(A371,Internal_lists_bugs!$A$2:$Z$73,26,FALSE())),"please select a BUG ID")</f>
        <v>please select a BUG ID</v>
      </c>
      <c r="C371" s="51" t="str">
        <f>IFERROR(__xludf.DUMMYFUNCTION("IFERROR(IF(REGEXMATCH(VLOOKUP(A371,Internal_lists_bugs!$A$2:$R$73,18,FALSE()), ""Yes""), VLOOKUP(A371,Internal_lists_bugs!$A$2:$U$73,21,FALSE()), VLOOKUP(A371,Internal_lists_bugs!$A$2:$R$73,18,FALSE())),""please select a BUG ID"")"),"please select a BUG ID")</f>
        <v>please select a BUG ID</v>
      </c>
      <c r="D371" s="43"/>
      <c r="F371" s="62"/>
      <c r="G371" s="63"/>
      <c r="H371" s="43"/>
      <c r="J371" s="62"/>
      <c r="K371" s="63"/>
    </row>
    <row r="372">
      <c r="A372" s="71"/>
      <c r="B372" s="59" t="str">
        <f>IFERROR(HYPERLINK(VLOOKUP(A372,Internal_lists_bugs!$A$2:$C$73,3,FALSE()), VLOOKUP(A372,Internal_lists_bugs!$A$2:$C$73,3,FALSE())&amp;Char(10) &amp; Char(10) &amp; VLOOKUP(A372,Internal_lists_bugs!$A$2:$Z$73,26,FALSE())),"please select a BUG ID")</f>
        <v>please select a BUG ID</v>
      </c>
      <c r="C372" s="51" t="str">
        <f>IFERROR(__xludf.DUMMYFUNCTION("IFERROR(IF(REGEXMATCH(VLOOKUP(A372,Internal_lists_bugs!$A$2:$R$73,18,FALSE()), ""Yes""), VLOOKUP(A372,Internal_lists_bugs!$A$2:$U$73,21,FALSE()), VLOOKUP(A372,Internal_lists_bugs!$A$2:$R$73,18,FALSE())),""please select a BUG ID"")"),"please select a BUG ID")</f>
        <v>please select a BUG ID</v>
      </c>
      <c r="D372" s="43"/>
      <c r="F372" s="62"/>
      <c r="G372" s="63"/>
      <c r="H372" s="43"/>
      <c r="J372" s="62"/>
      <c r="K372" s="63"/>
    </row>
    <row r="373">
      <c r="A373" s="71"/>
      <c r="B373" s="59" t="str">
        <f>IFERROR(HYPERLINK(VLOOKUP(A373,Internal_lists_bugs!$A$2:$C$73,3,FALSE()), VLOOKUP(A373,Internal_lists_bugs!$A$2:$C$73,3,FALSE())&amp;Char(10) &amp; Char(10) &amp; VLOOKUP(A373,Internal_lists_bugs!$A$2:$Z$73,26,FALSE())),"please select a BUG ID")</f>
        <v>please select a BUG ID</v>
      </c>
      <c r="C373" s="51" t="str">
        <f>IFERROR(__xludf.DUMMYFUNCTION("IFERROR(IF(REGEXMATCH(VLOOKUP(A373,Internal_lists_bugs!$A$2:$R$73,18,FALSE()), ""Yes""), VLOOKUP(A373,Internal_lists_bugs!$A$2:$U$73,21,FALSE()), VLOOKUP(A373,Internal_lists_bugs!$A$2:$R$73,18,FALSE())),""please select a BUG ID"")"),"please select a BUG ID")</f>
        <v>please select a BUG ID</v>
      </c>
      <c r="D373" s="43"/>
      <c r="F373" s="62"/>
      <c r="G373" s="63"/>
      <c r="H373" s="43"/>
      <c r="J373" s="62"/>
      <c r="K373" s="63"/>
    </row>
    <row r="374">
      <c r="A374" s="71"/>
      <c r="B374" s="59" t="str">
        <f>IFERROR(HYPERLINK(VLOOKUP(A374,Internal_lists_bugs!$A$2:$C$73,3,FALSE()), VLOOKUP(A374,Internal_lists_bugs!$A$2:$C$73,3,FALSE())&amp;Char(10) &amp; Char(10) &amp; VLOOKUP(A374,Internal_lists_bugs!$A$2:$Z$73,26,FALSE())),"please select a BUG ID")</f>
        <v>please select a BUG ID</v>
      </c>
      <c r="C374" s="51" t="str">
        <f>IFERROR(__xludf.DUMMYFUNCTION("IFERROR(IF(REGEXMATCH(VLOOKUP(A374,Internal_lists_bugs!$A$2:$R$73,18,FALSE()), ""Yes""), VLOOKUP(A374,Internal_lists_bugs!$A$2:$U$73,21,FALSE()), VLOOKUP(A374,Internal_lists_bugs!$A$2:$R$73,18,FALSE())),""please select a BUG ID"")"),"please select a BUG ID")</f>
        <v>please select a BUG ID</v>
      </c>
      <c r="D374" s="43"/>
      <c r="F374" s="62"/>
      <c r="G374" s="63"/>
      <c r="H374" s="43"/>
      <c r="J374" s="62"/>
      <c r="K374" s="63"/>
    </row>
    <row r="375">
      <c r="A375" s="71"/>
      <c r="B375" s="59" t="str">
        <f>IFERROR(HYPERLINK(VLOOKUP(A375,Internal_lists_bugs!$A$2:$C$73,3,FALSE()), VLOOKUP(A375,Internal_lists_bugs!$A$2:$C$73,3,FALSE())&amp;Char(10) &amp; Char(10) &amp; VLOOKUP(A375,Internal_lists_bugs!$A$2:$Z$73,26,FALSE())),"please select a BUG ID")</f>
        <v>please select a BUG ID</v>
      </c>
      <c r="C375" s="51" t="str">
        <f>IFERROR(__xludf.DUMMYFUNCTION("IFERROR(IF(REGEXMATCH(VLOOKUP(A375,Internal_lists_bugs!$A$2:$R$73,18,FALSE()), ""Yes""), VLOOKUP(A375,Internal_lists_bugs!$A$2:$U$73,21,FALSE()), VLOOKUP(A375,Internal_lists_bugs!$A$2:$R$73,18,FALSE())),""please select a BUG ID"")"),"please select a BUG ID")</f>
        <v>please select a BUG ID</v>
      </c>
      <c r="D375" s="43"/>
      <c r="F375" s="62"/>
      <c r="G375" s="63"/>
      <c r="H375" s="43"/>
      <c r="J375" s="62"/>
      <c r="K375" s="63"/>
    </row>
    <row r="376">
      <c r="A376" s="71"/>
      <c r="B376" s="59" t="str">
        <f>IFERROR(HYPERLINK(VLOOKUP(A376,Internal_lists_bugs!$A$2:$C$73,3,FALSE()), VLOOKUP(A376,Internal_lists_bugs!$A$2:$C$73,3,FALSE())&amp;Char(10) &amp; Char(10) &amp; VLOOKUP(A376,Internal_lists_bugs!$A$2:$Z$73,26,FALSE())),"please select a BUG ID")</f>
        <v>please select a BUG ID</v>
      </c>
      <c r="C376" s="51" t="str">
        <f>IFERROR(__xludf.DUMMYFUNCTION("IFERROR(IF(REGEXMATCH(VLOOKUP(A376,Internal_lists_bugs!$A$2:$R$73,18,FALSE()), ""Yes""), VLOOKUP(A376,Internal_lists_bugs!$A$2:$U$73,21,FALSE()), VLOOKUP(A376,Internal_lists_bugs!$A$2:$R$73,18,FALSE())),""please select a BUG ID"")"),"please select a BUG ID")</f>
        <v>please select a BUG ID</v>
      </c>
      <c r="D376" s="43"/>
      <c r="F376" s="62"/>
      <c r="G376" s="63"/>
      <c r="H376" s="43"/>
      <c r="J376" s="62"/>
      <c r="K376" s="63"/>
    </row>
    <row r="377">
      <c r="A377" s="71"/>
      <c r="B377" s="59" t="str">
        <f>IFERROR(HYPERLINK(VLOOKUP(A377,Internal_lists_bugs!$A$2:$C$73,3,FALSE()), VLOOKUP(A377,Internal_lists_bugs!$A$2:$C$73,3,FALSE())&amp;Char(10) &amp; Char(10) &amp; VLOOKUP(A377,Internal_lists_bugs!$A$2:$Z$73,26,FALSE())),"please select a BUG ID")</f>
        <v>please select a BUG ID</v>
      </c>
      <c r="C377" s="51" t="str">
        <f>IFERROR(__xludf.DUMMYFUNCTION("IFERROR(IF(REGEXMATCH(VLOOKUP(A377,Internal_lists_bugs!$A$2:$R$73,18,FALSE()), ""Yes""), VLOOKUP(A377,Internal_lists_bugs!$A$2:$U$73,21,FALSE()), VLOOKUP(A377,Internal_lists_bugs!$A$2:$R$73,18,FALSE())),""please select a BUG ID"")"),"please select a BUG ID")</f>
        <v>please select a BUG ID</v>
      </c>
      <c r="D377" s="43"/>
      <c r="F377" s="62"/>
      <c r="G377" s="63"/>
      <c r="H377" s="43"/>
      <c r="J377" s="62"/>
      <c r="K377" s="63"/>
    </row>
    <row r="378">
      <c r="A378" s="71"/>
      <c r="B378" s="59" t="str">
        <f>IFERROR(HYPERLINK(VLOOKUP(A378,Internal_lists_bugs!$A$2:$C$73,3,FALSE()), VLOOKUP(A378,Internal_lists_bugs!$A$2:$C$73,3,FALSE())&amp;Char(10) &amp; Char(10) &amp; VLOOKUP(A378,Internal_lists_bugs!$A$2:$Z$73,26,FALSE())),"please select a BUG ID")</f>
        <v>please select a BUG ID</v>
      </c>
      <c r="C378" s="51" t="str">
        <f>IFERROR(__xludf.DUMMYFUNCTION("IFERROR(IF(REGEXMATCH(VLOOKUP(A378,Internal_lists_bugs!$A$2:$R$73,18,FALSE()), ""Yes""), VLOOKUP(A378,Internal_lists_bugs!$A$2:$U$73,21,FALSE()), VLOOKUP(A378,Internal_lists_bugs!$A$2:$R$73,18,FALSE())),""please select a BUG ID"")"),"please select a BUG ID")</f>
        <v>please select a BUG ID</v>
      </c>
      <c r="D378" s="43"/>
      <c r="F378" s="62"/>
      <c r="G378" s="63"/>
      <c r="H378" s="43"/>
      <c r="J378" s="62"/>
      <c r="K378" s="63"/>
    </row>
    <row r="379">
      <c r="A379" s="71"/>
      <c r="B379" s="59" t="str">
        <f>IFERROR(HYPERLINK(VLOOKUP(A379,Internal_lists_bugs!$A$2:$C$73,3,FALSE()), VLOOKUP(A379,Internal_lists_bugs!$A$2:$C$73,3,FALSE())&amp;Char(10) &amp; Char(10) &amp; VLOOKUP(A379,Internal_lists_bugs!$A$2:$Z$73,26,FALSE())),"please select a BUG ID")</f>
        <v>please select a BUG ID</v>
      </c>
      <c r="C379" s="51" t="str">
        <f>IFERROR(__xludf.DUMMYFUNCTION("IFERROR(IF(REGEXMATCH(VLOOKUP(A379,Internal_lists_bugs!$A$2:$R$73,18,FALSE()), ""Yes""), VLOOKUP(A379,Internal_lists_bugs!$A$2:$U$73,21,FALSE()), VLOOKUP(A379,Internal_lists_bugs!$A$2:$R$73,18,FALSE())),""please select a BUG ID"")"),"please select a BUG ID")</f>
        <v>please select a BUG ID</v>
      </c>
      <c r="D379" s="43"/>
      <c r="F379" s="62"/>
      <c r="G379" s="63"/>
      <c r="H379" s="43"/>
      <c r="J379" s="62"/>
      <c r="K379" s="63"/>
    </row>
    <row r="380">
      <c r="A380" s="71"/>
      <c r="B380" s="59" t="str">
        <f>IFERROR(HYPERLINK(VLOOKUP(A380,Internal_lists_bugs!$A$2:$C$73,3,FALSE()), VLOOKUP(A380,Internal_lists_bugs!$A$2:$C$73,3,FALSE())&amp;Char(10) &amp; Char(10) &amp; VLOOKUP(A380,Internal_lists_bugs!$A$2:$Z$73,26,FALSE())),"please select a BUG ID")</f>
        <v>please select a BUG ID</v>
      </c>
      <c r="C380" s="51" t="str">
        <f>IFERROR(__xludf.DUMMYFUNCTION("IFERROR(IF(REGEXMATCH(VLOOKUP(A380,Internal_lists_bugs!$A$2:$R$73,18,FALSE()), ""Yes""), VLOOKUP(A380,Internal_lists_bugs!$A$2:$U$73,21,FALSE()), VLOOKUP(A380,Internal_lists_bugs!$A$2:$R$73,18,FALSE())),""please select a BUG ID"")"),"please select a BUG ID")</f>
        <v>please select a BUG ID</v>
      </c>
      <c r="D380" s="43"/>
      <c r="F380" s="62"/>
      <c r="G380" s="63"/>
      <c r="H380" s="43"/>
      <c r="J380" s="62"/>
      <c r="K380" s="63"/>
    </row>
    <row r="381">
      <c r="A381" s="71"/>
      <c r="B381" s="59" t="str">
        <f>IFERROR(HYPERLINK(VLOOKUP(A381,Internal_lists_bugs!$A$2:$C$73,3,FALSE()), VLOOKUP(A381,Internal_lists_bugs!$A$2:$C$73,3,FALSE())&amp;Char(10) &amp; Char(10) &amp; VLOOKUP(A381,Internal_lists_bugs!$A$2:$Z$73,26,FALSE())),"please select a BUG ID")</f>
        <v>please select a BUG ID</v>
      </c>
      <c r="C381" s="51" t="str">
        <f>IFERROR(__xludf.DUMMYFUNCTION("IFERROR(IF(REGEXMATCH(VLOOKUP(A381,Internal_lists_bugs!$A$2:$R$73,18,FALSE()), ""Yes""), VLOOKUP(A381,Internal_lists_bugs!$A$2:$U$73,21,FALSE()), VLOOKUP(A381,Internal_lists_bugs!$A$2:$R$73,18,FALSE())),""please select a BUG ID"")"),"please select a BUG ID")</f>
        <v>please select a BUG ID</v>
      </c>
      <c r="D381" s="43"/>
      <c r="F381" s="62"/>
      <c r="G381" s="63"/>
      <c r="H381" s="43"/>
      <c r="J381" s="62"/>
      <c r="K381" s="63"/>
    </row>
    <row r="382">
      <c r="A382" s="71"/>
      <c r="B382" s="59" t="str">
        <f>IFERROR(HYPERLINK(VLOOKUP(A382,Internal_lists_bugs!$A$2:$C$73,3,FALSE()), VLOOKUP(A382,Internal_lists_bugs!$A$2:$C$73,3,FALSE())&amp;Char(10) &amp; Char(10) &amp; VLOOKUP(A382,Internal_lists_bugs!$A$2:$Z$73,26,FALSE())),"please select a BUG ID")</f>
        <v>please select a BUG ID</v>
      </c>
      <c r="C382" s="51" t="str">
        <f>IFERROR(__xludf.DUMMYFUNCTION("IFERROR(IF(REGEXMATCH(VLOOKUP(A382,Internal_lists_bugs!$A$2:$R$73,18,FALSE()), ""Yes""), VLOOKUP(A382,Internal_lists_bugs!$A$2:$U$73,21,FALSE()), VLOOKUP(A382,Internal_lists_bugs!$A$2:$R$73,18,FALSE())),""please select a BUG ID"")"),"please select a BUG ID")</f>
        <v>please select a BUG ID</v>
      </c>
      <c r="D382" s="43"/>
      <c r="F382" s="62"/>
      <c r="G382" s="63"/>
      <c r="H382" s="43"/>
      <c r="J382" s="62"/>
      <c r="K382" s="63"/>
    </row>
    <row r="383">
      <c r="A383" s="71"/>
      <c r="B383" s="59" t="str">
        <f>IFERROR(HYPERLINK(VLOOKUP(A383,Internal_lists_bugs!$A$2:$C$73,3,FALSE()), VLOOKUP(A383,Internal_lists_bugs!$A$2:$C$73,3,FALSE())&amp;Char(10) &amp; Char(10) &amp; VLOOKUP(A383,Internal_lists_bugs!$A$2:$Z$73,26,FALSE())),"please select a BUG ID")</f>
        <v>please select a BUG ID</v>
      </c>
      <c r="C383" s="51" t="str">
        <f>IFERROR(__xludf.DUMMYFUNCTION("IFERROR(IF(REGEXMATCH(VLOOKUP(A383,Internal_lists_bugs!$A$2:$R$73,18,FALSE()), ""Yes""), VLOOKUP(A383,Internal_lists_bugs!$A$2:$U$73,21,FALSE()), VLOOKUP(A383,Internal_lists_bugs!$A$2:$R$73,18,FALSE())),""please select a BUG ID"")"),"please select a BUG ID")</f>
        <v>please select a BUG ID</v>
      </c>
      <c r="D383" s="43"/>
      <c r="F383" s="62"/>
      <c r="G383" s="63"/>
      <c r="H383" s="43"/>
      <c r="J383" s="62"/>
      <c r="K383" s="63"/>
    </row>
    <row r="384">
      <c r="A384" s="71"/>
      <c r="B384" s="59" t="str">
        <f>IFERROR(HYPERLINK(VLOOKUP(A384,Internal_lists_bugs!$A$2:$C$73,3,FALSE()), VLOOKUP(A384,Internal_lists_bugs!$A$2:$C$73,3,FALSE())&amp;Char(10) &amp; Char(10) &amp; VLOOKUP(A384,Internal_lists_bugs!$A$2:$Z$73,26,FALSE())),"please select a BUG ID")</f>
        <v>please select a BUG ID</v>
      </c>
      <c r="C384" s="51" t="str">
        <f>IFERROR(__xludf.DUMMYFUNCTION("IFERROR(IF(REGEXMATCH(VLOOKUP(A384,Internal_lists_bugs!$A$2:$R$73,18,FALSE()), ""Yes""), VLOOKUP(A384,Internal_lists_bugs!$A$2:$U$73,21,FALSE()), VLOOKUP(A384,Internal_lists_bugs!$A$2:$R$73,18,FALSE())),""please select a BUG ID"")"),"please select a BUG ID")</f>
        <v>please select a BUG ID</v>
      </c>
      <c r="D384" s="43"/>
      <c r="F384" s="62"/>
      <c r="G384" s="63"/>
      <c r="H384" s="43"/>
      <c r="J384" s="62"/>
      <c r="K384" s="63"/>
    </row>
    <row r="385">
      <c r="A385" s="71"/>
      <c r="B385" s="59" t="str">
        <f>IFERROR(HYPERLINK(VLOOKUP(A385,Internal_lists_bugs!$A$2:$C$73,3,FALSE()), VLOOKUP(A385,Internal_lists_bugs!$A$2:$C$73,3,FALSE())&amp;Char(10) &amp; Char(10) &amp; VLOOKUP(A385,Internal_lists_bugs!$A$2:$Z$73,26,FALSE())),"please select a BUG ID")</f>
        <v>please select a BUG ID</v>
      </c>
      <c r="C385" s="51" t="str">
        <f>IFERROR(__xludf.DUMMYFUNCTION("IFERROR(IF(REGEXMATCH(VLOOKUP(A385,Internal_lists_bugs!$A$2:$R$73,18,FALSE()), ""Yes""), VLOOKUP(A385,Internal_lists_bugs!$A$2:$U$73,21,FALSE()), VLOOKUP(A385,Internal_lists_bugs!$A$2:$R$73,18,FALSE())),""please select a BUG ID"")"),"please select a BUG ID")</f>
        <v>please select a BUG ID</v>
      </c>
      <c r="D385" s="43"/>
      <c r="F385" s="62"/>
      <c r="G385" s="63"/>
      <c r="H385" s="43"/>
      <c r="J385" s="62"/>
      <c r="K385" s="63"/>
    </row>
    <row r="386">
      <c r="A386" s="71"/>
      <c r="B386" s="59" t="str">
        <f>IFERROR(HYPERLINK(VLOOKUP(A386,Internal_lists_bugs!$A$2:$C$73,3,FALSE()), VLOOKUP(A386,Internal_lists_bugs!$A$2:$C$73,3,FALSE())&amp;Char(10) &amp; Char(10) &amp; VLOOKUP(A386,Internal_lists_bugs!$A$2:$Z$73,26,FALSE())),"please select a BUG ID")</f>
        <v>please select a BUG ID</v>
      </c>
      <c r="C386" s="51" t="str">
        <f>IFERROR(__xludf.DUMMYFUNCTION("IFERROR(IF(REGEXMATCH(VLOOKUP(A386,Internal_lists_bugs!$A$2:$R$73,18,FALSE()), ""Yes""), VLOOKUP(A386,Internal_lists_bugs!$A$2:$U$73,21,FALSE()), VLOOKUP(A386,Internal_lists_bugs!$A$2:$R$73,18,FALSE())),""please select a BUG ID"")"),"please select a BUG ID")</f>
        <v>please select a BUG ID</v>
      </c>
      <c r="D386" s="43"/>
      <c r="F386" s="62"/>
      <c r="G386" s="63"/>
      <c r="H386" s="43"/>
      <c r="J386" s="62"/>
      <c r="K386" s="63"/>
    </row>
    <row r="387">
      <c r="A387" s="71"/>
      <c r="B387" s="59" t="str">
        <f>IFERROR(HYPERLINK(VLOOKUP(A387,Internal_lists_bugs!$A$2:$C$73,3,FALSE()), VLOOKUP(A387,Internal_lists_bugs!$A$2:$C$73,3,FALSE())&amp;Char(10) &amp; Char(10) &amp; VLOOKUP(A387,Internal_lists_bugs!$A$2:$Z$73,26,FALSE())),"please select a BUG ID")</f>
        <v>please select a BUG ID</v>
      </c>
      <c r="C387" s="51" t="str">
        <f>IFERROR(__xludf.DUMMYFUNCTION("IFERROR(IF(REGEXMATCH(VLOOKUP(A387,Internal_lists_bugs!$A$2:$R$73,18,FALSE()), ""Yes""), VLOOKUP(A387,Internal_lists_bugs!$A$2:$U$73,21,FALSE()), VLOOKUP(A387,Internal_lists_bugs!$A$2:$R$73,18,FALSE())),""please select a BUG ID"")"),"please select a BUG ID")</f>
        <v>please select a BUG ID</v>
      </c>
      <c r="D387" s="43"/>
      <c r="F387" s="62"/>
      <c r="G387" s="63"/>
      <c r="H387" s="43"/>
      <c r="J387" s="62"/>
      <c r="K387" s="63"/>
    </row>
    <row r="388">
      <c r="A388" s="71"/>
      <c r="B388" s="59" t="str">
        <f>IFERROR(HYPERLINK(VLOOKUP(A388,Internal_lists_bugs!$A$2:$C$73,3,FALSE()), VLOOKUP(A388,Internal_lists_bugs!$A$2:$C$73,3,FALSE())&amp;Char(10) &amp; Char(10) &amp; VLOOKUP(A388,Internal_lists_bugs!$A$2:$Z$73,26,FALSE())),"please select a BUG ID")</f>
        <v>please select a BUG ID</v>
      </c>
      <c r="C388" s="51" t="str">
        <f>IFERROR(__xludf.DUMMYFUNCTION("IFERROR(IF(REGEXMATCH(VLOOKUP(A388,Internal_lists_bugs!$A$2:$R$73,18,FALSE()), ""Yes""), VLOOKUP(A388,Internal_lists_bugs!$A$2:$U$73,21,FALSE()), VLOOKUP(A388,Internal_lists_bugs!$A$2:$R$73,18,FALSE())),""please select a BUG ID"")"),"please select a BUG ID")</f>
        <v>please select a BUG ID</v>
      </c>
      <c r="D388" s="43"/>
      <c r="F388" s="62"/>
      <c r="G388" s="63"/>
      <c r="H388" s="43"/>
      <c r="J388" s="62"/>
      <c r="K388" s="63"/>
    </row>
    <row r="389">
      <c r="A389" s="71"/>
      <c r="B389" s="59" t="str">
        <f>IFERROR(HYPERLINK(VLOOKUP(A389,Internal_lists_bugs!$A$2:$C$73,3,FALSE()), VLOOKUP(A389,Internal_lists_bugs!$A$2:$C$73,3,FALSE())&amp;Char(10) &amp; Char(10) &amp; VLOOKUP(A389,Internal_lists_bugs!$A$2:$Z$73,26,FALSE())),"please select a BUG ID")</f>
        <v>please select a BUG ID</v>
      </c>
      <c r="C389" s="51" t="str">
        <f>IFERROR(__xludf.DUMMYFUNCTION("IFERROR(IF(REGEXMATCH(VLOOKUP(A389,Internal_lists_bugs!$A$2:$R$73,18,FALSE()), ""Yes""), VLOOKUP(A389,Internal_lists_bugs!$A$2:$U$73,21,FALSE()), VLOOKUP(A389,Internal_lists_bugs!$A$2:$R$73,18,FALSE())),""please select a BUG ID"")"),"please select a BUG ID")</f>
        <v>please select a BUG ID</v>
      </c>
      <c r="D389" s="43"/>
      <c r="F389" s="60"/>
      <c r="G389" s="63"/>
      <c r="H389" s="43"/>
      <c r="J389" s="60"/>
      <c r="K389" s="63"/>
    </row>
    <row r="390">
      <c r="A390" s="71"/>
      <c r="B390" s="59" t="str">
        <f>IFERROR(HYPERLINK(VLOOKUP(A390,Internal_lists_bugs!$A$2:$C$73,3,FALSE()), VLOOKUP(A390,Internal_lists_bugs!$A$2:$C$73,3,FALSE())&amp;Char(10) &amp; Char(10) &amp; VLOOKUP(A390,Internal_lists_bugs!$A$2:$Z$73,26,FALSE())),"please select a BUG ID")</f>
        <v>please select a BUG ID</v>
      </c>
      <c r="C390" s="51" t="str">
        <f>IFERROR(__xludf.DUMMYFUNCTION("IFERROR(IF(REGEXMATCH(VLOOKUP(A390,Internal_lists_bugs!$A$2:$R$73,18,FALSE()), ""Yes""), VLOOKUP(A390,Internal_lists_bugs!$A$2:$U$73,21,FALSE()), VLOOKUP(A390,Internal_lists_bugs!$A$2:$R$73,18,FALSE())),""please select a BUG ID"")"),"please select a BUG ID")</f>
        <v>please select a BUG ID</v>
      </c>
      <c r="D390" s="43"/>
      <c r="F390" s="62"/>
      <c r="G390" s="63"/>
      <c r="H390" s="43"/>
      <c r="J390" s="62"/>
      <c r="K390" s="63"/>
    </row>
    <row r="391">
      <c r="A391" s="71"/>
      <c r="B391" s="59" t="str">
        <f>IFERROR(HYPERLINK(VLOOKUP(A391,Internal_lists_bugs!$A$2:$C$73,3,FALSE()), VLOOKUP(A391,Internal_lists_bugs!$A$2:$C$73,3,FALSE())&amp;Char(10) &amp; Char(10) &amp; VLOOKUP(A391,Internal_lists_bugs!$A$2:$Z$73,26,FALSE())),"please select a BUG ID")</f>
        <v>please select a BUG ID</v>
      </c>
      <c r="C391" s="51" t="str">
        <f>IFERROR(__xludf.DUMMYFUNCTION("IFERROR(IF(REGEXMATCH(VLOOKUP(A391,Internal_lists_bugs!$A$2:$R$73,18,FALSE()), ""Yes""), VLOOKUP(A391,Internal_lists_bugs!$A$2:$U$73,21,FALSE()), VLOOKUP(A391,Internal_lists_bugs!$A$2:$R$73,18,FALSE())),""please select a BUG ID"")"),"please select a BUG ID")</f>
        <v>please select a BUG ID</v>
      </c>
      <c r="D391" s="43"/>
      <c r="F391" s="62"/>
      <c r="G391" s="63"/>
      <c r="H391" s="43"/>
      <c r="J391" s="62"/>
      <c r="K391" s="63"/>
    </row>
    <row r="392">
      <c r="A392" s="71"/>
      <c r="B392" s="59" t="str">
        <f>IFERROR(HYPERLINK(VLOOKUP(A392,Internal_lists_bugs!$A$2:$C$73,3,FALSE()), VLOOKUP(A392,Internal_lists_bugs!$A$2:$C$73,3,FALSE())&amp;Char(10) &amp; Char(10) &amp; VLOOKUP(A392,Internal_lists_bugs!$A$2:$Z$73,26,FALSE())),"please select a BUG ID")</f>
        <v>please select a BUG ID</v>
      </c>
      <c r="C392" s="51" t="str">
        <f>IFERROR(__xludf.DUMMYFUNCTION("IFERROR(IF(REGEXMATCH(VLOOKUP(A392,Internal_lists_bugs!$A$2:$R$73,18,FALSE()), ""Yes""), VLOOKUP(A392,Internal_lists_bugs!$A$2:$U$73,21,FALSE()), VLOOKUP(A392,Internal_lists_bugs!$A$2:$R$73,18,FALSE())),""please select a BUG ID"")"),"please select a BUG ID")</f>
        <v>please select a BUG ID</v>
      </c>
      <c r="D392" s="43"/>
      <c r="F392" s="62"/>
      <c r="G392" s="63"/>
      <c r="H392" s="43"/>
      <c r="J392" s="62"/>
      <c r="K392" s="63"/>
    </row>
    <row r="393">
      <c r="A393" s="71"/>
      <c r="B393" s="59" t="str">
        <f>IFERROR(HYPERLINK(VLOOKUP(A393,Internal_lists_bugs!$A$2:$C$73,3,FALSE()), VLOOKUP(A393,Internal_lists_bugs!$A$2:$C$73,3,FALSE())&amp;Char(10) &amp; Char(10) &amp; VLOOKUP(A393,Internal_lists_bugs!$A$2:$Z$73,26,FALSE())),"please select a BUG ID")</f>
        <v>please select a BUG ID</v>
      </c>
      <c r="C393" s="51" t="str">
        <f>IFERROR(__xludf.DUMMYFUNCTION("IFERROR(IF(REGEXMATCH(VLOOKUP(A393,Internal_lists_bugs!$A$2:$R$73,18,FALSE()), ""Yes""), VLOOKUP(A393,Internal_lists_bugs!$A$2:$U$73,21,FALSE()), VLOOKUP(A393,Internal_lists_bugs!$A$2:$R$73,18,FALSE())),""please select a BUG ID"")"),"please select a BUG ID")</f>
        <v>please select a BUG ID</v>
      </c>
      <c r="D393" s="43"/>
      <c r="F393" s="62"/>
      <c r="G393" s="63"/>
      <c r="H393" s="43"/>
      <c r="J393" s="62"/>
      <c r="K393" s="63"/>
    </row>
    <row r="394">
      <c r="A394" s="71"/>
      <c r="B394" s="59" t="str">
        <f>IFERROR(HYPERLINK(VLOOKUP(A394,Internal_lists_bugs!$A$2:$C$73,3,FALSE()), VLOOKUP(A394,Internal_lists_bugs!$A$2:$C$73,3,FALSE())&amp;Char(10) &amp; Char(10) &amp; VLOOKUP(A394,Internal_lists_bugs!$A$2:$Z$73,26,FALSE())),"please select a BUG ID")</f>
        <v>please select a BUG ID</v>
      </c>
      <c r="C394" s="51" t="str">
        <f>IFERROR(__xludf.DUMMYFUNCTION("IFERROR(IF(REGEXMATCH(VLOOKUP(A394,Internal_lists_bugs!$A$2:$R$73,18,FALSE()), ""Yes""), VLOOKUP(A394,Internal_lists_bugs!$A$2:$U$73,21,FALSE()), VLOOKUP(A394,Internal_lists_bugs!$A$2:$R$73,18,FALSE())),""please select a BUG ID"")"),"please select a BUG ID")</f>
        <v>please select a BUG ID</v>
      </c>
      <c r="D394" s="43"/>
      <c r="F394" s="62"/>
      <c r="G394" s="63"/>
      <c r="H394" s="43"/>
      <c r="J394" s="62"/>
      <c r="K394" s="63"/>
    </row>
    <row r="395">
      <c r="A395" s="71"/>
      <c r="B395" s="59" t="str">
        <f>IFERROR(HYPERLINK(VLOOKUP(A395,Internal_lists_bugs!$A$2:$C$73,3,FALSE()), VLOOKUP(A395,Internal_lists_bugs!$A$2:$C$73,3,FALSE())&amp;Char(10) &amp; Char(10) &amp; VLOOKUP(A395,Internal_lists_bugs!$A$2:$Z$73,26,FALSE())),"please select a BUG ID")</f>
        <v>please select a BUG ID</v>
      </c>
      <c r="C395" s="51" t="str">
        <f>IFERROR(__xludf.DUMMYFUNCTION("IFERROR(IF(REGEXMATCH(VLOOKUP(A395,Internal_lists_bugs!$A$2:$R$73,18,FALSE()), ""Yes""), VLOOKUP(A395,Internal_lists_bugs!$A$2:$U$73,21,FALSE()), VLOOKUP(A395,Internal_lists_bugs!$A$2:$R$73,18,FALSE())),""please select a BUG ID"")"),"please select a BUG ID")</f>
        <v>please select a BUG ID</v>
      </c>
      <c r="D395" s="43"/>
      <c r="F395" s="62"/>
      <c r="G395" s="63"/>
      <c r="H395" s="43"/>
      <c r="J395" s="62"/>
      <c r="K395" s="63"/>
    </row>
    <row r="396">
      <c r="A396" s="71"/>
      <c r="B396" s="59" t="str">
        <f>IFERROR(HYPERLINK(VLOOKUP(A396,Internal_lists_bugs!$A$2:$C$73,3,FALSE()), VLOOKUP(A396,Internal_lists_bugs!$A$2:$C$73,3,FALSE())&amp;Char(10) &amp; Char(10) &amp; VLOOKUP(A396,Internal_lists_bugs!$A$2:$Z$73,26,FALSE())),"please select a BUG ID")</f>
        <v>please select a BUG ID</v>
      </c>
      <c r="C396" s="51" t="str">
        <f>IFERROR(__xludf.DUMMYFUNCTION("IFERROR(IF(REGEXMATCH(VLOOKUP(A396,Internal_lists_bugs!$A$2:$R$73,18,FALSE()), ""Yes""), VLOOKUP(A396,Internal_lists_bugs!$A$2:$U$73,21,FALSE()), VLOOKUP(A396,Internal_lists_bugs!$A$2:$R$73,18,FALSE())),""please select a BUG ID"")"),"please select a BUG ID")</f>
        <v>please select a BUG ID</v>
      </c>
      <c r="D396" s="43"/>
      <c r="F396" s="62"/>
      <c r="G396" s="63"/>
      <c r="H396" s="43"/>
      <c r="J396" s="62"/>
      <c r="K396" s="63"/>
    </row>
    <row r="397">
      <c r="A397" s="71"/>
      <c r="B397" s="59" t="str">
        <f>IFERROR(HYPERLINK(VLOOKUP(A397,Internal_lists_bugs!$A$2:$C$73,3,FALSE()), VLOOKUP(A397,Internal_lists_bugs!$A$2:$C$73,3,FALSE())&amp;Char(10) &amp; Char(10) &amp; VLOOKUP(A397,Internal_lists_bugs!$A$2:$Z$73,26,FALSE())),"please select a BUG ID")</f>
        <v>please select a BUG ID</v>
      </c>
      <c r="C397" s="51" t="str">
        <f>IFERROR(__xludf.DUMMYFUNCTION("IFERROR(IF(REGEXMATCH(VLOOKUP(A397,Internal_lists_bugs!$A$2:$R$73,18,FALSE()), ""Yes""), VLOOKUP(A397,Internal_lists_bugs!$A$2:$U$73,21,FALSE()), VLOOKUP(A397,Internal_lists_bugs!$A$2:$R$73,18,FALSE())),""please select a BUG ID"")"),"please select a BUG ID")</f>
        <v>please select a BUG ID</v>
      </c>
      <c r="D397" s="43"/>
      <c r="F397" s="62"/>
      <c r="G397" s="63"/>
      <c r="H397" s="43"/>
      <c r="J397" s="62"/>
      <c r="K397" s="63"/>
    </row>
    <row r="398">
      <c r="A398" s="71"/>
      <c r="B398" s="59" t="str">
        <f>IFERROR(HYPERLINK(VLOOKUP(A398,Internal_lists_bugs!$A$2:$C$73,3,FALSE()), VLOOKUP(A398,Internal_lists_bugs!$A$2:$C$73,3,FALSE())&amp;Char(10) &amp; Char(10) &amp; VLOOKUP(A398,Internal_lists_bugs!$A$2:$Z$73,26,FALSE())),"please select a BUG ID")</f>
        <v>please select a BUG ID</v>
      </c>
      <c r="C398" s="51" t="str">
        <f>IFERROR(__xludf.DUMMYFUNCTION("IFERROR(IF(REGEXMATCH(VLOOKUP(A398,Internal_lists_bugs!$A$2:$R$73,18,FALSE()), ""Yes""), VLOOKUP(A398,Internal_lists_bugs!$A$2:$U$73,21,FALSE()), VLOOKUP(A398,Internal_lists_bugs!$A$2:$R$73,18,FALSE())),""please select a BUG ID"")"),"please select a BUG ID")</f>
        <v>please select a BUG ID</v>
      </c>
      <c r="D398" s="43"/>
      <c r="F398" s="62"/>
      <c r="G398" s="63"/>
      <c r="H398" s="43"/>
      <c r="J398" s="62"/>
      <c r="K398" s="63"/>
    </row>
    <row r="399">
      <c r="A399" s="71"/>
      <c r="B399" s="59" t="str">
        <f>IFERROR(HYPERLINK(VLOOKUP(A399,Internal_lists_bugs!$A$2:$C$73,3,FALSE()), VLOOKUP(A399,Internal_lists_bugs!$A$2:$C$73,3,FALSE())&amp;Char(10) &amp; Char(10) &amp; VLOOKUP(A399,Internal_lists_bugs!$A$2:$Z$73,26,FALSE())),"please select a BUG ID")</f>
        <v>please select a BUG ID</v>
      </c>
      <c r="C399" s="51" t="str">
        <f>IFERROR(__xludf.DUMMYFUNCTION("IFERROR(IF(REGEXMATCH(VLOOKUP(A399,Internal_lists_bugs!$A$2:$R$73,18,FALSE()), ""Yes""), VLOOKUP(A399,Internal_lists_bugs!$A$2:$U$73,21,FALSE()), VLOOKUP(A399,Internal_lists_bugs!$A$2:$R$73,18,FALSE())),""please select a BUG ID"")"),"please select a BUG ID")</f>
        <v>please select a BUG ID</v>
      </c>
      <c r="D399" s="43"/>
      <c r="F399" s="62"/>
      <c r="G399" s="63"/>
      <c r="H399" s="43"/>
      <c r="J399" s="62"/>
      <c r="K399" s="63"/>
    </row>
    <row r="400">
      <c r="A400" s="71"/>
      <c r="B400" s="59" t="str">
        <f>IFERROR(HYPERLINK(VLOOKUP(A400,Internal_lists_bugs!$A$2:$C$73,3,FALSE()), VLOOKUP(A400,Internal_lists_bugs!$A$2:$C$73,3,FALSE())&amp;Char(10) &amp; Char(10) &amp; VLOOKUP(A400,Internal_lists_bugs!$A$2:$Z$73,26,FALSE())),"please select a BUG ID")</f>
        <v>please select a BUG ID</v>
      </c>
      <c r="C400" s="51" t="str">
        <f>IFERROR(__xludf.DUMMYFUNCTION("IFERROR(IF(REGEXMATCH(VLOOKUP(A400,Internal_lists_bugs!$A$2:$R$73,18,FALSE()), ""Yes""), VLOOKUP(A400,Internal_lists_bugs!$A$2:$U$73,21,FALSE()), VLOOKUP(A400,Internal_lists_bugs!$A$2:$R$73,18,FALSE())),""please select a BUG ID"")"),"please select a BUG ID")</f>
        <v>please select a BUG ID</v>
      </c>
      <c r="D400" s="43"/>
      <c r="E400" s="77"/>
      <c r="F400" s="62"/>
      <c r="G400" s="63"/>
      <c r="H400" s="43"/>
      <c r="J400" s="62"/>
      <c r="K400" s="63"/>
    </row>
    <row r="401">
      <c r="A401" s="78"/>
      <c r="B401" s="59" t="str">
        <f>IFERROR(HYPERLINK(VLOOKUP(A401,Internal_lists_bugs!$A$2:$C$73,3,FALSE()), VLOOKUP(A401,Internal_lists_bugs!$A$2:$C$73,3,FALSE())&amp;Char(10) &amp; Char(10) &amp; VLOOKUP(A401,Internal_lists_bugs!$A$2:$Z$73,26,FALSE())),"please select a BUG ID")</f>
        <v>please select a BUG ID</v>
      </c>
      <c r="C401" s="51" t="str">
        <f>IFERROR(__xludf.DUMMYFUNCTION("IFERROR(IF(REGEXMATCH(VLOOKUP(A401,Internal_lists_bugs!$A$2:$R$73,18,FALSE()), ""Yes""), VLOOKUP(A401,Internal_lists_bugs!$A$2:$U$73,21,FALSE()), VLOOKUP(A401,Internal_lists_bugs!$A$2:$R$73,18,FALSE())),""please select a BUG ID"")"),"please select a BUG ID")</f>
        <v>please select a BUG ID</v>
      </c>
      <c r="D401" s="43"/>
      <c r="F401" s="62"/>
      <c r="G401" s="63"/>
      <c r="H401" s="43"/>
      <c r="J401" s="62"/>
      <c r="K401" s="63"/>
    </row>
    <row r="402">
      <c r="A402" s="78"/>
      <c r="B402" s="59" t="str">
        <f>IFERROR(HYPERLINK(VLOOKUP(A402,Internal_lists_bugs!$A$2:$C$73,3,FALSE()), VLOOKUP(A402,Internal_lists_bugs!$A$2:$C$73,3,FALSE())&amp;Char(10) &amp; Char(10) &amp; VLOOKUP(A402,Internal_lists_bugs!$A$2:$Z$73,26,FALSE())),"please select a BUG ID")</f>
        <v>please select a BUG ID</v>
      </c>
      <c r="C402" s="51" t="str">
        <f>IFERROR(__xludf.DUMMYFUNCTION("IFERROR(IF(REGEXMATCH(VLOOKUP(A402,Internal_lists_bugs!$A$2:$R$73,18,FALSE()), ""Yes""), VLOOKUP(A402,Internal_lists_bugs!$A$2:$U$73,21,FALSE()), VLOOKUP(A402,Internal_lists_bugs!$A$2:$R$73,18,FALSE())),""please select a BUG ID"")"),"please select a BUG ID")</f>
        <v>please select a BUG ID</v>
      </c>
      <c r="D402" s="43"/>
      <c r="F402" s="62"/>
      <c r="G402" s="63"/>
      <c r="H402" s="43"/>
      <c r="J402" s="62"/>
      <c r="K402" s="63"/>
    </row>
    <row r="403">
      <c r="A403" s="78"/>
      <c r="B403" s="59" t="str">
        <f>IFERROR(HYPERLINK(VLOOKUP(A403,Internal_lists_bugs!$A$2:$C$73,3,FALSE()), VLOOKUP(A403,Internal_lists_bugs!$A$2:$C$73,3,FALSE())&amp;Char(10) &amp; Char(10) &amp; VLOOKUP(A403,Internal_lists_bugs!$A$2:$Z$73,26,FALSE())),"please select a BUG ID")</f>
        <v>please select a BUG ID</v>
      </c>
      <c r="C403" s="51" t="str">
        <f>IFERROR(__xludf.DUMMYFUNCTION("IFERROR(IF(REGEXMATCH(VLOOKUP(A403,Internal_lists_bugs!$A$2:$R$73,18,FALSE()), ""Yes""), VLOOKUP(A403,Internal_lists_bugs!$A$2:$U$73,21,FALSE()), VLOOKUP(A403,Internal_lists_bugs!$A$2:$R$73,18,FALSE())),""please select a BUG ID"")"),"please select a BUG ID")</f>
        <v>please select a BUG ID</v>
      </c>
      <c r="D403" s="43"/>
      <c r="F403" s="62"/>
      <c r="G403" s="63"/>
      <c r="H403" s="43"/>
      <c r="J403" s="62"/>
      <c r="K403" s="63"/>
    </row>
    <row r="404">
      <c r="A404" s="78"/>
      <c r="B404" s="59" t="str">
        <f>IFERROR(HYPERLINK(VLOOKUP(A404,Internal_lists_bugs!$A$2:$C$73,3,FALSE()), VLOOKUP(A404,Internal_lists_bugs!$A$2:$C$73,3,FALSE())&amp;Char(10) &amp; Char(10) &amp; VLOOKUP(A404,Internal_lists_bugs!$A$2:$Z$73,26,FALSE())),"please select a BUG ID")</f>
        <v>please select a BUG ID</v>
      </c>
      <c r="C404" s="51" t="str">
        <f>IFERROR(__xludf.DUMMYFUNCTION("IFERROR(IF(REGEXMATCH(VLOOKUP(A404,Internal_lists_bugs!$A$2:$R$73,18,FALSE()), ""Yes""), VLOOKUP(A404,Internal_lists_bugs!$A$2:$U$73,21,FALSE()), VLOOKUP(A404,Internal_lists_bugs!$A$2:$R$73,18,FALSE())),""please select a BUG ID"")"),"please select a BUG ID")</f>
        <v>please select a BUG ID</v>
      </c>
      <c r="D404" s="43"/>
      <c r="F404" s="62"/>
      <c r="G404" s="63"/>
      <c r="H404" s="43"/>
      <c r="J404" s="62"/>
      <c r="K404" s="63"/>
    </row>
    <row r="405">
      <c r="A405" s="78"/>
      <c r="B405" s="59" t="str">
        <f>IFERROR(HYPERLINK(VLOOKUP(A405,Internal_lists_bugs!$A$2:$C$73,3,FALSE()), VLOOKUP(A405,Internal_lists_bugs!$A$2:$C$73,3,FALSE())&amp;Char(10) &amp; Char(10) &amp; VLOOKUP(A405,Internal_lists_bugs!$A$2:$Z$73,26,FALSE())),"please select a BUG ID")</f>
        <v>please select a BUG ID</v>
      </c>
      <c r="C405" s="51" t="str">
        <f>IFERROR(__xludf.DUMMYFUNCTION("IFERROR(IF(REGEXMATCH(VLOOKUP(A405,Internal_lists_bugs!$A$2:$R$73,18,FALSE()), ""Yes""), VLOOKUP(A405,Internal_lists_bugs!$A$2:$U$73,21,FALSE()), VLOOKUP(A405,Internal_lists_bugs!$A$2:$R$73,18,FALSE())),""please select a BUG ID"")"),"please select a BUG ID")</f>
        <v>please select a BUG ID</v>
      </c>
      <c r="D405" s="43"/>
      <c r="F405" s="62"/>
      <c r="G405" s="63"/>
      <c r="H405" s="43"/>
      <c r="J405" s="62"/>
      <c r="K405" s="63"/>
    </row>
    <row r="406">
      <c r="A406" s="78"/>
      <c r="B406" s="59" t="str">
        <f>IFERROR(HYPERLINK(VLOOKUP(A406,Internal_lists_bugs!$A$2:$C$73,3,FALSE()), VLOOKUP(A406,Internal_lists_bugs!$A$2:$C$73,3,FALSE())&amp;Char(10) &amp; Char(10) &amp; VLOOKUP(A406,Internal_lists_bugs!$A$2:$Z$73,26,FALSE())),"please select a BUG ID")</f>
        <v>please select a BUG ID</v>
      </c>
      <c r="C406" s="51" t="str">
        <f>IFERROR(__xludf.DUMMYFUNCTION("IFERROR(IF(REGEXMATCH(VLOOKUP(A406,Internal_lists_bugs!$A$2:$R$73,18,FALSE()), ""Yes""), VLOOKUP(A406,Internal_lists_bugs!$A$2:$U$73,21,FALSE()), VLOOKUP(A406,Internal_lists_bugs!$A$2:$R$73,18,FALSE())),""please select a BUG ID"")"),"please select a BUG ID")</f>
        <v>please select a BUG ID</v>
      </c>
      <c r="D406" s="43"/>
      <c r="F406" s="62"/>
      <c r="G406" s="63"/>
      <c r="H406" s="43"/>
      <c r="J406" s="62"/>
      <c r="K406" s="63"/>
    </row>
    <row r="407">
      <c r="A407" s="78"/>
      <c r="B407" s="59" t="str">
        <f>IFERROR(HYPERLINK(VLOOKUP(A407,Internal_lists_bugs!$A$2:$C$73,3,FALSE()), VLOOKUP(A407,Internal_lists_bugs!$A$2:$C$73,3,FALSE())&amp;Char(10) &amp; Char(10) &amp; VLOOKUP(A407,Internal_lists_bugs!$A$2:$Z$73,26,FALSE())),"please select a BUG ID")</f>
        <v>please select a BUG ID</v>
      </c>
      <c r="C407" s="51" t="str">
        <f>IFERROR(__xludf.DUMMYFUNCTION("IFERROR(IF(REGEXMATCH(VLOOKUP(A407,Internal_lists_bugs!$A$2:$R$73,18,FALSE()), ""Yes""), VLOOKUP(A407,Internal_lists_bugs!$A$2:$U$73,21,FALSE()), VLOOKUP(A407,Internal_lists_bugs!$A$2:$R$73,18,FALSE())),""please select a BUG ID"")"),"please select a BUG ID")</f>
        <v>please select a BUG ID</v>
      </c>
      <c r="D407" s="43"/>
      <c r="F407" s="62"/>
      <c r="G407" s="63"/>
      <c r="H407" s="43"/>
      <c r="J407" s="62"/>
      <c r="K407" s="63"/>
    </row>
    <row r="408">
      <c r="A408" s="78"/>
      <c r="B408" s="59" t="str">
        <f>IFERROR(HYPERLINK(VLOOKUP(A408,Internal_lists_bugs!$A$2:$C$73,3,FALSE()), VLOOKUP(A408,Internal_lists_bugs!$A$2:$C$73,3,FALSE())&amp;Char(10) &amp; Char(10) &amp; VLOOKUP(A408,Internal_lists_bugs!$A$2:$Z$73,26,FALSE())),"please select a BUG ID")</f>
        <v>please select a BUG ID</v>
      </c>
      <c r="C408" s="51" t="str">
        <f>IFERROR(__xludf.DUMMYFUNCTION("IFERROR(IF(REGEXMATCH(VLOOKUP(A408,Internal_lists_bugs!$A$2:$R$73,18,FALSE()), ""Yes""), VLOOKUP(A408,Internal_lists_bugs!$A$2:$U$73,21,FALSE()), VLOOKUP(A408,Internal_lists_bugs!$A$2:$R$73,18,FALSE())),""please select a BUG ID"")"),"please select a BUG ID")</f>
        <v>please select a BUG ID</v>
      </c>
      <c r="D408" s="43"/>
      <c r="F408" s="62"/>
      <c r="G408" s="63"/>
      <c r="H408" s="43"/>
      <c r="J408" s="62"/>
      <c r="K408" s="63"/>
    </row>
    <row r="409">
      <c r="A409" s="78"/>
      <c r="B409" s="59" t="str">
        <f>IFERROR(HYPERLINK(VLOOKUP(A409,Internal_lists_bugs!$A$2:$C$73,3,FALSE()), VLOOKUP(A409,Internal_lists_bugs!$A$2:$C$73,3,FALSE())&amp;Char(10) &amp; Char(10) &amp; VLOOKUP(A409,Internal_lists_bugs!$A$2:$Z$73,26,FALSE())),"please select a BUG ID")</f>
        <v>please select a BUG ID</v>
      </c>
      <c r="C409" s="51" t="str">
        <f>IFERROR(__xludf.DUMMYFUNCTION("IFERROR(IF(REGEXMATCH(VLOOKUP(A409,Internal_lists_bugs!$A$2:$R$73,18,FALSE()), ""Yes""), VLOOKUP(A409,Internal_lists_bugs!$A$2:$U$73,21,FALSE()), VLOOKUP(A409,Internal_lists_bugs!$A$2:$R$73,18,FALSE())),""please select a BUG ID"")"),"please select a BUG ID")</f>
        <v>please select a BUG ID</v>
      </c>
      <c r="D409" s="43"/>
      <c r="F409" s="62"/>
      <c r="G409" s="63"/>
      <c r="H409" s="43"/>
      <c r="J409" s="62"/>
      <c r="K409" s="63"/>
    </row>
    <row r="410">
      <c r="A410" s="78"/>
      <c r="B410" s="59" t="str">
        <f>IFERROR(HYPERLINK(VLOOKUP(A410,Internal_lists_bugs!$A$2:$C$73,3,FALSE()), VLOOKUP(A410,Internal_lists_bugs!$A$2:$C$73,3,FALSE())&amp;Char(10) &amp; Char(10) &amp; VLOOKUP(A410,Internal_lists_bugs!$A$2:$Z$73,26,FALSE())),"please select a BUG ID")</f>
        <v>please select a BUG ID</v>
      </c>
      <c r="C410" s="51" t="str">
        <f>IFERROR(__xludf.DUMMYFUNCTION("IFERROR(IF(REGEXMATCH(VLOOKUP(A410,Internal_lists_bugs!$A$2:$R$73,18,FALSE()), ""Yes""), VLOOKUP(A410,Internal_lists_bugs!$A$2:$U$73,21,FALSE()), VLOOKUP(A410,Internal_lists_bugs!$A$2:$R$73,18,FALSE())),""please select a BUG ID"")"),"please select a BUG ID")</f>
        <v>please select a BUG ID</v>
      </c>
      <c r="D410" s="43"/>
      <c r="F410" s="62"/>
      <c r="G410" s="63"/>
      <c r="H410" s="43"/>
      <c r="J410" s="62"/>
      <c r="K410" s="63"/>
    </row>
    <row r="411">
      <c r="A411" s="78"/>
      <c r="B411" s="59" t="str">
        <f>IFERROR(HYPERLINK(VLOOKUP(A411,Internal_lists_bugs!$A$2:$C$73,3,FALSE()), VLOOKUP(A411,Internal_lists_bugs!$A$2:$C$73,3,FALSE())&amp;Char(10) &amp; Char(10) &amp; VLOOKUP(A411,Internal_lists_bugs!$A$2:$Z$73,26,FALSE())),"please select a BUG ID")</f>
        <v>please select a BUG ID</v>
      </c>
      <c r="C411" s="51" t="str">
        <f>IFERROR(__xludf.DUMMYFUNCTION("IFERROR(IF(REGEXMATCH(VLOOKUP(A411,Internal_lists_bugs!$A$2:$R$73,18,FALSE()), ""Yes""), VLOOKUP(A411,Internal_lists_bugs!$A$2:$U$73,21,FALSE()), VLOOKUP(A411,Internal_lists_bugs!$A$2:$R$73,18,FALSE())),""please select a BUG ID"")"),"please select a BUG ID")</f>
        <v>please select a BUG ID</v>
      </c>
      <c r="D411" s="43"/>
      <c r="F411" s="62"/>
      <c r="G411" s="63"/>
      <c r="H411" s="43"/>
      <c r="J411" s="62"/>
      <c r="K411" s="63"/>
    </row>
    <row r="412">
      <c r="A412" s="78"/>
      <c r="B412" s="59" t="str">
        <f>IFERROR(HYPERLINK(VLOOKUP(A412,Internal_lists_bugs!$A$2:$C$73,3,FALSE()), VLOOKUP(A412,Internal_lists_bugs!$A$2:$C$73,3,FALSE())&amp;Char(10) &amp; Char(10) &amp; VLOOKUP(A412,Internal_lists_bugs!$A$2:$Z$73,26,FALSE())),"please select a BUG ID")</f>
        <v>please select a BUG ID</v>
      </c>
      <c r="C412" s="51" t="str">
        <f>IFERROR(__xludf.DUMMYFUNCTION("IFERROR(IF(REGEXMATCH(VLOOKUP(A412,Internal_lists_bugs!$A$2:$R$73,18,FALSE()), ""Yes""), VLOOKUP(A412,Internal_lists_bugs!$A$2:$U$73,21,FALSE()), VLOOKUP(A412,Internal_lists_bugs!$A$2:$R$73,18,FALSE())),""please select a BUG ID"")"),"please select a BUG ID")</f>
        <v>please select a BUG ID</v>
      </c>
      <c r="D412" s="43"/>
      <c r="F412" s="62"/>
      <c r="G412" s="63"/>
      <c r="H412" s="43"/>
      <c r="J412" s="62"/>
      <c r="K412" s="63"/>
    </row>
    <row r="413">
      <c r="A413" s="78"/>
      <c r="B413" s="59" t="str">
        <f>IFERROR(HYPERLINK(VLOOKUP(A413,Internal_lists_bugs!$A$2:$C$73,3,FALSE()), VLOOKUP(A413,Internal_lists_bugs!$A$2:$C$73,3,FALSE())&amp;Char(10) &amp; Char(10) &amp; VLOOKUP(A413,Internal_lists_bugs!$A$2:$Z$73,26,FALSE())),"please select a BUG ID")</f>
        <v>please select a BUG ID</v>
      </c>
      <c r="C413" s="51" t="str">
        <f>IFERROR(__xludf.DUMMYFUNCTION("IFERROR(IF(REGEXMATCH(VLOOKUP(A413,Internal_lists_bugs!$A$2:$R$73,18,FALSE()), ""Yes""), VLOOKUP(A413,Internal_lists_bugs!$A$2:$U$73,21,FALSE()), VLOOKUP(A413,Internal_lists_bugs!$A$2:$R$73,18,FALSE())),""please select a BUG ID"")"),"please select a BUG ID")</f>
        <v>please select a BUG ID</v>
      </c>
      <c r="D413" s="43"/>
      <c r="F413" s="62"/>
      <c r="G413" s="63"/>
      <c r="H413" s="43"/>
      <c r="J413" s="62"/>
      <c r="K413" s="63"/>
    </row>
    <row r="414">
      <c r="A414" s="78"/>
      <c r="B414" s="59" t="str">
        <f>IFERROR(HYPERLINK(VLOOKUP(A414,Internal_lists_bugs!$A$2:$C$73,3,FALSE()), VLOOKUP(A414,Internal_lists_bugs!$A$2:$C$73,3,FALSE())&amp;Char(10) &amp; Char(10) &amp; VLOOKUP(A414,Internal_lists_bugs!$A$2:$Z$73,26,FALSE())),"please select a BUG ID")</f>
        <v>please select a BUG ID</v>
      </c>
      <c r="C414" s="51" t="str">
        <f>IFERROR(__xludf.DUMMYFUNCTION("IFERROR(IF(REGEXMATCH(VLOOKUP(A414,Internal_lists_bugs!$A$2:$R$73,18,FALSE()), ""Yes""), VLOOKUP(A414,Internal_lists_bugs!$A$2:$U$73,21,FALSE()), VLOOKUP(A414,Internal_lists_bugs!$A$2:$R$73,18,FALSE())),""please select a BUG ID"")"),"please select a BUG ID")</f>
        <v>please select a BUG ID</v>
      </c>
      <c r="D414" s="43"/>
      <c r="F414" s="62"/>
      <c r="G414" s="63"/>
      <c r="H414" s="43"/>
      <c r="J414" s="62"/>
      <c r="K414" s="63"/>
    </row>
    <row r="415">
      <c r="A415" s="78"/>
      <c r="B415" s="59" t="str">
        <f>IFERROR(HYPERLINK(VLOOKUP(A415,Internal_lists_bugs!$A$2:$C$73,3,FALSE()), VLOOKUP(A415,Internal_lists_bugs!$A$2:$C$73,3,FALSE())&amp;Char(10) &amp; Char(10) &amp; VLOOKUP(A415,Internal_lists_bugs!$A$2:$Z$73,26,FALSE())),"please select a BUG ID")</f>
        <v>please select a BUG ID</v>
      </c>
      <c r="C415" s="51" t="str">
        <f>IFERROR(__xludf.DUMMYFUNCTION("IFERROR(IF(REGEXMATCH(VLOOKUP(A415,Internal_lists_bugs!$A$2:$R$73,18,FALSE()), ""Yes""), VLOOKUP(A415,Internal_lists_bugs!$A$2:$U$73,21,FALSE()), VLOOKUP(A415,Internal_lists_bugs!$A$2:$R$73,18,FALSE())),""please select a BUG ID"")"),"please select a BUG ID")</f>
        <v>please select a BUG ID</v>
      </c>
      <c r="D415" s="43"/>
      <c r="F415" s="62"/>
      <c r="G415" s="63"/>
      <c r="H415" s="43"/>
      <c r="J415" s="62"/>
      <c r="K415" s="63"/>
    </row>
    <row r="416">
      <c r="A416" s="78"/>
      <c r="B416" s="59" t="str">
        <f>IFERROR(HYPERLINK(VLOOKUP(A416,Internal_lists_bugs!$A$2:$C$73,3,FALSE()), VLOOKUP(A416,Internal_lists_bugs!$A$2:$C$73,3,FALSE())&amp;Char(10) &amp; Char(10) &amp; VLOOKUP(A416,Internal_lists_bugs!$A$2:$Z$73,26,FALSE())),"please select a BUG ID")</f>
        <v>please select a BUG ID</v>
      </c>
      <c r="C416" s="51" t="str">
        <f>IFERROR(__xludf.DUMMYFUNCTION("IFERROR(IF(REGEXMATCH(VLOOKUP(A416,Internal_lists_bugs!$A$2:$R$73,18,FALSE()), ""Yes""), VLOOKUP(A416,Internal_lists_bugs!$A$2:$U$73,21,FALSE()), VLOOKUP(A416,Internal_lists_bugs!$A$2:$R$73,18,FALSE())),""please select a BUG ID"")"),"please select a BUG ID")</f>
        <v>please select a BUG ID</v>
      </c>
      <c r="D416" s="43"/>
      <c r="F416" s="62"/>
      <c r="G416" s="63"/>
      <c r="H416" s="43"/>
      <c r="J416" s="62"/>
      <c r="K416" s="63"/>
    </row>
    <row r="417">
      <c r="A417" s="78"/>
      <c r="B417" s="59" t="str">
        <f>IFERROR(HYPERLINK(VLOOKUP(A417,Internal_lists_bugs!$A$2:$C$73,3,FALSE()), VLOOKUP(A417,Internal_lists_bugs!$A$2:$C$73,3,FALSE())&amp;Char(10) &amp; Char(10) &amp; VLOOKUP(A417,Internal_lists_bugs!$A$2:$Z$73,26,FALSE())),"please select a BUG ID")</f>
        <v>please select a BUG ID</v>
      </c>
      <c r="C417" s="51" t="str">
        <f>IFERROR(__xludf.DUMMYFUNCTION("IFERROR(IF(REGEXMATCH(VLOOKUP(A417,Internal_lists_bugs!$A$2:$R$73,18,FALSE()), ""Yes""), VLOOKUP(A417,Internal_lists_bugs!$A$2:$U$73,21,FALSE()), VLOOKUP(A417,Internal_lists_bugs!$A$2:$R$73,18,FALSE())),""please select a BUG ID"")"),"please select a BUG ID")</f>
        <v>please select a BUG ID</v>
      </c>
      <c r="D417" s="43"/>
      <c r="F417" s="62"/>
      <c r="G417" s="63"/>
      <c r="H417" s="43"/>
      <c r="J417" s="62"/>
      <c r="K417" s="63"/>
    </row>
    <row r="418">
      <c r="A418" s="78"/>
      <c r="B418" s="59" t="str">
        <f>IFERROR(HYPERLINK(VLOOKUP(A418,Internal_lists_bugs!$A$2:$C$73,3,FALSE()), VLOOKUP(A418,Internal_lists_bugs!$A$2:$C$73,3,FALSE())&amp;Char(10) &amp; Char(10) &amp; VLOOKUP(A418,Internal_lists_bugs!$A$2:$Z$73,26,FALSE())),"please select a BUG ID")</f>
        <v>please select a BUG ID</v>
      </c>
      <c r="C418" s="51" t="str">
        <f>IFERROR(__xludf.DUMMYFUNCTION("IFERROR(IF(REGEXMATCH(VLOOKUP(A418,Internal_lists_bugs!$A$2:$R$73,18,FALSE()), ""Yes""), VLOOKUP(A418,Internal_lists_bugs!$A$2:$U$73,21,FALSE()), VLOOKUP(A418,Internal_lists_bugs!$A$2:$R$73,18,FALSE())),""please select a BUG ID"")"),"please select a BUG ID")</f>
        <v>please select a BUG ID</v>
      </c>
      <c r="D418" s="43"/>
      <c r="F418" s="62"/>
      <c r="G418" s="63"/>
      <c r="H418" s="43"/>
      <c r="J418" s="62"/>
      <c r="K418" s="63"/>
    </row>
    <row r="419">
      <c r="A419" s="78"/>
      <c r="B419" s="59" t="str">
        <f>IFERROR(HYPERLINK(VLOOKUP(A419,Internal_lists_bugs!$A$2:$C$73,3,FALSE()), VLOOKUP(A419,Internal_lists_bugs!$A$2:$C$73,3,FALSE())&amp;Char(10) &amp; Char(10) &amp; VLOOKUP(A419,Internal_lists_bugs!$A$2:$Z$73,26,FALSE())),"please select a BUG ID")</f>
        <v>please select a BUG ID</v>
      </c>
      <c r="C419" s="51" t="str">
        <f>IFERROR(__xludf.DUMMYFUNCTION("IFERROR(IF(REGEXMATCH(VLOOKUP(A419,Internal_lists_bugs!$A$2:$R$73,18,FALSE()), ""Yes""), VLOOKUP(A419,Internal_lists_bugs!$A$2:$U$73,21,FALSE()), VLOOKUP(A419,Internal_lists_bugs!$A$2:$R$73,18,FALSE())),""please select a BUG ID"")"),"please select a BUG ID")</f>
        <v>please select a BUG ID</v>
      </c>
      <c r="D419" s="43"/>
      <c r="F419" s="62"/>
      <c r="G419" s="63"/>
      <c r="H419" s="43"/>
      <c r="J419" s="62"/>
      <c r="K419" s="63"/>
    </row>
    <row r="420">
      <c r="A420" s="78"/>
      <c r="B420" s="59" t="str">
        <f>IFERROR(HYPERLINK(VLOOKUP(A420,Internal_lists_bugs!$A$2:$C$73,3,FALSE()), VLOOKUP(A420,Internal_lists_bugs!$A$2:$C$73,3,FALSE())&amp;Char(10) &amp; Char(10) &amp; VLOOKUP(A420,Internal_lists_bugs!$A$2:$Z$73,26,FALSE())),"please select a BUG ID")</f>
        <v>please select a BUG ID</v>
      </c>
      <c r="C420" s="51" t="str">
        <f>IFERROR(__xludf.DUMMYFUNCTION("IFERROR(IF(REGEXMATCH(VLOOKUP(A420,Internal_lists_bugs!$A$2:$R$73,18,FALSE()), ""Yes""), VLOOKUP(A420,Internal_lists_bugs!$A$2:$U$73,21,FALSE()), VLOOKUP(A420,Internal_lists_bugs!$A$2:$R$73,18,FALSE())),""please select a BUG ID"")"),"please select a BUG ID")</f>
        <v>please select a BUG ID</v>
      </c>
      <c r="D420" s="43"/>
      <c r="F420" s="62"/>
      <c r="G420" s="63"/>
      <c r="H420" s="43"/>
      <c r="J420" s="62"/>
      <c r="K420" s="63"/>
    </row>
    <row r="421">
      <c r="A421" s="78"/>
      <c r="B421" s="59" t="str">
        <f>IFERROR(HYPERLINK(VLOOKUP(A421,Internal_lists_bugs!$A$2:$C$73,3,FALSE()), VLOOKUP(A421,Internal_lists_bugs!$A$2:$C$73,3,FALSE())&amp;Char(10) &amp; Char(10) &amp; VLOOKUP(A421,Internal_lists_bugs!$A$2:$Z$73,26,FALSE())),"please select a BUG ID")</f>
        <v>please select a BUG ID</v>
      </c>
      <c r="C421" s="51" t="str">
        <f>IFERROR(__xludf.DUMMYFUNCTION("IFERROR(IF(REGEXMATCH(VLOOKUP(A421,Internal_lists_bugs!$A$2:$R$73,18,FALSE()), ""Yes""), VLOOKUP(A421,Internal_lists_bugs!$A$2:$U$73,21,FALSE()), VLOOKUP(A421,Internal_lists_bugs!$A$2:$R$73,18,FALSE())),""please select a BUG ID"")"),"please select a BUG ID")</f>
        <v>please select a BUG ID</v>
      </c>
      <c r="D421" s="43"/>
      <c r="F421" s="62"/>
      <c r="G421" s="63"/>
      <c r="H421" s="43"/>
      <c r="J421" s="62"/>
      <c r="K421" s="63"/>
    </row>
    <row r="422">
      <c r="A422" s="78"/>
      <c r="B422" s="59" t="str">
        <f>IFERROR(HYPERLINK(VLOOKUP(A422,Internal_lists_bugs!$A$2:$C$73,3,FALSE()), VLOOKUP(A422,Internal_lists_bugs!$A$2:$C$73,3,FALSE())&amp;Char(10) &amp; Char(10) &amp; VLOOKUP(A422,Internal_lists_bugs!$A$2:$Z$73,26,FALSE())),"please select a BUG ID")</f>
        <v>please select a BUG ID</v>
      </c>
      <c r="C422" s="51" t="str">
        <f>IFERROR(__xludf.DUMMYFUNCTION("IFERROR(IF(REGEXMATCH(VLOOKUP(A422,Internal_lists_bugs!$A$2:$R$73,18,FALSE()), ""Yes""), VLOOKUP(A422,Internal_lists_bugs!$A$2:$U$73,21,FALSE()), VLOOKUP(A422,Internal_lists_bugs!$A$2:$R$73,18,FALSE())),""please select a BUG ID"")"),"please select a BUG ID")</f>
        <v>please select a BUG ID</v>
      </c>
      <c r="D422" s="43"/>
      <c r="F422" s="62"/>
      <c r="G422" s="63"/>
      <c r="H422" s="43"/>
      <c r="J422" s="62"/>
      <c r="K422" s="63"/>
    </row>
    <row r="423">
      <c r="A423" s="78"/>
      <c r="B423" s="59" t="str">
        <f>IFERROR(HYPERLINK(VLOOKUP(A423,Internal_lists_bugs!$A$2:$C$73,3,FALSE()), VLOOKUP(A423,Internal_lists_bugs!$A$2:$C$73,3,FALSE())&amp;Char(10) &amp; Char(10) &amp; VLOOKUP(A423,Internal_lists_bugs!$A$2:$Z$73,26,FALSE())),"please select a BUG ID")</f>
        <v>please select a BUG ID</v>
      </c>
      <c r="C423" s="51" t="str">
        <f>IFERROR(__xludf.DUMMYFUNCTION("IFERROR(IF(REGEXMATCH(VLOOKUP(A423,Internal_lists_bugs!$A$2:$R$73,18,FALSE()), ""Yes""), VLOOKUP(A423,Internal_lists_bugs!$A$2:$U$73,21,FALSE()), VLOOKUP(A423,Internal_lists_bugs!$A$2:$R$73,18,FALSE())),""please select a BUG ID"")"),"please select a BUG ID")</f>
        <v>please select a BUG ID</v>
      </c>
      <c r="D423" s="43"/>
      <c r="F423" s="62"/>
      <c r="G423" s="63"/>
      <c r="H423" s="43"/>
      <c r="J423" s="62"/>
      <c r="K423" s="63"/>
    </row>
    <row r="424">
      <c r="A424" s="78"/>
      <c r="B424" s="59" t="str">
        <f>IFERROR(HYPERLINK(VLOOKUP(A424,Internal_lists_bugs!$A$2:$C$73,3,FALSE()), VLOOKUP(A424,Internal_lists_bugs!$A$2:$C$73,3,FALSE())&amp;Char(10) &amp; Char(10) &amp; VLOOKUP(A424,Internal_lists_bugs!$A$2:$Z$73,26,FALSE())),"please select a BUG ID")</f>
        <v>please select a BUG ID</v>
      </c>
      <c r="C424" s="51" t="str">
        <f>IFERROR(__xludf.DUMMYFUNCTION("IFERROR(IF(REGEXMATCH(VLOOKUP(A424,Internal_lists_bugs!$A$2:$R$73,18,FALSE()), ""Yes""), VLOOKUP(A424,Internal_lists_bugs!$A$2:$U$73,21,FALSE()), VLOOKUP(A424,Internal_lists_bugs!$A$2:$R$73,18,FALSE())),""please select a BUG ID"")"),"please select a BUG ID")</f>
        <v>please select a BUG ID</v>
      </c>
      <c r="D424" s="43"/>
      <c r="F424" s="62"/>
      <c r="G424" s="63"/>
      <c r="H424" s="43"/>
      <c r="J424" s="62"/>
      <c r="K424" s="63"/>
    </row>
    <row r="425">
      <c r="A425" s="78"/>
      <c r="B425" s="59" t="str">
        <f>IFERROR(HYPERLINK(VLOOKUP(A425,Internal_lists_bugs!$A$2:$C$73,3,FALSE()), VLOOKUP(A425,Internal_lists_bugs!$A$2:$C$73,3,FALSE())&amp;Char(10) &amp; Char(10) &amp; VLOOKUP(A425,Internal_lists_bugs!$A$2:$Z$73,26,FALSE())),"please select a BUG ID")</f>
        <v>please select a BUG ID</v>
      </c>
      <c r="C425" s="51" t="str">
        <f>IFERROR(__xludf.DUMMYFUNCTION("IFERROR(IF(REGEXMATCH(VLOOKUP(A425,Internal_lists_bugs!$A$2:$R$73,18,FALSE()), ""Yes""), VLOOKUP(A425,Internal_lists_bugs!$A$2:$U$73,21,FALSE()), VLOOKUP(A425,Internal_lists_bugs!$A$2:$R$73,18,FALSE())),""please select a BUG ID"")"),"please select a BUG ID")</f>
        <v>please select a BUG ID</v>
      </c>
      <c r="D425" s="43"/>
      <c r="F425" s="62"/>
      <c r="G425" s="63"/>
      <c r="H425" s="43"/>
      <c r="J425" s="62"/>
      <c r="K425" s="63"/>
    </row>
    <row r="426">
      <c r="A426" s="78"/>
      <c r="B426" s="59" t="str">
        <f>IFERROR(HYPERLINK(VLOOKUP(A426,Internal_lists_bugs!$A$2:$C$73,3,FALSE()), VLOOKUP(A426,Internal_lists_bugs!$A$2:$C$73,3,FALSE())&amp;Char(10) &amp; Char(10) &amp; VLOOKUP(A426,Internal_lists_bugs!$A$2:$Z$73,26,FALSE())),"please select a BUG ID")</f>
        <v>please select a BUG ID</v>
      </c>
      <c r="C426" s="51" t="str">
        <f>IFERROR(__xludf.DUMMYFUNCTION("IFERROR(IF(REGEXMATCH(VLOOKUP(A426,Internal_lists_bugs!$A$2:$R$73,18,FALSE()), ""Yes""), VLOOKUP(A426,Internal_lists_bugs!$A$2:$U$73,21,FALSE()), VLOOKUP(A426,Internal_lists_bugs!$A$2:$R$73,18,FALSE())),""please select a BUG ID"")"),"please select a BUG ID")</f>
        <v>please select a BUG ID</v>
      </c>
      <c r="D426" s="43"/>
      <c r="F426" s="62"/>
      <c r="G426" s="63"/>
      <c r="H426" s="43"/>
      <c r="J426" s="62"/>
      <c r="K426" s="63"/>
    </row>
    <row r="427">
      <c r="A427" s="78"/>
      <c r="B427" s="59" t="str">
        <f>IFERROR(HYPERLINK(VLOOKUP(A427,Internal_lists_bugs!$A$2:$C$73,3,FALSE()), VLOOKUP(A427,Internal_lists_bugs!$A$2:$C$73,3,FALSE())&amp;Char(10) &amp; Char(10) &amp; VLOOKUP(A427,Internal_lists_bugs!$A$2:$Z$73,26,FALSE())),"please select a BUG ID")</f>
        <v>please select a BUG ID</v>
      </c>
      <c r="C427" s="51" t="str">
        <f>IFERROR(__xludf.DUMMYFUNCTION("IFERROR(IF(REGEXMATCH(VLOOKUP(A427,Internal_lists_bugs!$A$2:$R$73,18,FALSE()), ""Yes""), VLOOKUP(A427,Internal_lists_bugs!$A$2:$U$73,21,FALSE()), VLOOKUP(A427,Internal_lists_bugs!$A$2:$R$73,18,FALSE())),""please select a BUG ID"")"),"please select a BUG ID")</f>
        <v>please select a BUG ID</v>
      </c>
      <c r="D427" s="43"/>
      <c r="F427" s="62"/>
      <c r="G427" s="63"/>
      <c r="H427" s="43"/>
      <c r="J427" s="62"/>
      <c r="K427" s="63"/>
    </row>
    <row r="428">
      <c r="A428" s="78"/>
      <c r="B428" s="59" t="str">
        <f>IFERROR(HYPERLINK(VLOOKUP(A428,Internal_lists_bugs!$A$2:$C$73,3,FALSE()), VLOOKUP(A428,Internal_lists_bugs!$A$2:$C$73,3,FALSE())&amp;Char(10) &amp; Char(10) &amp; VLOOKUP(A428,Internal_lists_bugs!$A$2:$Z$73,26,FALSE())),"please select a BUG ID")</f>
        <v>please select a BUG ID</v>
      </c>
      <c r="C428" s="51" t="str">
        <f>IFERROR(__xludf.DUMMYFUNCTION("IFERROR(IF(REGEXMATCH(VLOOKUP(A428,Internal_lists_bugs!$A$2:$R$73,18,FALSE()), ""Yes""), VLOOKUP(A428,Internal_lists_bugs!$A$2:$U$73,21,FALSE()), VLOOKUP(A428,Internal_lists_bugs!$A$2:$R$73,18,FALSE())),""please select a BUG ID"")"),"please select a BUG ID")</f>
        <v>please select a BUG ID</v>
      </c>
      <c r="D428" s="43"/>
      <c r="F428" s="62"/>
      <c r="G428" s="63"/>
      <c r="H428" s="43"/>
      <c r="J428" s="62"/>
      <c r="K428" s="63"/>
    </row>
    <row r="429">
      <c r="A429" s="78"/>
      <c r="B429" s="59" t="str">
        <f>IFERROR(HYPERLINK(VLOOKUP(A429,Internal_lists_bugs!$A$2:$C$73,3,FALSE()), VLOOKUP(A429,Internal_lists_bugs!$A$2:$C$73,3,FALSE())&amp;Char(10) &amp; Char(10) &amp; VLOOKUP(A429,Internal_lists_bugs!$A$2:$Z$73,26,FALSE())),"please select a BUG ID")</f>
        <v>please select a BUG ID</v>
      </c>
      <c r="C429" s="51" t="str">
        <f>IFERROR(__xludf.DUMMYFUNCTION("IFERROR(IF(REGEXMATCH(VLOOKUP(A429,Internal_lists_bugs!$A$2:$R$73,18,FALSE()), ""Yes""), VLOOKUP(A429,Internal_lists_bugs!$A$2:$U$73,21,FALSE()), VLOOKUP(A429,Internal_lists_bugs!$A$2:$R$73,18,FALSE())),""please select a BUG ID"")"),"please select a BUG ID")</f>
        <v>please select a BUG ID</v>
      </c>
      <c r="D429" s="43"/>
      <c r="F429" s="62"/>
      <c r="G429" s="63"/>
      <c r="H429" s="43"/>
      <c r="J429" s="62"/>
      <c r="K429" s="63"/>
    </row>
    <row r="430">
      <c r="A430" s="78"/>
      <c r="B430" s="59" t="str">
        <f>IFERROR(HYPERLINK(VLOOKUP(A430,Internal_lists_bugs!$A$2:$C$73,3,FALSE()), VLOOKUP(A430,Internal_lists_bugs!$A$2:$C$73,3,FALSE())&amp;Char(10) &amp; Char(10) &amp; VLOOKUP(A430,Internal_lists_bugs!$A$2:$Z$73,26,FALSE())),"please select a BUG ID")</f>
        <v>please select a BUG ID</v>
      </c>
      <c r="C430" s="51" t="str">
        <f>IFERROR(__xludf.DUMMYFUNCTION("IFERROR(IF(REGEXMATCH(VLOOKUP(A430,Internal_lists_bugs!$A$2:$R$73,18,FALSE()), ""Yes""), VLOOKUP(A430,Internal_lists_bugs!$A$2:$U$73,21,FALSE()), VLOOKUP(A430,Internal_lists_bugs!$A$2:$R$73,18,FALSE())),""please select a BUG ID"")"),"please select a BUG ID")</f>
        <v>please select a BUG ID</v>
      </c>
      <c r="D430" s="43"/>
      <c r="F430" s="62"/>
      <c r="G430" s="63"/>
      <c r="H430" s="43"/>
      <c r="J430" s="62"/>
      <c r="K430" s="63"/>
    </row>
    <row r="431">
      <c r="A431" s="78"/>
      <c r="B431" s="59" t="str">
        <f>IFERROR(HYPERLINK(VLOOKUP(A431,Internal_lists_bugs!$A$2:$C$73,3,FALSE()), VLOOKUP(A431,Internal_lists_bugs!$A$2:$C$73,3,FALSE())&amp;Char(10) &amp; Char(10) &amp; VLOOKUP(A431,Internal_lists_bugs!$A$2:$Z$73,26,FALSE())),"please select a BUG ID")</f>
        <v>please select a BUG ID</v>
      </c>
      <c r="C431" s="51" t="str">
        <f>IFERROR(__xludf.DUMMYFUNCTION("IFERROR(IF(REGEXMATCH(VLOOKUP(A431,Internal_lists_bugs!$A$2:$R$73,18,FALSE()), ""Yes""), VLOOKUP(A431,Internal_lists_bugs!$A$2:$U$73,21,FALSE()), VLOOKUP(A431,Internal_lists_bugs!$A$2:$R$73,18,FALSE())),""please select a BUG ID"")"),"please select a BUG ID")</f>
        <v>please select a BUG ID</v>
      </c>
      <c r="D431" s="43"/>
      <c r="F431" s="62"/>
      <c r="G431" s="63"/>
      <c r="H431" s="43"/>
      <c r="J431" s="62"/>
      <c r="K431" s="63"/>
    </row>
    <row r="432">
      <c r="A432" s="78"/>
      <c r="B432" s="59" t="str">
        <f>IFERROR(HYPERLINK(VLOOKUP(A432,Internal_lists_bugs!$A$2:$C$73,3,FALSE()), VLOOKUP(A432,Internal_lists_bugs!$A$2:$C$73,3,FALSE())&amp;Char(10) &amp; Char(10) &amp; VLOOKUP(A432,Internal_lists_bugs!$A$2:$Z$73,26,FALSE())),"please select a BUG ID")</f>
        <v>please select a BUG ID</v>
      </c>
      <c r="C432" s="51" t="str">
        <f>IFERROR(__xludf.DUMMYFUNCTION("IFERROR(IF(REGEXMATCH(VLOOKUP(A432,Internal_lists_bugs!$A$2:$R$73,18,FALSE()), ""Yes""), VLOOKUP(A432,Internal_lists_bugs!$A$2:$U$73,21,FALSE()), VLOOKUP(A432,Internal_lists_bugs!$A$2:$R$73,18,FALSE())),""please select a BUG ID"")"),"please select a BUG ID")</f>
        <v>please select a BUG ID</v>
      </c>
      <c r="D432" s="43"/>
      <c r="F432" s="62"/>
      <c r="G432" s="63"/>
      <c r="H432" s="43"/>
      <c r="J432" s="62"/>
      <c r="K432" s="63"/>
    </row>
    <row r="433">
      <c r="A433" s="78"/>
      <c r="B433" s="59" t="str">
        <f>IFERROR(HYPERLINK(VLOOKUP(A433,Internal_lists_bugs!$A$2:$C$73,3,FALSE()), VLOOKUP(A433,Internal_lists_bugs!$A$2:$C$73,3,FALSE())&amp;Char(10) &amp; Char(10) &amp; VLOOKUP(A433,Internal_lists_bugs!$A$2:$Z$73,26,FALSE())),"please select a BUG ID")</f>
        <v>please select a BUG ID</v>
      </c>
      <c r="C433" s="51" t="str">
        <f>IFERROR(__xludf.DUMMYFUNCTION("IFERROR(IF(REGEXMATCH(VLOOKUP(A433,Internal_lists_bugs!$A$2:$R$73,18,FALSE()), ""Yes""), VLOOKUP(A433,Internal_lists_bugs!$A$2:$U$73,21,FALSE()), VLOOKUP(A433,Internal_lists_bugs!$A$2:$R$73,18,FALSE())),""please select a BUG ID"")"),"please select a BUG ID")</f>
        <v>please select a BUG ID</v>
      </c>
      <c r="D433" s="43"/>
      <c r="F433" s="62"/>
      <c r="G433" s="63"/>
      <c r="H433" s="43"/>
      <c r="J433" s="62"/>
      <c r="K433" s="63"/>
    </row>
    <row r="434">
      <c r="A434" s="78"/>
      <c r="B434" s="59" t="str">
        <f>IFERROR(HYPERLINK(VLOOKUP(A434,Internal_lists_bugs!$A$2:$C$73,3,FALSE()), VLOOKUP(A434,Internal_lists_bugs!$A$2:$C$73,3,FALSE())&amp;Char(10) &amp; Char(10) &amp; VLOOKUP(A434,Internal_lists_bugs!$A$2:$Z$73,26,FALSE())),"please select a BUG ID")</f>
        <v>please select a BUG ID</v>
      </c>
      <c r="C434" s="51" t="str">
        <f>IFERROR(__xludf.DUMMYFUNCTION("IFERROR(IF(REGEXMATCH(VLOOKUP(A434,Internal_lists_bugs!$A$2:$R$73,18,FALSE()), ""Yes""), VLOOKUP(A434,Internal_lists_bugs!$A$2:$U$73,21,FALSE()), VLOOKUP(A434,Internal_lists_bugs!$A$2:$R$73,18,FALSE())),""please select a BUG ID"")"),"please select a BUG ID")</f>
        <v>please select a BUG ID</v>
      </c>
      <c r="D434" s="43"/>
      <c r="F434" s="62"/>
      <c r="G434" s="63"/>
      <c r="H434" s="43"/>
      <c r="J434" s="62"/>
      <c r="K434" s="63"/>
    </row>
    <row r="435">
      <c r="A435" s="78"/>
      <c r="B435" s="59" t="str">
        <f>IFERROR(HYPERLINK(VLOOKUP(A435,Internal_lists_bugs!$A$2:$C$73,3,FALSE()), VLOOKUP(A435,Internal_lists_bugs!$A$2:$C$73,3,FALSE())&amp;Char(10) &amp; Char(10) &amp; VLOOKUP(A435,Internal_lists_bugs!$A$2:$Z$73,26,FALSE())),"please select a BUG ID")</f>
        <v>please select a BUG ID</v>
      </c>
      <c r="C435" s="51" t="str">
        <f>IFERROR(__xludf.DUMMYFUNCTION("IFERROR(IF(REGEXMATCH(VLOOKUP(A435,Internal_lists_bugs!$A$2:$R$73,18,FALSE()), ""Yes""), VLOOKUP(A435,Internal_lists_bugs!$A$2:$U$73,21,FALSE()), VLOOKUP(A435,Internal_lists_bugs!$A$2:$R$73,18,FALSE())),""please select a BUG ID"")"),"please select a BUG ID")</f>
        <v>please select a BUG ID</v>
      </c>
      <c r="D435" s="43"/>
      <c r="F435" s="62"/>
      <c r="G435" s="63"/>
      <c r="H435" s="43"/>
      <c r="J435" s="62"/>
      <c r="K435" s="63"/>
    </row>
    <row r="436">
      <c r="A436" s="78"/>
      <c r="B436" s="59" t="str">
        <f>IFERROR(HYPERLINK(VLOOKUP(A436,Internal_lists_bugs!$A$2:$C$73,3,FALSE()), VLOOKUP(A436,Internal_lists_bugs!$A$2:$C$73,3,FALSE())&amp;Char(10) &amp; Char(10) &amp; VLOOKUP(A436,Internal_lists_bugs!$A$2:$Z$73,26,FALSE())),"please select a BUG ID")</f>
        <v>please select a BUG ID</v>
      </c>
      <c r="C436" s="51" t="str">
        <f>IFERROR(__xludf.DUMMYFUNCTION("IFERROR(IF(REGEXMATCH(VLOOKUP(A436,Internal_lists_bugs!$A$2:$R$73,18,FALSE()), ""Yes""), VLOOKUP(A436,Internal_lists_bugs!$A$2:$U$73,21,FALSE()), VLOOKUP(A436,Internal_lists_bugs!$A$2:$R$73,18,FALSE())),""please select a BUG ID"")"),"please select a BUG ID")</f>
        <v>please select a BUG ID</v>
      </c>
      <c r="D436" s="43"/>
      <c r="F436" s="62"/>
      <c r="G436" s="63"/>
      <c r="H436" s="43"/>
      <c r="J436" s="62"/>
      <c r="K436" s="63"/>
    </row>
    <row r="437">
      <c r="A437" s="78"/>
      <c r="B437" s="59" t="str">
        <f>IFERROR(HYPERLINK(VLOOKUP(A437,Internal_lists_bugs!$A$2:$C$73,3,FALSE()), VLOOKUP(A437,Internal_lists_bugs!$A$2:$C$73,3,FALSE())&amp;Char(10) &amp; Char(10) &amp; VLOOKUP(A437,Internal_lists_bugs!$A$2:$Z$73,26,FALSE())),"please select a BUG ID")</f>
        <v>please select a BUG ID</v>
      </c>
      <c r="C437" s="51" t="str">
        <f>IFERROR(__xludf.DUMMYFUNCTION("IFERROR(IF(REGEXMATCH(VLOOKUP(A437,Internal_lists_bugs!$A$2:$R$73,18,FALSE()), ""Yes""), VLOOKUP(A437,Internal_lists_bugs!$A$2:$U$73,21,FALSE()), VLOOKUP(A437,Internal_lists_bugs!$A$2:$R$73,18,FALSE())),""please select a BUG ID"")"),"please select a BUG ID")</f>
        <v>please select a BUG ID</v>
      </c>
      <c r="D437" s="43"/>
      <c r="F437" s="62"/>
      <c r="G437" s="63"/>
      <c r="H437" s="43"/>
      <c r="J437" s="62"/>
      <c r="K437" s="63"/>
    </row>
    <row r="438">
      <c r="A438" s="78"/>
      <c r="B438" s="59" t="str">
        <f>IFERROR(HYPERLINK(VLOOKUP(A438,Internal_lists_bugs!$A$2:$C$73,3,FALSE()), VLOOKUP(A438,Internal_lists_bugs!$A$2:$C$73,3,FALSE())&amp;Char(10) &amp; Char(10) &amp; VLOOKUP(A438,Internal_lists_bugs!$A$2:$Z$73,26,FALSE())),"please select a BUG ID")</f>
        <v>please select a BUG ID</v>
      </c>
      <c r="C438" s="51" t="str">
        <f>IFERROR(__xludf.DUMMYFUNCTION("IFERROR(IF(REGEXMATCH(VLOOKUP(A438,Internal_lists_bugs!$A$2:$R$73,18,FALSE()), ""Yes""), VLOOKUP(A438,Internal_lists_bugs!$A$2:$U$73,21,FALSE()), VLOOKUP(A438,Internal_lists_bugs!$A$2:$R$73,18,FALSE())),""please select a BUG ID"")"),"please select a BUG ID")</f>
        <v>please select a BUG ID</v>
      </c>
      <c r="D438" s="43"/>
      <c r="F438" s="62"/>
      <c r="G438" s="63"/>
      <c r="H438" s="43"/>
      <c r="J438" s="62"/>
      <c r="K438" s="63"/>
    </row>
    <row r="439">
      <c r="A439" s="78"/>
      <c r="B439" s="59" t="str">
        <f>IFERROR(HYPERLINK(VLOOKUP(A439,Internal_lists_bugs!$A$2:$C$73,3,FALSE()), VLOOKUP(A439,Internal_lists_bugs!$A$2:$C$73,3,FALSE())&amp;Char(10) &amp; Char(10) &amp; VLOOKUP(A439,Internal_lists_bugs!$A$2:$Z$73,26,FALSE())),"please select a BUG ID")</f>
        <v>please select a BUG ID</v>
      </c>
      <c r="C439" s="51" t="str">
        <f>IFERROR(__xludf.DUMMYFUNCTION("IFERROR(IF(REGEXMATCH(VLOOKUP(A439,Internal_lists_bugs!$A$2:$R$73,18,FALSE()), ""Yes""), VLOOKUP(A439,Internal_lists_bugs!$A$2:$U$73,21,FALSE()), VLOOKUP(A439,Internal_lists_bugs!$A$2:$R$73,18,FALSE())),""please select a BUG ID"")"),"please select a BUG ID")</f>
        <v>please select a BUG ID</v>
      </c>
      <c r="D439" s="43"/>
      <c r="F439" s="62"/>
      <c r="G439" s="63"/>
      <c r="H439" s="43"/>
      <c r="J439" s="62"/>
      <c r="K439" s="63"/>
    </row>
    <row r="440">
      <c r="A440" s="78"/>
      <c r="B440" s="59" t="str">
        <f>IFERROR(HYPERLINK(VLOOKUP(A440,Internal_lists_bugs!$A$2:$C$73,3,FALSE()), VLOOKUP(A440,Internal_lists_bugs!$A$2:$C$73,3,FALSE())&amp;Char(10) &amp; Char(10) &amp; VLOOKUP(A440,Internal_lists_bugs!$A$2:$Z$73,26,FALSE())),"please select a BUG ID")</f>
        <v>please select a BUG ID</v>
      </c>
      <c r="C440" s="51" t="str">
        <f>IFERROR(__xludf.DUMMYFUNCTION("IFERROR(IF(REGEXMATCH(VLOOKUP(A440,Internal_lists_bugs!$A$2:$R$73,18,FALSE()), ""Yes""), VLOOKUP(A440,Internal_lists_bugs!$A$2:$U$73,21,FALSE()), VLOOKUP(A440,Internal_lists_bugs!$A$2:$R$73,18,FALSE())),""please select a BUG ID"")"),"please select a BUG ID")</f>
        <v>please select a BUG ID</v>
      </c>
      <c r="D440" s="43"/>
      <c r="F440" s="62"/>
      <c r="G440" s="63"/>
      <c r="H440" s="43"/>
      <c r="J440" s="62"/>
      <c r="K440" s="63"/>
    </row>
    <row r="441">
      <c r="A441" s="78"/>
      <c r="B441" s="59" t="str">
        <f>IFERROR(HYPERLINK(VLOOKUP(A441,Internal_lists_bugs!$A$2:$C$73,3,FALSE()), VLOOKUP(A441,Internal_lists_bugs!$A$2:$C$73,3,FALSE())&amp;Char(10) &amp; Char(10) &amp; VLOOKUP(A441,Internal_lists_bugs!$A$2:$Z$73,26,FALSE())),"please select a BUG ID")</f>
        <v>please select a BUG ID</v>
      </c>
      <c r="C441" s="51" t="str">
        <f>IFERROR(__xludf.DUMMYFUNCTION("IFERROR(IF(REGEXMATCH(VLOOKUP(A441,Internal_lists_bugs!$A$2:$R$73,18,FALSE()), ""Yes""), VLOOKUP(A441,Internal_lists_bugs!$A$2:$U$73,21,FALSE()), VLOOKUP(A441,Internal_lists_bugs!$A$2:$R$73,18,FALSE())),""please select a BUG ID"")"),"please select a BUG ID")</f>
        <v>please select a BUG ID</v>
      </c>
      <c r="D441" s="43"/>
      <c r="F441" s="62"/>
      <c r="G441" s="63"/>
      <c r="H441" s="43"/>
      <c r="J441" s="62"/>
      <c r="K441" s="63"/>
    </row>
    <row r="442">
      <c r="A442" s="78"/>
      <c r="B442" s="59" t="str">
        <f>IFERROR(HYPERLINK(VLOOKUP(A442,Internal_lists_bugs!$A$2:$C$73,3,FALSE()), VLOOKUP(A442,Internal_lists_bugs!$A$2:$C$73,3,FALSE())&amp;Char(10) &amp; Char(10) &amp; VLOOKUP(A442,Internal_lists_bugs!$A$2:$Z$73,26,FALSE())),"please select a BUG ID")</f>
        <v>please select a BUG ID</v>
      </c>
      <c r="C442" s="51" t="str">
        <f>IFERROR(__xludf.DUMMYFUNCTION("IFERROR(IF(REGEXMATCH(VLOOKUP(A442,Internal_lists_bugs!$A$2:$R$73,18,FALSE()), ""Yes""), VLOOKUP(A442,Internal_lists_bugs!$A$2:$U$73,21,FALSE()), VLOOKUP(A442,Internal_lists_bugs!$A$2:$R$73,18,FALSE())),""please select a BUG ID"")"),"please select a BUG ID")</f>
        <v>please select a BUG ID</v>
      </c>
      <c r="D442" s="43"/>
      <c r="F442" s="62"/>
      <c r="G442" s="63"/>
      <c r="H442" s="43"/>
      <c r="J442" s="62"/>
      <c r="K442" s="63"/>
    </row>
    <row r="443">
      <c r="A443" s="78"/>
      <c r="B443" s="59" t="str">
        <f>IFERROR(HYPERLINK(VLOOKUP(A443,Internal_lists_bugs!$A$2:$C$73,3,FALSE()), VLOOKUP(A443,Internal_lists_bugs!$A$2:$C$73,3,FALSE())&amp;Char(10) &amp; Char(10) &amp; VLOOKUP(A443,Internal_lists_bugs!$A$2:$Z$73,26,FALSE())),"please select a BUG ID")</f>
        <v>please select a BUG ID</v>
      </c>
      <c r="C443" s="51" t="str">
        <f>IFERROR(__xludf.DUMMYFUNCTION("IFERROR(IF(REGEXMATCH(VLOOKUP(A443,Internal_lists_bugs!$A$2:$R$73,18,FALSE()), ""Yes""), VLOOKUP(A443,Internal_lists_bugs!$A$2:$U$73,21,FALSE()), VLOOKUP(A443,Internal_lists_bugs!$A$2:$R$73,18,FALSE())),""please select a BUG ID"")"),"please select a BUG ID")</f>
        <v>please select a BUG ID</v>
      </c>
      <c r="D443" s="43"/>
      <c r="F443" s="62"/>
      <c r="G443" s="63"/>
      <c r="H443" s="43"/>
      <c r="J443" s="62"/>
      <c r="K443" s="63"/>
    </row>
    <row r="444">
      <c r="A444" s="78"/>
      <c r="B444" s="59" t="str">
        <f>IFERROR(HYPERLINK(VLOOKUP(A444,Internal_lists_bugs!$A$2:$C$73,3,FALSE()), VLOOKUP(A444,Internal_lists_bugs!$A$2:$C$73,3,FALSE())&amp;Char(10) &amp; Char(10) &amp; VLOOKUP(A444,Internal_lists_bugs!$A$2:$Z$73,26,FALSE())),"please select a BUG ID")</f>
        <v>please select a BUG ID</v>
      </c>
      <c r="C444" s="51" t="str">
        <f>IFERROR(__xludf.DUMMYFUNCTION("IFERROR(IF(REGEXMATCH(VLOOKUP(A444,Internal_lists_bugs!$A$2:$R$73,18,FALSE()), ""Yes""), VLOOKUP(A444,Internal_lists_bugs!$A$2:$U$73,21,FALSE()), VLOOKUP(A444,Internal_lists_bugs!$A$2:$R$73,18,FALSE())),""please select a BUG ID"")"),"please select a BUG ID")</f>
        <v>please select a BUG ID</v>
      </c>
      <c r="D444" s="43"/>
      <c r="F444" s="62"/>
      <c r="G444" s="63"/>
      <c r="H444" s="43"/>
      <c r="J444" s="62"/>
      <c r="K444" s="63"/>
    </row>
    <row r="445">
      <c r="A445" s="78"/>
      <c r="B445" s="59" t="str">
        <f>IFERROR(HYPERLINK(VLOOKUP(A445,Internal_lists_bugs!$A$2:$C$73,3,FALSE()), VLOOKUP(A445,Internal_lists_bugs!$A$2:$C$73,3,FALSE())&amp;Char(10) &amp; Char(10) &amp; VLOOKUP(A445,Internal_lists_bugs!$A$2:$Z$73,26,FALSE())),"please select a BUG ID")</f>
        <v>please select a BUG ID</v>
      </c>
      <c r="C445" s="51" t="str">
        <f>IFERROR(__xludf.DUMMYFUNCTION("IFERROR(IF(REGEXMATCH(VLOOKUP(A445,Internal_lists_bugs!$A$2:$R$73,18,FALSE()), ""Yes""), VLOOKUP(A445,Internal_lists_bugs!$A$2:$U$73,21,FALSE()), VLOOKUP(A445,Internal_lists_bugs!$A$2:$R$73,18,FALSE())),""please select a BUG ID"")"),"please select a BUG ID")</f>
        <v>please select a BUG ID</v>
      </c>
      <c r="D445" s="43"/>
      <c r="F445" s="62"/>
      <c r="G445" s="63"/>
      <c r="H445" s="43"/>
      <c r="J445" s="62"/>
      <c r="K445" s="63"/>
    </row>
    <row r="446">
      <c r="A446" s="78"/>
      <c r="B446" s="59" t="str">
        <f>IFERROR(HYPERLINK(VLOOKUP(A446,Internal_lists_bugs!$A$2:$C$73,3,FALSE()), VLOOKUP(A446,Internal_lists_bugs!$A$2:$C$73,3,FALSE())&amp;Char(10) &amp; Char(10) &amp; VLOOKUP(A446,Internal_lists_bugs!$A$2:$Z$73,26,FALSE())),"please select a BUG ID")</f>
        <v>please select a BUG ID</v>
      </c>
      <c r="C446" s="51" t="str">
        <f>IFERROR(__xludf.DUMMYFUNCTION("IFERROR(IF(REGEXMATCH(VLOOKUP(A446,Internal_lists_bugs!$A$2:$R$73,18,FALSE()), ""Yes""), VLOOKUP(A446,Internal_lists_bugs!$A$2:$U$73,21,FALSE()), VLOOKUP(A446,Internal_lists_bugs!$A$2:$R$73,18,FALSE())),""please select a BUG ID"")"),"please select a BUG ID")</f>
        <v>please select a BUG ID</v>
      </c>
      <c r="D446" s="43"/>
      <c r="F446" s="62"/>
      <c r="G446" s="63"/>
      <c r="H446" s="43"/>
      <c r="J446" s="62"/>
      <c r="K446" s="63"/>
    </row>
    <row r="447">
      <c r="A447" s="78"/>
      <c r="B447" s="59" t="str">
        <f>IFERROR(HYPERLINK(VLOOKUP(A447,Internal_lists_bugs!$A$2:$C$73,3,FALSE()), VLOOKUP(A447,Internal_lists_bugs!$A$2:$C$73,3,FALSE())&amp;Char(10) &amp; Char(10) &amp; VLOOKUP(A447,Internal_lists_bugs!$A$2:$Z$73,26,FALSE())),"please select a BUG ID")</f>
        <v>please select a BUG ID</v>
      </c>
      <c r="C447" s="51" t="str">
        <f>IFERROR(__xludf.DUMMYFUNCTION("IFERROR(IF(REGEXMATCH(VLOOKUP(A447,Internal_lists_bugs!$A$2:$R$73,18,FALSE()), ""Yes""), VLOOKUP(A447,Internal_lists_bugs!$A$2:$U$73,21,FALSE()), VLOOKUP(A447,Internal_lists_bugs!$A$2:$R$73,18,FALSE())),""please select a BUG ID"")"),"please select a BUG ID")</f>
        <v>please select a BUG ID</v>
      </c>
      <c r="D447" s="43"/>
      <c r="F447" s="62"/>
      <c r="G447" s="63"/>
      <c r="H447" s="43"/>
      <c r="J447" s="62"/>
      <c r="K447" s="63"/>
    </row>
    <row r="448">
      <c r="A448" s="78"/>
      <c r="B448" s="59" t="str">
        <f>IFERROR(HYPERLINK(VLOOKUP(A448,Internal_lists_bugs!$A$2:$C$73,3,FALSE()), VLOOKUP(A448,Internal_lists_bugs!$A$2:$C$73,3,FALSE())&amp;Char(10) &amp; Char(10) &amp; VLOOKUP(A448,Internal_lists_bugs!$A$2:$Z$73,26,FALSE())),"please select a BUG ID")</f>
        <v>please select a BUG ID</v>
      </c>
      <c r="C448" s="51" t="str">
        <f>IFERROR(__xludf.DUMMYFUNCTION("IFERROR(IF(REGEXMATCH(VLOOKUP(A448,Internal_lists_bugs!$A$2:$R$73,18,FALSE()), ""Yes""), VLOOKUP(A448,Internal_lists_bugs!$A$2:$U$73,21,FALSE()), VLOOKUP(A448,Internal_lists_bugs!$A$2:$R$73,18,FALSE())),""please select a BUG ID"")"),"please select a BUG ID")</f>
        <v>please select a BUG ID</v>
      </c>
      <c r="D448" s="43"/>
      <c r="F448" s="62"/>
      <c r="G448" s="63"/>
      <c r="H448" s="43"/>
      <c r="J448" s="62"/>
      <c r="K448" s="63"/>
    </row>
    <row r="449">
      <c r="A449" s="78"/>
      <c r="B449" s="59" t="str">
        <f>IFERROR(HYPERLINK(VLOOKUP(A449,Internal_lists_bugs!$A$2:$C$73,3,FALSE()), VLOOKUP(A449,Internal_lists_bugs!$A$2:$C$73,3,FALSE())&amp;Char(10) &amp; Char(10) &amp; VLOOKUP(A449,Internal_lists_bugs!$A$2:$Z$73,26,FALSE())),"please select a BUG ID")</f>
        <v>please select a BUG ID</v>
      </c>
      <c r="C449" s="51" t="str">
        <f>IFERROR(__xludf.DUMMYFUNCTION("IFERROR(IF(REGEXMATCH(VLOOKUP(A449,Internal_lists_bugs!$A$2:$R$73,18,FALSE()), ""Yes""), VLOOKUP(A449,Internal_lists_bugs!$A$2:$U$73,21,FALSE()), VLOOKUP(A449,Internal_lists_bugs!$A$2:$R$73,18,FALSE())),""please select a BUG ID"")"),"please select a BUG ID")</f>
        <v>please select a BUG ID</v>
      </c>
      <c r="D449" s="43"/>
      <c r="F449" s="62"/>
      <c r="G449" s="63"/>
      <c r="H449" s="43"/>
      <c r="J449" s="62"/>
      <c r="K449" s="63"/>
    </row>
    <row r="450">
      <c r="A450" s="78"/>
      <c r="B450" s="59" t="str">
        <f>IFERROR(HYPERLINK(VLOOKUP(A450,Internal_lists_bugs!$A$2:$C$73,3,FALSE()), VLOOKUP(A450,Internal_lists_bugs!$A$2:$C$73,3,FALSE())&amp;Char(10) &amp; Char(10) &amp; VLOOKUP(A450,Internal_lists_bugs!$A$2:$Z$73,26,FALSE())),"please select a BUG ID")</f>
        <v>please select a BUG ID</v>
      </c>
      <c r="C450" s="51" t="str">
        <f>IFERROR(__xludf.DUMMYFUNCTION("IFERROR(IF(REGEXMATCH(VLOOKUP(A450,Internal_lists_bugs!$A$2:$R$73,18,FALSE()), ""Yes""), VLOOKUP(A450,Internal_lists_bugs!$A$2:$U$73,21,FALSE()), VLOOKUP(A450,Internal_lists_bugs!$A$2:$R$73,18,FALSE())),""please select a BUG ID"")"),"please select a BUG ID")</f>
        <v>please select a BUG ID</v>
      </c>
      <c r="D450" s="43"/>
      <c r="F450" s="62"/>
      <c r="G450" s="63"/>
      <c r="H450" s="43"/>
      <c r="J450" s="62"/>
      <c r="K450" s="63"/>
    </row>
    <row r="451">
      <c r="A451" s="78"/>
      <c r="B451" s="59" t="str">
        <f>IFERROR(HYPERLINK(VLOOKUP(A451,Internal_lists_bugs!$A$2:$C$73,3,FALSE()), VLOOKUP(A451,Internal_lists_bugs!$A$2:$C$73,3,FALSE())&amp;Char(10) &amp; Char(10) &amp; VLOOKUP(A451,Internal_lists_bugs!$A$2:$Z$73,26,FALSE())),"please select a BUG ID")</f>
        <v>please select a BUG ID</v>
      </c>
      <c r="C451" s="51" t="str">
        <f>IFERROR(__xludf.DUMMYFUNCTION("IFERROR(IF(REGEXMATCH(VLOOKUP(A451,Internal_lists_bugs!$A$2:$R$73,18,FALSE()), ""Yes""), VLOOKUP(A451,Internal_lists_bugs!$A$2:$U$73,21,FALSE()), VLOOKUP(A451,Internal_lists_bugs!$A$2:$R$73,18,FALSE())),""please select a BUG ID"")"),"please select a BUG ID")</f>
        <v>please select a BUG ID</v>
      </c>
      <c r="D451" s="43"/>
      <c r="F451" s="62"/>
      <c r="G451" s="63"/>
      <c r="H451" s="43"/>
      <c r="J451" s="62"/>
      <c r="K451" s="63"/>
    </row>
    <row r="452">
      <c r="A452" s="78"/>
      <c r="B452" s="59" t="str">
        <f>IFERROR(HYPERLINK(VLOOKUP(A452,Internal_lists_bugs!$A$2:$C$73,3,FALSE()), VLOOKUP(A452,Internal_lists_bugs!$A$2:$C$73,3,FALSE())&amp;Char(10) &amp; Char(10) &amp; VLOOKUP(A452,Internal_lists_bugs!$A$2:$Z$73,26,FALSE())),"please select a BUG ID")</f>
        <v>please select a BUG ID</v>
      </c>
      <c r="C452" s="51" t="str">
        <f>IFERROR(__xludf.DUMMYFUNCTION("IFERROR(IF(REGEXMATCH(VLOOKUP(A452,Internal_lists_bugs!$A$2:$R$73,18,FALSE()), ""Yes""), VLOOKUP(A452,Internal_lists_bugs!$A$2:$U$73,21,FALSE()), VLOOKUP(A452,Internal_lists_bugs!$A$2:$R$73,18,FALSE())),""please select a BUG ID"")"),"please select a BUG ID")</f>
        <v>please select a BUG ID</v>
      </c>
      <c r="D452" s="43"/>
      <c r="F452" s="62"/>
      <c r="G452" s="63"/>
      <c r="H452" s="43"/>
      <c r="J452" s="62"/>
      <c r="K452" s="63"/>
    </row>
    <row r="453">
      <c r="A453" s="78"/>
      <c r="B453" s="59" t="str">
        <f>IFERROR(HYPERLINK(VLOOKUP(A453,Internal_lists_bugs!$A$2:$C$73,3,FALSE()), VLOOKUP(A453,Internal_lists_bugs!$A$2:$C$73,3,FALSE())&amp;Char(10) &amp; Char(10) &amp; VLOOKUP(A453,Internal_lists_bugs!$A$2:$Z$73,26,FALSE())),"please select a BUG ID")</f>
        <v>please select a BUG ID</v>
      </c>
      <c r="C453" s="51" t="str">
        <f>IFERROR(__xludf.DUMMYFUNCTION("IFERROR(IF(REGEXMATCH(VLOOKUP(A453,Internal_lists_bugs!$A$2:$R$73,18,FALSE()), ""Yes""), VLOOKUP(A453,Internal_lists_bugs!$A$2:$U$73,21,FALSE()), VLOOKUP(A453,Internal_lists_bugs!$A$2:$R$73,18,FALSE())),""please select a BUG ID"")"),"please select a BUG ID")</f>
        <v>please select a BUG ID</v>
      </c>
      <c r="D453" s="43"/>
      <c r="F453" s="62"/>
      <c r="G453" s="63"/>
      <c r="H453" s="43"/>
      <c r="J453" s="62"/>
      <c r="K453" s="63"/>
    </row>
    <row r="454">
      <c r="A454" s="78"/>
      <c r="B454" s="59" t="str">
        <f>IFERROR(HYPERLINK(VLOOKUP(A454,Internal_lists_bugs!$A$2:$C$73,3,FALSE()), VLOOKUP(A454,Internal_lists_bugs!$A$2:$C$73,3,FALSE())&amp;Char(10) &amp; Char(10) &amp; VLOOKUP(A454,Internal_lists_bugs!$A$2:$Z$73,26,FALSE())),"please select a BUG ID")</f>
        <v>please select a BUG ID</v>
      </c>
      <c r="C454" s="51" t="str">
        <f>IFERROR(__xludf.DUMMYFUNCTION("IFERROR(IF(REGEXMATCH(VLOOKUP(A454,Internal_lists_bugs!$A$2:$R$73,18,FALSE()), ""Yes""), VLOOKUP(A454,Internal_lists_bugs!$A$2:$U$73,21,FALSE()), VLOOKUP(A454,Internal_lists_bugs!$A$2:$R$73,18,FALSE())),""please select a BUG ID"")"),"please select a BUG ID")</f>
        <v>please select a BUG ID</v>
      </c>
      <c r="D454" s="43"/>
      <c r="F454" s="62"/>
      <c r="G454" s="63"/>
      <c r="H454" s="43"/>
      <c r="J454" s="62"/>
      <c r="K454" s="63"/>
    </row>
    <row r="455">
      <c r="A455" s="78"/>
      <c r="B455" s="59" t="str">
        <f>IFERROR(HYPERLINK(VLOOKUP(A455,Internal_lists_bugs!$A$2:$C$73,3,FALSE()), VLOOKUP(A455,Internal_lists_bugs!$A$2:$C$73,3,FALSE())&amp;Char(10) &amp; Char(10) &amp; VLOOKUP(A455,Internal_lists_bugs!$A$2:$Z$73,26,FALSE())),"please select a BUG ID")</f>
        <v>please select a BUG ID</v>
      </c>
      <c r="C455" s="51" t="str">
        <f>IFERROR(__xludf.DUMMYFUNCTION("IFERROR(IF(REGEXMATCH(VLOOKUP(A455,Internal_lists_bugs!$A$2:$R$73,18,FALSE()), ""Yes""), VLOOKUP(A455,Internal_lists_bugs!$A$2:$U$73,21,FALSE()), VLOOKUP(A455,Internal_lists_bugs!$A$2:$R$73,18,FALSE())),""please select a BUG ID"")"),"please select a BUG ID")</f>
        <v>please select a BUG ID</v>
      </c>
      <c r="D455" s="43"/>
      <c r="F455" s="62"/>
      <c r="G455" s="63"/>
      <c r="H455" s="43"/>
      <c r="J455" s="62"/>
      <c r="K455" s="63"/>
    </row>
    <row r="456">
      <c r="A456" s="78"/>
      <c r="B456" s="59" t="str">
        <f>IFERROR(HYPERLINK(VLOOKUP(A456,Internal_lists_bugs!$A$2:$C$73,3,FALSE()), VLOOKUP(A456,Internal_lists_bugs!$A$2:$C$73,3,FALSE())&amp;Char(10) &amp; Char(10) &amp; VLOOKUP(A456,Internal_lists_bugs!$A$2:$Z$73,26,FALSE())),"please select a BUG ID")</f>
        <v>please select a BUG ID</v>
      </c>
      <c r="C456" s="51" t="str">
        <f>IFERROR(__xludf.DUMMYFUNCTION("IFERROR(IF(REGEXMATCH(VLOOKUP(A456,Internal_lists_bugs!$A$2:$R$73,18,FALSE()), ""Yes""), VLOOKUP(A456,Internal_lists_bugs!$A$2:$U$73,21,FALSE()), VLOOKUP(A456,Internal_lists_bugs!$A$2:$R$73,18,FALSE())),""please select a BUG ID"")"),"please select a BUG ID")</f>
        <v>please select a BUG ID</v>
      </c>
      <c r="D456" s="43"/>
      <c r="F456" s="62"/>
      <c r="G456" s="63"/>
      <c r="H456" s="43"/>
      <c r="J456" s="62"/>
      <c r="K456" s="63"/>
    </row>
    <row r="457">
      <c r="A457" s="78"/>
      <c r="B457" s="59" t="str">
        <f>IFERROR(HYPERLINK(VLOOKUP(A457,Internal_lists_bugs!$A$2:$C$73,3,FALSE()), VLOOKUP(A457,Internal_lists_bugs!$A$2:$C$73,3,FALSE())&amp;Char(10) &amp; Char(10) &amp; VLOOKUP(A457,Internal_lists_bugs!$A$2:$Z$73,26,FALSE())),"please select a BUG ID")</f>
        <v>please select a BUG ID</v>
      </c>
      <c r="C457" s="51" t="str">
        <f>IFERROR(__xludf.DUMMYFUNCTION("IFERROR(IF(REGEXMATCH(VLOOKUP(A457,Internal_lists_bugs!$A$2:$R$73,18,FALSE()), ""Yes""), VLOOKUP(A457,Internal_lists_bugs!$A$2:$U$73,21,FALSE()), VLOOKUP(A457,Internal_lists_bugs!$A$2:$R$73,18,FALSE())),""please select a BUG ID"")"),"please select a BUG ID")</f>
        <v>please select a BUG ID</v>
      </c>
      <c r="D457" s="43"/>
      <c r="F457" s="62"/>
      <c r="G457" s="63"/>
      <c r="H457" s="43"/>
      <c r="J457" s="62"/>
      <c r="K457" s="63"/>
    </row>
    <row r="458">
      <c r="A458" s="78"/>
      <c r="B458" s="59" t="str">
        <f>IFERROR(HYPERLINK(VLOOKUP(A458,Internal_lists_bugs!$A$2:$C$73,3,FALSE()), VLOOKUP(A458,Internal_lists_bugs!$A$2:$C$73,3,FALSE())&amp;Char(10) &amp; Char(10) &amp; VLOOKUP(A458,Internal_lists_bugs!$A$2:$Z$73,26,FALSE())),"please select a BUG ID")</f>
        <v>please select a BUG ID</v>
      </c>
      <c r="C458" s="51" t="str">
        <f>IFERROR(__xludf.DUMMYFUNCTION("IFERROR(IF(REGEXMATCH(VLOOKUP(A458,Internal_lists_bugs!$A$2:$R$73,18,FALSE()), ""Yes""), VLOOKUP(A458,Internal_lists_bugs!$A$2:$U$73,21,FALSE()), VLOOKUP(A458,Internal_lists_bugs!$A$2:$R$73,18,FALSE())),""please select a BUG ID"")"),"please select a BUG ID")</f>
        <v>please select a BUG ID</v>
      </c>
      <c r="D458" s="43"/>
      <c r="F458" s="62"/>
      <c r="G458" s="63"/>
      <c r="H458" s="43"/>
      <c r="J458" s="62"/>
      <c r="K458" s="63"/>
    </row>
    <row r="459">
      <c r="A459" s="78"/>
      <c r="B459" s="59" t="str">
        <f>IFERROR(HYPERLINK(VLOOKUP(A459,Internal_lists_bugs!$A$2:$C$73,3,FALSE()), VLOOKUP(A459,Internal_lists_bugs!$A$2:$C$73,3,FALSE())&amp;Char(10) &amp; Char(10) &amp; VLOOKUP(A459,Internal_lists_bugs!$A$2:$Z$73,26,FALSE())),"please select a BUG ID")</f>
        <v>please select a BUG ID</v>
      </c>
      <c r="C459" s="51" t="str">
        <f>IFERROR(__xludf.DUMMYFUNCTION("IFERROR(IF(REGEXMATCH(VLOOKUP(A459,Internal_lists_bugs!$A$2:$R$73,18,FALSE()), ""Yes""), VLOOKUP(A459,Internal_lists_bugs!$A$2:$U$73,21,FALSE()), VLOOKUP(A459,Internal_lists_bugs!$A$2:$R$73,18,FALSE())),""please select a BUG ID"")"),"please select a BUG ID")</f>
        <v>please select a BUG ID</v>
      </c>
      <c r="D459" s="43"/>
      <c r="F459" s="62"/>
      <c r="G459" s="63"/>
      <c r="H459" s="43"/>
      <c r="J459" s="62"/>
      <c r="K459" s="63"/>
    </row>
    <row r="460">
      <c r="A460" s="78"/>
      <c r="B460" s="59" t="str">
        <f>IFERROR(HYPERLINK(VLOOKUP(A460,Internal_lists_bugs!$A$2:$C$73,3,FALSE()), VLOOKUP(A460,Internal_lists_bugs!$A$2:$C$73,3,FALSE())&amp;Char(10) &amp; Char(10) &amp; VLOOKUP(A460,Internal_lists_bugs!$A$2:$Z$73,26,FALSE())),"please select a BUG ID")</f>
        <v>please select a BUG ID</v>
      </c>
      <c r="C460" s="51" t="str">
        <f>IFERROR(__xludf.DUMMYFUNCTION("IFERROR(IF(REGEXMATCH(VLOOKUP(A460,Internal_lists_bugs!$A$2:$R$73,18,FALSE()), ""Yes""), VLOOKUP(A460,Internal_lists_bugs!$A$2:$U$73,21,FALSE()), VLOOKUP(A460,Internal_lists_bugs!$A$2:$R$73,18,FALSE())),""please select a BUG ID"")"),"please select a BUG ID")</f>
        <v>please select a BUG ID</v>
      </c>
      <c r="D460" s="43"/>
      <c r="F460" s="62"/>
      <c r="G460" s="63"/>
      <c r="H460" s="43"/>
      <c r="J460" s="62"/>
      <c r="K460" s="63"/>
    </row>
    <row r="461">
      <c r="A461" s="78"/>
      <c r="B461" s="59" t="str">
        <f>IFERROR(HYPERLINK(VLOOKUP(A461,Internal_lists_bugs!$A$2:$C$73,3,FALSE()), VLOOKUP(A461,Internal_lists_bugs!$A$2:$C$73,3,FALSE())&amp;Char(10) &amp; Char(10) &amp; VLOOKUP(A461,Internal_lists_bugs!$A$2:$Z$73,26,FALSE())),"please select a BUG ID")</f>
        <v>please select a BUG ID</v>
      </c>
      <c r="C461" s="51" t="str">
        <f>IFERROR(__xludf.DUMMYFUNCTION("IFERROR(IF(REGEXMATCH(VLOOKUP(A461,Internal_lists_bugs!$A$2:$R$73,18,FALSE()), ""Yes""), VLOOKUP(A461,Internal_lists_bugs!$A$2:$U$73,21,FALSE()), VLOOKUP(A461,Internal_lists_bugs!$A$2:$R$73,18,FALSE())),""please select a BUG ID"")"),"please select a BUG ID")</f>
        <v>please select a BUG ID</v>
      </c>
      <c r="D461" s="43"/>
      <c r="F461" s="62"/>
      <c r="G461" s="63"/>
      <c r="H461" s="43"/>
      <c r="J461" s="62"/>
      <c r="K461" s="63"/>
    </row>
    <row r="462">
      <c r="A462" s="78"/>
      <c r="B462" s="59" t="str">
        <f>IFERROR(HYPERLINK(VLOOKUP(A462,Internal_lists_bugs!$A$2:$C$73,3,FALSE()), VLOOKUP(A462,Internal_lists_bugs!$A$2:$C$73,3,FALSE())&amp;Char(10) &amp; Char(10) &amp; VLOOKUP(A462,Internal_lists_bugs!$A$2:$Z$73,26,FALSE())),"please select a BUG ID")</f>
        <v>please select a BUG ID</v>
      </c>
      <c r="C462" s="51" t="str">
        <f>IFERROR(__xludf.DUMMYFUNCTION("IFERROR(IF(REGEXMATCH(VLOOKUP(A462,Internal_lists_bugs!$A$2:$R$73,18,FALSE()), ""Yes""), VLOOKUP(A462,Internal_lists_bugs!$A$2:$U$73,21,FALSE()), VLOOKUP(A462,Internal_lists_bugs!$A$2:$R$73,18,FALSE())),""please select a BUG ID"")"),"please select a BUG ID")</f>
        <v>please select a BUG ID</v>
      </c>
      <c r="D462" s="43"/>
      <c r="F462" s="62"/>
      <c r="G462" s="63"/>
      <c r="H462" s="43"/>
      <c r="J462" s="62"/>
      <c r="K462" s="63"/>
    </row>
    <row r="463">
      <c r="A463" s="78"/>
      <c r="B463" s="59" t="str">
        <f>IFERROR(HYPERLINK(VLOOKUP(A463,Internal_lists_bugs!$A$2:$C$73,3,FALSE()), VLOOKUP(A463,Internal_lists_bugs!$A$2:$C$73,3,FALSE())&amp;Char(10) &amp; Char(10) &amp; VLOOKUP(A463,Internal_lists_bugs!$A$2:$Z$73,26,FALSE())),"please select a BUG ID")</f>
        <v>please select a BUG ID</v>
      </c>
      <c r="C463" s="51" t="str">
        <f>IFERROR(__xludf.DUMMYFUNCTION("IFERROR(IF(REGEXMATCH(VLOOKUP(A463,Internal_lists_bugs!$A$2:$R$73,18,FALSE()), ""Yes""), VLOOKUP(A463,Internal_lists_bugs!$A$2:$U$73,21,FALSE()), VLOOKUP(A463,Internal_lists_bugs!$A$2:$R$73,18,FALSE())),""please select a BUG ID"")"),"please select a BUG ID")</f>
        <v>please select a BUG ID</v>
      </c>
      <c r="D463" s="43"/>
      <c r="F463" s="62"/>
      <c r="G463" s="63"/>
      <c r="H463" s="43"/>
      <c r="J463" s="62"/>
      <c r="K463" s="63"/>
    </row>
    <row r="464">
      <c r="A464" s="78"/>
      <c r="B464" s="59" t="str">
        <f>IFERROR(HYPERLINK(VLOOKUP(A464,Internal_lists_bugs!$A$2:$C$73,3,FALSE()), VLOOKUP(A464,Internal_lists_bugs!$A$2:$C$73,3,FALSE())&amp;Char(10) &amp; Char(10) &amp; VLOOKUP(A464,Internal_lists_bugs!$A$2:$Z$73,26,FALSE())),"please select a BUG ID")</f>
        <v>please select a BUG ID</v>
      </c>
      <c r="C464" s="51" t="str">
        <f>IFERROR(__xludf.DUMMYFUNCTION("IFERROR(IF(REGEXMATCH(VLOOKUP(A464,Internal_lists_bugs!$A$2:$R$73,18,FALSE()), ""Yes""), VLOOKUP(A464,Internal_lists_bugs!$A$2:$U$73,21,FALSE()), VLOOKUP(A464,Internal_lists_bugs!$A$2:$R$73,18,FALSE())),""please select a BUG ID"")"),"please select a BUG ID")</f>
        <v>please select a BUG ID</v>
      </c>
      <c r="D464" s="43"/>
      <c r="F464" s="62"/>
      <c r="G464" s="63"/>
      <c r="H464" s="43"/>
      <c r="J464" s="62"/>
      <c r="K464" s="63"/>
    </row>
    <row r="465">
      <c r="A465" s="78"/>
      <c r="B465" s="59" t="str">
        <f>IFERROR(HYPERLINK(VLOOKUP(A465,Internal_lists_bugs!$A$2:$C$73,3,FALSE()), VLOOKUP(A465,Internal_lists_bugs!$A$2:$C$73,3,FALSE())&amp;Char(10) &amp; Char(10) &amp; VLOOKUP(A465,Internal_lists_bugs!$A$2:$Z$73,26,FALSE())),"please select a BUG ID")</f>
        <v>please select a BUG ID</v>
      </c>
      <c r="C465" s="51" t="str">
        <f>IFERROR(__xludf.DUMMYFUNCTION("IFERROR(IF(REGEXMATCH(VLOOKUP(A465,Internal_lists_bugs!$A$2:$R$73,18,FALSE()), ""Yes""), VLOOKUP(A465,Internal_lists_bugs!$A$2:$U$73,21,FALSE()), VLOOKUP(A465,Internal_lists_bugs!$A$2:$R$73,18,FALSE())),""please select a BUG ID"")"),"please select a BUG ID")</f>
        <v>please select a BUG ID</v>
      </c>
      <c r="D465" s="43"/>
      <c r="F465" s="62"/>
      <c r="G465" s="63"/>
      <c r="H465" s="43"/>
      <c r="J465" s="62"/>
      <c r="K465" s="63"/>
    </row>
    <row r="466">
      <c r="A466" s="78"/>
      <c r="B466" s="59" t="str">
        <f>IFERROR(HYPERLINK(VLOOKUP(A466,Internal_lists_bugs!$A$2:$C$73,3,FALSE()), VLOOKUP(A466,Internal_lists_bugs!$A$2:$C$73,3,FALSE())&amp;Char(10) &amp; Char(10) &amp; VLOOKUP(A466,Internal_lists_bugs!$A$2:$Z$73,26,FALSE())),"please select a BUG ID")</f>
        <v>please select a BUG ID</v>
      </c>
      <c r="C466" s="51" t="str">
        <f>IFERROR(__xludf.DUMMYFUNCTION("IFERROR(IF(REGEXMATCH(VLOOKUP(A466,Internal_lists_bugs!$A$2:$R$73,18,FALSE()), ""Yes""), VLOOKUP(A466,Internal_lists_bugs!$A$2:$U$73,21,FALSE()), VLOOKUP(A466,Internal_lists_bugs!$A$2:$R$73,18,FALSE())),""please select a BUG ID"")"),"please select a BUG ID")</f>
        <v>please select a BUG ID</v>
      </c>
      <c r="D466" s="43"/>
      <c r="F466" s="62"/>
      <c r="G466" s="63"/>
      <c r="H466" s="43"/>
      <c r="J466" s="62"/>
      <c r="K466" s="63"/>
    </row>
    <row r="467">
      <c r="A467" s="78"/>
      <c r="B467" s="59" t="str">
        <f>IFERROR(HYPERLINK(VLOOKUP(A467,Internal_lists_bugs!$A$2:$C$73,3,FALSE()), VLOOKUP(A467,Internal_lists_bugs!$A$2:$C$73,3,FALSE())&amp;Char(10) &amp; Char(10) &amp; VLOOKUP(A467,Internal_lists_bugs!$A$2:$Z$73,26,FALSE())),"please select a BUG ID")</f>
        <v>please select a BUG ID</v>
      </c>
      <c r="C467" s="51" t="str">
        <f>IFERROR(__xludf.DUMMYFUNCTION("IFERROR(IF(REGEXMATCH(VLOOKUP(A467,Internal_lists_bugs!$A$2:$R$73,18,FALSE()), ""Yes""), VLOOKUP(A467,Internal_lists_bugs!$A$2:$U$73,21,FALSE()), VLOOKUP(A467,Internal_lists_bugs!$A$2:$R$73,18,FALSE())),""please select a BUG ID"")"),"please select a BUG ID")</f>
        <v>please select a BUG ID</v>
      </c>
      <c r="D467" s="43"/>
      <c r="F467" s="62"/>
      <c r="G467" s="63"/>
      <c r="H467" s="43"/>
      <c r="J467" s="62"/>
      <c r="K467" s="63"/>
    </row>
    <row r="468">
      <c r="A468" s="78"/>
      <c r="B468" s="59" t="str">
        <f>IFERROR(HYPERLINK(VLOOKUP(A468,Internal_lists_bugs!$A$2:$C$73,3,FALSE()), VLOOKUP(A468,Internal_lists_bugs!$A$2:$C$73,3,FALSE())&amp;Char(10) &amp; Char(10) &amp; VLOOKUP(A468,Internal_lists_bugs!$A$2:$Z$73,26,FALSE())),"please select a BUG ID")</f>
        <v>please select a BUG ID</v>
      </c>
      <c r="C468" s="51" t="str">
        <f>IFERROR(__xludf.DUMMYFUNCTION("IFERROR(IF(REGEXMATCH(VLOOKUP(A468,Internal_lists_bugs!$A$2:$R$73,18,FALSE()), ""Yes""), VLOOKUP(A468,Internal_lists_bugs!$A$2:$U$73,21,FALSE()), VLOOKUP(A468,Internal_lists_bugs!$A$2:$R$73,18,FALSE())),""please select a BUG ID"")"),"please select a BUG ID")</f>
        <v>please select a BUG ID</v>
      </c>
      <c r="D468" s="43"/>
      <c r="F468" s="62"/>
      <c r="G468" s="63"/>
      <c r="H468" s="43"/>
      <c r="J468" s="62"/>
      <c r="K468" s="63"/>
    </row>
    <row r="469">
      <c r="A469" s="78"/>
      <c r="B469" s="59" t="str">
        <f>IFERROR(HYPERLINK(VLOOKUP(A469,Internal_lists_bugs!$A$2:$C$73,3,FALSE()), VLOOKUP(A469,Internal_lists_bugs!$A$2:$C$73,3,FALSE())&amp;Char(10) &amp; Char(10) &amp; VLOOKUP(A469,Internal_lists_bugs!$A$2:$Z$73,26,FALSE())),"please select a BUG ID")</f>
        <v>please select a BUG ID</v>
      </c>
      <c r="C469" s="51" t="str">
        <f>IFERROR(__xludf.DUMMYFUNCTION("IFERROR(IF(REGEXMATCH(VLOOKUP(A469,Internal_lists_bugs!$A$2:$R$73,18,FALSE()), ""Yes""), VLOOKUP(A469,Internal_lists_bugs!$A$2:$U$73,21,FALSE()), VLOOKUP(A469,Internal_lists_bugs!$A$2:$R$73,18,FALSE())),""please select a BUG ID"")"),"please select a BUG ID")</f>
        <v>please select a BUG ID</v>
      </c>
      <c r="D469" s="43"/>
      <c r="F469" s="62"/>
      <c r="G469" s="63"/>
      <c r="H469" s="43"/>
      <c r="J469" s="62"/>
      <c r="K469" s="63"/>
    </row>
    <row r="470">
      <c r="A470" s="78"/>
      <c r="B470" s="59" t="str">
        <f>IFERROR(HYPERLINK(VLOOKUP(A470,Internal_lists_bugs!$A$2:$C$73,3,FALSE()), VLOOKUP(A470,Internal_lists_bugs!$A$2:$C$73,3,FALSE())&amp;Char(10) &amp; Char(10) &amp; VLOOKUP(A470,Internal_lists_bugs!$A$2:$Z$73,26,FALSE())),"please select a BUG ID")</f>
        <v>please select a BUG ID</v>
      </c>
      <c r="C470" s="51" t="str">
        <f>IFERROR(__xludf.DUMMYFUNCTION("IFERROR(IF(REGEXMATCH(VLOOKUP(A470,Internal_lists_bugs!$A$2:$R$73,18,FALSE()), ""Yes""), VLOOKUP(A470,Internal_lists_bugs!$A$2:$U$73,21,FALSE()), VLOOKUP(A470,Internal_lists_bugs!$A$2:$R$73,18,FALSE())),""please select a BUG ID"")"),"please select a BUG ID")</f>
        <v>please select a BUG ID</v>
      </c>
      <c r="D470" s="43"/>
      <c r="F470" s="62"/>
      <c r="G470" s="63"/>
      <c r="H470" s="43"/>
      <c r="J470" s="62"/>
      <c r="K470" s="63"/>
    </row>
    <row r="471">
      <c r="A471" s="78"/>
      <c r="B471" s="59" t="str">
        <f>IFERROR(HYPERLINK(VLOOKUP(A471,Internal_lists_bugs!$A$2:$C$73,3,FALSE()), VLOOKUP(A471,Internal_lists_bugs!$A$2:$C$73,3,FALSE())&amp;Char(10) &amp; Char(10) &amp; VLOOKUP(A471,Internal_lists_bugs!$A$2:$Z$73,26,FALSE())),"please select a BUG ID")</f>
        <v>please select a BUG ID</v>
      </c>
      <c r="C471" s="51" t="str">
        <f>IFERROR(__xludf.DUMMYFUNCTION("IFERROR(IF(REGEXMATCH(VLOOKUP(A471,Internal_lists_bugs!$A$2:$R$73,18,FALSE()), ""Yes""), VLOOKUP(A471,Internal_lists_bugs!$A$2:$U$73,21,FALSE()), VLOOKUP(A471,Internal_lists_bugs!$A$2:$R$73,18,FALSE())),""please select a BUG ID"")"),"please select a BUG ID")</f>
        <v>please select a BUG ID</v>
      </c>
      <c r="D471" s="43"/>
      <c r="F471" s="62"/>
      <c r="G471" s="63"/>
      <c r="H471" s="43"/>
      <c r="J471" s="62"/>
      <c r="K471" s="63"/>
    </row>
    <row r="472">
      <c r="A472" s="78"/>
      <c r="B472" s="59" t="str">
        <f>IFERROR(HYPERLINK(VLOOKUP(A472,Internal_lists_bugs!$A$2:$C$73,3,FALSE()), VLOOKUP(A472,Internal_lists_bugs!$A$2:$C$73,3,FALSE())&amp;Char(10) &amp; Char(10) &amp; VLOOKUP(A472,Internal_lists_bugs!$A$2:$Z$73,26,FALSE())),"please select a BUG ID")</f>
        <v>please select a BUG ID</v>
      </c>
      <c r="C472" s="51" t="str">
        <f>IFERROR(__xludf.DUMMYFUNCTION("IFERROR(IF(REGEXMATCH(VLOOKUP(A472,Internal_lists_bugs!$A$2:$R$73,18,FALSE()), ""Yes""), VLOOKUP(A472,Internal_lists_bugs!$A$2:$U$73,21,FALSE()), VLOOKUP(A472,Internal_lists_bugs!$A$2:$R$73,18,FALSE())),""please select a BUG ID"")"),"please select a BUG ID")</f>
        <v>please select a BUG ID</v>
      </c>
      <c r="D472" s="43"/>
      <c r="F472" s="62"/>
      <c r="G472" s="63"/>
      <c r="H472" s="43"/>
      <c r="J472" s="62"/>
      <c r="K472" s="63"/>
    </row>
    <row r="473">
      <c r="A473" s="78"/>
      <c r="B473" s="59" t="str">
        <f>IFERROR(HYPERLINK(VLOOKUP(A473,Internal_lists_bugs!$A$2:$C$73,3,FALSE()), VLOOKUP(A473,Internal_lists_bugs!$A$2:$C$73,3,FALSE())&amp;Char(10) &amp; Char(10) &amp; VLOOKUP(A473,Internal_lists_bugs!$A$2:$Z$73,26,FALSE())),"please select a BUG ID")</f>
        <v>please select a BUG ID</v>
      </c>
      <c r="C473" s="51" t="str">
        <f>IFERROR(__xludf.DUMMYFUNCTION("IFERROR(IF(REGEXMATCH(VLOOKUP(A473,Internal_lists_bugs!$A$2:$R$73,18,FALSE()), ""Yes""), VLOOKUP(A473,Internal_lists_bugs!$A$2:$U$73,21,FALSE()), VLOOKUP(A473,Internal_lists_bugs!$A$2:$R$73,18,FALSE())),""please select a BUG ID"")"),"please select a BUG ID")</f>
        <v>please select a BUG ID</v>
      </c>
      <c r="D473" s="43"/>
      <c r="F473" s="62"/>
      <c r="G473" s="63"/>
      <c r="H473" s="43"/>
      <c r="J473" s="62"/>
      <c r="K473" s="63"/>
    </row>
    <row r="474">
      <c r="A474" s="78"/>
      <c r="B474" s="59" t="str">
        <f>IFERROR(HYPERLINK(VLOOKUP(A474,Internal_lists_bugs!$A$2:$C$73,3,FALSE()), VLOOKUP(A474,Internal_lists_bugs!$A$2:$C$73,3,FALSE())&amp;Char(10) &amp; Char(10) &amp; VLOOKUP(A474,Internal_lists_bugs!$A$2:$Z$73,26,FALSE())),"please select a BUG ID")</f>
        <v>please select a BUG ID</v>
      </c>
      <c r="C474" s="51" t="str">
        <f>IFERROR(__xludf.DUMMYFUNCTION("IFERROR(IF(REGEXMATCH(VLOOKUP(A474,Internal_lists_bugs!$A$2:$R$73,18,FALSE()), ""Yes""), VLOOKUP(A474,Internal_lists_bugs!$A$2:$U$73,21,FALSE()), VLOOKUP(A474,Internal_lists_bugs!$A$2:$R$73,18,FALSE())),""please select a BUG ID"")"),"please select a BUG ID")</f>
        <v>please select a BUG ID</v>
      </c>
      <c r="D474" s="43"/>
      <c r="F474" s="62"/>
      <c r="G474" s="63"/>
      <c r="H474" s="43"/>
      <c r="J474" s="62"/>
      <c r="K474" s="63"/>
    </row>
    <row r="475">
      <c r="A475" s="78"/>
      <c r="B475" s="59" t="str">
        <f>IFERROR(HYPERLINK(VLOOKUP(A475,Internal_lists_bugs!$A$2:$C$73,3,FALSE()), VLOOKUP(A475,Internal_lists_bugs!$A$2:$C$73,3,FALSE())&amp;Char(10) &amp; Char(10) &amp; VLOOKUP(A475,Internal_lists_bugs!$A$2:$Z$73,26,FALSE())),"please select a BUG ID")</f>
        <v>please select a BUG ID</v>
      </c>
      <c r="C475" s="51" t="str">
        <f>IFERROR(__xludf.DUMMYFUNCTION("IFERROR(IF(REGEXMATCH(VLOOKUP(A475,Internal_lists_bugs!$A$2:$R$73,18,FALSE()), ""Yes""), VLOOKUP(A475,Internal_lists_bugs!$A$2:$U$73,21,FALSE()), VLOOKUP(A475,Internal_lists_bugs!$A$2:$R$73,18,FALSE())),""please select a BUG ID"")"),"please select a BUG ID")</f>
        <v>please select a BUG ID</v>
      </c>
      <c r="D475" s="43"/>
      <c r="F475" s="62"/>
      <c r="G475" s="63"/>
      <c r="H475" s="43"/>
      <c r="J475" s="62"/>
      <c r="K475" s="63"/>
    </row>
    <row r="476">
      <c r="A476" s="78"/>
      <c r="B476" s="59" t="str">
        <f>IFERROR(HYPERLINK(VLOOKUP(A476,Internal_lists_bugs!$A$2:$C$73,3,FALSE()), VLOOKUP(A476,Internal_lists_bugs!$A$2:$C$73,3,FALSE())&amp;Char(10) &amp; Char(10) &amp; VLOOKUP(A476,Internal_lists_bugs!$A$2:$Z$73,26,FALSE())),"please select a BUG ID")</f>
        <v>please select a BUG ID</v>
      </c>
      <c r="C476" s="51" t="str">
        <f>IFERROR(__xludf.DUMMYFUNCTION("IFERROR(IF(REGEXMATCH(VLOOKUP(A476,Internal_lists_bugs!$A$2:$R$73,18,FALSE()), ""Yes""), VLOOKUP(A476,Internal_lists_bugs!$A$2:$U$73,21,FALSE()), VLOOKUP(A476,Internal_lists_bugs!$A$2:$R$73,18,FALSE())),""please select a BUG ID"")"),"please select a BUG ID")</f>
        <v>please select a BUG ID</v>
      </c>
      <c r="D476" s="43"/>
      <c r="F476" s="62"/>
      <c r="G476" s="63"/>
      <c r="H476" s="43"/>
      <c r="J476" s="62"/>
      <c r="K476" s="63"/>
    </row>
    <row r="477">
      <c r="A477" s="78"/>
      <c r="B477" s="59" t="str">
        <f>IFERROR(HYPERLINK(VLOOKUP(A477,Internal_lists_bugs!$A$2:$C$73,3,FALSE()), VLOOKUP(A477,Internal_lists_bugs!$A$2:$C$73,3,FALSE())&amp;Char(10) &amp; Char(10) &amp; VLOOKUP(A477,Internal_lists_bugs!$A$2:$Z$73,26,FALSE())),"please select a BUG ID")</f>
        <v>please select a BUG ID</v>
      </c>
      <c r="C477" s="51" t="str">
        <f>IFERROR(__xludf.DUMMYFUNCTION("IFERROR(IF(REGEXMATCH(VLOOKUP(A477,Internal_lists_bugs!$A$2:$R$73,18,FALSE()), ""Yes""), VLOOKUP(A477,Internal_lists_bugs!$A$2:$U$73,21,FALSE()), VLOOKUP(A477,Internal_lists_bugs!$A$2:$R$73,18,FALSE())),""please select a BUG ID"")"),"please select a BUG ID")</f>
        <v>please select a BUG ID</v>
      </c>
      <c r="D477" s="43"/>
      <c r="F477" s="62"/>
      <c r="G477" s="63"/>
      <c r="H477" s="43"/>
      <c r="J477" s="62"/>
      <c r="K477" s="63"/>
    </row>
    <row r="478">
      <c r="A478" s="78"/>
      <c r="B478" s="59" t="str">
        <f>IFERROR(HYPERLINK(VLOOKUP(A478,Internal_lists_bugs!$A$2:$C$73,3,FALSE()), VLOOKUP(A478,Internal_lists_bugs!$A$2:$C$73,3,FALSE())&amp;Char(10) &amp; Char(10) &amp; VLOOKUP(A478,Internal_lists_bugs!$A$2:$Z$73,26,FALSE())),"please select a BUG ID")</f>
        <v>please select a BUG ID</v>
      </c>
      <c r="C478" s="51" t="str">
        <f>IFERROR(__xludf.DUMMYFUNCTION("IFERROR(IF(REGEXMATCH(VLOOKUP(A478,Internal_lists_bugs!$A$2:$R$73,18,FALSE()), ""Yes""), VLOOKUP(A478,Internal_lists_bugs!$A$2:$U$73,21,FALSE()), VLOOKUP(A478,Internal_lists_bugs!$A$2:$R$73,18,FALSE())),""please select a BUG ID"")"),"please select a BUG ID")</f>
        <v>please select a BUG ID</v>
      </c>
      <c r="D478" s="43"/>
      <c r="F478" s="62"/>
      <c r="G478" s="63"/>
      <c r="H478" s="43"/>
      <c r="J478" s="62"/>
      <c r="K478" s="63"/>
    </row>
    <row r="479">
      <c r="A479" s="78"/>
      <c r="B479" s="59" t="str">
        <f>IFERROR(HYPERLINK(VLOOKUP(A479,Internal_lists_bugs!$A$2:$C$73,3,FALSE()), VLOOKUP(A479,Internal_lists_bugs!$A$2:$C$73,3,FALSE())&amp;Char(10) &amp; Char(10) &amp; VLOOKUP(A479,Internal_lists_bugs!$A$2:$Z$73,26,FALSE())),"please select a BUG ID")</f>
        <v>please select a BUG ID</v>
      </c>
      <c r="C479" s="51" t="str">
        <f>IFERROR(__xludf.DUMMYFUNCTION("IFERROR(IF(REGEXMATCH(VLOOKUP(A479,Internal_lists_bugs!$A$2:$R$73,18,FALSE()), ""Yes""), VLOOKUP(A479,Internal_lists_bugs!$A$2:$U$73,21,FALSE()), VLOOKUP(A479,Internal_lists_bugs!$A$2:$R$73,18,FALSE())),""please select a BUG ID"")"),"please select a BUG ID")</f>
        <v>please select a BUG ID</v>
      </c>
      <c r="D479" s="43"/>
      <c r="F479" s="62"/>
      <c r="G479" s="63"/>
      <c r="H479" s="43"/>
      <c r="J479" s="62"/>
      <c r="K479" s="63"/>
    </row>
    <row r="480">
      <c r="A480" s="78"/>
      <c r="B480" s="59" t="str">
        <f>IFERROR(HYPERLINK(VLOOKUP(A480,Internal_lists_bugs!$A$2:$C$73,3,FALSE()), VLOOKUP(A480,Internal_lists_bugs!$A$2:$C$73,3,FALSE())&amp;Char(10) &amp; Char(10) &amp; VLOOKUP(A480,Internal_lists_bugs!$A$2:$Z$73,26,FALSE())),"please select a BUG ID")</f>
        <v>please select a BUG ID</v>
      </c>
      <c r="C480" s="51" t="str">
        <f>IFERROR(__xludf.DUMMYFUNCTION("IFERROR(IF(REGEXMATCH(VLOOKUP(A480,Internal_lists_bugs!$A$2:$R$73,18,FALSE()), ""Yes""), VLOOKUP(A480,Internal_lists_bugs!$A$2:$U$73,21,FALSE()), VLOOKUP(A480,Internal_lists_bugs!$A$2:$R$73,18,FALSE())),""please select a BUG ID"")"),"please select a BUG ID")</f>
        <v>please select a BUG ID</v>
      </c>
      <c r="D480" s="43"/>
      <c r="F480" s="62"/>
      <c r="G480" s="63"/>
      <c r="H480" s="43"/>
      <c r="J480" s="62"/>
      <c r="K480" s="63"/>
    </row>
    <row r="481">
      <c r="A481" s="78"/>
      <c r="B481" s="59" t="str">
        <f>IFERROR(HYPERLINK(VLOOKUP(A481,Internal_lists_bugs!$A$2:$C$73,3,FALSE()), VLOOKUP(A481,Internal_lists_bugs!$A$2:$C$73,3,FALSE())&amp;Char(10) &amp; Char(10) &amp; VLOOKUP(A481,Internal_lists_bugs!$A$2:$Z$73,26,FALSE())),"please select a BUG ID")</f>
        <v>please select a BUG ID</v>
      </c>
      <c r="C481" s="51" t="str">
        <f>IFERROR(__xludf.DUMMYFUNCTION("IFERROR(IF(REGEXMATCH(VLOOKUP(A481,Internal_lists_bugs!$A$2:$R$73,18,FALSE()), ""Yes""), VLOOKUP(A481,Internal_lists_bugs!$A$2:$U$73,21,FALSE()), VLOOKUP(A481,Internal_lists_bugs!$A$2:$R$73,18,FALSE())),""please select a BUG ID"")"),"please select a BUG ID")</f>
        <v>please select a BUG ID</v>
      </c>
      <c r="D481" s="43"/>
      <c r="F481" s="62"/>
      <c r="G481" s="63"/>
      <c r="H481" s="43"/>
      <c r="J481" s="62"/>
      <c r="K481" s="63"/>
    </row>
    <row r="482">
      <c r="A482" s="78"/>
      <c r="B482" s="59" t="str">
        <f>IFERROR(HYPERLINK(VLOOKUP(A482,Internal_lists_bugs!$A$2:$C$73,3,FALSE()), VLOOKUP(A482,Internal_lists_bugs!$A$2:$C$73,3,FALSE())&amp;Char(10) &amp; Char(10) &amp; VLOOKUP(A482,Internal_lists_bugs!$A$2:$Z$73,26,FALSE())),"please select a BUG ID")</f>
        <v>please select a BUG ID</v>
      </c>
      <c r="C482" s="51" t="str">
        <f>IFERROR(__xludf.DUMMYFUNCTION("IFERROR(IF(REGEXMATCH(VLOOKUP(A482,Internal_lists_bugs!$A$2:$R$73,18,FALSE()), ""Yes""), VLOOKUP(A482,Internal_lists_bugs!$A$2:$U$73,21,FALSE()), VLOOKUP(A482,Internal_lists_bugs!$A$2:$R$73,18,FALSE())),""please select a BUG ID"")"),"please select a BUG ID")</f>
        <v>please select a BUG ID</v>
      </c>
      <c r="D482" s="43"/>
      <c r="F482" s="62"/>
      <c r="G482" s="63"/>
      <c r="H482" s="43"/>
      <c r="J482" s="62"/>
      <c r="K482" s="63"/>
    </row>
    <row r="483">
      <c r="A483" s="78"/>
      <c r="B483" s="59" t="str">
        <f>IFERROR(HYPERLINK(VLOOKUP(A483,Internal_lists_bugs!$A$2:$C$73,3,FALSE()), VLOOKUP(A483,Internal_lists_bugs!$A$2:$C$73,3,FALSE())&amp;Char(10) &amp; Char(10) &amp; VLOOKUP(A483,Internal_lists_bugs!$A$2:$Z$73,26,FALSE())),"please select a BUG ID")</f>
        <v>please select a BUG ID</v>
      </c>
      <c r="C483" s="51" t="str">
        <f>IFERROR(__xludf.DUMMYFUNCTION("IFERROR(IF(REGEXMATCH(VLOOKUP(A483,Internal_lists_bugs!$A$2:$R$73,18,FALSE()), ""Yes""), VLOOKUP(A483,Internal_lists_bugs!$A$2:$U$73,21,FALSE()), VLOOKUP(A483,Internal_lists_bugs!$A$2:$R$73,18,FALSE())),""please select a BUG ID"")"),"please select a BUG ID")</f>
        <v>please select a BUG ID</v>
      </c>
      <c r="D483" s="43"/>
      <c r="F483" s="62"/>
      <c r="G483" s="63"/>
      <c r="H483" s="43"/>
      <c r="J483" s="62"/>
      <c r="K483" s="63"/>
    </row>
    <row r="484">
      <c r="A484" s="78"/>
      <c r="B484" s="59" t="str">
        <f>IFERROR(HYPERLINK(VLOOKUP(A484,Internal_lists_bugs!$A$2:$C$73,3,FALSE()), VLOOKUP(A484,Internal_lists_bugs!$A$2:$C$73,3,FALSE())&amp;Char(10) &amp; Char(10) &amp; VLOOKUP(A484,Internal_lists_bugs!$A$2:$Z$73,26,FALSE())),"please select a BUG ID")</f>
        <v>please select a BUG ID</v>
      </c>
      <c r="C484" s="51" t="str">
        <f>IFERROR(__xludf.DUMMYFUNCTION("IFERROR(IF(REGEXMATCH(VLOOKUP(A484,Internal_lists_bugs!$A$2:$R$73,18,FALSE()), ""Yes""), VLOOKUP(A484,Internal_lists_bugs!$A$2:$U$73,21,FALSE()), VLOOKUP(A484,Internal_lists_bugs!$A$2:$R$73,18,FALSE())),""please select a BUG ID"")"),"please select a BUG ID")</f>
        <v>please select a BUG ID</v>
      </c>
      <c r="D484" s="43"/>
      <c r="F484" s="62"/>
      <c r="G484" s="63"/>
      <c r="H484" s="43"/>
      <c r="J484" s="62"/>
      <c r="K484" s="63"/>
    </row>
    <row r="485">
      <c r="A485" s="78"/>
      <c r="B485" s="59" t="str">
        <f>IFERROR(HYPERLINK(VLOOKUP(A485,Internal_lists_bugs!$A$2:$C$73,3,FALSE()), VLOOKUP(A485,Internal_lists_bugs!$A$2:$C$73,3,FALSE())&amp;Char(10) &amp; Char(10) &amp; VLOOKUP(A485,Internal_lists_bugs!$A$2:$Z$73,26,FALSE())),"please select a BUG ID")</f>
        <v>please select a BUG ID</v>
      </c>
      <c r="C485" s="51" t="str">
        <f>IFERROR(__xludf.DUMMYFUNCTION("IFERROR(IF(REGEXMATCH(VLOOKUP(A485,Internal_lists_bugs!$A$2:$R$73,18,FALSE()), ""Yes""), VLOOKUP(A485,Internal_lists_bugs!$A$2:$U$73,21,FALSE()), VLOOKUP(A485,Internal_lists_bugs!$A$2:$R$73,18,FALSE())),""please select a BUG ID"")"),"please select a BUG ID")</f>
        <v>please select a BUG ID</v>
      </c>
      <c r="D485" s="43"/>
      <c r="F485" s="62"/>
      <c r="G485" s="63"/>
      <c r="H485" s="43"/>
      <c r="J485" s="62"/>
      <c r="K485" s="63"/>
    </row>
    <row r="486">
      <c r="A486" s="78"/>
      <c r="B486" s="59" t="str">
        <f>IFERROR(HYPERLINK(VLOOKUP(A486,Internal_lists_bugs!$A$2:$C$73,3,FALSE()), VLOOKUP(A486,Internal_lists_bugs!$A$2:$C$73,3,FALSE())&amp;Char(10) &amp; Char(10) &amp; VLOOKUP(A486,Internal_lists_bugs!$A$2:$Z$73,26,FALSE())),"please select a BUG ID")</f>
        <v>please select a BUG ID</v>
      </c>
      <c r="C486" s="51" t="str">
        <f>IFERROR(__xludf.DUMMYFUNCTION("IFERROR(IF(REGEXMATCH(VLOOKUP(A486,Internal_lists_bugs!$A$2:$R$73,18,FALSE()), ""Yes""), VLOOKUP(A486,Internal_lists_bugs!$A$2:$U$73,21,FALSE()), VLOOKUP(A486,Internal_lists_bugs!$A$2:$R$73,18,FALSE())),""please select a BUG ID"")"),"please select a BUG ID")</f>
        <v>please select a BUG ID</v>
      </c>
      <c r="D486" s="43"/>
      <c r="F486" s="62"/>
      <c r="G486" s="63"/>
      <c r="H486" s="43"/>
      <c r="J486" s="62"/>
      <c r="K486" s="63"/>
    </row>
    <row r="487">
      <c r="A487" s="78"/>
      <c r="B487" s="59" t="str">
        <f>IFERROR(HYPERLINK(VLOOKUP(A487,Internal_lists_bugs!$A$2:$C$73,3,FALSE()), VLOOKUP(A487,Internal_lists_bugs!$A$2:$C$73,3,FALSE())&amp;Char(10) &amp; Char(10) &amp; VLOOKUP(A487,Internal_lists_bugs!$A$2:$Z$73,26,FALSE())),"please select a BUG ID")</f>
        <v>please select a BUG ID</v>
      </c>
      <c r="C487" s="51" t="str">
        <f>IFERROR(__xludf.DUMMYFUNCTION("IFERROR(IF(REGEXMATCH(VLOOKUP(A487,Internal_lists_bugs!$A$2:$R$73,18,FALSE()), ""Yes""), VLOOKUP(A487,Internal_lists_bugs!$A$2:$U$73,21,FALSE()), VLOOKUP(A487,Internal_lists_bugs!$A$2:$R$73,18,FALSE())),""please select a BUG ID"")"),"please select a BUG ID")</f>
        <v>please select a BUG ID</v>
      </c>
      <c r="D487" s="43"/>
      <c r="F487" s="62"/>
      <c r="G487" s="63"/>
      <c r="H487" s="43"/>
      <c r="J487" s="62"/>
      <c r="K487" s="63"/>
    </row>
    <row r="488">
      <c r="A488" s="78"/>
      <c r="B488" s="59" t="str">
        <f>IFERROR(HYPERLINK(VLOOKUP(A488,Internal_lists_bugs!$A$2:$C$73,3,FALSE()), VLOOKUP(A488,Internal_lists_bugs!$A$2:$C$73,3,FALSE())&amp;Char(10) &amp; Char(10) &amp; VLOOKUP(A488,Internal_lists_bugs!$A$2:$Z$73,26,FALSE())),"please select a BUG ID")</f>
        <v>please select a BUG ID</v>
      </c>
      <c r="C488" s="51" t="str">
        <f>IFERROR(__xludf.DUMMYFUNCTION("IFERROR(IF(REGEXMATCH(VLOOKUP(A488,Internal_lists_bugs!$A$2:$R$73,18,FALSE()), ""Yes""), VLOOKUP(A488,Internal_lists_bugs!$A$2:$U$73,21,FALSE()), VLOOKUP(A488,Internal_lists_bugs!$A$2:$R$73,18,FALSE())),""please select a BUG ID"")"),"please select a BUG ID")</f>
        <v>please select a BUG ID</v>
      </c>
      <c r="D488" s="43"/>
      <c r="F488" s="62"/>
      <c r="G488" s="63"/>
      <c r="H488" s="43"/>
      <c r="J488" s="62"/>
      <c r="K488" s="63"/>
    </row>
    <row r="489">
      <c r="A489" s="78"/>
      <c r="B489" s="59" t="str">
        <f>IFERROR(HYPERLINK(VLOOKUP(A489,Internal_lists_bugs!$A$2:$C$73,3,FALSE()), VLOOKUP(A489,Internal_lists_bugs!$A$2:$C$73,3,FALSE())&amp;Char(10) &amp; Char(10) &amp; VLOOKUP(A489,Internal_lists_bugs!$A$2:$Z$73,26,FALSE())),"please select a BUG ID")</f>
        <v>please select a BUG ID</v>
      </c>
      <c r="C489" s="51" t="str">
        <f>IFERROR(__xludf.DUMMYFUNCTION("IFERROR(IF(REGEXMATCH(VLOOKUP(A489,Internal_lists_bugs!$A$2:$R$73,18,FALSE()), ""Yes""), VLOOKUP(A489,Internal_lists_bugs!$A$2:$U$73,21,FALSE()), VLOOKUP(A489,Internal_lists_bugs!$A$2:$R$73,18,FALSE())),""please select a BUG ID"")"),"please select a BUG ID")</f>
        <v>please select a BUG ID</v>
      </c>
      <c r="D489" s="43"/>
      <c r="F489" s="62"/>
      <c r="G489" s="63"/>
      <c r="H489" s="43"/>
      <c r="J489" s="62"/>
      <c r="K489" s="63"/>
    </row>
    <row r="490">
      <c r="A490" s="78"/>
      <c r="B490" s="59" t="str">
        <f>IFERROR(HYPERLINK(VLOOKUP(A490,Internal_lists_bugs!$A$2:$C$73,3,FALSE()), VLOOKUP(A490,Internal_lists_bugs!$A$2:$C$73,3,FALSE())&amp;Char(10) &amp; Char(10) &amp; VLOOKUP(A490,Internal_lists_bugs!$A$2:$Z$73,26,FALSE())),"please select a BUG ID")</f>
        <v>please select a BUG ID</v>
      </c>
      <c r="C490" s="51" t="str">
        <f>IFERROR(__xludf.DUMMYFUNCTION("IFERROR(IF(REGEXMATCH(VLOOKUP(A490,Internal_lists_bugs!$A$2:$R$73,18,FALSE()), ""Yes""), VLOOKUP(A490,Internal_lists_bugs!$A$2:$U$73,21,FALSE()), VLOOKUP(A490,Internal_lists_bugs!$A$2:$R$73,18,FALSE())),""please select a BUG ID"")"),"please select a BUG ID")</f>
        <v>please select a BUG ID</v>
      </c>
      <c r="D490" s="43"/>
      <c r="F490" s="62"/>
      <c r="G490" s="63"/>
      <c r="H490" s="43"/>
      <c r="J490" s="62"/>
      <c r="K490" s="63"/>
    </row>
    <row r="491">
      <c r="A491" s="78"/>
      <c r="B491" s="59" t="str">
        <f>IFERROR(HYPERLINK(VLOOKUP(A491,Internal_lists_bugs!$A$2:$C$73,3,FALSE()), VLOOKUP(A491,Internal_lists_bugs!$A$2:$C$73,3,FALSE())&amp;Char(10) &amp; Char(10) &amp; VLOOKUP(A491,Internal_lists_bugs!$A$2:$Z$73,26,FALSE())),"please select a BUG ID")</f>
        <v>please select a BUG ID</v>
      </c>
      <c r="C491" s="51" t="str">
        <f>IFERROR(__xludf.DUMMYFUNCTION("IFERROR(IF(REGEXMATCH(VLOOKUP(A491,Internal_lists_bugs!$A$2:$R$73,18,FALSE()), ""Yes""), VLOOKUP(A491,Internal_lists_bugs!$A$2:$U$73,21,FALSE()), VLOOKUP(A491,Internal_lists_bugs!$A$2:$R$73,18,FALSE())),""please select a BUG ID"")"),"please select a BUG ID")</f>
        <v>please select a BUG ID</v>
      </c>
      <c r="D491" s="43"/>
      <c r="F491" s="62"/>
      <c r="G491" s="63"/>
      <c r="H491" s="43"/>
      <c r="J491" s="62"/>
      <c r="K491" s="63"/>
    </row>
    <row r="492">
      <c r="A492" s="78"/>
      <c r="B492" s="59" t="str">
        <f>IFERROR(HYPERLINK(VLOOKUP(A492,Internal_lists_bugs!$A$2:$C$73,3,FALSE()), VLOOKUP(A492,Internal_lists_bugs!$A$2:$C$73,3,FALSE())&amp;Char(10) &amp; Char(10) &amp; VLOOKUP(A492,Internal_lists_bugs!$A$2:$Z$73,26,FALSE())),"please select a BUG ID")</f>
        <v>please select a BUG ID</v>
      </c>
      <c r="C492" s="51" t="str">
        <f>IFERROR(__xludf.DUMMYFUNCTION("IFERROR(IF(REGEXMATCH(VLOOKUP(A492,Internal_lists_bugs!$A$2:$R$73,18,FALSE()), ""Yes""), VLOOKUP(A492,Internal_lists_bugs!$A$2:$U$73,21,FALSE()), VLOOKUP(A492,Internal_lists_bugs!$A$2:$R$73,18,FALSE())),""please select a BUG ID"")"),"please select a BUG ID")</f>
        <v>please select a BUG ID</v>
      </c>
      <c r="D492" s="43"/>
      <c r="F492" s="62"/>
      <c r="G492" s="63"/>
      <c r="H492" s="43"/>
      <c r="J492" s="62"/>
      <c r="K492" s="63"/>
    </row>
    <row r="493">
      <c r="A493" s="78"/>
      <c r="B493" s="59" t="str">
        <f>IFERROR(HYPERLINK(VLOOKUP(A493,Internal_lists_bugs!$A$2:$C$73,3,FALSE()), VLOOKUP(A493,Internal_lists_bugs!$A$2:$C$73,3,FALSE())&amp;Char(10) &amp; Char(10) &amp; VLOOKUP(A493,Internal_lists_bugs!$A$2:$Z$73,26,FALSE())),"please select a BUG ID")</f>
        <v>please select a BUG ID</v>
      </c>
      <c r="C493" s="51" t="str">
        <f>IFERROR(__xludf.DUMMYFUNCTION("IFERROR(IF(REGEXMATCH(VLOOKUP(A493,Internal_lists_bugs!$A$2:$R$73,18,FALSE()), ""Yes""), VLOOKUP(A493,Internal_lists_bugs!$A$2:$U$73,21,FALSE()), VLOOKUP(A493,Internal_lists_bugs!$A$2:$R$73,18,FALSE())),""please select a BUG ID"")"),"please select a BUG ID")</f>
        <v>please select a BUG ID</v>
      </c>
      <c r="D493" s="43"/>
      <c r="F493" s="62"/>
      <c r="G493" s="63"/>
      <c r="H493" s="43"/>
      <c r="J493" s="62"/>
      <c r="K493" s="63"/>
    </row>
    <row r="494">
      <c r="A494" s="78"/>
      <c r="B494" s="59" t="str">
        <f>IFERROR(HYPERLINK(VLOOKUP(A494,Internal_lists_bugs!$A$2:$C$73,3,FALSE()), VLOOKUP(A494,Internal_lists_bugs!$A$2:$C$73,3,FALSE())&amp;Char(10) &amp; Char(10) &amp; VLOOKUP(A494,Internal_lists_bugs!$A$2:$Z$73,26,FALSE())),"please select a BUG ID")</f>
        <v>please select a BUG ID</v>
      </c>
      <c r="C494" s="51" t="str">
        <f>IFERROR(__xludf.DUMMYFUNCTION("IFERROR(IF(REGEXMATCH(VLOOKUP(A494,Internal_lists_bugs!$A$2:$R$73,18,FALSE()), ""Yes""), VLOOKUP(A494,Internal_lists_bugs!$A$2:$U$73,21,FALSE()), VLOOKUP(A494,Internal_lists_bugs!$A$2:$R$73,18,FALSE())),""please select a BUG ID"")"),"please select a BUG ID")</f>
        <v>please select a BUG ID</v>
      </c>
      <c r="D494" s="43"/>
      <c r="F494" s="62"/>
      <c r="G494" s="63"/>
      <c r="H494" s="43"/>
      <c r="J494" s="62"/>
      <c r="K494" s="63"/>
    </row>
    <row r="495">
      <c r="A495" s="78"/>
      <c r="B495" s="59" t="str">
        <f>IFERROR(HYPERLINK(VLOOKUP(A495,Internal_lists_bugs!$A$2:$C$73,3,FALSE()), VLOOKUP(A495,Internal_lists_bugs!$A$2:$C$73,3,FALSE())&amp;Char(10) &amp; Char(10) &amp; VLOOKUP(A495,Internal_lists_bugs!$A$2:$Z$73,26,FALSE())),"please select a BUG ID")</f>
        <v>please select a BUG ID</v>
      </c>
      <c r="C495" s="51" t="str">
        <f>IFERROR(__xludf.DUMMYFUNCTION("IFERROR(IF(REGEXMATCH(VLOOKUP(A495,Internal_lists_bugs!$A$2:$R$73,18,FALSE()), ""Yes""), VLOOKUP(A495,Internal_lists_bugs!$A$2:$U$73,21,FALSE()), VLOOKUP(A495,Internal_lists_bugs!$A$2:$R$73,18,FALSE())),""please select a BUG ID"")"),"please select a BUG ID")</f>
        <v>please select a BUG ID</v>
      </c>
      <c r="D495" s="43"/>
      <c r="F495" s="62"/>
      <c r="G495" s="63"/>
      <c r="H495" s="43"/>
      <c r="J495" s="62"/>
      <c r="K495" s="63"/>
    </row>
    <row r="496">
      <c r="A496" s="78"/>
      <c r="B496" s="59" t="str">
        <f>IFERROR(HYPERLINK(VLOOKUP(A496,Internal_lists_bugs!$A$2:$C$73,3,FALSE()), VLOOKUP(A496,Internal_lists_bugs!$A$2:$C$73,3,FALSE())&amp;Char(10) &amp; Char(10) &amp; VLOOKUP(A496,Internal_lists_bugs!$A$2:$Z$73,26,FALSE())),"please select a BUG ID")</f>
        <v>please select a BUG ID</v>
      </c>
      <c r="C496" s="51" t="str">
        <f>IFERROR(__xludf.DUMMYFUNCTION("IFERROR(IF(REGEXMATCH(VLOOKUP(A496,Internal_lists_bugs!$A$2:$R$73,18,FALSE()), ""Yes""), VLOOKUP(A496,Internal_lists_bugs!$A$2:$U$73,21,FALSE()), VLOOKUP(A496,Internal_lists_bugs!$A$2:$R$73,18,FALSE())),""please select a BUG ID"")"),"please select a BUG ID")</f>
        <v>please select a BUG ID</v>
      </c>
      <c r="D496" s="43"/>
      <c r="F496" s="62"/>
      <c r="G496" s="63"/>
      <c r="H496" s="43"/>
      <c r="J496" s="62"/>
      <c r="K496" s="63"/>
    </row>
    <row r="497">
      <c r="A497" s="78"/>
      <c r="B497" s="59" t="str">
        <f>IFERROR(HYPERLINK(VLOOKUP(A497,Internal_lists_bugs!$A$2:$C$73,3,FALSE()), VLOOKUP(A497,Internal_lists_bugs!$A$2:$C$73,3,FALSE())&amp;Char(10) &amp; Char(10) &amp; VLOOKUP(A497,Internal_lists_bugs!$A$2:$Z$73,26,FALSE())),"please select a BUG ID")</f>
        <v>please select a BUG ID</v>
      </c>
      <c r="C497" s="51" t="str">
        <f>IFERROR(__xludf.DUMMYFUNCTION("IFERROR(IF(REGEXMATCH(VLOOKUP(A497,Internal_lists_bugs!$A$2:$R$73,18,FALSE()), ""Yes""), VLOOKUP(A497,Internal_lists_bugs!$A$2:$U$73,21,FALSE()), VLOOKUP(A497,Internal_lists_bugs!$A$2:$R$73,18,FALSE())),""please select a BUG ID"")"),"please select a BUG ID")</f>
        <v>please select a BUG ID</v>
      </c>
      <c r="D497" s="43"/>
      <c r="F497" s="62"/>
      <c r="G497" s="63"/>
      <c r="H497" s="43"/>
      <c r="J497" s="62"/>
      <c r="K497" s="63"/>
    </row>
    <row r="498">
      <c r="A498" s="78"/>
      <c r="B498" s="59" t="str">
        <f>IFERROR(HYPERLINK(VLOOKUP(A498,Internal_lists_bugs!$A$2:$C$73,3,FALSE()), VLOOKUP(A498,Internal_lists_bugs!$A$2:$C$73,3,FALSE())&amp;Char(10) &amp; Char(10) &amp; VLOOKUP(A498,Internal_lists_bugs!$A$2:$Z$73,26,FALSE())),"please select a BUG ID")</f>
        <v>please select a BUG ID</v>
      </c>
      <c r="C498" s="51" t="str">
        <f>IFERROR(__xludf.DUMMYFUNCTION("IFERROR(IF(REGEXMATCH(VLOOKUP(A498,Internal_lists_bugs!$A$2:$R$73,18,FALSE()), ""Yes""), VLOOKUP(A498,Internal_lists_bugs!$A$2:$U$73,21,FALSE()), VLOOKUP(A498,Internal_lists_bugs!$A$2:$R$73,18,FALSE())),""please select a BUG ID"")"),"please select a BUG ID")</f>
        <v>please select a BUG ID</v>
      </c>
      <c r="D498" s="43"/>
      <c r="F498" s="62"/>
      <c r="G498" s="63"/>
      <c r="H498" s="43"/>
      <c r="J498" s="62"/>
      <c r="K498" s="63"/>
    </row>
    <row r="499">
      <c r="A499" s="78"/>
      <c r="B499" s="59" t="str">
        <f>IFERROR(HYPERLINK(VLOOKUP(A499,Internal_lists_bugs!$A$2:$C$73,3,FALSE()), VLOOKUP(A499,Internal_lists_bugs!$A$2:$C$73,3,FALSE())&amp;Char(10) &amp; Char(10) &amp; VLOOKUP(A499,Internal_lists_bugs!$A$2:$Z$73,26,FALSE())),"please select a BUG ID")</f>
        <v>please select a BUG ID</v>
      </c>
      <c r="C499" s="51" t="str">
        <f>IFERROR(__xludf.DUMMYFUNCTION("IFERROR(IF(REGEXMATCH(VLOOKUP(A499,Internal_lists_bugs!$A$2:$R$73,18,FALSE()), ""Yes""), VLOOKUP(A499,Internal_lists_bugs!$A$2:$U$73,21,FALSE()), VLOOKUP(A499,Internal_lists_bugs!$A$2:$R$73,18,FALSE())),""please select a BUG ID"")"),"please select a BUG ID")</f>
        <v>please select a BUG ID</v>
      </c>
      <c r="D499" s="43"/>
      <c r="F499" s="62"/>
      <c r="G499" s="63"/>
      <c r="H499" s="43"/>
      <c r="J499" s="62"/>
      <c r="K499" s="63"/>
    </row>
    <row r="500">
      <c r="A500" s="78"/>
      <c r="B500" s="59" t="str">
        <f>IFERROR(HYPERLINK(VLOOKUP(A500,Internal_lists_bugs!$A$2:$C$73,3,FALSE()), VLOOKUP(A500,Internal_lists_bugs!$A$2:$C$73,3,FALSE())&amp;Char(10) &amp; Char(10) &amp; VLOOKUP(A500,Internal_lists_bugs!$A$2:$Z$73,26,FALSE())),"please select a BUG ID")</f>
        <v>please select a BUG ID</v>
      </c>
      <c r="C500" s="51" t="str">
        <f>IFERROR(__xludf.DUMMYFUNCTION("IFERROR(IF(REGEXMATCH(VLOOKUP(A500,Internal_lists_bugs!$A$2:$R$73,18,FALSE()), ""Yes""), VLOOKUP(A500,Internal_lists_bugs!$A$2:$U$73,21,FALSE()), VLOOKUP(A500,Internal_lists_bugs!$A$2:$R$73,18,FALSE())),""please select a BUG ID"")"),"please select a BUG ID")</f>
        <v>please select a BUG ID</v>
      </c>
      <c r="D500" s="43"/>
      <c r="F500" s="62"/>
      <c r="G500" s="63"/>
      <c r="H500" s="43"/>
      <c r="J500" s="62"/>
      <c r="K500" s="63"/>
    </row>
    <row r="501">
      <c r="A501" s="78"/>
      <c r="B501" s="59" t="str">
        <f>IFERROR(HYPERLINK(VLOOKUP(A501,Internal_lists_bugs!$A$2:$C$73,3,FALSE()), VLOOKUP(A501,Internal_lists_bugs!$A$2:$C$73,3,FALSE())&amp;Char(10) &amp; Char(10) &amp; VLOOKUP(A501,Internal_lists_bugs!$A$2:$Z$73,26,FALSE())),"please select a BUG ID")</f>
        <v>please select a BUG ID</v>
      </c>
      <c r="C501" s="51" t="str">
        <f>IFERROR(__xludf.DUMMYFUNCTION("IFERROR(IF(REGEXMATCH(VLOOKUP(A501,Internal_lists_bugs!$A$2:$R$73,18,FALSE()), ""Yes""), VLOOKUP(A501,Internal_lists_bugs!$A$2:$U$73,21,FALSE()), VLOOKUP(A501,Internal_lists_bugs!$A$2:$R$73,18,FALSE())),""please select a BUG ID"")"),"please select a BUG ID")</f>
        <v>please select a BUG ID</v>
      </c>
      <c r="D501" s="43"/>
      <c r="F501" s="62"/>
      <c r="G501" s="63"/>
      <c r="H501" s="43"/>
      <c r="J501" s="62"/>
      <c r="K501" s="63"/>
    </row>
    <row r="502">
      <c r="A502" s="78"/>
      <c r="B502" s="59" t="str">
        <f>IFERROR(HYPERLINK(VLOOKUP(A502,Internal_lists_bugs!$A$2:$C$73,3,FALSE()), VLOOKUP(A502,Internal_lists_bugs!$A$2:$C$73,3,FALSE())&amp;Char(10) &amp; Char(10) &amp; VLOOKUP(A502,Internal_lists_bugs!$A$2:$Z$73,26,FALSE())),"please select a BUG ID")</f>
        <v>please select a BUG ID</v>
      </c>
      <c r="C502" s="51" t="str">
        <f>IFERROR(__xludf.DUMMYFUNCTION("IFERROR(IF(REGEXMATCH(VLOOKUP(A502,Internal_lists_bugs!$A$2:$R$73,18,FALSE()), ""Yes""), VLOOKUP(A502,Internal_lists_bugs!$A$2:$U$73,21,FALSE()), VLOOKUP(A502,Internal_lists_bugs!$A$2:$R$73,18,FALSE())),""please select a BUG ID"")"),"please select a BUG ID")</f>
        <v>please select a BUG ID</v>
      </c>
      <c r="D502" s="43"/>
      <c r="F502" s="62"/>
      <c r="G502" s="63"/>
      <c r="H502" s="43"/>
      <c r="J502" s="62"/>
      <c r="K502" s="63"/>
    </row>
    <row r="503">
      <c r="A503" s="78"/>
      <c r="B503" s="59" t="str">
        <f>IFERROR(HYPERLINK(VLOOKUP(A503,Internal_lists_bugs!$A$2:$C$73,3,FALSE()), VLOOKUP(A503,Internal_lists_bugs!$A$2:$C$73,3,FALSE())&amp;Char(10) &amp; Char(10) &amp; VLOOKUP(A503,Internal_lists_bugs!$A$2:$Z$73,26,FALSE())),"please select a BUG ID")</f>
        <v>please select a BUG ID</v>
      </c>
      <c r="C503" s="51" t="str">
        <f>IFERROR(__xludf.DUMMYFUNCTION("IFERROR(IF(REGEXMATCH(VLOOKUP(A503,Internal_lists_bugs!$A$2:$R$73,18,FALSE()), ""Yes""), VLOOKUP(A503,Internal_lists_bugs!$A$2:$U$73,21,FALSE()), VLOOKUP(A503,Internal_lists_bugs!$A$2:$R$73,18,FALSE())),""please select a BUG ID"")"),"please select a BUG ID")</f>
        <v>please select a BUG ID</v>
      </c>
      <c r="D503" s="43"/>
      <c r="F503" s="62"/>
      <c r="G503" s="63"/>
      <c r="H503" s="43"/>
      <c r="J503" s="62"/>
      <c r="K503" s="63"/>
    </row>
    <row r="504">
      <c r="A504" s="78"/>
      <c r="B504" s="59" t="str">
        <f>IFERROR(HYPERLINK(VLOOKUP(A504,Internal_lists_bugs!$A$2:$C$73,3,FALSE()), VLOOKUP(A504,Internal_lists_bugs!$A$2:$C$73,3,FALSE())&amp;Char(10) &amp; Char(10) &amp; VLOOKUP(A504,Internal_lists_bugs!$A$2:$Z$73,26,FALSE())),"please select a BUG ID")</f>
        <v>please select a BUG ID</v>
      </c>
      <c r="C504" s="51" t="str">
        <f>IFERROR(__xludf.DUMMYFUNCTION("IFERROR(IF(REGEXMATCH(VLOOKUP(A504,Internal_lists_bugs!$A$2:$R$73,18,FALSE()), ""Yes""), VLOOKUP(A504,Internal_lists_bugs!$A$2:$U$73,21,FALSE()), VLOOKUP(A504,Internal_lists_bugs!$A$2:$R$73,18,FALSE())),""please select a BUG ID"")"),"please select a BUG ID")</f>
        <v>please select a BUG ID</v>
      </c>
      <c r="D504" s="43"/>
      <c r="F504" s="62"/>
      <c r="G504" s="63"/>
      <c r="H504" s="43"/>
      <c r="J504" s="62"/>
      <c r="K504" s="63"/>
    </row>
    <row r="505">
      <c r="A505" s="78"/>
      <c r="B505" s="59" t="str">
        <f>IFERROR(HYPERLINK(VLOOKUP(A505,Internal_lists_bugs!$A$2:$C$73,3,FALSE()), VLOOKUP(A505,Internal_lists_bugs!$A$2:$C$73,3,FALSE())&amp;Char(10) &amp; Char(10) &amp; VLOOKUP(A505,Internal_lists_bugs!$A$2:$Z$73,26,FALSE())),"please select a BUG ID")</f>
        <v>please select a BUG ID</v>
      </c>
      <c r="C505" s="51" t="str">
        <f>IFERROR(__xludf.DUMMYFUNCTION("IFERROR(IF(REGEXMATCH(VLOOKUP(A505,Internal_lists_bugs!$A$2:$R$73,18,FALSE()), ""Yes""), VLOOKUP(A505,Internal_lists_bugs!$A$2:$U$73,21,FALSE()), VLOOKUP(A505,Internal_lists_bugs!$A$2:$R$73,18,FALSE())),""please select a BUG ID"")"),"please select a BUG ID")</f>
        <v>please select a BUG ID</v>
      </c>
      <c r="D505" s="43"/>
      <c r="F505" s="62"/>
      <c r="G505" s="63"/>
      <c r="H505" s="43"/>
      <c r="J505" s="62"/>
      <c r="K505" s="63"/>
    </row>
    <row r="506">
      <c r="A506" s="78"/>
      <c r="B506" s="59" t="str">
        <f>IFERROR(HYPERLINK(VLOOKUP(A506,Internal_lists_bugs!$A$2:$C$73,3,FALSE()), VLOOKUP(A506,Internal_lists_bugs!$A$2:$C$73,3,FALSE())&amp;Char(10) &amp; Char(10) &amp; VLOOKUP(A506,Internal_lists_bugs!$A$2:$Z$73,26,FALSE())),"please select a BUG ID")</f>
        <v>please select a BUG ID</v>
      </c>
      <c r="C506" s="51" t="str">
        <f>IFERROR(__xludf.DUMMYFUNCTION("IFERROR(IF(REGEXMATCH(VLOOKUP(A506,Internal_lists_bugs!$A$2:$R$73,18,FALSE()), ""Yes""), VLOOKUP(A506,Internal_lists_bugs!$A$2:$U$73,21,FALSE()), VLOOKUP(A506,Internal_lists_bugs!$A$2:$R$73,18,FALSE())),""please select a BUG ID"")"),"please select a BUG ID")</f>
        <v>please select a BUG ID</v>
      </c>
      <c r="D506" s="43"/>
      <c r="F506" s="62"/>
      <c r="G506" s="63"/>
      <c r="H506" s="43"/>
      <c r="J506" s="62"/>
      <c r="K506" s="63"/>
    </row>
    <row r="507">
      <c r="A507" s="78"/>
      <c r="B507" s="59" t="str">
        <f>IFERROR(HYPERLINK(VLOOKUP(A507,Internal_lists_bugs!$A$2:$C$73,3,FALSE()), VLOOKUP(A507,Internal_lists_bugs!$A$2:$C$73,3,FALSE())&amp;Char(10) &amp; Char(10) &amp; VLOOKUP(A507,Internal_lists_bugs!$A$2:$Z$73,26,FALSE())),"please select a BUG ID")</f>
        <v>please select a BUG ID</v>
      </c>
      <c r="C507" s="51" t="str">
        <f>IFERROR(__xludf.DUMMYFUNCTION("IFERROR(IF(REGEXMATCH(VLOOKUP(A507,Internal_lists_bugs!$A$2:$R$73,18,FALSE()), ""Yes""), VLOOKUP(A507,Internal_lists_bugs!$A$2:$U$73,21,FALSE()), VLOOKUP(A507,Internal_lists_bugs!$A$2:$R$73,18,FALSE())),""please select a BUG ID"")"),"please select a BUG ID")</f>
        <v>please select a BUG ID</v>
      </c>
      <c r="D507" s="43"/>
      <c r="F507" s="62"/>
      <c r="G507" s="63"/>
      <c r="H507" s="43"/>
      <c r="J507" s="62"/>
      <c r="K507" s="63"/>
    </row>
    <row r="508">
      <c r="A508" s="78"/>
      <c r="B508" s="59" t="str">
        <f>IFERROR(HYPERLINK(VLOOKUP(A508,Internal_lists_bugs!$A$2:$C$73,3,FALSE()), VLOOKUP(A508,Internal_lists_bugs!$A$2:$C$73,3,FALSE())&amp;Char(10) &amp; Char(10) &amp; VLOOKUP(A508,Internal_lists_bugs!$A$2:$Z$73,26,FALSE())),"please select a BUG ID")</f>
        <v>please select a BUG ID</v>
      </c>
      <c r="C508" s="51" t="str">
        <f>IFERROR(__xludf.DUMMYFUNCTION("IFERROR(IF(REGEXMATCH(VLOOKUP(A508,Internal_lists_bugs!$A$2:$R$73,18,FALSE()), ""Yes""), VLOOKUP(A508,Internal_lists_bugs!$A$2:$U$73,21,FALSE()), VLOOKUP(A508,Internal_lists_bugs!$A$2:$R$73,18,FALSE())),""please select a BUG ID"")"),"please select a BUG ID")</f>
        <v>please select a BUG ID</v>
      </c>
      <c r="D508" s="43"/>
      <c r="F508" s="62"/>
      <c r="G508" s="63"/>
      <c r="H508" s="43"/>
      <c r="J508" s="62"/>
      <c r="K508" s="63"/>
    </row>
    <row r="509">
      <c r="A509" s="78"/>
      <c r="B509" s="59" t="str">
        <f>IFERROR(HYPERLINK(VLOOKUP(A509,Internal_lists_bugs!$A$2:$C$73,3,FALSE()), VLOOKUP(A509,Internal_lists_bugs!$A$2:$C$73,3,FALSE())&amp;Char(10) &amp; Char(10) &amp; VLOOKUP(A509,Internal_lists_bugs!$A$2:$Z$73,26,FALSE())),"please select a BUG ID")</f>
        <v>please select a BUG ID</v>
      </c>
      <c r="C509" s="51" t="str">
        <f>IFERROR(__xludf.DUMMYFUNCTION("IFERROR(IF(REGEXMATCH(VLOOKUP(A509,Internal_lists_bugs!$A$2:$R$73,18,FALSE()), ""Yes""), VLOOKUP(A509,Internal_lists_bugs!$A$2:$U$73,21,FALSE()), VLOOKUP(A509,Internal_lists_bugs!$A$2:$R$73,18,FALSE())),""please select a BUG ID"")"),"please select a BUG ID")</f>
        <v>please select a BUG ID</v>
      </c>
      <c r="D509" s="43"/>
      <c r="F509" s="62"/>
      <c r="G509" s="63"/>
      <c r="H509" s="43"/>
      <c r="J509" s="62"/>
      <c r="K509" s="63"/>
    </row>
    <row r="510">
      <c r="A510" s="78"/>
      <c r="B510" s="59" t="str">
        <f>IFERROR(HYPERLINK(VLOOKUP(A510,Internal_lists_bugs!$A$2:$C$73,3,FALSE()), VLOOKUP(A510,Internal_lists_bugs!$A$2:$C$73,3,FALSE())&amp;Char(10) &amp; Char(10) &amp; VLOOKUP(A510,Internal_lists_bugs!$A$2:$Z$73,26,FALSE())),"please select a BUG ID")</f>
        <v>please select a BUG ID</v>
      </c>
      <c r="C510" s="51" t="str">
        <f>IFERROR(__xludf.DUMMYFUNCTION("IFERROR(IF(REGEXMATCH(VLOOKUP(A510,Internal_lists_bugs!$A$2:$R$73,18,FALSE()), ""Yes""), VLOOKUP(A510,Internal_lists_bugs!$A$2:$U$73,21,FALSE()), VLOOKUP(A510,Internal_lists_bugs!$A$2:$R$73,18,FALSE())),""please select a BUG ID"")"),"please select a BUG ID")</f>
        <v>please select a BUG ID</v>
      </c>
      <c r="D510" s="43"/>
      <c r="F510" s="62"/>
      <c r="G510" s="63"/>
      <c r="H510" s="43"/>
      <c r="J510" s="62"/>
      <c r="K510" s="63"/>
    </row>
    <row r="511">
      <c r="A511" s="78"/>
      <c r="B511" s="59" t="str">
        <f>IFERROR(HYPERLINK(VLOOKUP(A511,Internal_lists_bugs!$A$2:$C$73,3,FALSE()), VLOOKUP(A511,Internal_lists_bugs!$A$2:$C$73,3,FALSE())&amp;Char(10) &amp; Char(10) &amp; VLOOKUP(A511,Internal_lists_bugs!$A$2:$Z$73,26,FALSE())),"please select a BUG ID")</f>
        <v>please select a BUG ID</v>
      </c>
      <c r="C511" s="51" t="str">
        <f>IFERROR(__xludf.DUMMYFUNCTION("IFERROR(IF(REGEXMATCH(VLOOKUP(A511,Internal_lists_bugs!$A$2:$R$73,18,FALSE()), ""Yes""), VLOOKUP(A511,Internal_lists_bugs!$A$2:$U$73,21,FALSE()), VLOOKUP(A511,Internal_lists_bugs!$A$2:$R$73,18,FALSE())),""please select a BUG ID"")"),"please select a BUG ID")</f>
        <v>please select a BUG ID</v>
      </c>
      <c r="D511" s="43"/>
      <c r="F511" s="62"/>
      <c r="G511" s="63"/>
      <c r="H511" s="43"/>
      <c r="J511" s="62"/>
      <c r="K511" s="63"/>
    </row>
    <row r="512">
      <c r="A512" s="78"/>
      <c r="B512" s="59" t="str">
        <f>IFERROR(HYPERLINK(VLOOKUP(A512,Internal_lists_bugs!$A$2:$C$73,3,FALSE()), VLOOKUP(A512,Internal_lists_bugs!$A$2:$C$73,3,FALSE())&amp;Char(10) &amp; Char(10) &amp; VLOOKUP(A512,Internal_lists_bugs!$A$2:$Z$73,26,FALSE())),"please select a BUG ID")</f>
        <v>please select a BUG ID</v>
      </c>
      <c r="C512" s="51" t="str">
        <f>IFERROR(__xludf.DUMMYFUNCTION("IFERROR(IF(REGEXMATCH(VLOOKUP(A512,Internal_lists_bugs!$A$2:$R$73,18,FALSE()), ""Yes""), VLOOKUP(A512,Internal_lists_bugs!$A$2:$U$73,21,FALSE()), VLOOKUP(A512,Internal_lists_bugs!$A$2:$R$73,18,FALSE())),""please select a BUG ID"")"),"please select a BUG ID")</f>
        <v>please select a BUG ID</v>
      </c>
      <c r="D512" s="43"/>
      <c r="F512" s="62"/>
      <c r="G512" s="63"/>
      <c r="H512" s="43"/>
      <c r="J512" s="62"/>
      <c r="K512" s="63"/>
    </row>
    <row r="513">
      <c r="A513" s="78"/>
      <c r="B513" s="59" t="str">
        <f>IFERROR(HYPERLINK(VLOOKUP(A513,Internal_lists_bugs!$A$2:$C$73,3,FALSE()), VLOOKUP(A513,Internal_lists_bugs!$A$2:$C$73,3,FALSE())&amp;Char(10) &amp; Char(10) &amp; VLOOKUP(A513,Internal_lists_bugs!$A$2:$Z$73,26,FALSE())),"please select a BUG ID")</f>
        <v>please select a BUG ID</v>
      </c>
      <c r="C513" s="51" t="str">
        <f>IFERROR(__xludf.DUMMYFUNCTION("IFERROR(IF(REGEXMATCH(VLOOKUP(A513,Internal_lists_bugs!$A$2:$R$73,18,FALSE()), ""Yes""), VLOOKUP(A513,Internal_lists_bugs!$A$2:$U$73,21,FALSE()), VLOOKUP(A513,Internal_lists_bugs!$A$2:$R$73,18,FALSE())),""please select a BUG ID"")"),"please select a BUG ID")</f>
        <v>please select a BUG ID</v>
      </c>
      <c r="D513" s="43"/>
      <c r="F513" s="62"/>
      <c r="G513" s="63"/>
      <c r="H513" s="43"/>
      <c r="J513" s="62"/>
      <c r="K513" s="63"/>
    </row>
    <row r="514">
      <c r="A514" s="78"/>
      <c r="B514" s="59" t="str">
        <f>IFERROR(HYPERLINK(VLOOKUP(A514,Internal_lists_bugs!$A$2:$C$73,3,FALSE()), VLOOKUP(A514,Internal_lists_bugs!$A$2:$C$73,3,FALSE())&amp;Char(10) &amp; Char(10) &amp; VLOOKUP(A514,Internal_lists_bugs!$A$2:$Z$73,26,FALSE())),"please select a BUG ID")</f>
        <v>please select a BUG ID</v>
      </c>
      <c r="C514" s="51" t="str">
        <f>IFERROR(__xludf.DUMMYFUNCTION("IFERROR(IF(REGEXMATCH(VLOOKUP(A514,Internal_lists_bugs!$A$2:$R$73,18,FALSE()), ""Yes""), VLOOKUP(A514,Internal_lists_bugs!$A$2:$U$73,21,FALSE()), VLOOKUP(A514,Internal_lists_bugs!$A$2:$R$73,18,FALSE())),""please select a BUG ID"")"),"please select a BUG ID")</f>
        <v>please select a BUG ID</v>
      </c>
      <c r="D514" s="43"/>
      <c r="F514" s="62"/>
      <c r="G514" s="63"/>
      <c r="H514" s="43"/>
      <c r="J514" s="62"/>
      <c r="K514" s="63"/>
    </row>
    <row r="515">
      <c r="A515" s="78"/>
      <c r="B515" s="59" t="str">
        <f>IFERROR(HYPERLINK(VLOOKUP(A515,Internal_lists_bugs!$A$2:$C$73,3,FALSE()), VLOOKUP(A515,Internal_lists_bugs!$A$2:$C$73,3,FALSE())&amp;Char(10) &amp; Char(10) &amp; VLOOKUP(A515,Internal_lists_bugs!$A$2:$Z$73,26,FALSE())),"please select a BUG ID")</f>
        <v>please select a BUG ID</v>
      </c>
      <c r="C515" s="51" t="str">
        <f>IFERROR(__xludf.DUMMYFUNCTION("IFERROR(IF(REGEXMATCH(VLOOKUP(A515,Internal_lists_bugs!$A$2:$R$73,18,FALSE()), ""Yes""), VLOOKUP(A515,Internal_lists_bugs!$A$2:$U$73,21,FALSE()), VLOOKUP(A515,Internal_lists_bugs!$A$2:$R$73,18,FALSE())),""please select a BUG ID"")"),"please select a BUG ID")</f>
        <v>please select a BUG ID</v>
      </c>
      <c r="D515" s="43"/>
      <c r="F515" s="62"/>
      <c r="G515" s="63"/>
      <c r="H515" s="43"/>
      <c r="J515" s="62"/>
      <c r="K515" s="63"/>
    </row>
    <row r="516">
      <c r="A516" s="78"/>
      <c r="B516" s="59" t="str">
        <f>IFERROR(HYPERLINK(VLOOKUP(A516,Internal_lists_bugs!$A$2:$C$73,3,FALSE()), VLOOKUP(A516,Internal_lists_bugs!$A$2:$C$73,3,FALSE())&amp;Char(10) &amp; Char(10) &amp; VLOOKUP(A516,Internal_lists_bugs!$A$2:$Z$73,26,FALSE())),"please select a BUG ID")</f>
        <v>please select a BUG ID</v>
      </c>
      <c r="C516" s="51" t="str">
        <f>IFERROR(__xludf.DUMMYFUNCTION("IFERROR(IF(REGEXMATCH(VLOOKUP(A516,Internal_lists_bugs!$A$2:$R$73,18,FALSE()), ""Yes""), VLOOKUP(A516,Internal_lists_bugs!$A$2:$U$73,21,FALSE()), VLOOKUP(A516,Internal_lists_bugs!$A$2:$R$73,18,FALSE())),""please select a BUG ID"")"),"please select a BUG ID")</f>
        <v>please select a BUG ID</v>
      </c>
      <c r="D516" s="43"/>
      <c r="F516" s="62"/>
      <c r="G516" s="63"/>
      <c r="H516" s="43"/>
      <c r="J516" s="62"/>
      <c r="K516" s="63"/>
    </row>
    <row r="517">
      <c r="A517" s="78"/>
      <c r="B517" s="59" t="str">
        <f>IFERROR(HYPERLINK(VLOOKUP(A517,Internal_lists_bugs!$A$2:$C$73,3,FALSE()), VLOOKUP(A517,Internal_lists_bugs!$A$2:$C$73,3,FALSE())&amp;Char(10) &amp; Char(10) &amp; VLOOKUP(A517,Internal_lists_bugs!$A$2:$Z$73,26,FALSE())),"please select a BUG ID")</f>
        <v>please select a BUG ID</v>
      </c>
      <c r="C517" s="51" t="str">
        <f>IFERROR(__xludf.DUMMYFUNCTION("IFERROR(IF(REGEXMATCH(VLOOKUP(A517,Internal_lists_bugs!$A$2:$R$73,18,FALSE()), ""Yes""), VLOOKUP(A517,Internal_lists_bugs!$A$2:$U$73,21,FALSE()), VLOOKUP(A517,Internal_lists_bugs!$A$2:$R$73,18,FALSE())),""please select a BUG ID"")"),"please select a BUG ID")</f>
        <v>please select a BUG ID</v>
      </c>
      <c r="D517" s="43"/>
      <c r="F517" s="62"/>
      <c r="G517" s="63"/>
      <c r="H517" s="43"/>
      <c r="J517" s="62"/>
      <c r="K517" s="63"/>
    </row>
    <row r="518">
      <c r="A518" s="78"/>
      <c r="B518" s="59" t="str">
        <f>IFERROR(HYPERLINK(VLOOKUP(A518,Internal_lists_bugs!$A$2:$C$73,3,FALSE()), VLOOKUP(A518,Internal_lists_bugs!$A$2:$C$73,3,FALSE())&amp;Char(10) &amp; Char(10) &amp; VLOOKUP(A518,Internal_lists_bugs!$A$2:$Z$73,26,FALSE())),"please select a BUG ID")</f>
        <v>please select a BUG ID</v>
      </c>
      <c r="C518" s="51" t="str">
        <f>IFERROR(__xludf.DUMMYFUNCTION("IFERROR(IF(REGEXMATCH(VLOOKUP(A518,Internal_lists_bugs!$A$2:$R$73,18,FALSE()), ""Yes""), VLOOKUP(A518,Internal_lists_bugs!$A$2:$U$73,21,FALSE()), VLOOKUP(A518,Internal_lists_bugs!$A$2:$R$73,18,FALSE())),""please select a BUG ID"")"),"please select a BUG ID")</f>
        <v>please select a BUG ID</v>
      </c>
      <c r="D518" s="43"/>
      <c r="F518" s="62"/>
      <c r="G518" s="63"/>
      <c r="H518" s="43"/>
      <c r="J518" s="62"/>
      <c r="K518" s="63"/>
    </row>
    <row r="519">
      <c r="A519" s="78"/>
      <c r="B519" s="59" t="str">
        <f>IFERROR(HYPERLINK(VLOOKUP(A519,Internal_lists_bugs!$A$2:$C$73,3,FALSE()), VLOOKUP(A519,Internal_lists_bugs!$A$2:$C$73,3,FALSE())&amp;Char(10) &amp; Char(10) &amp; VLOOKUP(A519,Internal_lists_bugs!$A$2:$Z$73,26,FALSE())),"please select a BUG ID")</f>
        <v>please select a BUG ID</v>
      </c>
      <c r="C519" s="51" t="str">
        <f>IFERROR(__xludf.DUMMYFUNCTION("IFERROR(IF(REGEXMATCH(VLOOKUP(A519,Internal_lists_bugs!$A$2:$R$73,18,FALSE()), ""Yes""), VLOOKUP(A519,Internal_lists_bugs!$A$2:$U$73,21,FALSE()), VLOOKUP(A519,Internal_lists_bugs!$A$2:$R$73,18,FALSE())),""please select a BUG ID"")"),"please select a BUG ID")</f>
        <v>please select a BUG ID</v>
      </c>
      <c r="D519" s="43"/>
      <c r="F519" s="62"/>
      <c r="G519" s="63"/>
      <c r="H519" s="43"/>
      <c r="J519" s="62"/>
      <c r="K519" s="63"/>
    </row>
    <row r="520">
      <c r="A520" s="78"/>
      <c r="B520" s="59" t="str">
        <f>IFERROR(HYPERLINK(VLOOKUP(A520,Internal_lists_bugs!$A$2:$C$73,3,FALSE()), VLOOKUP(A520,Internal_lists_bugs!$A$2:$C$73,3,FALSE())&amp;Char(10) &amp; Char(10) &amp; VLOOKUP(A520,Internal_lists_bugs!$A$2:$Z$73,26,FALSE())),"please select a BUG ID")</f>
        <v>please select a BUG ID</v>
      </c>
      <c r="C520" s="51" t="str">
        <f>IFERROR(__xludf.DUMMYFUNCTION("IFERROR(IF(REGEXMATCH(VLOOKUP(A520,Internal_lists_bugs!$A$2:$R$73,18,FALSE()), ""Yes""), VLOOKUP(A520,Internal_lists_bugs!$A$2:$U$73,21,FALSE()), VLOOKUP(A520,Internal_lists_bugs!$A$2:$R$73,18,FALSE())),""please select a BUG ID"")"),"please select a BUG ID")</f>
        <v>please select a BUG ID</v>
      </c>
      <c r="D520" s="43"/>
      <c r="F520" s="62"/>
      <c r="G520" s="63"/>
      <c r="H520" s="43"/>
      <c r="J520" s="62"/>
      <c r="K520" s="63"/>
    </row>
    <row r="521">
      <c r="A521" s="78"/>
      <c r="B521" s="59" t="str">
        <f>IFERROR(HYPERLINK(VLOOKUP(A521,Internal_lists_bugs!$A$2:$C$73,3,FALSE()), VLOOKUP(A521,Internal_lists_bugs!$A$2:$C$73,3,FALSE())&amp;Char(10) &amp; Char(10) &amp; VLOOKUP(A521,Internal_lists_bugs!$A$2:$Z$73,26,FALSE())),"please select a BUG ID")</f>
        <v>please select a BUG ID</v>
      </c>
      <c r="C521" s="51" t="str">
        <f>IFERROR(__xludf.DUMMYFUNCTION("IFERROR(IF(REGEXMATCH(VLOOKUP(A521,Internal_lists_bugs!$A$2:$R$73,18,FALSE()), ""Yes""), VLOOKUP(A521,Internal_lists_bugs!$A$2:$U$73,21,FALSE()), VLOOKUP(A521,Internal_lists_bugs!$A$2:$R$73,18,FALSE())),""please select a BUG ID"")"),"please select a BUG ID")</f>
        <v>please select a BUG ID</v>
      </c>
      <c r="D521" s="43"/>
      <c r="F521" s="62"/>
      <c r="G521" s="63"/>
      <c r="H521" s="43"/>
      <c r="J521" s="62"/>
      <c r="K521" s="63"/>
    </row>
    <row r="522">
      <c r="A522" s="78"/>
      <c r="B522" s="59" t="str">
        <f>IFERROR(HYPERLINK(VLOOKUP(A522,Internal_lists_bugs!$A$2:$C$73,3,FALSE()), VLOOKUP(A522,Internal_lists_bugs!$A$2:$C$73,3,FALSE())&amp;Char(10) &amp; Char(10) &amp; VLOOKUP(A522,Internal_lists_bugs!$A$2:$Z$73,26,FALSE())),"please select a BUG ID")</f>
        <v>please select a BUG ID</v>
      </c>
      <c r="C522" s="51" t="str">
        <f>IFERROR(__xludf.DUMMYFUNCTION("IFERROR(IF(REGEXMATCH(VLOOKUP(A522,Internal_lists_bugs!$A$2:$R$73,18,FALSE()), ""Yes""), VLOOKUP(A522,Internal_lists_bugs!$A$2:$U$73,21,FALSE()), VLOOKUP(A522,Internal_lists_bugs!$A$2:$R$73,18,FALSE())),""please select a BUG ID"")"),"please select a BUG ID")</f>
        <v>please select a BUG ID</v>
      </c>
      <c r="D522" s="43"/>
      <c r="F522" s="62"/>
      <c r="G522" s="63"/>
      <c r="H522" s="43"/>
      <c r="J522" s="62"/>
      <c r="K522" s="63"/>
    </row>
    <row r="523">
      <c r="A523" s="78"/>
      <c r="B523" s="59" t="str">
        <f>IFERROR(HYPERLINK(VLOOKUP(A523,Internal_lists_bugs!$A$2:$C$73,3,FALSE()), VLOOKUP(A523,Internal_lists_bugs!$A$2:$C$73,3,FALSE())&amp;Char(10) &amp; Char(10) &amp; VLOOKUP(A523,Internal_lists_bugs!$A$2:$Z$73,26,FALSE())),"please select a BUG ID")</f>
        <v>please select a BUG ID</v>
      </c>
      <c r="C523" s="51" t="str">
        <f>IFERROR(__xludf.DUMMYFUNCTION("IFERROR(IF(REGEXMATCH(VLOOKUP(A523,Internal_lists_bugs!$A$2:$R$73,18,FALSE()), ""Yes""), VLOOKUP(A523,Internal_lists_bugs!$A$2:$U$73,21,FALSE()), VLOOKUP(A523,Internal_lists_bugs!$A$2:$R$73,18,FALSE())),""please select a BUG ID"")"),"please select a BUG ID")</f>
        <v>please select a BUG ID</v>
      </c>
      <c r="D523" s="43"/>
      <c r="F523" s="62"/>
      <c r="G523" s="63"/>
      <c r="H523" s="43"/>
      <c r="J523" s="62"/>
      <c r="K523" s="63"/>
    </row>
    <row r="524">
      <c r="A524" s="78"/>
      <c r="B524" s="59" t="str">
        <f>IFERROR(HYPERLINK(VLOOKUP(A524,Internal_lists_bugs!$A$2:$C$73,3,FALSE()), VLOOKUP(A524,Internal_lists_bugs!$A$2:$C$73,3,FALSE())&amp;Char(10) &amp; Char(10) &amp; VLOOKUP(A524,Internal_lists_bugs!$A$2:$Z$73,26,FALSE())),"please select a BUG ID")</f>
        <v>please select a BUG ID</v>
      </c>
      <c r="C524" s="51" t="str">
        <f>IFERROR(__xludf.DUMMYFUNCTION("IFERROR(IF(REGEXMATCH(VLOOKUP(A524,Internal_lists_bugs!$A$2:$R$73,18,FALSE()), ""Yes""), VLOOKUP(A524,Internal_lists_bugs!$A$2:$U$73,21,FALSE()), VLOOKUP(A524,Internal_lists_bugs!$A$2:$R$73,18,FALSE())),""please select a BUG ID"")"),"please select a BUG ID")</f>
        <v>please select a BUG ID</v>
      </c>
      <c r="D524" s="43"/>
      <c r="F524" s="62"/>
      <c r="G524" s="63"/>
      <c r="H524" s="43"/>
      <c r="J524" s="62"/>
      <c r="K524" s="63"/>
    </row>
    <row r="525">
      <c r="A525" s="78"/>
      <c r="B525" s="59" t="str">
        <f>IFERROR(HYPERLINK(VLOOKUP(A525,Internal_lists_bugs!$A$2:$C$73,3,FALSE()), VLOOKUP(A525,Internal_lists_bugs!$A$2:$C$73,3,FALSE())&amp;Char(10) &amp; Char(10) &amp; VLOOKUP(A525,Internal_lists_bugs!$A$2:$Z$73,26,FALSE())),"please select a BUG ID")</f>
        <v>please select a BUG ID</v>
      </c>
      <c r="C525" s="51" t="str">
        <f>IFERROR(__xludf.DUMMYFUNCTION("IFERROR(IF(REGEXMATCH(VLOOKUP(A525,Internal_lists_bugs!$A$2:$R$73,18,FALSE()), ""Yes""), VLOOKUP(A525,Internal_lists_bugs!$A$2:$U$73,21,FALSE()), VLOOKUP(A525,Internal_lists_bugs!$A$2:$R$73,18,FALSE())),""please select a BUG ID"")"),"please select a BUG ID")</f>
        <v>please select a BUG ID</v>
      </c>
      <c r="D525" s="43"/>
      <c r="F525" s="62"/>
      <c r="G525" s="63"/>
      <c r="H525" s="43"/>
      <c r="J525" s="62"/>
      <c r="K525" s="63"/>
    </row>
    <row r="526">
      <c r="A526" s="78"/>
      <c r="B526" s="59" t="str">
        <f>IFERROR(HYPERLINK(VLOOKUP(A526,Internal_lists_bugs!$A$2:$C$73,3,FALSE()), VLOOKUP(A526,Internal_lists_bugs!$A$2:$C$73,3,FALSE())&amp;Char(10) &amp; Char(10) &amp; VLOOKUP(A526,Internal_lists_bugs!$A$2:$Z$73,26,FALSE())),"please select a BUG ID")</f>
        <v>please select a BUG ID</v>
      </c>
      <c r="C526" s="51" t="str">
        <f>IFERROR(__xludf.DUMMYFUNCTION("IFERROR(IF(REGEXMATCH(VLOOKUP(A526,Internal_lists_bugs!$A$2:$R$73,18,FALSE()), ""Yes""), VLOOKUP(A526,Internal_lists_bugs!$A$2:$U$73,21,FALSE()), VLOOKUP(A526,Internal_lists_bugs!$A$2:$R$73,18,FALSE())),""please select a BUG ID"")"),"please select a BUG ID")</f>
        <v>please select a BUG ID</v>
      </c>
      <c r="D526" s="43"/>
      <c r="F526" s="62"/>
      <c r="G526" s="63"/>
      <c r="H526" s="43"/>
      <c r="J526" s="62"/>
      <c r="K526" s="63"/>
    </row>
    <row r="527">
      <c r="A527" s="78"/>
      <c r="B527" s="59" t="str">
        <f>IFERROR(HYPERLINK(VLOOKUP(A527,Internal_lists_bugs!$A$2:$C$73,3,FALSE()), VLOOKUP(A527,Internal_lists_bugs!$A$2:$C$73,3,FALSE())&amp;Char(10) &amp; Char(10) &amp; VLOOKUP(A527,Internal_lists_bugs!$A$2:$Z$73,26,FALSE())),"please select a BUG ID")</f>
        <v>please select a BUG ID</v>
      </c>
      <c r="C527" s="51" t="str">
        <f>IFERROR(__xludf.DUMMYFUNCTION("IFERROR(IF(REGEXMATCH(VLOOKUP(A527,Internal_lists_bugs!$A$2:$R$73,18,FALSE()), ""Yes""), VLOOKUP(A527,Internal_lists_bugs!$A$2:$U$73,21,FALSE()), VLOOKUP(A527,Internal_lists_bugs!$A$2:$R$73,18,FALSE())),""please select a BUG ID"")"),"please select a BUG ID")</f>
        <v>please select a BUG ID</v>
      </c>
      <c r="D527" s="43"/>
      <c r="F527" s="62"/>
      <c r="G527" s="63"/>
      <c r="H527" s="43"/>
      <c r="J527" s="62"/>
      <c r="K527" s="63"/>
    </row>
    <row r="528">
      <c r="A528" s="78"/>
      <c r="B528" s="59" t="str">
        <f>IFERROR(HYPERLINK(VLOOKUP(A528,Internal_lists_bugs!$A$2:$C$73,3,FALSE()), VLOOKUP(A528,Internal_lists_bugs!$A$2:$C$73,3,FALSE())&amp;Char(10) &amp; Char(10) &amp; VLOOKUP(A528,Internal_lists_bugs!$A$2:$Z$73,26,FALSE())),"please select a BUG ID")</f>
        <v>please select a BUG ID</v>
      </c>
      <c r="C528" s="51" t="str">
        <f>IFERROR(__xludf.DUMMYFUNCTION("IFERROR(IF(REGEXMATCH(VLOOKUP(A528,Internal_lists_bugs!$A$2:$R$73,18,FALSE()), ""Yes""), VLOOKUP(A528,Internal_lists_bugs!$A$2:$U$73,21,FALSE()), VLOOKUP(A528,Internal_lists_bugs!$A$2:$R$73,18,FALSE())),""please select a BUG ID"")"),"please select a BUG ID")</f>
        <v>please select a BUG ID</v>
      </c>
      <c r="D528" s="43"/>
      <c r="F528" s="62"/>
      <c r="G528" s="63"/>
      <c r="H528" s="43"/>
      <c r="J528" s="62"/>
      <c r="K528" s="63"/>
    </row>
    <row r="529">
      <c r="A529" s="78"/>
      <c r="B529" s="59" t="str">
        <f>IFERROR(HYPERLINK(VLOOKUP(A529,Internal_lists_bugs!$A$2:$C$73,3,FALSE()), VLOOKUP(A529,Internal_lists_bugs!$A$2:$C$73,3,FALSE())&amp;Char(10) &amp; Char(10) &amp; VLOOKUP(A529,Internal_lists_bugs!$A$2:$Z$73,26,FALSE())),"please select a BUG ID")</f>
        <v>please select a BUG ID</v>
      </c>
      <c r="C529" s="51" t="str">
        <f>IFERROR(__xludf.DUMMYFUNCTION("IFERROR(IF(REGEXMATCH(VLOOKUP(A529,Internal_lists_bugs!$A$2:$R$73,18,FALSE()), ""Yes""), VLOOKUP(A529,Internal_lists_bugs!$A$2:$U$73,21,FALSE()), VLOOKUP(A529,Internal_lists_bugs!$A$2:$R$73,18,FALSE())),""please select a BUG ID"")"),"please select a BUG ID")</f>
        <v>please select a BUG ID</v>
      </c>
      <c r="D529" s="43"/>
      <c r="F529" s="62"/>
      <c r="G529" s="63"/>
      <c r="H529" s="43"/>
      <c r="J529" s="62"/>
      <c r="K529" s="63"/>
    </row>
    <row r="530">
      <c r="A530" s="78"/>
      <c r="B530" s="59" t="str">
        <f>IFERROR(HYPERLINK(VLOOKUP(A530,Internal_lists_bugs!$A$2:$C$73,3,FALSE()), VLOOKUP(A530,Internal_lists_bugs!$A$2:$C$73,3,FALSE())&amp;Char(10) &amp; Char(10) &amp; VLOOKUP(A530,Internal_lists_bugs!$A$2:$Z$73,26,FALSE())),"please select a BUG ID")</f>
        <v>please select a BUG ID</v>
      </c>
      <c r="C530" s="51" t="str">
        <f>IFERROR(__xludf.DUMMYFUNCTION("IFERROR(IF(REGEXMATCH(VLOOKUP(A530,Internal_lists_bugs!$A$2:$R$73,18,FALSE()), ""Yes""), VLOOKUP(A530,Internal_lists_bugs!$A$2:$U$73,21,FALSE()), VLOOKUP(A530,Internal_lists_bugs!$A$2:$R$73,18,FALSE())),""please select a BUG ID"")"),"please select a BUG ID")</f>
        <v>please select a BUG ID</v>
      </c>
      <c r="D530" s="43"/>
      <c r="F530" s="62"/>
      <c r="G530" s="63"/>
      <c r="H530" s="43"/>
      <c r="J530" s="62"/>
      <c r="K530" s="63"/>
    </row>
    <row r="531">
      <c r="A531" s="78"/>
      <c r="B531" s="59" t="str">
        <f>IFERROR(HYPERLINK(VLOOKUP(A531,Internal_lists_bugs!$A$2:$C$73,3,FALSE()), VLOOKUP(A531,Internal_lists_bugs!$A$2:$C$73,3,FALSE())&amp;Char(10) &amp; Char(10) &amp; VLOOKUP(A531,Internal_lists_bugs!$A$2:$Z$73,26,FALSE())),"please select a BUG ID")</f>
        <v>please select a BUG ID</v>
      </c>
      <c r="C531" s="51" t="str">
        <f>IFERROR(__xludf.DUMMYFUNCTION("IFERROR(IF(REGEXMATCH(VLOOKUP(A531,Internal_lists_bugs!$A$2:$R$73,18,FALSE()), ""Yes""), VLOOKUP(A531,Internal_lists_bugs!$A$2:$U$73,21,FALSE()), VLOOKUP(A531,Internal_lists_bugs!$A$2:$R$73,18,FALSE())),""please select a BUG ID"")"),"please select a BUG ID")</f>
        <v>please select a BUG ID</v>
      </c>
      <c r="D531" s="43"/>
      <c r="F531" s="62"/>
      <c r="G531" s="63"/>
      <c r="H531" s="43"/>
      <c r="J531" s="62"/>
      <c r="K531" s="63"/>
    </row>
    <row r="532">
      <c r="A532" s="78"/>
      <c r="B532" s="59" t="str">
        <f>IFERROR(HYPERLINK(VLOOKUP(A532,Internal_lists_bugs!$A$2:$C$73,3,FALSE()), VLOOKUP(A532,Internal_lists_bugs!$A$2:$C$73,3,FALSE())&amp;Char(10) &amp; Char(10) &amp; VLOOKUP(A532,Internal_lists_bugs!$A$2:$Z$73,26,FALSE())),"please select a BUG ID")</f>
        <v>please select a BUG ID</v>
      </c>
      <c r="C532" s="51" t="str">
        <f>IFERROR(__xludf.DUMMYFUNCTION("IFERROR(IF(REGEXMATCH(VLOOKUP(A532,Internal_lists_bugs!$A$2:$R$73,18,FALSE()), ""Yes""), VLOOKUP(A532,Internal_lists_bugs!$A$2:$U$73,21,FALSE()), VLOOKUP(A532,Internal_lists_bugs!$A$2:$R$73,18,FALSE())),""please select a BUG ID"")"),"please select a BUG ID")</f>
        <v>please select a BUG ID</v>
      </c>
      <c r="D532" s="43"/>
      <c r="F532" s="62"/>
      <c r="G532" s="63"/>
      <c r="H532" s="43"/>
      <c r="J532" s="62"/>
      <c r="K532" s="63"/>
    </row>
    <row r="533">
      <c r="A533" s="78"/>
      <c r="B533" s="59" t="str">
        <f>IFERROR(HYPERLINK(VLOOKUP(A533,Internal_lists_bugs!$A$2:$C$73,3,FALSE()), VLOOKUP(A533,Internal_lists_bugs!$A$2:$C$73,3,FALSE())&amp;Char(10) &amp; Char(10) &amp; VLOOKUP(A533,Internal_lists_bugs!$A$2:$Z$73,26,FALSE())),"please select a BUG ID")</f>
        <v>please select a BUG ID</v>
      </c>
      <c r="C533" s="51" t="str">
        <f>IFERROR(__xludf.DUMMYFUNCTION("IFERROR(IF(REGEXMATCH(VLOOKUP(A533,Internal_lists_bugs!$A$2:$R$73,18,FALSE()), ""Yes""), VLOOKUP(A533,Internal_lists_bugs!$A$2:$U$73,21,FALSE()), VLOOKUP(A533,Internal_lists_bugs!$A$2:$R$73,18,FALSE())),""please select a BUG ID"")"),"please select a BUG ID")</f>
        <v>please select a BUG ID</v>
      </c>
      <c r="D533" s="43"/>
      <c r="F533" s="62"/>
      <c r="G533" s="63"/>
      <c r="H533" s="43"/>
      <c r="J533" s="62"/>
      <c r="K533" s="63"/>
    </row>
    <row r="534">
      <c r="A534" s="78"/>
      <c r="B534" s="59" t="str">
        <f>IFERROR(HYPERLINK(VLOOKUP(A534,Internal_lists_bugs!$A$2:$C$73,3,FALSE()), VLOOKUP(A534,Internal_lists_bugs!$A$2:$C$73,3,FALSE())&amp;Char(10) &amp; Char(10) &amp; VLOOKUP(A534,Internal_lists_bugs!$A$2:$Z$73,26,FALSE())),"please select a BUG ID")</f>
        <v>please select a BUG ID</v>
      </c>
      <c r="C534" s="51" t="str">
        <f>IFERROR(__xludf.DUMMYFUNCTION("IFERROR(IF(REGEXMATCH(VLOOKUP(A534,Internal_lists_bugs!$A$2:$R$73,18,FALSE()), ""Yes""), VLOOKUP(A534,Internal_lists_bugs!$A$2:$U$73,21,FALSE()), VLOOKUP(A534,Internal_lists_bugs!$A$2:$R$73,18,FALSE())),""please select a BUG ID"")"),"please select a BUG ID")</f>
        <v>please select a BUG ID</v>
      </c>
      <c r="D534" s="43"/>
      <c r="F534" s="62"/>
      <c r="G534" s="63"/>
      <c r="H534" s="43"/>
      <c r="J534" s="62"/>
      <c r="K534" s="63"/>
    </row>
    <row r="535">
      <c r="A535" s="78"/>
      <c r="B535" s="59" t="str">
        <f>IFERROR(HYPERLINK(VLOOKUP(A535,Internal_lists_bugs!$A$2:$C$73,3,FALSE()), VLOOKUP(A535,Internal_lists_bugs!$A$2:$C$73,3,FALSE())&amp;Char(10) &amp; Char(10) &amp; VLOOKUP(A535,Internal_lists_bugs!$A$2:$Z$73,26,FALSE())),"please select a BUG ID")</f>
        <v>please select a BUG ID</v>
      </c>
      <c r="C535" s="51" t="str">
        <f>IFERROR(__xludf.DUMMYFUNCTION("IFERROR(IF(REGEXMATCH(VLOOKUP(A535,Internal_lists_bugs!$A$2:$R$73,18,FALSE()), ""Yes""), VLOOKUP(A535,Internal_lists_bugs!$A$2:$U$73,21,FALSE()), VLOOKUP(A535,Internal_lists_bugs!$A$2:$R$73,18,FALSE())),""please select a BUG ID"")"),"please select a BUG ID")</f>
        <v>please select a BUG ID</v>
      </c>
      <c r="D535" s="43"/>
      <c r="F535" s="62"/>
      <c r="G535" s="63"/>
      <c r="H535" s="43"/>
      <c r="J535" s="62"/>
      <c r="K535" s="63"/>
    </row>
    <row r="536">
      <c r="A536" s="78"/>
      <c r="B536" s="59" t="str">
        <f>IFERROR(HYPERLINK(VLOOKUP(A536,Internal_lists_bugs!$A$2:$C$73,3,FALSE()), VLOOKUP(A536,Internal_lists_bugs!$A$2:$C$73,3,FALSE())&amp;Char(10) &amp; Char(10) &amp; VLOOKUP(A536,Internal_lists_bugs!$A$2:$Z$73,26,FALSE())),"please select a BUG ID")</f>
        <v>please select a BUG ID</v>
      </c>
      <c r="C536" s="51" t="str">
        <f>IFERROR(__xludf.DUMMYFUNCTION("IFERROR(IF(REGEXMATCH(VLOOKUP(A536,Internal_lists_bugs!$A$2:$R$73,18,FALSE()), ""Yes""), VLOOKUP(A536,Internal_lists_bugs!$A$2:$U$73,21,FALSE()), VLOOKUP(A536,Internal_lists_bugs!$A$2:$R$73,18,FALSE())),""please select a BUG ID"")"),"please select a BUG ID")</f>
        <v>please select a BUG ID</v>
      </c>
      <c r="D536" s="43"/>
      <c r="F536" s="62"/>
      <c r="G536" s="63"/>
      <c r="H536" s="43"/>
      <c r="J536" s="62"/>
      <c r="K536" s="63"/>
    </row>
    <row r="537">
      <c r="A537" s="78"/>
      <c r="B537" s="59" t="str">
        <f>IFERROR(HYPERLINK(VLOOKUP(A537,Internal_lists_bugs!$A$2:$C$73,3,FALSE()), VLOOKUP(A537,Internal_lists_bugs!$A$2:$C$73,3,FALSE())&amp;Char(10) &amp; Char(10) &amp; VLOOKUP(A537,Internal_lists_bugs!$A$2:$Z$73,26,FALSE())),"please select a BUG ID")</f>
        <v>please select a BUG ID</v>
      </c>
      <c r="C537" s="51" t="str">
        <f>IFERROR(__xludf.DUMMYFUNCTION("IFERROR(IF(REGEXMATCH(VLOOKUP(A537,Internal_lists_bugs!$A$2:$R$73,18,FALSE()), ""Yes""), VLOOKUP(A537,Internal_lists_bugs!$A$2:$U$73,21,FALSE()), VLOOKUP(A537,Internal_lists_bugs!$A$2:$R$73,18,FALSE())),""please select a BUG ID"")"),"please select a BUG ID")</f>
        <v>please select a BUG ID</v>
      </c>
      <c r="D537" s="43"/>
      <c r="F537" s="62"/>
      <c r="G537" s="63"/>
      <c r="H537" s="43"/>
      <c r="J537" s="62"/>
      <c r="K537" s="63"/>
    </row>
    <row r="538">
      <c r="A538" s="78"/>
      <c r="B538" s="59" t="str">
        <f>IFERROR(HYPERLINK(VLOOKUP(A538,Internal_lists_bugs!$A$2:$C$73,3,FALSE()), VLOOKUP(A538,Internal_lists_bugs!$A$2:$C$73,3,FALSE())&amp;Char(10) &amp; Char(10) &amp; VLOOKUP(A538,Internal_lists_bugs!$A$2:$Z$73,26,FALSE())),"please select a BUG ID")</f>
        <v>please select a BUG ID</v>
      </c>
      <c r="C538" s="51" t="str">
        <f>IFERROR(__xludf.DUMMYFUNCTION("IFERROR(IF(REGEXMATCH(VLOOKUP(A538,Internal_lists_bugs!$A$2:$R$73,18,FALSE()), ""Yes""), VLOOKUP(A538,Internal_lists_bugs!$A$2:$U$73,21,FALSE()), VLOOKUP(A538,Internal_lists_bugs!$A$2:$R$73,18,FALSE())),""please select a BUG ID"")"),"please select a BUG ID")</f>
        <v>please select a BUG ID</v>
      </c>
      <c r="D538" s="43"/>
      <c r="F538" s="62"/>
      <c r="G538" s="63"/>
      <c r="H538" s="43"/>
      <c r="J538" s="62"/>
      <c r="K538" s="63"/>
    </row>
    <row r="539">
      <c r="A539" s="78"/>
      <c r="B539" s="59" t="str">
        <f>IFERROR(HYPERLINK(VLOOKUP(A539,Internal_lists_bugs!$A$2:$C$73,3,FALSE()), VLOOKUP(A539,Internal_lists_bugs!$A$2:$C$73,3,FALSE())&amp;Char(10) &amp; Char(10) &amp; VLOOKUP(A539,Internal_lists_bugs!$A$2:$Z$73,26,FALSE())),"please select a BUG ID")</f>
        <v>please select a BUG ID</v>
      </c>
      <c r="C539" s="51" t="str">
        <f>IFERROR(__xludf.DUMMYFUNCTION("IFERROR(IF(REGEXMATCH(VLOOKUP(A539,Internal_lists_bugs!$A$2:$R$73,18,FALSE()), ""Yes""), VLOOKUP(A539,Internal_lists_bugs!$A$2:$U$73,21,FALSE()), VLOOKUP(A539,Internal_lists_bugs!$A$2:$R$73,18,FALSE())),""please select a BUG ID"")"),"please select a BUG ID")</f>
        <v>please select a BUG ID</v>
      </c>
      <c r="D539" s="43"/>
      <c r="F539" s="62"/>
      <c r="G539" s="63"/>
      <c r="H539" s="43"/>
      <c r="J539" s="62"/>
      <c r="K539" s="63"/>
    </row>
    <row r="540">
      <c r="A540" s="78"/>
      <c r="B540" s="59" t="str">
        <f>IFERROR(HYPERLINK(VLOOKUP(A540,Internal_lists_bugs!$A$2:$C$73,3,FALSE()), VLOOKUP(A540,Internal_lists_bugs!$A$2:$C$73,3,FALSE())&amp;Char(10) &amp; Char(10) &amp; VLOOKUP(A540,Internal_lists_bugs!$A$2:$Z$73,26,FALSE())),"please select a BUG ID")</f>
        <v>please select a BUG ID</v>
      </c>
      <c r="C540" s="51" t="str">
        <f>IFERROR(__xludf.DUMMYFUNCTION("IFERROR(IF(REGEXMATCH(VLOOKUP(A540,Internal_lists_bugs!$A$2:$R$73,18,FALSE()), ""Yes""), VLOOKUP(A540,Internal_lists_bugs!$A$2:$U$73,21,FALSE()), VLOOKUP(A540,Internal_lists_bugs!$A$2:$R$73,18,FALSE())),""please select a BUG ID"")"),"please select a BUG ID")</f>
        <v>please select a BUG ID</v>
      </c>
      <c r="D540" s="43"/>
      <c r="F540" s="62"/>
      <c r="G540" s="63"/>
      <c r="H540" s="43"/>
      <c r="J540" s="62"/>
      <c r="K540" s="63"/>
    </row>
    <row r="541">
      <c r="A541" s="78"/>
      <c r="B541" s="59" t="str">
        <f>IFERROR(HYPERLINK(VLOOKUP(A541,Internal_lists_bugs!$A$2:$C$73,3,FALSE()), VLOOKUP(A541,Internal_lists_bugs!$A$2:$C$73,3,FALSE())&amp;Char(10) &amp; Char(10) &amp; VLOOKUP(A541,Internal_lists_bugs!$A$2:$Z$73,26,FALSE())),"please select a BUG ID")</f>
        <v>please select a BUG ID</v>
      </c>
      <c r="C541" s="51" t="str">
        <f>IFERROR(__xludf.DUMMYFUNCTION("IFERROR(IF(REGEXMATCH(VLOOKUP(A541,Internal_lists_bugs!$A$2:$R$73,18,FALSE()), ""Yes""), VLOOKUP(A541,Internal_lists_bugs!$A$2:$U$73,21,FALSE()), VLOOKUP(A541,Internal_lists_bugs!$A$2:$R$73,18,FALSE())),""please select a BUG ID"")"),"please select a BUG ID")</f>
        <v>please select a BUG ID</v>
      </c>
      <c r="D541" s="43"/>
      <c r="F541" s="62"/>
      <c r="G541" s="63"/>
      <c r="H541" s="43"/>
      <c r="J541" s="62"/>
      <c r="K541" s="63"/>
    </row>
    <row r="542">
      <c r="A542" s="78"/>
      <c r="B542" s="59" t="str">
        <f>IFERROR(HYPERLINK(VLOOKUP(A542,Internal_lists_bugs!$A$2:$C$73,3,FALSE()), VLOOKUP(A542,Internal_lists_bugs!$A$2:$C$73,3,FALSE())&amp;Char(10) &amp; Char(10) &amp; VLOOKUP(A542,Internal_lists_bugs!$A$2:$Z$73,26,FALSE())),"please select a BUG ID")</f>
        <v>please select a BUG ID</v>
      </c>
      <c r="C542" s="51" t="str">
        <f>IFERROR(__xludf.DUMMYFUNCTION("IFERROR(IF(REGEXMATCH(VLOOKUP(A542,Internal_lists_bugs!$A$2:$R$73,18,FALSE()), ""Yes""), VLOOKUP(A542,Internal_lists_bugs!$A$2:$U$73,21,FALSE()), VLOOKUP(A542,Internal_lists_bugs!$A$2:$R$73,18,FALSE())),""please select a BUG ID"")"),"please select a BUG ID")</f>
        <v>please select a BUG ID</v>
      </c>
      <c r="D542" s="43"/>
      <c r="F542" s="62"/>
      <c r="G542" s="63"/>
      <c r="H542" s="43"/>
      <c r="J542" s="62"/>
      <c r="K542" s="63"/>
    </row>
    <row r="543">
      <c r="A543" s="78"/>
      <c r="B543" s="59" t="str">
        <f>IFERROR(HYPERLINK(VLOOKUP(A543,Internal_lists_bugs!$A$2:$C$73,3,FALSE()), VLOOKUP(A543,Internal_lists_bugs!$A$2:$C$73,3,FALSE())&amp;Char(10) &amp; Char(10) &amp; VLOOKUP(A543,Internal_lists_bugs!$A$2:$Z$73,26,FALSE())),"please select a BUG ID")</f>
        <v>please select a BUG ID</v>
      </c>
      <c r="C543" s="51" t="str">
        <f>IFERROR(__xludf.DUMMYFUNCTION("IFERROR(IF(REGEXMATCH(VLOOKUP(A543,Internal_lists_bugs!$A$2:$R$73,18,FALSE()), ""Yes""), VLOOKUP(A543,Internal_lists_bugs!$A$2:$U$73,21,FALSE()), VLOOKUP(A543,Internal_lists_bugs!$A$2:$R$73,18,FALSE())),""please select a BUG ID"")"),"please select a BUG ID")</f>
        <v>please select a BUG ID</v>
      </c>
      <c r="D543" s="43"/>
      <c r="F543" s="62"/>
      <c r="G543" s="63"/>
      <c r="H543" s="43"/>
      <c r="J543" s="62"/>
      <c r="K543" s="63"/>
    </row>
    <row r="544">
      <c r="A544" s="78"/>
      <c r="B544" s="59" t="str">
        <f>IFERROR(HYPERLINK(VLOOKUP(A544,Internal_lists_bugs!$A$2:$C$73,3,FALSE()), VLOOKUP(A544,Internal_lists_bugs!$A$2:$C$73,3,FALSE())&amp;Char(10) &amp; Char(10) &amp; VLOOKUP(A544,Internal_lists_bugs!$A$2:$Z$73,26,FALSE())),"please select a BUG ID")</f>
        <v>please select a BUG ID</v>
      </c>
      <c r="C544" s="51" t="str">
        <f>IFERROR(__xludf.DUMMYFUNCTION("IFERROR(IF(REGEXMATCH(VLOOKUP(A544,Internal_lists_bugs!$A$2:$R$73,18,FALSE()), ""Yes""), VLOOKUP(A544,Internal_lists_bugs!$A$2:$U$73,21,FALSE()), VLOOKUP(A544,Internal_lists_bugs!$A$2:$R$73,18,FALSE())),""please select a BUG ID"")"),"please select a BUG ID")</f>
        <v>please select a BUG ID</v>
      </c>
      <c r="D544" s="43"/>
      <c r="F544" s="62"/>
      <c r="G544" s="63"/>
      <c r="H544" s="43"/>
      <c r="J544" s="62"/>
      <c r="K544" s="63"/>
    </row>
    <row r="545">
      <c r="A545" s="78"/>
      <c r="B545" s="59" t="str">
        <f>IFERROR(HYPERLINK(VLOOKUP(A545,Internal_lists_bugs!$A$2:$C$73,3,FALSE()), VLOOKUP(A545,Internal_lists_bugs!$A$2:$C$73,3,FALSE())&amp;Char(10) &amp; Char(10) &amp; VLOOKUP(A545,Internal_lists_bugs!$A$2:$Z$73,26,FALSE())),"please select a BUG ID")</f>
        <v>please select a BUG ID</v>
      </c>
      <c r="C545" s="51" t="str">
        <f>IFERROR(__xludf.DUMMYFUNCTION("IFERROR(IF(REGEXMATCH(VLOOKUP(A545,Internal_lists_bugs!$A$2:$R$73,18,FALSE()), ""Yes""), VLOOKUP(A545,Internal_lists_bugs!$A$2:$U$73,21,FALSE()), VLOOKUP(A545,Internal_lists_bugs!$A$2:$R$73,18,FALSE())),""please select a BUG ID"")"),"please select a BUG ID")</f>
        <v>please select a BUG ID</v>
      </c>
      <c r="D545" s="43"/>
      <c r="F545" s="62"/>
      <c r="G545" s="63"/>
      <c r="H545" s="43"/>
      <c r="J545" s="62"/>
      <c r="K545" s="63"/>
    </row>
    <row r="546">
      <c r="A546" s="78"/>
      <c r="B546" s="59" t="str">
        <f>IFERROR(HYPERLINK(VLOOKUP(A546,Internal_lists_bugs!$A$2:$C$73,3,FALSE()), VLOOKUP(A546,Internal_lists_bugs!$A$2:$C$73,3,FALSE())&amp;Char(10) &amp; Char(10) &amp; VLOOKUP(A546,Internal_lists_bugs!$A$2:$Z$73,26,FALSE())),"please select a BUG ID")</f>
        <v>please select a BUG ID</v>
      </c>
      <c r="C546" s="51" t="str">
        <f>IFERROR(__xludf.DUMMYFUNCTION("IFERROR(IF(REGEXMATCH(VLOOKUP(A546,Internal_lists_bugs!$A$2:$R$73,18,FALSE()), ""Yes""), VLOOKUP(A546,Internal_lists_bugs!$A$2:$U$73,21,FALSE()), VLOOKUP(A546,Internal_lists_bugs!$A$2:$R$73,18,FALSE())),""please select a BUG ID"")"),"please select a BUG ID")</f>
        <v>please select a BUG ID</v>
      </c>
      <c r="D546" s="43"/>
      <c r="F546" s="62"/>
      <c r="G546" s="63"/>
      <c r="H546" s="43"/>
      <c r="J546" s="62"/>
      <c r="K546" s="63"/>
    </row>
    <row r="547">
      <c r="A547" s="78"/>
      <c r="B547" s="59" t="str">
        <f>IFERROR(HYPERLINK(VLOOKUP(A547,Internal_lists_bugs!$A$2:$C$73,3,FALSE()), VLOOKUP(A547,Internal_lists_bugs!$A$2:$C$73,3,FALSE())&amp;Char(10) &amp; Char(10) &amp; VLOOKUP(A547,Internal_lists_bugs!$A$2:$Z$73,26,FALSE())),"please select a BUG ID")</f>
        <v>please select a BUG ID</v>
      </c>
      <c r="C547" s="51" t="str">
        <f>IFERROR(__xludf.DUMMYFUNCTION("IFERROR(IF(REGEXMATCH(VLOOKUP(A547,Internal_lists_bugs!$A$2:$R$73,18,FALSE()), ""Yes""), VLOOKUP(A547,Internal_lists_bugs!$A$2:$U$73,21,FALSE()), VLOOKUP(A547,Internal_lists_bugs!$A$2:$R$73,18,FALSE())),""please select a BUG ID"")"),"please select a BUG ID")</f>
        <v>please select a BUG ID</v>
      </c>
      <c r="D547" s="43"/>
      <c r="F547" s="62"/>
      <c r="G547" s="63"/>
      <c r="H547" s="43"/>
      <c r="J547" s="62"/>
      <c r="K547" s="63"/>
    </row>
    <row r="548">
      <c r="A548" s="78"/>
      <c r="B548" s="59" t="str">
        <f>IFERROR(HYPERLINK(VLOOKUP(A548,Internal_lists_bugs!$A$2:$C$73,3,FALSE()), VLOOKUP(A548,Internal_lists_bugs!$A$2:$C$73,3,FALSE())&amp;Char(10) &amp; Char(10) &amp; VLOOKUP(A548,Internal_lists_bugs!$A$2:$Z$73,26,FALSE())),"please select a BUG ID")</f>
        <v>please select a BUG ID</v>
      </c>
      <c r="C548" s="51" t="str">
        <f>IFERROR(__xludf.DUMMYFUNCTION("IFERROR(IF(REGEXMATCH(VLOOKUP(A548,Internal_lists_bugs!$A$2:$R$73,18,FALSE()), ""Yes""), VLOOKUP(A548,Internal_lists_bugs!$A$2:$U$73,21,FALSE()), VLOOKUP(A548,Internal_lists_bugs!$A$2:$R$73,18,FALSE())),""please select a BUG ID"")"),"please select a BUG ID")</f>
        <v>please select a BUG ID</v>
      </c>
      <c r="D548" s="43"/>
      <c r="F548" s="62"/>
      <c r="G548" s="63"/>
      <c r="H548" s="43"/>
      <c r="J548" s="62"/>
      <c r="K548" s="63"/>
    </row>
    <row r="549">
      <c r="A549" s="78"/>
      <c r="B549" s="59" t="str">
        <f>IFERROR(HYPERLINK(VLOOKUP(A549,Internal_lists_bugs!$A$2:$C$73,3,FALSE()), VLOOKUP(A549,Internal_lists_bugs!$A$2:$C$73,3,FALSE())&amp;Char(10) &amp; Char(10) &amp; VLOOKUP(A549,Internal_lists_bugs!$A$2:$Z$73,26,FALSE())),"please select a BUG ID")</f>
        <v>please select a BUG ID</v>
      </c>
      <c r="C549" s="51" t="str">
        <f>IFERROR(__xludf.DUMMYFUNCTION("IFERROR(IF(REGEXMATCH(VLOOKUP(A549,Internal_lists_bugs!$A$2:$R$73,18,FALSE()), ""Yes""), VLOOKUP(A549,Internal_lists_bugs!$A$2:$U$73,21,FALSE()), VLOOKUP(A549,Internal_lists_bugs!$A$2:$R$73,18,FALSE())),""please select a BUG ID"")"),"please select a BUG ID")</f>
        <v>please select a BUG ID</v>
      </c>
      <c r="D549" s="43"/>
      <c r="F549" s="62"/>
      <c r="G549" s="63"/>
      <c r="H549" s="43"/>
      <c r="J549" s="62"/>
      <c r="K549" s="63"/>
    </row>
    <row r="550">
      <c r="A550" s="78"/>
      <c r="B550" s="59" t="str">
        <f>IFERROR(HYPERLINK(VLOOKUP(A550,Internal_lists_bugs!$A$2:$C$73,3,FALSE()), VLOOKUP(A550,Internal_lists_bugs!$A$2:$C$73,3,FALSE())&amp;Char(10) &amp; Char(10) &amp; VLOOKUP(A550,Internal_lists_bugs!$A$2:$Z$73,26,FALSE())),"please select a BUG ID")</f>
        <v>please select a BUG ID</v>
      </c>
      <c r="C550" s="51" t="str">
        <f>IFERROR(__xludf.DUMMYFUNCTION("IFERROR(IF(REGEXMATCH(VLOOKUP(A550,Internal_lists_bugs!$A$2:$R$73,18,FALSE()), ""Yes""), VLOOKUP(A550,Internal_lists_bugs!$A$2:$U$73,21,FALSE()), VLOOKUP(A550,Internal_lists_bugs!$A$2:$R$73,18,FALSE())),""please select a BUG ID"")"),"please select a BUG ID")</f>
        <v>please select a BUG ID</v>
      </c>
      <c r="D550" s="43"/>
      <c r="F550" s="62"/>
      <c r="G550" s="63"/>
      <c r="H550" s="43"/>
      <c r="J550" s="62"/>
      <c r="K550" s="63"/>
    </row>
    <row r="551">
      <c r="A551" s="78"/>
      <c r="B551" s="59" t="str">
        <f>IFERROR(HYPERLINK(VLOOKUP(A551,Internal_lists_bugs!$A$2:$C$73,3,FALSE()), VLOOKUP(A551,Internal_lists_bugs!$A$2:$C$73,3,FALSE())&amp;Char(10) &amp; Char(10) &amp; VLOOKUP(A551,Internal_lists_bugs!$A$2:$Z$73,26,FALSE())),"please select a BUG ID")</f>
        <v>please select a BUG ID</v>
      </c>
      <c r="C551" s="51" t="str">
        <f>IFERROR(__xludf.DUMMYFUNCTION("IFERROR(IF(REGEXMATCH(VLOOKUP(A551,Internal_lists_bugs!$A$2:$R$73,18,FALSE()), ""Yes""), VLOOKUP(A551,Internal_lists_bugs!$A$2:$U$73,21,FALSE()), VLOOKUP(A551,Internal_lists_bugs!$A$2:$R$73,18,FALSE())),""please select a BUG ID"")"),"please select a BUG ID")</f>
        <v>please select a BUG ID</v>
      </c>
      <c r="D551" s="43"/>
      <c r="F551" s="62"/>
      <c r="G551" s="63"/>
      <c r="H551" s="43"/>
      <c r="J551" s="62"/>
      <c r="K551" s="63"/>
    </row>
    <row r="552">
      <c r="A552" s="78"/>
      <c r="B552" s="59" t="str">
        <f>IFERROR(HYPERLINK(VLOOKUP(A552,Internal_lists_bugs!$A$2:$C$73,3,FALSE()), VLOOKUP(A552,Internal_lists_bugs!$A$2:$C$73,3,FALSE())&amp;Char(10) &amp; Char(10) &amp; VLOOKUP(A552,Internal_lists_bugs!$A$2:$Z$73,26,FALSE())),"please select a BUG ID")</f>
        <v>please select a BUG ID</v>
      </c>
      <c r="C552" s="51" t="str">
        <f>IFERROR(__xludf.DUMMYFUNCTION("IFERROR(IF(REGEXMATCH(VLOOKUP(A552,Internal_lists_bugs!$A$2:$R$73,18,FALSE()), ""Yes""), VLOOKUP(A552,Internal_lists_bugs!$A$2:$U$73,21,FALSE()), VLOOKUP(A552,Internal_lists_bugs!$A$2:$R$73,18,FALSE())),""please select a BUG ID"")"),"please select a BUG ID")</f>
        <v>please select a BUG ID</v>
      </c>
      <c r="D552" s="43"/>
      <c r="F552" s="62"/>
      <c r="G552" s="63"/>
      <c r="H552" s="43"/>
      <c r="J552" s="62"/>
      <c r="K552" s="63"/>
    </row>
    <row r="553">
      <c r="A553" s="78"/>
      <c r="B553" s="59" t="str">
        <f>IFERROR(HYPERLINK(VLOOKUP(A553,Internal_lists_bugs!$A$2:$C$73,3,FALSE()), VLOOKUP(A553,Internal_lists_bugs!$A$2:$C$73,3,FALSE())&amp;Char(10) &amp; Char(10) &amp; VLOOKUP(A553,Internal_lists_bugs!$A$2:$Z$73,26,FALSE())),"please select a BUG ID")</f>
        <v>please select a BUG ID</v>
      </c>
      <c r="C553" s="51" t="str">
        <f>IFERROR(__xludf.DUMMYFUNCTION("IFERROR(IF(REGEXMATCH(VLOOKUP(A553,Internal_lists_bugs!$A$2:$R$73,18,FALSE()), ""Yes""), VLOOKUP(A553,Internal_lists_bugs!$A$2:$U$73,21,FALSE()), VLOOKUP(A553,Internal_lists_bugs!$A$2:$R$73,18,FALSE())),""please select a BUG ID"")"),"please select a BUG ID")</f>
        <v>please select a BUG ID</v>
      </c>
      <c r="D553" s="43"/>
      <c r="F553" s="62"/>
      <c r="G553" s="63"/>
      <c r="H553" s="43"/>
      <c r="J553" s="62"/>
      <c r="K553" s="63"/>
    </row>
    <row r="554">
      <c r="A554" s="78"/>
      <c r="B554" s="59" t="str">
        <f>IFERROR(HYPERLINK(VLOOKUP(A554,Internal_lists_bugs!$A$2:$C$73,3,FALSE()), VLOOKUP(A554,Internal_lists_bugs!$A$2:$C$73,3,FALSE())&amp;Char(10) &amp; Char(10) &amp; VLOOKUP(A554,Internal_lists_bugs!$A$2:$Z$73,26,FALSE())),"please select a BUG ID")</f>
        <v>please select a BUG ID</v>
      </c>
      <c r="C554" s="51" t="str">
        <f>IFERROR(__xludf.DUMMYFUNCTION("IFERROR(IF(REGEXMATCH(VLOOKUP(A554,Internal_lists_bugs!$A$2:$R$73,18,FALSE()), ""Yes""), VLOOKUP(A554,Internal_lists_bugs!$A$2:$U$73,21,FALSE()), VLOOKUP(A554,Internal_lists_bugs!$A$2:$R$73,18,FALSE())),""please select a BUG ID"")"),"please select a BUG ID")</f>
        <v>please select a BUG ID</v>
      </c>
      <c r="D554" s="43"/>
      <c r="F554" s="62"/>
      <c r="G554" s="63"/>
      <c r="H554" s="43"/>
      <c r="J554" s="62"/>
      <c r="K554" s="63"/>
    </row>
    <row r="555">
      <c r="A555" s="78"/>
      <c r="B555" s="59" t="str">
        <f>IFERROR(HYPERLINK(VLOOKUP(A555,Internal_lists_bugs!$A$2:$C$73,3,FALSE()), VLOOKUP(A555,Internal_lists_bugs!$A$2:$C$73,3,FALSE())&amp;Char(10) &amp; Char(10) &amp; VLOOKUP(A555,Internal_lists_bugs!$A$2:$Z$73,26,FALSE())),"please select a BUG ID")</f>
        <v>please select a BUG ID</v>
      </c>
      <c r="C555" s="51" t="str">
        <f>IFERROR(__xludf.DUMMYFUNCTION("IFERROR(IF(REGEXMATCH(VLOOKUP(A555,Internal_lists_bugs!$A$2:$R$73,18,FALSE()), ""Yes""), VLOOKUP(A555,Internal_lists_bugs!$A$2:$U$73,21,FALSE()), VLOOKUP(A555,Internal_lists_bugs!$A$2:$R$73,18,FALSE())),""please select a BUG ID"")"),"please select a BUG ID")</f>
        <v>please select a BUG ID</v>
      </c>
      <c r="D555" s="43"/>
      <c r="F555" s="62"/>
      <c r="G555" s="63"/>
      <c r="H555" s="43"/>
      <c r="J555" s="62"/>
      <c r="K555" s="63"/>
    </row>
    <row r="556">
      <c r="A556" s="78"/>
      <c r="B556" s="59" t="str">
        <f>IFERROR(HYPERLINK(VLOOKUP(A556,Internal_lists_bugs!$A$2:$C$73,3,FALSE()), VLOOKUP(A556,Internal_lists_bugs!$A$2:$C$73,3,FALSE())&amp;Char(10) &amp; Char(10) &amp; VLOOKUP(A556,Internal_lists_bugs!$A$2:$Z$73,26,FALSE())),"please select a BUG ID")</f>
        <v>please select a BUG ID</v>
      </c>
      <c r="C556" s="51" t="str">
        <f>IFERROR(__xludf.DUMMYFUNCTION("IFERROR(IF(REGEXMATCH(VLOOKUP(A556,Internal_lists_bugs!$A$2:$R$73,18,FALSE()), ""Yes""), VLOOKUP(A556,Internal_lists_bugs!$A$2:$U$73,21,FALSE()), VLOOKUP(A556,Internal_lists_bugs!$A$2:$R$73,18,FALSE())),""please select a BUG ID"")"),"please select a BUG ID")</f>
        <v>please select a BUG ID</v>
      </c>
      <c r="D556" s="43"/>
      <c r="F556" s="62"/>
      <c r="G556" s="63"/>
      <c r="H556" s="43"/>
      <c r="J556" s="62"/>
      <c r="K556" s="63"/>
    </row>
    <row r="557">
      <c r="A557" s="78"/>
      <c r="B557" s="59" t="str">
        <f>IFERROR(HYPERLINK(VLOOKUP(A557,Internal_lists_bugs!$A$2:$C$73,3,FALSE()), VLOOKUP(A557,Internal_lists_bugs!$A$2:$C$73,3,FALSE())&amp;Char(10) &amp; Char(10) &amp; VLOOKUP(A557,Internal_lists_bugs!$A$2:$Z$73,26,FALSE())),"please select a BUG ID")</f>
        <v>please select a BUG ID</v>
      </c>
      <c r="C557" s="51" t="str">
        <f>IFERROR(__xludf.DUMMYFUNCTION("IFERROR(IF(REGEXMATCH(VLOOKUP(A557,Internal_lists_bugs!$A$2:$R$73,18,FALSE()), ""Yes""), VLOOKUP(A557,Internal_lists_bugs!$A$2:$U$73,21,FALSE()), VLOOKUP(A557,Internal_lists_bugs!$A$2:$R$73,18,FALSE())),""please select a BUG ID"")"),"please select a BUG ID")</f>
        <v>please select a BUG ID</v>
      </c>
      <c r="D557" s="43"/>
      <c r="F557" s="62"/>
      <c r="G557" s="63"/>
      <c r="H557" s="43"/>
      <c r="J557" s="62"/>
      <c r="K557" s="63"/>
    </row>
    <row r="558">
      <c r="A558" s="78"/>
      <c r="B558" s="59" t="str">
        <f>IFERROR(HYPERLINK(VLOOKUP(A558,Internal_lists_bugs!$A$2:$C$73,3,FALSE()), VLOOKUP(A558,Internal_lists_bugs!$A$2:$C$73,3,FALSE())&amp;Char(10) &amp; Char(10) &amp; VLOOKUP(A558,Internal_lists_bugs!$A$2:$Z$73,26,FALSE())),"please select a BUG ID")</f>
        <v>please select a BUG ID</v>
      </c>
      <c r="C558" s="51" t="str">
        <f>IFERROR(__xludf.DUMMYFUNCTION("IFERROR(IF(REGEXMATCH(VLOOKUP(A558,Internal_lists_bugs!$A$2:$R$73,18,FALSE()), ""Yes""), VLOOKUP(A558,Internal_lists_bugs!$A$2:$U$73,21,FALSE()), VLOOKUP(A558,Internal_lists_bugs!$A$2:$R$73,18,FALSE())),""please select a BUG ID"")"),"please select a BUG ID")</f>
        <v>please select a BUG ID</v>
      </c>
      <c r="D558" s="43"/>
      <c r="F558" s="62"/>
      <c r="G558" s="63"/>
      <c r="H558" s="43"/>
      <c r="J558" s="62"/>
      <c r="K558" s="63"/>
    </row>
    <row r="559">
      <c r="A559" s="78"/>
      <c r="B559" s="59" t="str">
        <f>IFERROR(HYPERLINK(VLOOKUP(A559,Internal_lists_bugs!$A$2:$C$73,3,FALSE()), VLOOKUP(A559,Internal_lists_bugs!$A$2:$C$73,3,FALSE())&amp;Char(10) &amp; Char(10) &amp; VLOOKUP(A559,Internal_lists_bugs!$A$2:$Z$73,26,FALSE())),"please select a BUG ID")</f>
        <v>please select a BUG ID</v>
      </c>
      <c r="C559" s="51" t="str">
        <f>IFERROR(__xludf.DUMMYFUNCTION("IFERROR(IF(REGEXMATCH(VLOOKUP(A559,Internal_lists_bugs!$A$2:$R$73,18,FALSE()), ""Yes""), VLOOKUP(A559,Internal_lists_bugs!$A$2:$U$73,21,FALSE()), VLOOKUP(A559,Internal_lists_bugs!$A$2:$R$73,18,FALSE())),""please select a BUG ID"")"),"please select a BUG ID")</f>
        <v>please select a BUG ID</v>
      </c>
      <c r="D559" s="43"/>
      <c r="F559" s="62"/>
      <c r="G559" s="63"/>
      <c r="H559" s="43"/>
      <c r="J559" s="62"/>
      <c r="K559" s="63"/>
    </row>
    <row r="560">
      <c r="A560" s="78"/>
      <c r="B560" s="59" t="str">
        <f>IFERROR(HYPERLINK(VLOOKUP(A560,Internal_lists_bugs!$A$2:$C$73,3,FALSE()), VLOOKUP(A560,Internal_lists_bugs!$A$2:$C$73,3,FALSE())&amp;Char(10) &amp; Char(10) &amp; VLOOKUP(A560,Internal_lists_bugs!$A$2:$Z$73,26,FALSE())),"please select a BUG ID")</f>
        <v>please select a BUG ID</v>
      </c>
      <c r="C560" s="51" t="str">
        <f>IFERROR(__xludf.DUMMYFUNCTION("IFERROR(IF(REGEXMATCH(VLOOKUP(A560,Internal_lists_bugs!$A$2:$R$73,18,FALSE()), ""Yes""), VLOOKUP(A560,Internal_lists_bugs!$A$2:$U$73,21,FALSE()), VLOOKUP(A560,Internal_lists_bugs!$A$2:$R$73,18,FALSE())),""please select a BUG ID"")"),"please select a BUG ID")</f>
        <v>please select a BUG ID</v>
      </c>
      <c r="D560" s="43"/>
      <c r="F560" s="62"/>
      <c r="G560" s="63"/>
      <c r="H560" s="43"/>
      <c r="J560" s="62"/>
      <c r="K560" s="63"/>
    </row>
    <row r="561">
      <c r="A561" s="78"/>
      <c r="B561" s="59" t="str">
        <f>IFERROR(HYPERLINK(VLOOKUP(A561,Internal_lists_bugs!$A$2:$C$73,3,FALSE()), VLOOKUP(A561,Internal_lists_bugs!$A$2:$C$73,3,FALSE())&amp;Char(10) &amp; Char(10) &amp; VLOOKUP(A561,Internal_lists_bugs!$A$2:$Z$73,26,FALSE())),"please select a BUG ID")</f>
        <v>please select a BUG ID</v>
      </c>
      <c r="C561" s="51" t="str">
        <f>IFERROR(__xludf.DUMMYFUNCTION("IFERROR(IF(REGEXMATCH(VLOOKUP(A561,Internal_lists_bugs!$A$2:$R$73,18,FALSE()), ""Yes""), VLOOKUP(A561,Internal_lists_bugs!$A$2:$U$73,21,FALSE()), VLOOKUP(A561,Internal_lists_bugs!$A$2:$R$73,18,FALSE())),""please select a BUG ID"")"),"please select a BUG ID")</f>
        <v>please select a BUG ID</v>
      </c>
      <c r="D561" s="43"/>
      <c r="F561" s="62"/>
      <c r="G561" s="63"/>
      <c r="H561" s="43"/>
      <c r="J561" s="62"/>
      <c r="K561" s="63"/>
    </row>
    <row r="562">
      <c r="A562" s="78"/>
      <c r="B562" s="59" t="str">
        <f>IFERROR(HYPERLINK(VLOOKUP(A562,Internal_lists_bugs!$A$2:$C$73,3,FALSE()), VLOOKUP(A562,Internal_lists_bugs!$A$2:$C$73,3,FALSE())&amp;Char(10) &amp; Char(10) &amp; VLOOKUP(A562,Internal_lists_bugs!$A$2:$Z$73,26,FALSE())),"please select a BUG ID")</f>
        <v>please select a BUG ID</v>
      </c>
      <c r="C562" s="51" t="str">
        <f>IFERROR(__xludf.DUMMYFUNCTION("IFERROR(IF(REGEXMATCH(VLOOKUP(A562,Internal_lists_bugs!$A$2:$R$73,18,FALSE()), ""Yes""), VLOOKUP(A562,Internal_lists_bugs!$A$2:$U$73,21,FALSE()), VLOOKUP(A562,Internal_lists_bugs!$A$2:$R$73,18,FALSE())),""please select a BUG ID"")"),"please select a BUG ID")</f>
        <v>please select a BUG ID</v>
      </c>
      <c r="D562" s="43"/>
      <c r="F562" s="62"/>
      <c r="G562" s="63"/>
      <c r="H562" s="43"/>
      <c r="J562" s="62"/>
      <c r="K562" s="63"/>
    </row>
    <row r="563">
      <c r="A563" s="78"/>
      <c r="B563" s="59" t="str">
        <f>IFERROR(HYPERLINK(VLOOKUP(A563,Internal_lists_bugs!$A$2:$C$73,3,FALSE()), VLOOKUP(A563,Internal_lists_bugs!$A$2:$C$73,3,FALSE())&amp;Char(10) &amp; Char(10) &amp; VLOOKUP(A563,Internal_lists_bugs!$A$2:$Z$73,26,FALSE())),"please select a BUG ID")</f>
        <v>please select a BUG ID</v>
      </c>
      <c r="C563" s="51" t="str">
        <f>IFERROR(__xludf.DUMMYFUNCTION("IFERROR(IF(REGEXMATCH(VLOOKUP(A563,Internal_lists_bugs!$A$2:$R$73,18,FALSE()), ""Yes""), VLOOKUP(A563,Internal_lists_bugs!$A$2:$U$73,21,FALSE()), VLOOKUP(A563,Internal_lists_bugs!$A$2:$R$73,18,FALSE())),""please select a BUG ID"")"),"please select a BUG ID")</f>
        <v>please select a BUG ID</v>
      </c>
      <c r="D563" s="43"/>
      <c r="F563" s="62"/>
      <c r="G563" s="63"/>
      <c r="H563" s="43"/>
      <c r="J563" s="62"/>
      <c r="K563" s="63"/>
    </row>
    <row r="564">
      <c r="A564" s="78"/>
      <c r="B564" s="59" t="str">
        <f>IFERROR(HYPERLINK(VLOOKUP(A564,Internal_lists_bugs!$A$2:$C$73,3,FALSE()), VLOOKUP(A564,Internal_lists_bugs!$A$2:$C$73,3,FALSE())&amp;Char(10) &amp; Char(10) &amp; VLOOKUP(A564,Internal_lists_bugs!$A$2:$Z$73,26,FALSE())),"please select a BUG ID")</f>
        <v>please select a BUG ID</v>
      </c>
      <c r="C564" s="51" t="str">
        <f>IFERROR(__xludf.DUMMYFUNCTION("IFERROR(IF(REGEXMATCH(VLOOKUP(A564,Internal_lists_bugs!$A$2:$R$73,18,FALSE()), ""Yes""), VLOOKUP(A564,Internal_lists_bugs!$A$2:$U$73,21,FALSE()), VLOOKUP(A564,Internal_lists_bugs!$A$2:$R$73,18,FALSE())),""please select a BUG ID"")"),"please select a BUG ID")</f>
        <v>please select a BUG ID</v>
      </c>
      <c r="D564" s="43"/>
      <c r="F564" s="62"/>
      <c r="G564" s="63"/>
      <c r="H564" s="43"/>
      <c r="J564" s="62"/>
      <c r="K564" s="63"/>
    </row>
    <row r="565">
      <c r="A565" s="78"/>
      <c r="B565" s="59" t="str">
        <f>IFERROR(HYPERLINK(VLOOKUP(A565,Internal_lists_bugs!$A$2:$C$73,3,FALSE()), VLOOKUP(A565,Internal_lists_bugs!$A$2:$C$73,3,FALSE())&amp;Char(10) &amp; Char(10) &amp; VLOOKUP(A565,Internal_lists_bugs!$A$2:$Z$73,26,FALSE())),"please select a BUG ID")</f>
        <v>please select a BUG ID</v>
      </c>
      <c r="C565" s="51" t="str">
        <f>IFERROR(__xludf.DUMMYFUNCTION("IFERROR(IF(REGEXMATCH(VLOOKUP(A565,Internal_lists_bugs!$A$2:$R$73,18,FALSE()), ""Yes""), VLOOKUP(A565,Internal_lists_bugs!$A$2:$U$73,21,FALSE()), VLOOKUP(A565,Internal_lists_bugs!$A$2:$R$73,18,FALSE())),""please select a BUG ID"")"),"please select a BUG ID")</f>
        <v>please select a BUG ID</v>
      </c>
      <c r="D565" s="43"/>
      <c r="F565" s="62"/>
      <c r="G565" s="63"/>
      <c r="H565" s="43"/>
      <c r="J565" s="62"/>
      <c r="K565" s="63"/>
    </row>
    <row r="566">
      <c r="A566" s="78"/>
      <c r="B566" s="59" t="str">
        <f>IFERROR(HYPERLINK(VLOOKUP(A566,Internal_lists_bugs!$A$2:$C$73,3,FALSE()), VLOOKUP(A566,Internal_lists_bugs!$A$2:$C$73,3,FALSE())&amp;Char(10) &amp; Char(10) &amp; VLOOKUP(A566,Internal_lists_bugs!$A$2:$Z$73,26,FALSE())),"please select a BUG ID")</f>
        <v>please select a BUG ID</v>
      </c>
      <c r="C566" s="51" t="str">
        <f>IFERROR(__xludf.DUMMYFUNCTION("IFERROR(IF(REGEXMATCH(VLOOKUP(A566,Internal_lists_bugs!$A$2:$R$73,18,FALSE()), ""Yes""), VLOOKUP(A566,Internal_lists_bugs!$A$2:$U$73,21,FALSE()), VLOOKUP(A566,Internal_lists_bugs!$A$2:$R$73,18,FALSE())),""please select a BUG ID"")"),"please select a BUG ID")</f>
        <v>please select a BUG ID</v>
      </c>
      <c r="D566" s="43"/>
      <c r="F566" s="62"/>
      <c r="G566" s="63"/>
      <c r="H566" s="43"/>
      <c r="J566" s="62"/>
      <c r="K566" s="63"/>
    </row>
    <row r="567">
      <c r="A567" s="78"/>
      <c r="B567" s="59" t="str">
        <f>IFERROR(HYPERLINK(VLOOKUP(A567,Internal_lists_bugs!$A$2:$C$73,3,FALSE()), VLOOKUP(A567,Internal_lists_bugs!$A$2:$C$73,3,FALSE())&amp;Char(10) &amp; Char(10) &amp; VLOOKUP(A567,Internal_lists_bugs!$A$2:$Z$73,26,FALSE())),"please select a BUG ID")</f>
        <v>please select a BUG ID</v>
      </c>
      <c r="C567" s="51" t="str">
        <f>IFERROR(__xludf.DUMMYFUNCTION("IFERROR(IF(REGEXMATCH(VLOOKUP(A567,Internal_lists_bugs!$A$2:$R$73,18,FALSE()), ""Yes""), VLOOKUP(A567,Internal_lists_bugs!$A$2:$U$73,21,FALSE()), VLOOKUP(A567,Internal_lists_bugs!$A$2:$R$73,18,FALSE())),""please select a BUG ID"")"),"please select a BUG ID")</f>
        <v>please select a BUG ID</v>
      </c>
      <c r="D567" s="43"/>
      <c r="F567" s="62"/>
      <c r="G567" s="63"/>
      <c r="H567" s="43"/>
      <c r="J567" s="62"/>
      <c r="K567" s="63"/>
    </row>
    <row r="568">
      <c r="A568" s="78"/>
      <c r="B568" s="59" t="str">
        <f>IFERROR(HYPERLINK(VLOOKUP(A568,Internal_lists_bugs!$A$2:$C$73,3,FALSE()), VLOOKUP(A568,Internal_lists_bugs!$A$2:$C$73,3,FALSE())&amp;Char(10) &amp; Char(10) &amp; VLOOKUP(A568,Internal_lists_bugs!$A$2:$Z$73,26,FALSE())),"please select a BUG ID")</f>
        <v>please select a BUG ID</v>
      </c>
      <c r="C568" s="51" t="str">
        <f>IFERROR(__xludf.DUMMYFUNCTION("IFERROR(IF(REGEXMATCH(VLOOKUP(A568,Internal_lists_bugs!$A$2:$R$73,18,FALSE()), ""Yes""), VLOOKUP(A568,Internal_lists_bugs!$A$2:$U$73,21,FALSE()), VLOOKUP(A568,Internal_lists_bugs!$A$2:$R$73,18,FALSE())),""please select a BUG ID"")"),"please select a BUG ID")</f>
        <v>please select a BUG ID</v>
      </c>
      <c r="D568" s="43"/>
      <c r="F568" s="62"/>
      <c r="G568" s="63"/>
      <c r="H568" s="43"/>
      <c r="J568" s="62"/>
      <c r="K568" s="63"/>
    </row>
    <row r="569">
      <c r="A569" s="78"/>
      <c r="B569" s="59" t="str">
        <f>IFERROR(HYPERLINK(VLOOKUP(A569,Internal_lists_bugs!$A$2:$C$73,3,FALSE()), VLOOKUP(A569,Internal_lists_bugs!$A$2:$C$73,3,FALSE())&amp;Char(10) &amp; Char(10) &amp; VLOOKUP(A569,Internal_lists_bugs!$A$2:$Z$73,26,FALSE())),"please select a BUG ID")</f>
        <v>please select a BUG ID</v>
      </c>
      <c r="C569" s="51" t="str">
        <f>IFERROR(__xludf.DUMMYFUNCTION("IFERROR(IF(REGEXMATCH(VLOOKUP(A569,Internal_lists_bugs!$A$2:$R$73,18,FALSE()), ""Yes""), VLOOKUP(A569,Internal_lists_bugs!$A$2:$U$73,21,FALSE()), VLOOKUP(A569,Internal_lists_bugs!$A$2:$R$73,18,FALSE())),""please select a BUG ID"")"),"please select a BUG ID")</f>
        <v>please select a BUG ID</v>
      </c>
      <c r="D569" s="43"/>
      <c r="F569" s="62"/>
      <c r="G569" s="63"/>
      <c r="H569" s="43"/>
      <c r="J569" s="62"/>
      <c r="K569" s="63"/>
    </row>
    <row r="570">
      <c r="A570" s="78"/>
      <c r="B570" s="59" t="str">
        <f>IFERROR(HYPERLINK(VLOOKUP(A570,Internal_lists_bugs!$A$2:$C$73,3,FALSE()), VLOOKUP(A570,Internal_lists_bugs!$A$2:$C$73,3,FALSE())&amp;Char(10) &amp; Char(10) &amp; VLOOKUP(A570,Internal_lists_bugs!$A$2:$Z$73,26,FALSE())),"please select a BUG ID")</f>
        <v>please select a BUG ID</v>
      </c>
      <c r="C570" s="51" t="str">
        <f>IFERROR(__xludf.DUMMYFUNCTION("IFERROR(IF(REGEXMATCH(VLOOKUP(A570,Internal_lists_bugs!$A$2:$R$73,18,FALSE()), ""Yes""), VLOOKUP(A570,Internal_lists_bugs!$A$2:$U$73,21,FALSE()), VLOOKUP(A570,Internal_lists_bugs!$A$2:$R$73,18,FALSE())),""please select a BUG ID"")"),"please select a BUG ID")</f>
        <v>please select a BUG ID</v>
      </c>
      <c r="D570" s="43"/>
      <c r="F570" s="62"/>
      <c r="G570" s="63"/>
      <c r="H570" s="43"/>
      <c r="J570" s="62"/>
      <c r="K570" s="63"/>
    </row>
    <row r="571">
      <c r="A571" s="78"/>
      <c r="B571" s="59" t="str">
        <f>IFERROR(HYPERLINK(VLOOKUP(A571,Internal_lists_bugs!$A$2:$C$73,3,FALSE()), VLOOKUP(A571,Internal_lists_bugs!$A$2:$C$73,3,FALSE())&amp;Char(10) &amp; Char(10) &amp; VLOOKUP(A571,Internal_lists_bugs!$A$2:$Z$73,26,FALSE())),"please select a BUG ID")</f>
        <v>please select a BUG ID</v>
      </c>
      <c r="C571" s="51" t="str">
        <f>IFERROR(__xludf.DUMMYFUNCTION("IFERROR(IF(REGEXMATCH(VLOOKUP(A571,Internal_lists_bugs!$A$2:$R$73,18,FALSE()), ""Yes""), VLOOKUP(A571,Internal_lists_bugs!$A$2:$U$73,21,FALSE()), VLOOKUP(A571,Internal_lists_bugs!$A$2:$R$73,18,FALSE())),""please select a BUG ID"")"),"please select a BUG ID")</f>
        <v>please select a BUG ID</v>
      </c>
      <c r="D571" s="43"/>
      <c r="F571" s="62"/>
      <c r="G571" s="63"/>
      <c r="H571" s="43"/>
      <c r="J571" s="62"/>
      <c r="K571" s="63"/>
    </row>
    <row r="572">
      <c r="A572" s="78"/>
      <c r="B572" s="59" t="str">
        <f>IFERROR(HYPERLINK(VLOOKUP(A572,Internal_lists_bugs!$A$2:$C$73,3,FALSE()), VLOOKUP(A572,Internal_lists_bugs!$A$2:$C$73,3,FALSE())&amp;Char(10) &amp; Char(10) &amp; VLOOKUP(A572,Internal_lists_bugs!$A$2:$Z$73,26,FALSE())),"please select a BUG ID")</f>
        <v>please select a BUG ID</v>
      </c>
      <c r="C572" s="51" t="str">
        <f>IFERROR(__xludf.DUMMYFUNCTION("IFERROR(IF(REGEXMATCH(VLOOKUP(A572,Internal_lists_bugs!$A$2:$R$73,18,FALSE()), ""Yes""), VLOOKUP(A572,Internal_lists_bugs!$A$2:$U$73,21,FALSE()), VLOOKUP(A572,Internal_lists_bugs!$A$2:$R$73,18,FALSE())),""please select a BUG ID"")"),"please select a BUG ID")</f>
        <v>please select a BUG ID</v>
      </c>
      <c r="D572" s="43"/>
      <c r="F572" s="62"/>
      <c r="G572" s="63"/>
      <c r="H572" s="43"/>
      <c r="J572" s="62"/>
      <c r="K572" s="63"/>
    </row>
    <row r="573">
      <c r="A573" s="78"/>
      <c r="B573" s="59" t="str">
        <f>IFERROR(HYPERLINK(VLOOKUP(A573,Internal_lists_bugs!$A$2:$C$73,3,FALSE()), VLOOKUP(A573,Internal_lists_bugs!$A$2:$C$73,3,FALSE())&amp;Char(10) &amp; Char(10) &amp; VLOOKUP(A573,Internal_lists_bugs!$A$2:$Z$73,26,FALSE())),"please select a BUG ID")</f>
        <v>please select a BUG ID</v>
      </c>
      <c r="C573" s="51" t="str">
        <f>IFERROR(__xludf.DUMMYFUNCTION("IFERROR(IF(REGEXMATCH(VLOOKUP(A573,Internal_lists_bugs!$A$2:$R$73,18,FALSE()), ""Yes""), VLOOKUP(A573,Internal_lists_bugs!$A$2:$U$73,21,FALSE()), VLOOKUP(A573,Internal_lists_bugs!$A$2:$R$73,18,FALSE())),""please select a BUG ID"")"),"please select a BUG ID")</f>
        <v>please select a BUG ID</v>
      </c>
      <c r="D573" s="43"/>
      <c r="F573" s="62"/>
      <c r="G573" s="63"/>
      <c r="H573" s="43"/>
      <c r="J573" s="62"/>
      <c r="K573" s="63"/>
    </row>
    <row r="574">
      <c r="A574" s="78"/>
      <c r="B574" s="59" t="str">
        <f>IFERROR(HYPERLINK(VLOOKUP(A574,Internal_lists_bugs!$A$2:$C$73,3,FALSE()), VLOOKUP(A574,Internal_lists_bugs!$A$2:$C$73,3,FALSE())&amp;Char(10) &amp; Char(10) &amp; VLOOKUP(A574,Internal_lists_bugs!$A$2:$Z$73,26,FALSE())),"please select a BUG ID")</f>
        <v>please select a BUG ID</v>
      </c>
      <c r="C574" s="51" t="str">
        <f>IFERROR(__xludf.DUMMYFUNCTION("IFERROR(IF(REGEXMATCH(VLOOKUP(A574,Internal_lists_bugs!$A$2:$R$73,18,FALSE()), ""Yes""), VLOOKUP(A574,Internal_lists_bugs!$A$2:$U$73,21,FALSE()), VLOOKUP(A574,Internal_lists_bugs!$A$2:$R$73,18,FALSE())),""please select a BUG ID"")"),"please select a BUG ID")</f>
        <v>please select a BUG ID</v>
      </c>
      <c r="D574" s="43"/>
      <c r="F574" s="62"/>
      <c r="G574" s="63"/>
      <c r="H574" s="43"/>
      <c r="J574" s="62"/>
      <c r="K574" s="63"/>
    </row>
    <row r="575">
      <c r="A575" s="78"/>
      <c r="B575" s="59" t="str">
        <f>IFERROR(HYPERLINK(VLOOKUP(A575,Internal_lists_bugs!$A$2:$C$73,3,FALSE()), VLOOKUP(A575,Internal_lists_bugs!$A$2:$C$73,3,FALSE())&amp;Char(10) &amp; Char(10) &amp; VLOOKUP(A575,Internal_lists_bugs!$A$2:$Z$73,26,FALSE())),"please select a BUG ID")</f>
        <v>please select a BUG ID</v>
      </c>
      <c r="C575" s="51" t="str">
        <f>IFERROR(__xludf.DUMMYFUNCTION("IFERROR(IF(REGEXMATCH(VLOOKUP(A575,Internal_lists_bugs!$A$2:$R$73,18,FALSE()), ""Yes""), VLOOKUP(A575,Internal_lists_bugs!$A$2:$U$73,21,FALSE()), VLOOKUP(A575,Internal_lists_bugs!$A$2:$R$73,18,FALSE())),""please select a BUG ID"")"),"please select a BUG ID")</f>
        <v>please select a BUG ID</v>
      </c>
      <c r="D575" s="43"/>
      <c r="F575" s="62"/>
      <c r="G575" s="63"/>
      <c r="H575" s="43"/>
      <c r="J575" s="62"/>
      <c r="K575" s="63"/>
    </row>
    <row r="576">
      <c r="A576" s="78"/>
      <c r="B576" s="59" t="str">
        <f>IFERROR(HYPERLINK(VLOOKUP(A576,Internal_lists_bugs!$A$2:$C$73,3,FALSE()), VLOOKUP(A576,Internal_lists_bugs!$A$2:$C$73,3,FALSE())&amp;Char(10) &amp; Char(10) &amp; VLOOKUP(A576,Internal_lists_bugs!$A$2:$Z$73,26,FALSE())),"please select a BUG ID")</f>
        <v>please select a BUG ID</v>
      </c>
      <c r="C576" s="51" t="str">
        <f>IFERROR(__xludf.DUMMYFUNCTION("IFERROR(IF(REGEXMATCH(VLOOKUP(A576,Internal_lists_bugs!$A$2:$R$73,18,FALSE()), ""Yes""), VLOOKUP(A576,Internal_lists_bugs!$A$2:$U$73,21,FALSE()), VLOOKUP(A576,Internal_lists_bugs!$A$2:$R$73,18,FALSE())),""please select a BUG ID"")"),"please select a BUG ID")</f>
        <v>please select a BUG ID</v>
      </c>
      <c r="D576" s="43"/>
      <c r="F576" s="62"/>
      <c r="G576" s="63"/>
      <c r="H576" s="43"/>
      <c r="J576" s="62"/>
      <c r="K576" s="63"/>
    </row>
    <row r="577">
      <c r="A577" s="78"/>
      <c r="B577" s="59" t="str">
        <f>IFERROR(HYPERLINK(VLOOKUP(A577,Internal_lists_bugs!$A$2:$C$73,3,FALSE()), VLOOKUP(A577,Internal_lists_bugs!$A$2:$C$73,3,FALSE())&amp;Char(10) &amp; Char(10) &amp; VLOOKUP(A577,Internal_lists_bugs!$A$2:$Z$73,26,FALSE())),"please select a BUG ID")</f>
        <v>please select a BUG ID</v>
      </c>
      <c r="C577" s="51" t="str">
        <f>IFERROR(__xludf.DUMMYFUNCTION("IFERROR(IF(REGEXMATCH(VLOOKUP(A577,Internal_lists_bugs!$A$2:$R$73,18,FALSE()), ""Yes""), VLOOKUP(A577,Internal_lists_bugs!$A$2:$U$73,21,FALSE()), VLOOKUP(A577,Internal_lists_bugs!$A$2:$R$73,18,FALSE())),""please select a BUG ID"")"),"please select a BUG ID")</f>
        <v>please select a BUG ID</v>
      </c>
      <c r="D577" s="43"/>
      <c r="F577" s="62"/>
      <c r="G577" s="63"/>
      <c r="H577" s="43"/>
      <c r="J577" s="62"/>
      <c r="K577" s="63"/>
    </row>
    <row r="578">
      <c r="A578" s="78"/>
      <c r="B578" s="59" t="str">
        <f>IFERROR(HYPERLINK(VLOOKUP(A578,Internal_lists_bugs!$A$2:$C$73,3,FALSE()), VLOOKUP(A578,Internal_lists_bugs!$A$2:$C$73,3,FALSE())&amp;Char(10) &amp; Char(10) &amp; VLOOKUP(A578,Internal_lists_bugs!$A$2:$Z$73,26,FALSE())),"please select a BUG ID")</f>
        <v>please select a BUG ID</v>
      </c>
      <c r="C578" s="51" t="str">
        <f>IFERROR(__xludf.DUMMYFUNCTION("IFERROR(IF(REGEXMATCH(VLOOKUP(A578,Internal_lists_bugs!$A$2:$R$73,18,FALSE()), ""Yes""), VLOOKUP(A578,Internal_lists_bugs!$A$2:$U$73,21,FALSE()), VLOOKUP(A578,Internal_lists_bugs!$A$2:$R$73,18,FALSE())),""please select a BUG ID"")"),"please select a BUG ID")</f>
        <v>please select a BUG ID</v>
      </c>
      <c r="D578" s="43"/>
      <c r="F578" s="62"/>
      <c r="G578" s="63"/>
      <c r="H578" s="43"/>
      <c r="J578" s="62"/>
      <c r="K578" s="63"/>
    </row>
    <row r="579">
      <c r="A579" s="78"/>
      <c r="B579" s="59" t="str">
        <f>IFERROR(HYPERLINK(VLOOKUP(A579,Internal_lists_bugs!$A$2:$C$73,3,FALSE()), VLOOKUP(A579,Internal_lists_bugs!$A$2:$C$73,3,FALSE())&amp;Char(10) &amp; Char(10) &amp; VLOOKUP(A579,Internal_lists_bugs!$A$2:$Z$73,26,FALSE())),"please select a BUG ID")</f>
        <v>please select a BUG ID</v>
      </c>
      <c r="C579" s="51" t="str">
        <f>IFERROR(__xludf.DUMMYFUNCTION("IFERROR(IF(REGEXMATCH(VLOOKUP(A579,Internal_lists_bugs!$A$2:$R$73,18,FALSE()), ""Yes""), VLOOKUP(A579,Internal_lists_bugs!$A$2:$U$73,21,FALSE()), VLOOKUP(A579,Internal_lists_bugs!$A$2:$R$73,18,FALSE())),""please select a BUG ID"")"),"please select a BUG ID")</f>
        <v>please select a BUG ID</v>
      </c>
      <c r="D579" s="43"/>
      <c r="F579" s="62"/>
      <c r="G579" s="63"/>
      <c r="H579" s="43"/>
      <c r="J579" s="62"/>
      <c r="K579" s="63"/>
    </row>
    <row r="580">
      <c r="A580" s="78"/>
      <c r="B580" s="59" t="str">
        <f>IFERROR(HYPERLINK(VLOOKUP(A580,Internal_lists_bugs!$A$2:$C$73,3,FALSE()), VLOOKUP(A580,Internal_lists_bugs!$A$2:$C$73,3,FALSE())&amp;Char(10) &amp; Char(10) &amp; VLOOKUP(A580,Internal_lists_bugs!$A$2:$Z$73,26,FALSE())),"please select a BUG ID")</f>
        <v>please select a BUG ID</v>
      </c>
      <c r="C580" s="51" t="str">
        <f>IFERROR(__xludf.DUMMYFUNCTION("IFERROR(IF(REGEXMATCH(VLOOKUP(A580,Internal_lists_bugs!$A$2:$R$73,18,FALSE()), ""Yes""), VLOOKUP(A580,Internal_lists_bugs!$A$2:$U$73,21,FALSE()), VLOOKUP(A580,Internal_lists_bugs!$A$2:$R$73,18,FALSE())),""please select a BUG ID"")"),"please select a BUG ID")</f>
        <v>please select a BUG ID</v>
      </c>
      <c r="D580" s="43"/>
      <c r="F580" s="62"/>
      <c r="G580" s="63"/>
      <c r="H580" s="43"/>
      <c r="J580" s="62"/>
      <c r="K580" s="63"/>
    </row>
    <row r="581">
      <c r="A581" s="78"/>
      <c r="B581" s="59" t="str">
        <f>IFERROR(HYPERLINK(VLOOKUP(A581,Internal_lists_bugs!$A$2:$C$73,3,FALSE()), VLOOKUP(A581,Internal_lists_bugs!$A$2:$C$73,3,FALSE())&amp;Char(10) &amp; Char(10) &amp; VLOOKUP(A581,Internal_lists_bugs!$A$2:$Z$73,26,FALSE())),"please select a BUG ID")</f>
        <v>please select a BUG ID</v>
      </c>
      <c r="C581" s="51" t="str">
        <f>IFERROR(__xludf.DUMMYFUNCTION("IFERROR(IF(REGEXMATCH(VLOOKUP(A581,Internal_lists_bugs!$A$2:$R$73,18,FALSE()), ""Yes""), VLOOKUP(A581,Internal_lists_bugs!$A$2:$U$73,21,FALSE()), VLOOKUP(A581,Internal_lists_bugs!$A$2:$R$73,18,FALSE())),""please select a BUG ID"")"),"please select a BUG ID")</f>
        <v>please select a BUG ID</v>
      </c>
      <c r="D581" s="43"/>
      <c r="F581" s="62"/>
      <c r="G581" s="63"/>
      <c r="H581" s="43"/>
      <c r="J581" s="62"/>
      <c r="K581" s="63"/>
    </row>
    <row r="582">
      <c r="A582" s="78"/>
      <c r="B582" s="59" t="str">
        <f>IFERROR(HYPERLINK(VLOOKUP(A582,Internal_lists_bugs!$A$2:$C$73,3,FALSE()), VLOOKUP(A582,Internal_lists_bugs!$A$2:$C$73,3,FALSE())&amp;Char(10) &amp; Char(10) &amp; VLOOKUP(A582,Internal_lists_bugs!$A$2:$Z$73,26,FALSE())),"please select a BUG ID")</f>
        <v>please select a BUG ID</v>
      </c>
      <c r="C582" s="51" t="str">
        <f>IFERROR(__xludf.DUMMYFUNCTION("IFERROR(IF(REGEXMATCH(VLOOKUP(A582,Internal_lists_bugs!$A$2:$R$73,18,FALSE()), ""Yes""), VLOOKUP(A582,Internal_lists_bugs!$A$2:$U$73,21,FALSE()), VLOOKUP(A582,Internal_lists_bugs!$A$2:$R$73,18,FALSE())),""please select a BUG ID"")"),"please select a BUG ID")</f>
        <v>please select a BUG ID</v>
      </c>
      <c r="D582" s="43"/>
      <c r="F582" s="62"/>
      <c r="G582" s="63"/>
      <c r="H582" s="43"/>
      <c r="J582" s="62"/>
      <c r="K582" s="63"/>
    </row>
    <row r="583">
      <c r="A583" s="78"/>
      <c r="B583" s="59" t="str">
        <f>IFERROR(HYPERLINK(VLOOKUP(A583,Internal_lists_bugs!$A$2:$C$73,3,FALSE()), VLOOKUP(A583,Internal_lists_bugs!$A$2:$C$73,3,FALSE())&amp;Char(10) &amp; Char(10) &amp; VLOOKUP(A583,Internal_lists_bugs!$A$2:$Z$73,26,FALSE())),"please select a BUG ID")</f>
        <v>please select a BUG ID</v>
      </c>
      <c r="C583" s="51" t="str">
        <f>IFERROR(__xludf.DUMMYFUNCTION("IFERROR(IF(REGEXMATCH(VLOOKUP(A583,Internal_lists_bugs!$A$2:$R$73,18,FALSE()), ""Yes""), VLOOKUP(A583,Internal_lists_bugs!$A$2:$U$73,21,FALSE()), VLOOKUP(A583,Internal_lists_bugs!$A$2:$R$73,18,FALSE())),""please select a BUG ID"")"),"please select a BUG ID")</f>
        <v>please select a BUG ID</v>
      </c>
      <c r="D583" s="43"/>
      <c r="F583" s="62"/>
      <c r="G583" s="63"/>
      <c r="H583" s="43"/>
      <c r="J583" s="62"/>
      <c r="K583" s="63"/>
    </row>
    <row r="584">
      <c r="A584" s="78"/>
      <c r="B584" s="59" t="str">
        <f>IFERROR(HYPERLINK(VLOOKUP(A584,Internal_lists_bugs!$A$2:$C$73,3,FALSE()), VLOOKUP(A584,Internal_lists_bugs!$A$2:$C$73,3,FALSE())&amp;Char(10) &amp; Char(10) &amp; VLOOKUP(A584,Internal_lists_bugs!$A$2:$Z$73,26,FALSE())),"please select a BUG ID")</f>
        <v>please select a BUG ID</v>
      </c>
      <c r="C584" s="51" t="str">
        <f>IFERROR(__xludf.DUMMYFUNCTION("IFERROR(IF(REGEXMATCH(VLOOKUP(A584,Internal_lists_bugs!$A$2:$R$73,18,FALSE()), ""Yes""), VLOOKUP(A584,Internal_lists_bugs!$A$2:$U$73,21,FALSE()), VLOOKUP(A584,Internal_lists_bugs!$A$2:$R$73,18,FALSE())),""please select a BUG ID"")"),"please select a BUG ID")</f>
        <v>please select a BUG ID</v>
      </c>
      <c r="D584" s="43"/>
      <c r="F584" s="62"/>
      <c r="G584" s="63"/>
      <c r="H584" s="43"/>
      <c r="J584" s="62"/>
      <c r="K584" s="63"/>
    </row>
    <row r="585">
      <c r="A585" s="78"/>
      <c r="B585" s="59" t="str">
        <f>IFERROR(HYPERLINK(VLOOKUP(A585,Internal_lists_bugs!$A$2:$C$73,3,FALSE()), VLOOKUP(A585,Internal_lists_bugs!$A$2:$C$73,3,FALSE())&amp;Char(10) &amp; Char(10) &amp; VLOOKUP(A585,Internal_lists_bugs!$A$2:$Z$73,26,FALSE())),"please select a BUG ID")</f>
        <v>please select a BUG ID</v>
      </c>
      <c r="C585" s="51" t="str">
        <f>IFERROR(__xludf.DUMMYFUNCTION("IFERROR(IF(REGEXMATCH(VLOOKUP(A585,Internal_lists_bugs!$A$2:$R$73,18,FALSE()), ""Yes""), VLOOKUP(A585,Internal_lists_bugs!$A$2:$U$73,21,FALSE()), VLOOKUP(A585,Internal_lists_bugs!$A$2:$R$73,18,FALSE())),""please select a BUG ID"")"),"please select a BUG ID")</f>
        <v>please select a BUG ID</v>
      </c>
      <c r="D585" s="43"/>
      <c r="F585" s="62"/>
      <c r="G585" s="63"/>
      <c r="H585" s="43"/>
      <c r="J585" s="62"/>
      <c r="K585" s="63"/>
    </row>
    <row r="586">
      <c r="A586" s="78"/>
      <c r="B586" s="59" t="str">
        <f>IFERROR(HYPERLINK(VLOOKUP(A586,Internal_lists_bugs!$A$2:$C$73,3,FALSE()), VLOOKUP(A586,Internal_lists_bugs!$A$2:$C$73,3,FALSE())&amp;Char(10) &amp; Char(10) &amp; VLOOKUP(A586,Internal_lists_bugs!$A$2:$Z$73,26,FALSE())),"please select a BUG ID")</f>
        <v>please select a BUG ID</v>
      </c>
      <c r="C586" s="51" t="str">
        <f>IFERROR(__xludf.DUMMYFUNCTION("IFERROR(IF(REGEXMATCH(VLOOKUP(A586,Internal_lists_bugs!$A$2:$R$73,18,FALSE()), ""Yes""), VLOOKUP(A586,Internal_lists_bugs!$A$2:$U$73,21,FALSE()), VLOOKUP(A586,Internal_lists_bugs!$A$2:$R$73,18,FALSE())),""please select a BUG ID"")"),"please select a BUG ID")</f>
        <v>please select a BUG ID</v>
      </c>
      <c r="D586" s="43"/>
      <c r="F586" s="62"/>
      <c r="G586" s="63"/>
      <c r="H586" s="43"/>
      <c r="J586" s="62"/>
      <c r="K586" s="63"/>
    </row>
    <row r="587">
      <c r="A587" s="78"/>
      <c r="B587" s="59" t="str">
        <f>IFERROR(HYPERLINK(VLOOKUP(A587,Internal_lists_bugs!$A$2:$C$73,3,FALSE()), VLOOKUP(A587,Internal_lists_bugs!$A$2:$C$73,3,FALSE())&amp;Char(10) &amp; Char(10) &amp; VLOOKUP(A587,Internal_lists_bugs!$A$2:$Z$73,26,FALSE())),"please select a BUG ID")</f>
        <v>please select a BUG ID</v>
      </c>
      <c r="C587" s="51" t="str">
        <f>IFERROR(__xludf.DUMMYFUNCTION("IFERROR(IF(REGEXMATCH(VLOOKUP(A587,Internal_lists_bugs!$A$2:$R$73,18,FALSE()), ""Yes""), VLOOKUP(A587,Internal_lists_bugs!$A$2:$U$73,21,FALSE()), VLOOKUP(A587,Internal_lists_bugs!$A$2:$R$73,18,FALSE())),""please select a BUG ID"")"),"please select a BUG ID")</f>
        <v>please select a BUG ID</v>
      </c>
      <c r="D587" s="43"/>
      <c r="F587" s="62"/>
      <c r="G587" s="63"/>
      <c r="H587" s="43"/>
      <c r="J587" s="62"/>
      <c r="K587" s="63"/>
    </row>
    <row r="588">
      <c r="A588" s="78"/>
      <c r="B588" s="59" t="str">
        <f>IFERROR(HYPERLINK(VLOOKUP(A588,Internal_lists_bugs!$A$2:$C$73,3,FALSE()), VLOOKUP(A588,Internal_lists_bugs!$A$2:$C$73,3,FALSE())&amp;Char(10) &amp; Char(10) &amp; VLOOKUP(A588,Internal_lists_bugs!$A$2:$Z$73,26,FALSE())),"please select a BUG ID")</f>
        <v>please select a BUG ID</v>
      </c>
      <c r="C588" s="51" t="str">
        <f>IFERROR(__xludf.DUMMYFUNCTION("IFERROR(IF(REGEXMATCH(VLOOKUP(A588,Internal_lists_bugs!$A$2:$R$73,18,FALSE()), ""Yes""), VLOOKUP(A588,Internal_lists_bugs!$A$2:$U$73,21,FALSE()), VLOOKUP(A588,Internal_lists_bugs!$A$2:$R$73,18,FALSE())),""please select a BUG ID"")"),"please select a BUG ID")</f>
        <v>please select a BUG ID</v>
      </c>
      <c r="D588" s="43"/>
      <c r="F588" s="62"/>
      <c r="G588" s="63"/>
      <c r="H588" s="43"/>
      <c r="J588" s="62"/>
      <c r="K588" s="63"/>
    </row>
    <row r="589">
      <c r="A589" s="78"/>
      <c r="B589" s="59" t="str">
        <f>IFERROR(HYPERLINK(VLOOKUP(A589,Internal_lists_bugs!$A$2:$C$73,3,FALSE()), VLOOKUP(A589,Internal_lists_bugs!$A$2:$C$73,3,FALSE())&amp;Char(10) &amp; Char(10) &amp; VLOOKUP(A589,Internal_lists_bugs!$A$2:$Z$73,26,FALSE())),"please select a BUG ID")</f>
        <v>please select a BUG ID</v>
      </c>
      <c r="C589" s="51" t="str">
        <f>IFERROR(__xludf.DUMMYFUNCTION("IFERROR(IF(REGEXMATCH(VLOOKUP(A589,Internal_lists_bugs!$A$2:$R$73,18,FALSE()), ""Yes""), VLOOKUP(A589,Internal_lists_bugs!$A$2:$U$73,21,FALSE()), VLOOKUP(A589,Internal_lists_bugs!$A$2:$R$73,18,FALSE())),""please select a BUG ID"")"),"please select a BUG ID")</f>
        <v>please select a BUG ID</v>
      </c>
      <c r="D589" s="43"/>
      <c r="F589" s="62"/>
      <c r="G589" s="63"/>
      <c r="H589" s="43"/>
      <c r="J589" s="62"/>
      <c r="K589" s="63"/>
    </row>
    <row r="590">
      <c r="A590" s="78"/>
      <c r="B590" s="59" t="str">
        <f>IFERROR(HYPERLINK(VLOOKUP(A590,Internal_lists_bugs!$A$2:$C$73,3,FALSE()), VLOOKUP(A590,Internal_lists_bugs!$A$2:$C$73,3,FALSE())&amp;Char(10) &amp; Char(10) &amp; VLOOKUP(A590,Internal_lists_bugs!$A$2:$Z$73,26,FALSE())),"please select a BUG ID")</f>
        <v>please select a BUG ID</v>
      </c>
      <c r="C590" s="51" t="str">
        <f>IFERROR(__xludf.DUMMYFUNCTION("IFERROR(IF(REGEXMATCH(VLOOKUP(A590,Internal_lists_bugs!$A$2:$R$73,18,FALSE()), ""Yes""), VLOOKUP(A590,Internal_lists_bugs!$A$2:$U$73,21,FALSE()), VLOOKUP(A590,Internal_lists_bugs!$A$2:$R$73,18,FALSE())),""please select a BUG ID"")"),"please select a BUG ID")</f>
        <v>please select a BUG ID</v>
      </c>
      <c r="D590" s="43"/>
      <c r="F590" s="62"/>
      <c r="G590" s="63"/>
      <c r="H590" s="43"/>
      <c r="J590" s="62"/>
      <c r="K590" s="63"/>
    </row>
    <row r="591">
      <c r="A591" s="78"/>
      <c r="B591" s="59" t="str">
        <f>IFERROR(HYPERLINK(VLOOKUP(A591,Internal_lists_bugs!$A$2:$C$73,3,FALSE()), VLOOKUP(A591,Internal_lists_bugs!$A$2:$C$73,3,FALSE())&amp;Char(10) &amp; Char(10) &amp; VLOOKUP(A591,Internal_lists_bugs!$A$2:$Z$73,26,FALSE())),"please select a BUG ID")</f>
        <v>please select a BUG ID</v>
      </c>
      <c r="C591" s="51" t="str">
        <f>IFERROR(__xludf.DUMMYFUNCTION("IFERROR(IF(REGEXMATCH(VLOOKUP(A591,Internal_lists_bugs!$A$2:$R$73,18,FALSE()), ""Yes""), VLOOKUP(A591,Internal_lists_bugs!$A$2:$U$73,21,FALSE()), VLOOKUP(A591,Internal_lists_bugs!$A$2:$R$73,18,FALSE())),""please select a BUG ID"")"),"please select a BUG ID")</f>
        <v>please select a BUG ID</v>
      </c>
      <c r="D591" s="43"/>
      <c r="F591" s="62"/>
      <c r="G591" s="63"/>
      <c r="H591" s="43"/>
      <c r="J591" s="62"/>
      <c r="K591" s="63"/>
    </row>
    <row r="592">
      <c r="A592" s="78"/>
      <c r="B592" s="59" t="str">
        <f>IFERROR(HYPERLINK(VLOOKUP(A592,Internal_lists_bugs!$A$2:$C$73,3,FALSE()), VLOOKUP(A592,Internal_lists_bugs!$A$2:$C$73,3,FALSE())&amp;Char(10) &amp; Char(10) &amp; VLOOKUP(A592,Internal_lists_bugs!$A$2:$Z$73,26,FALSE())),"please select a BUG ID")</f>
        <v>please select a BUG ID</v>
      </c>
      <c r="C592" s="51" t="str">
        <f>IFERROR(__xludf.DUMMYFUNCTION("IFERROR(IF(REGEXMATCH(VLOOKUP(A592,Internal_lists_bugs!$A$2:$R$73,18,FALSE()), ""Yes""), VLOOKUP(A592,Internal_lists_bugs!$A$2:$U$73,21,FALSE()), VLOOKUP(A592,Internal_lists_bugs!$A$2:$R$73,18,FALSE())),""please select a BUG ID"")"),"please select a BUG ID")</f>
        <v>please select a BUG ID</v>
      </c>
      <c r="D592" s="43"/>
      <c r="F592" s="62"/>
      <c r="G592" s="63"/>
      <c r="H592" s="43"/>
      <c r="J592" s="62"/>
      <c r="K592" s="63"/>
    </row>
    <row r="593">
      <c r="A593" s="78"/>
      <c r="B593" s="59" t="str">
        <f>IFERROR(HYPERLINK(VLOOKUP(A593,Internal_lists_bugs!$A$2:$C$73,3,FALSE()), VLOOKUP(A593,Internal_lists_bugs!$A$2:$C$73,3,FALSE())&amp;Char(10) &amp; Char(10) &amp; VLOOKUP(A593,Internal_lists_bugs!$A$2:$Z$73,26,FALSE())),"please select a BUG ID")</f>
        <v>please select a BUG ID</v>
      </c>
      <c r="C593" s="51" t="str">
        <f>IFERROR(__xludf.DUMMYFUNCTION("IFERROR(IF(REGEXMATCH(VLOOKUP(A593,Internal_lists_bugs!$A$2:$R$73,18,FALSE()), ""Yes""), VLOOKUP(A593,Internal_lists_bugs!$A$2:$U$73,21,FALSE()), VLOOKUP(A593,Internal_lists_bugs!$A$2:$R$73,18,FALSE())),""please select a BUG ID"")"),"please select a BUG ID")</f>
        <v>please select a BUG ID</v>
      </c>
      <c r="D593" s="43"/>
      <c r="F593" s="62"/>
      <c r="G593" s="63"/>
      <c r="H593" s="43"/>
      <c r="J593" s="62"/>
      <c r="K593" s="63"/>
    </row>
    <row r="594">
      <c r="A594" s="78"/>
      <c r="B594" s="59" t="str">
        <f>IFERROR(HYPERLINK(VLOOKUP(A594,Internal_lists_bugs!$A$2:$C$73,3,FALSE()), VLOOKUP(A594,Internal_lists_bugs!$A$2:$C$73,3,FALSE())&amp;Char(10) &amp; Char(10) &amp; VLOOKUP(A594,Internal_lists_bugs!$A$2:$Z$73,26,FALSE())),"please select a BUG ID")</f>
        <v>please select a BUG ID</v>
      </c>
      <c r="C594" s="51" t="str">
        <f>IFERROR(__xludf.DUMMYFUNCTION("IFERROR(IF(REGEXMATCH(VLOOKUP(A594,Internal_lists_bugs!$A$2:$R$73,18,FALSE()), ""Yes""), VLOOKUP(A594,Internal_lists_bugs!$A$2:$U$73,21,FALSE()), VLOOKUP(A594,Internal_lists_bugs!$A$2:$R$73,18,FALSE())),""please select a BUG ID"")"),"please select a BUG ID")</f>
        <v>please select a BUG ID</v>
      </c>
      <c r="D594" s="43"/>
      <c r="F594" s="62"/>
      <c r="G594" s="63"/>
      <c r="H594" s="43"/>
      <c r="J594" s="62"/>
      <c r="K594" s="63"/>
    </row>
    <row r="595">
      <c r="A595" s="78"/>
      <c r="B595" s="59" t="str">
        <f>IFERROR(HYPERLINK(VLOOKUP(A595,Internal_lists_bugs!$A$2:$C$73,3,FALSE()), VLOOKUP(A595,Internal_lists_bugs!$A$2:$C$73,3,FALSE())&amp;Char(10) &amp; Char(10) &amp; VLOOKUP(A595,Internal_lists_bugs!$A$2:$Z$73,26,FALSE())),"please select a BUG ID")</f>
        <v>please select a BUG ID</v>
      </c>
      <c r="C595" s="51" t="str">
        <f>IFERROR(__xludf.DUMMYFUNCTION("IFERROR(IF(REGEXMATCH(VLOOKUP(A595,Internal_lists_bugs!$A$2:$R$73,18,FALSE()), ""Yes""), VLOOKUP(A595,Internal_lists_bugs!$A$2:$U$73,21,FALSE()), VLOOKUP(A595,Internal_lists_bugs!$A$2:$R$73,18,FALSE())),""please select a BUG ID"")"),"please select a BUG ID")</f>
        <v>please select a BUG ID</v>
      </c>
      <c r="D595" s="43"/>
      <c r="F595" s="62"/>
      <c r="G595" s="63"/>
      <c r="H595" s="43"/>
      <c r="J595" s="62"/>
      <c r="K595" s="63"/>
    </row>
    <row r="596">
      <c r="A596" s="78"/>
      <c r="B596" s="59" t="str">
        <f>IFERROR(HYPERLINK(VLOOKUP(A596,Internal_lists_bugs!$A$2:$C$73,3,FALSE()), VLOOKUP(A596,Internal_lists_bugs!$A$2:$C$73,3,FALSE())&amp;Char(10) &amp; Char(10) &amp; VLOOKUP(A596,Internal_lists_bugs!$A$2:$Z$73,26,FALSE())),"please select a BUG ID")</f>
        <v>please select a BUG ID</v>
      </c>
      <c r="C596" s="51" t="str">
        <f>IFERROR(__xludf.DUMMYFUNCTION("IFERROR(IF(REGEXMATCH(VLOOKUP(A596,Internal_lists_bugs!$A$2:$R$73,18,FALSE()), ""Yes""), VLOOKUP(A596,Internal_lists_bugs!$A$2:$U$73,21,FALSE()), VLOOKUP(A596,Internal_lists_bugs!$A$2:$R$73,18,FALSE())),""please select a BUG ID"")"),"please select a BUG ID")</f>
        <v>please select a BUG ID</v>
      </c>
      <c r="D596" s="43"/>
      <c r="F596" s="62"/>
      <c r="G596" s="63"/>
      <c r="H596" s="43"/>
      <c r="J596" s="62"/>
      <c r="K596" s="63"/>
    </row>
    <row r="597">
      <c r="A597" s="78"/>
      <c r="B597" s="59" t="str">
        <f>IFERROR(HYPERLINK(VLOOKUP(A597,Internal_lists_bugs!$A$2:$C$73,3,FALSE()), VLOOKUP(A597,Internal_lists_bugs!$A$2:$C$73,3,FALSE())&amp;Char(10) &amp; Char(10) &amp; VLOOKUP(A597,Internal_lists_bugs!$A$2:$Z$73,26,FALSE())),"please select a BUG ID")</f>
        <v>please select a BUG ID</v>
      </c>
      <c r="C597" s="51" t="str">
        <f>IFERROR(__xludf.DUMMYFUNCTION("IFERROR(IF(REGEXMATCH(VLOOKUP(A597,Internal_lists_bugs!$A$2:$R$73,18,FALSE()), ""Yes""), VLOOKUP(A597,Internal_lists_bugs!$A$2:$U$73,21,FALSE()), VLOOKUP(A597,Internal_lists_bugs!$A$2:$R$73,18,FALSE())),""please select a BUG ID"")"),"please select a BUG ID")</f>
        <v>please select a BUG ID</v>
      </c>
      <c r="D597" s="43"/>
      <c r="F597" s="62"/>
      <c r="G597" s="63"/>
      <c r="H597" s="43"/>
      <c r="J597" s="62"/>
      <c r="K597" s="63"/>
    </row>
    <row r="598">
      <c r="A598" s="78"/>
      <c r="B598" s="59" t="str">
        <f>IFERROR(HYPERLINK(VLOOKUP(A598,Internal_lists_bugs!$A$2:$C$73,3,FALSE()), VLOOKUP(A598,Internal_lists_bugs!$A$2:$C$73,3,FALSE())&amp;Char(10) &amp; Char(10) &amp; VLOOKUP(A598,Internal_lists_bugs!$A$2:$Z$73,26,FALSE())),"please select a BUG ID")</f>
        <v>please select a BUG ID</v>
      </c>
      <c r="C598" s="51" t="str">
        <f>IFERROR(__xludf.DUMMYFUNCTION("IFERROR(IF(REGEXMATCH(VLOOKUP(A598,Internal_lists_bugs!$A$2:$R$73,18,FALSE()), ""Yes""), VLOOKUP(A598,Internal_lists_bugs!$A$2:$U$73,21,FALSE()), VLOOKUP(A598,Internal_lists_bugs!$A$2:$R$73,18,FALSE())),""please select a BUG ID"")"),"please select a BUG ID")</f>
        <v>please select a BUG ID</v>
      </c>
      <c r="D598" s="43"/>
      <c r="F598" s="62"/>
      <c r="G598" s="63"/>
      <c r="H598" s="43"/>
      <c r="J598" s="62"/>
      <c r="K598" s="63"/>
    </row>
    <row r="599">
      <c r="A599" s="78"/>
      <c r="B599" s="59" t="str">
        <f>IFERROR(HYPERLINK(VLOOKUP(A599,Internal_lists_bugs!$A$2:$C$73,3,FALSE()), VLOOKUP(A599,Internal_lists_bugs!$A$2:$C$73,3,FALSE())&amp;Char(10) &amp; Char(10) &amp; VLOOKUP(A599,Internal_lists_bugs!$A$2:$Z$73,26,FALSE())),"please select a BUG ID")</f>
        <v>please select a BUG ID</v>
      </c>
      <c r="C599" s="51" t="str">
        <f>IFERROR(__xludf.DUMMYFUNCTION("IFERROR(IF(REGEXMATCH(VLOOKUP(A599,Internal_lists_bugs!$A$2:$R$73,18,FALSE()), ""Yes""), VLOOKUP(A599,Internal_lists_bugs!$A$2:$U$73,21,FALSE()), VLOOKUP(A599,Internal_lists_bugs!$A$2:$R$73,18,FALSE())),""please select a BUG ID"")"),"please select a BUG ID")</f>
        <v>please select a BUG ID</v>
      </c>
      <c r="D599" s="43"/>
      <c r="F599" s="62"/>
      <c r="G599" s="63"/>
      <c r="H599" s="43"/>
      <c r="J599" s="62"/>
      <c r="K599" s="63"/>
    </row>
    <row r="600">
      <c r="A600" s="78"/>
      <c r="B600" s="59" t="str">
        <f>IFERROR(HYPERLINK(VLOOKUP(A600,Internal_lists_bugs!$A$2:$C$73,3,FALSE()), VLOOKUP(A600,Internal_lists_bugs!$A$2:$C$73,3,FALSE())&amp;Char(10) &amp; Char(10) &amp; VLOOKUP(A600,Internal_lists_bugs!$A$2:$Z$73,26,FALSE())),"please select a BUG ID")</f>
        <v>please select a BUG ID</v>
      </c>
      <c r="C600" s="51" t="str">
        <f>IFERROR(__xludf.DUMMYFUNCTION("IFERROR(IF(REGEXMATCH(VLOOKUP(A600,Internal_lists_bugs!$A$2:$R$73,18,FALSE()), ""Yes""), VLOOKUP(A600,Internal_lists_bugs!$A$2:$U$73,21,FALSE()), VLOOKUP(A600,Internal_lists_bugs!$A$2:$R$73,18,FALSE())),""please select a BUG ID"")"),"please select a BUG ID")</f>
        <v>please select a BUG ID</v>
      </c>
      <c r="D600" s="43"/>
      <c r="F600" s="62"/>
      <c r="G600" s="63"/>
      <c r="H600" s="43"/>
      <c r="J600" s="62"/>
      <c r="K600" s="63"/>
    </row>
    <row r="601">
      <c r="A601" s="78"/>
      <c r="B601" s="59" t="str">
        <f>IFERROR(HYPERLINK(VLOOKUP(A601,Internal_lists_bugs!$A$2:$C$73,3,FALSE()), VLOOKUP(A601,Internal_lists_bugs!$A$2:$C$73,3,FALSE())&amp;Char(10) &amp; Char(10) &amp; VLOOKUP(A601,Internal_lists_bugs!$A$2:$Z$73,26,FALSE())),"please select a BUG ID")</f>
        <v>please select a BUG ID</v>
      </c>
      <c r="C601" s="51" t="str">
        <f>IFERROR(__xludf.DUMMYFUNCTION("IFERROR(IF(REGEXMATCH(VLOOKUP(A601,Internal_lists_bugs!$A$2:$R$73,18,FALSE()), ""Yes""), VLOOKUP(A601,Internal_lists_bugs!$A$2:$U$73,21,FALSE()), VLOOKUP(A601,Internal_lists_bugs!$A$2:$R$73,18,FALSE())),""please select a BUG ID"")"),"please select a BUG ID")</f>
        <v>please select a BUG ID</v>
      </c>
      <c r="D601" s="43"/>
      <c r="F601" s="62"/>
      <c r="G601" s="63"/>
      <c r="H601" s="43"/>
      <c r="J601" s="62"/>
      <c r="K601" s="63"/>
    </row>
    <row r="602">
      <c r="A602" s="78"/>
      <c r="B602" s="59" t="str">
        <f>IFERROR(HYPERLINK(VLOOKUP(A602,Internal_lists_bugs!$A$2:$C$73,3,FALSE()), VLOOKUP(A602,Internal_lists_bugs!$A$2:$C$73,3,FALSE())&amp;Char(10) &amp; Char(10) &amp; VLOOKUP(A602,Internal_lists_bugs!$A$2:$Z$73,26,FALSE())),"please select a BUG ID")</f>
        <v>please select a BUG ID</v>
      </c>
      <c r="C602" s="51" t="str">
        <f>IFERROR(__xludf.DUMMYFUNCTION("IFERROR(IF(REGEXMATCH(VLOOKUP(A602,Internal_lists_bugs!$A$2:$R$73,18,FALSE()), ""Yes""), VLOOKUP(A602,Internal_lists_bugs!$A$2:$U$73,21,FALSE()), VLOOKUP(A602,Internal_lists_bugs!$A$2:$R$73,18,FALSE())),""please select a BUG ID"")"),"please select a BUG ID")</f>
        <v>please select a BUG ID</v>
      </c>
      <c r="D602" s="43"/>
      <c r="F602" s="62"/>
      <c r="G602" s="63"/>
      <c r="H602" s="43"/>
      <c r="J602" s="62"/>
      <c r="K602" s="63"/>
    </row>
    <row r="603">
      <c r="A603" s="78"/>
      <c r="B603" s="59" t="str">
        <f>IFERROR(HYPERLINK(VLOOKUP(A603,Internal_lists_bugs!$A$2:$C$73,3,FALSE()), VLOOKUP(A603,Internal_lists_bugs!$A$2:$C$73,3,FALSE())&amp;Char(10) &amp; Char(10) &amp; VLOOKUP(A603,Internal_lists_bugs!$A$2:$Z$73,26,FALSE())),"please select a BUG ID")</f>
        <v>please select a BUG ID</v>
      </c>
      <c r="C603" s="51" t="str">
        <f>IFERROR(__xludf.DUMMYFUNCTION("IFERROR(IF(REGEXMATCH(VLOOKUP(A603,Internal_lists_bugs!$A$2:$R$73,18,FALSE()), ""Yes""), VLOOKUP(A603,Internal_lists_bugs!$A$2:$U$73,21,FALSE()), VLOOKUP(A603,Internal_lists_bugs!$A$2:$R$73,18,FALSE())),""please select a BUG ID"")"),"please select a BUG ID")</f>
        <v>please select a BUG ID</v>
      </c>
      <c r="D603" s="43"/>
      <c r="F603" s="62"/>
      <c r="G603" s="63"/>
      <c r="H603" s="43"/>
      <c r="J603" s="62"/>
      <c r="K603" s="63"/>
    </row>
    <row r="604">
      <c r="A604" s="78"/>
      <c r="B604" s="59" t="str">
        <f>IFERROR(HYPERLINK(VLOOKUP(A604,Internal_lists_bugs!$A$2:$C$73,3,FALSE()), VLOOKUP(A604,Internal_lists_bugs!$A$2:$C$73,3,FALSE())&amp;Char(10) &amp; Char(10) &amp; VLOOKUP(A604,Internal_lists_bugs!$A$2:$Z$73,26,FALSE())),"please select a BUG ID")</f>
        <v>please select a BUG ID</v>
      </c>
      <c r="C604" s="51" t="str">
        <f>IFERROR(__xludf.DUMMYFUNCTION("IFERROR(IF(REGEXMATCH(VLOOKUP(A604,Internal_lists_bugs!$A$2:$R$73,18,FALSE()), ""Yes""), VLOOKUP(A604,Internal_lists_bugs!$A$2:$U$73,21,FALSE()), VLOOKUP(A604,Internal_lists_bugs!$A$2:$R$73,18,FALSE())),""please select a BUG ID"")"),"please select a BUG ID")</f>
        <v>please select a BUG ID</v>
      </c>
      <c r="D604" s="43"/>
      <c r="F604" s="62"/>
      <c r="G604" s="63"/>
      <c r="H604" s="43"/>
      <c r="J604" s="62"/>
      <c r="K604" s="63"/>
    </row>
    <row r="605">
      <c r="A605" s="78"/>
      <c r="B605" s="59" t="str">
        <f>IFERROR(HYPERLINK(VLOOKUP(A605,Internal_lists_bugs!$A$2:$C$73,3,FALSE()), VLOOKUP(A605,Internal_lists_bugs!$A$2:$C$73,3,FALSE())&amp;Char(10) &amp; Char(10) &amp; VLOOKUP(A605,Internal_lists_bugs!$A$2:$Z$73,26,FALSE())),"please select a BUG ID")</f>
        <v>please select a BUG ID</v>
      </c>
      <c r="C605" s="51" t="str">
        <f>IFERROR(__xludf.DUMMYFUNCTION("IFERROR(IF(REGEXMATCH(VLOOKUP(A605,Internal_lists_bugs!$A$2:$R$73,18,FALSE()), ""Yes""), VLOOKUP(A605,Internal_lists_bugs!$A$2:$U$73,21,FALSE()), VLOOKUP(A605,Internal_lists_bugs!$A$2:$R$73,18,FALSE())),""please select a BUG ID"")"),"please select a BUG ID")</f>
        <v>please select a BUG ID</v>
      </c>
      <c r="D605" s="43"/>
      <c r="F605" s="62"/>
      <c r="G605" s="63"/>
      <c r="H605" s="43"/>
      <c r="J605" s="62"/>
      <c r="K605" s="63"/>
    </row>
    <row r="606">
      <c r="A606" s="78"/>
      <c r="B606" s="59" t="str">
        <f>IFERROR(HYPERLINK(VLOOKUP(A606,Internal_lists_bugs!$A$2:$C$73,3,FALSE()), VLOOKUP(A606,Internal_lists_bugs!$A$2:$C$73,3,FALSE())&amp;Char(10) &amp; Char(10) &amp; VLOOKUP(A606,Internal_lists_bugs!$A$2:$Z$73,26,FALSE())),"please select a BUG ID")</f>
        <v>please select a BUG ID</v>
      </c>
      <c r="C606" s="51" t="str">
        <f>IFERROR(__xludf.DUMMYFUNCTION("IFERROR(IF(REGEXMATCH(VLOOKUP(A606,Internal_lists_bugs!$A$2:$R$73,18,FALSE()), ""Yes""), VLOOKUP(A606,Internal_lists_bugs!$A$2:$U$73,21,FALSE()), VLOOKUP(A606,Internal_lists_bugs!$A$2:$R$73,18,FALSE())),""please select a BUG ID"")"),"please select a BUG ID")</f>
        <v>please select a BUG ID</v>
      </c>
      <c r="D606" s="43"/>
      <c r="F606" s="62"/>
      <c r="G606" s="63"/>
      <c r="H606" s="43"/>
      <c r="J606" s="62"/>
      <c r="K606" s="63"/>
    </row>
    <row r="607">
      <c r="A607" s="78"/>
      <c r="B607" s="59" t="str">
        <f>IFERROR(HYPERLINK(VLOOKUP(A607,Internal_lists_bugs!$A$2:$C$73,3,FALSE()), VLOOKUP(A607,Internal_lists_bugs!$A$2:$C$73,3,FALSE())&amp;Char(10) &amp; Char(10) &amp; VLOOKUP(A607,Internal_lists_bugs!$A$2:$Z$73,26,FALSE())),"please select a BUG ID")</f>
        <v>please select a BUG ID</v>
      </c>
      <c r="C607" s="51" t="str">
        <f>IFERROR(__xludf.DUMMYFUNCTION("IFERROR(IF(REGEXMATCH(VLOOKUP(A607,Internal_lists_bugs!$A$2:$R$73,18,FALSE()), ""Yes""), VLOOKUP(A607,Internal_lists_bugs!$A$2:$U$73,21,FALSE()), VLOOKUP(A607,Internal_lists_bugs!$A$2:$R$73,18,FALSE())),""please select a BUG ID"")"),"please select a BUG ID")</f>
        <v>please select a BUG ID</v>
      </c>
      <c r="D607" s="43"/>
      <c r="F607" s="62"/>
      <c r="G607" s="63"/>
      <c r="H607" s="43"/>
      <c r="J607" s="62"/>
      <c r="K607" s="63"/>
    </row>
    <row r="608">
      <c r="A608" s="78"/>
      <c r="B608" s="59" t="str">
        <f>IFERROR(HYPERLINK(VLOOKUP(A608,Internal_lists_bugs!$A$2:$C$73,3,FALSE()), VLOOKUP(A608,Internal_lists_bugs!$A$2:$C$73,3,FALSE())&amp;Char(10) &amp; Char(10) &amp; VLOOKUP(A608,Internal_lists_bugs!$A$2:$Z$73,26,FALSE())),"please select a BUG ID")</f>
        <v>please select a BUG ID</v>
      </c>
      <c r="C608" s="51" t="str">
        <f>IFERROR(__xludf.DUMMYFUNCTION("IFERROR(IF(REGEXMATCH(VLOOKUP(A608,Internal_lists_bugs!$A$2:$R$73,18,FALSE()), ""Yes""), VLOOKUP(A608,Internal_lists_bugs!$A$2:$U$73,21,FALSE()), VLOOKUP(A608,Internal_lists_bugs!$A$2:$R$73,18,FALSE())),""please select a BUG ID"")"),"please select a BUG ID")</f>
        <v>please select a BUG ID</v>
      </c>
      <c r="D608" s="43"/>
      <c r="F608" s="62"/>
      <c r="G608" s="63"/>
      <c r="H608" s="43"/>
      <c r="J608" s="62"/>
      <c r="K608" s="63"/>
    </row>
    <row r="609">
      <c r="A609" s="78"/>
      <c r="B609" s="59" t="str">
        <f>IFERROR(HYPERLINK(VLOOKUP(A609,Internal_lists_bugs!$A$2:$C$73,3,FALSE()), VLOOKUP(A609,Internal_lists_bugs!$A$2:$C$73,3,FALSE())&amp;Char(10) &amp; Char(10) &amp; VLOOKUP(A609,Internal_lists_bugs!$A$2:$Z$73,26,FALSE())),"please select a BUG ID")</f>
        <v>please select a BUG ID</v>
      </c>
      <c r="C609" s="51" t="str">
        <f>IFERROR(__xludf.DUMMYFUNCTION("IFERROR(IF(REGEXMATCH(VLOOKUP(A609,Internal_lists_bugs!$A$2:$R$73,18,FALSE()), ""Yes""), VLOOKUP(A609,Internal_lists_bugs!$A$2:$U$73,21,FALSE()), VLOOKUP(A609,Internal_lists_bugs!$A$2:$R$73,18,FALSE())),""please select a BUG ID"")"),"please select a BUG ID")</f>
        <v>please select a BUG ID</v>
      </c>
      <c r="D609" s="43"/>
      <c r="F609" s="62"/>
      <c r="G609" s="63"/>
      <c r="H609" s="43"/>
      <c r="J609" s="62"/>
      <c r="K609" s="63"/>
    </row>
    <row r="610">
      <c r="A610" s="78"/>
      <c r="B610" s="59" t="str">
        <f>IFERROR(HYPERLINK(VLOOKUP(A610,Internal_lists_bugs!$A$2:$C$73,3,FALSE()), VLOOKUP(A610,Internal_lists_bugs!$A$2:$C$73,3,FALSE())&amp;Char(10) &amp; Char(10) &amp; VLOOKUP(A610,Internal_lists_bugs!$A$2:$Z$73,26,FALSE())),"please select a BUG ID")</f>
        <v>please select a BUG ID</v>
      </c>
      <c r="C610" s="51" t="str">
        <f>IFERROR(__xludf.DUMMYFUNCTION("IFERROR(IF(REGEXMATCH(VLOOKUP(A610,Internal_lists_bugs!$A$2:$R$73,18,FALSE()), ""Yes""), VLOOKUP(A610,Internal_lists_bugs!$A$2:$U$73,21,FALSE()), VLOOKUP(A610,Internal_lists_bugs!$A$2:$R$73,18,FALSE())),""please select a BUG ID"")"),"please select a BUG ID")</f>
        <v>please select a BUG ID</v>
      </c>
      <c r="D610" s="43"/>
      <c r="F610" s="62"/>
      <c r="G610" s="63"/>
      <c r="H610" s="43"/>
      <c r="J610" s="62"/>
      <c r="K610" s="63"/>
    </row>
    <row r="611">
      <c r="A611" s="78"/>
      <c r="B611" s="59" t="str">
        <f>IFERROR(HYPERLINK(VLOOKUP(A611,Internal_lists_bugs!$A$2:$C$73,3,FALSE()), VLOOKUP(A611,Internal_lists_bugs!$A$2:$C$73,3,FALSE())&amp;Char(10) &amp; Char(10) &amp; VLOOKUP(A611,Internal_lists_bugs!$A$2:$Z$73,26,FALSE())),"please select a BUG ID")</f>
        <v>please select a BUG ID</v>
      </c>
      <c r="C611" s="51" t="str">
        <f>IFERROR(__xludf.DUMMYFUNCTION("IFERROR(IF(REGEXMATCH(VLOOKUP(A611,Internal_lists_bugs!$A$2:$R$73,18,FALSE()), ""Yes""), VLOOKUP(A611,Internal_lists_bugs!$A$2:$U$73,21,FALSE()), VLOOKUP(A611,Internal_lists_bugs!$A$2:$R$73,18,FALSE())),""please select a BUG ID"")"),"please select a BUG ID")</f>
        <v>please select a BUG ID</v>
      </c>
      <c r="D611" s="43"/>
      <c r="F611" s="62"/>
      <c r="G611" s="63"/>
      <c r="H611" s="43"/>
      <c r="J611" s="62"/>
      <c r="K611" s="63"/>
    </row>
    <row r="612">
      <c r="A612" s="78"/>
      <c r="B612" s="59" t="str">
        <f>IFERROR(HYPERLINK(VLOOKUP(A612,Internal_lists_bugs!$A$2:$C$73,3,FALSE()), VLOOKUP(A612,Internal_lists_bugs!$A$2:$C$73,3,FALSE())&amp;Char(10) &amp; Char(10) &amp; VLOOKUP(A612,Internal_lists_bugs!$A$2:$Z$73,26,FALSE())),"please select a BUG ID")</f>
        <v>please select a BUG ID</v>
      </c>
      <c r="C612" s="51" t="str">
        <f>IFERROR(__xludf.DUMMYFUNCTION("IFERROR(IF(REGEXMATCH(VLOOKUP(A612,Internal_lists_bugs!$A$2:$R$73,18,FALSE()), ""Yes""), VLOOKUP(A612,Internal_lists_bugs!$A$2:$U$73,21,FALSE()), VLOOKUP(A612,Internal_lists_bugs!$A$2:$R$73,18,FALSE())),""please select a BUG ID"")"),"please select a BUG ID")</f>
        <v>please select a BUG ID</v>
      </c>
      <c r="D612" s="43"/>
      <c r="F612" s="62"/>
      <c r="G612" s="63"/>
      <c r="H612" s="43"/>
      <c r="J612" s="62"/>
      <c r="K612" s="63"/>
    </row>
    <row r="613">
      <c r="A613" s="78"/>
      <c r="B613" s="59" t="str">
        <f>IFERROR(HYPERLINK(VLOOKUP(A613,Internal_lists_bugs!$A$2:$C$73,3,FALSE()), VLOOKUP(A613,Internal_lists_bugs!$A$2:$C$73,3,FALSE())&amp;Char(10) &amp; Char(10) &amp; VLOOKUP(A613,Internal_lists_bugs!$A$2:$Z$73,26,FALSE())),"please select a BUG ID")</f>
        <v>please select a BUG ID</v>
      </c>
      <c r="C613" s="51" t="str">
        <f>IFERROR(__xludf.DUMMYFUNCTION("IFERROR(IF(REGEXMATCH(VLOOKUP(A613,Internal_lists_bugs!$A$2:$R$73,18,FALSE()), ""Yes""), VLOOKUP(A613,Internal_lists_bugs!$A$2:$U$73,21,FALSE()), VLOOKUP(A613,Internal_lists_bugs!$A$2:$R$73,18,FALSE())),""please select a BUG ID"")"),"please select a BUG ID")</f>
        <v>please select a BUG ID</v>
      </c>
      <c r="D613" s="43"/>
      <c r="F613" s="62"/>
      <c r="G613" s="63"/>
      <c r="H613" s="43"/>
      <c r="J613" s="62"/>
      <c r="K613" s="63"/>
    </row>
    <row r="614">
      <c r="A614" s="78"/>
      <c r="B614" s="59" t="str">
        <f>IFERROR(HYPERLINK(VLOOKUP(A614,Internal_lists_bugs!$A$2:$C$73,3,FALSE()), VLOOKUP(A614,Internal_lists_bugs!$A$2:$C$73,3,FALSE())&amp;Char(10) &amp; Char(10) &amp; VLOOKUP(A614,Internal_lists_bugs!$A$2:$Z$73,26,FALSE())),"please select a BUG ID")</f>
        <v>please select a BUG ID</v>
      </c>
      <c r="C614" s="51" t="str">
        <f>IFERROR(__xludf.DUMMYFUNCTION("IFERROR(IF(REGEXMATCH(VLOOKUP(A614,Internal_lists_bugs!$A$2:$R$73,18,FALSE()), ""Yes""), VLOOKUP(A614,Internal_lists_bugs!$A$2:$U$73,21,FALSE()), VLOOKUP(A614,Internal_lists_bugs!$A$2:$R$73,18,FALSE())),""please select a BUG ID"")"),"please select a BUG ID")</f>
        <v>please select a BUG ID</v>
      </c>
      <c r="D614" s="43"/>
      <c r="F614" s="62"/>
      <c r="G614" s="63"/>
      <c r="H614" s="43"/>
      <c r="J614" s="62"/>
      <c r="K614" s="63"/>
    </row>
    <row r="615">
      <c r="A615" s="78"/>
      <c r="B615" s="59" t="str">
        <f>IFERROR(HYPERLINK(VLOOKUP(A615,Internal_lists_bugs!$A$2:$C$73,3,FALSE()), VLOOKUP(A615,Internal_lists_bugs!$A$2:$C$73,3,FALSE())&amp;Char(10) &amp; Char(10) &amp; VLOOKUP(A615,Internal_lists_bugs!$A$2:$Z$73,26,FALSE())),"please select a BUG ID")</f>
        <v>please select a BUG ID</v>
      </c>
      <c r="C615" s="51" t="str">
        <f>IFERROR(__xludf.DUMMYFUNCTION("IFERROR(IF(REGEXMATCH(VLOOKUP(A615,Internal_lists_bugs!$A$2:$R$73,18,FALSE()), ""Yes""), VLOOKUP(A615,Internal_lists_bugs!$A$2:$U$73,21,FALSE()), VLOOKUP(A615,Internal_lists_bugs!$A$2:$R$73,18,FALSE())),""please select a BUG ID"")"),"please select a BUG ID")</f>
        <v>please select a BUG ID</v>
      </c>
      <c r="D615" s="43"/>
      <c r="F615" s="62"/>
      <c r="G615" s="63"/>
      <c r="H615" s="43"/>
      <c r="J615" s="62"/>
      <c r="K615" s="63"/>
    </row>
    <row r="616">
      <c r="A616" s="78"/>
      <c r="B616" s="59" t="str">
        <f>IFERROR(HYPERLINK(VLOOKUP(A616,Internal_lists_bugs!$A$2:$C$73,3,FALSE()), VLOOKUP(A616,Internal_lists_bugs!$A$2:$C$73,3,FALSE())&amp;Char(10) &amp; Char(10) &amp; VLOOKUP(A616,Internal_lists_bugs!$A$2:$Z$73,26,FALSE())),"please select a BUG ID")</f>
        <v>please select a BUG ID</v>
      </c>
      <c r="C616" s="51" t="str">
        <f>IFERROR(__xludf.DUMMYFUNCTION("IFERROR(IF(REGEXMATCH(VLOOKUP(A616,Internal_lists_bugs!$A$2:$R$73,18,FALSE()), ""Yes""), VLOOKUP(A616,Internal_lists_bugs!$A$2:$U$73,21,FALSE()), VLOOKUP(A616,Internal_lists_bugs!$A$2:$R$73,18,FALSE())),""please select a BUG ID"")"),"please select a BUG ID")</f>
        <v>please select a BUG ID</v>
      </c>
      <c r="D616" s="43"/>
      <c r="F616" s="62"/>
      <c r="G616" s="63"/>
      <c r="H616" s="43"/>
      <c r="J616" s="62"/>
      <c r="K616" s="63"/>
    </row>
    <row r="617">
      <c r="A617" s="78"/>
      <c r="B617" s="59" t="str">
        <f>IFERROR(HYPERLINK(VLOOKUP(A617,Internal_lists_bugs!$A$2:$C$73,3,FALSE()), VLOOKUP(A617,Internal_lists_bugs!$A$2:$C$73,3,FALSE())&amp;Char(10) &amp; Char(10) &amp; VLOOKUP(A617,Internal_lists_bugs!$A$2:$Z$73,26,FALSE())),"please select a BUG ID")</f>
        <v>please select a BUG ID</v>
      </c>
      <c r="C617" s="51" t="str">
        <f>IFERROR(__xludf.DUMMYFUNCTION("IFERROR(IF(REGEXMATCH(VLOOKUP(A617,Internal_lists_bugs!$A$2:$R$73,18,FALSE()), ""Yes""), VLOOKUP(A617,Internal_lists_bugs!$A$2:$U$73,21,FALSE()), VLOOKUP(A617,Internal_lists_bugs!$A$2:$R$73,18,FALSE())),""please select a BUG ID"")"),"please select a BUG ID")</f>
        <v>please select a BUG ID</v>
      </c>
      <c r="D617" s="43"/>
      <c r="F617" s="62"/>
      <c r="G617" s="63"/>
      <c r="H617" s="43"/>
      <c r="J617" s="62"/>
      <c r="K617" s="63"/>
    </row>
    <row r="618">
      <c r="A618" s="78"/>
      <c r="B618" s="59" t="str">
        <f>IFERROR(HYPERLINK(VLOOKUP(A618,Internal_lists_bugs!$A$2:$C$73,3,FALSE()), VLOOKUP(A618,Internal_lists_bugs!$A$2:$C$73,3,FALSE())&amp;Char(10) &amp; Char(10) &amp; VLOOKUP(A618,Internal_lists_bugs!$A$2:$Z$73,26,FALSE())),"please select a BUG ID")</f>
        <v>please select a BUG ID</v>
      </c>
      <c r="C618" s="51" t="str">
        <f>IFERROR(__xludf.DUMMYFUNCTION("IFERROR(IF(REGEXMATCH(VLOOKUP(A618,Internal_lists_bugs!$A$2:$R$73,18,FALSE()), ""Yes""), VLOOKUP(A618,Internal_lists_bugs!$A$2:$U$73,21,FALSE()), VLOOKUP(A618,Internal_lists_bugs!$A$2:$R$73,18,FALSE())),""please select a BUG ID"")"),"please select a BUG ID")</f>
        <v>please select a BUG ID</v>
      </c>
      <c r="D618" s="43"/>
      <c r="F618" s="62"/>
      <c r="G618" s="63"/>
      <c r="H618" s="43"/>
      <c r="J618" s="62"/>
      <c r="K618" s="63"/>
    </row>
    <row r="619">
      <c r="A619" s="78"/>
      <c r="B619" s="59" t="str">
        <f>IFERROR(HYPERLINK(VLOOKUP(A619,Internal_lists_bugs!$A$2:$C$73,3,FALSE()), VLOOKUP(A619,Internal_lists_bugs!$A$2:$C$73,3,FALSE())&amp;Char(10) &amp; Char(10) &amp; VLOOKUP(A619,Internal_lists_bugs!$A$2:$Z$73,26,FALSE())),"please select a BUG ID")</f>
        <v>please select a BUG ID</v>
      </c>
      <c r="C619" s="51" t="str">
        <f>IFERROR(__xludf.DUMMYFUNCTION("IFERROR(IF(REGEXMATCH(VLOOKUP(A619,Internal_lists_bugs!$A$2:$R$73,18,FALSE()), ""Yes""), VLOOKUP(A619,Internal_lists_bugs!$A$2:$U$73,21,FALSE()), VLOOKUP(A619,Internal_lists_bugs!$A$2:$R$73,18,FALSE())),""please select a BUG ID"")"),"please select a BUG ID")</f>
        <v>please select a BUG ID</v>
      </c>
      <c r="D619" s="43"/>
      <c r="F619" s="62"/>
      <c r="G619" s="63"/>
      <c r="H619" s="43"/>
      <c r="J619" s="62"/>
      <c r="K619" s="63"/>
    </row>
    <row r="620">
      <c r="A620" s="78"/>
      <c r="B620" s="59" t="str">
        <f>IFERROR(HYPERLINK(VLOOKUP(A620,Internal_lists_bugs!$A$2:$C$73,3,FALSE()), VLOOKUP(A620,Internal_lists_bugs!$A$2:$C$73,3,FALSE())&amp;Char(10) &amp; Char(10) &amp; VLOOKUP(A620,Internal_lists_bugs!$A$2:$Z$73,26,FALSE())),"please select a BUG ID")</f>
        <v>please select a BUG ID</v>
      </c>
      <c r="C620" s="51" t="str">
        <f>IFERROR(__xludf.DUMMYFUNCTION("IFERROR(IF(REGEXMATCH(VLOOKUP(A620,Internal_lists_bugs!$A$2:$R$73,18,FALSE()), ""Yes""), VLOOKUP(A620,Internal_lists_bugs!$A$2:$U$73,21,FALSE()), VLOOKUP(A620,Internal_lists_bugs!$A$2:$R$73,18,FALSE())),""please select a BUG ID"")"),"please select a BUG ID")</f>
        <v>please select a BUG ID</v>
      </c>
      <c r="D620" s="43"/>
      <c r="F620" s="62"/>
      <c r="G620" s="63"/>
      <c r="H620" s="43"/>
      <c r="J620" s="62"/>
      <c r="K620" s="63"/>
    </row>
    <row r="621">
      <c r="A621" s="78"/>
      <c r="B621" s="59" t="str">
        <f>IFERROR(HYPERLINK(VLOOKUP(A621,Internal_lists_bugs!$A$2:$C$73,3,FALSE()), VLOOKUP(A621,Internal_lists_bugs!$A$2:$C$73,3,FALSE())&amp;Char(10) &amp; Char(10) &amp; VLOOKUP(A621,Internal_lists_bugs!$A$2:$Z$73,26,FALSE())),"please select a BUG ID")</f>
        <v>please select a BUG ID</v>
      </c>
      <c r="C621" s="51" t="str">
        <f>IFERROR(__xludf.DUMMYFUNCTION("IFERROR(IF(REGEXMATCH(VLOOKUP(A621,Internal_lists_bugs!$A$2:$R$73,18,FALSE()), ""Yes""), VLOOKUP(A621,Internal_lists_bugs!$A$2:$U$73,21,FALSE()), VLOOKUP(A621,Internal_lists_bugs!$A$2:$R$73,18,FALSE())),""please select a BUG ID"")"),"please select a BUG ID")</f>
        <v>please select a BUG ID</v>
      </c>
      <c r="D621" s="43"/>
      <c r="F621" s="62"/>
      <c r="G621" s="63"/>
      <c r="H621" s="43"/>
      <c r="J621" s="62"/>
      <c r="K621" s="63"/>
    </row>
    <row r="622">
      <c r="A622" s="78"/>
      <c r="B622" s="59" t="str">
        <f>IFERROR(HYPERLINK(VLOOKUP(A622,Internal_lists_bugs!$A$2:$C$73,3,FALSE()), VLOOKUP(A622,Internal_lists_bugs!$A$2:$C$73,3,FALSE())&amp;Char(10) &amp; Char(10) &amp; VLOOKUP(A622,Internal_lists_bugs!$A$2:$Z$73,26,FALSE())),"please select a BUG ID")</f>
        <v>please select a BUG ID</v>
      </c>
      <c r="C622" s="51" t="str">
        <f>IFERROR(__xludf.DUMMYFUNCTION("IFERROR(IF(REGEXMATCH(VLOOKUP(A622,Internal_lists_bugs!$A$2:$R$73,18,FALSE()), ""Yes""), VLOOKUP(A622,Internal_lists_bugs!$A$2:$U$73,21,FALSE()), VLOOKUP(A622,Internal_lists_bugs!$A$2:$R$73,18,FALSE())),""please select a BUG ID"")"),"please select a BUG ID")</f>
        <v>please select a BUG ID</v>
      </c>
      <c r="D622" s="43"/>
      <c r="F622" s="62"/>
      <c r="G622" s="63"/>
      <c r="H622" s="43"/>
      <c r="J622" s="62"/>
      <c r="K622" s="63"/>
    </row>
    <row r="623">
      <c r="A623" s="78"/>
      <c r="B623" s="59" t="str">
        <f>IFERROR(HYPERLINK(VLOOKUP(A623,Internal_lists_bugs!$A$2:$C$73,3,FALSE()), VLOOKUP(A623,Internal_lists_bugs!$A$2:$C$73,3,FALSE())&amp;Char(10) &amp; Char(10) &amp; VLOOKUP(A623,Internal_lists_bugs!$A$2:$Z$73,26,FALSE())),"please select a BUG ID")</f>
        <v>please select a BUG ID</v>
      </c>
      <c r="C623" s="51" t="str">
        <f>IFERROR(__xludf.DUMMYFUNCTION("IFERROR(IF(REGEXMATCH(VLOOKUP(A623,Internal_lists_bugs!$A$2:$R$73,18,FALSE()), ""Yes""), VLOOKUP(A623,Internal_lists_bugs!$A$2:$U$73,21,FALSE()), VLOOKUP(A623,Internal_lists_bugs!$A$2:$R$73,18,FALSE())),""please select a BUG ID"")"),"please select a BUG ID")</f>
        <v>please select a BUG ID</v>
      </c>
      <c r="D623" s="43"/>
      <c r="F623" s="62"/>
      <c r="G623" s="63"/>
      <c r="H623" s="43"/>
      <c r="J623" s="62"/>
      <c r="K623" s="63"/>
    </row>
    <row r="624">
      <c r="A624" s="78"/>
      <c r="B624" s="59" t="str">
        <f>IFERROR(HYPERLINK(VLOOKUP(A624,Internal_lists_bugs!$A$2:$C$73,3,FALSE()), VLOOKUP(A624,Internal_lists_bugs!$A$2:$C$73,3,FALSE())&amp;Char(10) &amp; Char(10) &amp; VLOOKUP(A624,Internal_lists_bugs!$A$2:$Z$73,26,FALSE())),"please select a BUG ID")</f>
        <v>please select a BUG ID</v>
      </c>
      <c r="C624" s="51" t="str">
        <f>IFERROR(__xludf.DUMMYFUNCTION("IFERROR(IF(REGEXMATCH(VLOOKUP(A624,Internal_lists_bugs!$A$2:$R$73,18,FALSE()), ""Yes""), VLOOKUP(A624,Internal_lists_bugs!$A$2:$U$73,21,FALSE()), VLOOKUP(A624,Internal_lists_bugs!$A$2:$R$73,18,FALSE())),""please select a BUG ID"")"),"please select a BUG ID")</f>
        <v>please select a BUG ID</v>
      </c>
      <c r="D624" s="43"/>
      <c r="F624" s="62"/>
      <c r="G624" s="63"/>
      <c r="H624" s="43"/>
      <c r="J624" s="62"/>
      <c r="K624" s="63"/>
    </row>
    <row r="625">
      <c r="A625" s="78"/>
      <c r="B625" s="59" t="str">
        <f>IFERROR(HYPERLINK(VLOOKUP(A625,Internal_lists_bugs!$A$2:$C$73,3,FALSE()), VLOOKUP(A625,Internal_lists_bugs!$A$2:$C$73,3,FALSE())&amp;Char(10) &amp; Char(10) &amp; VLOOKUP(A625,Internal_lists_bugs!$A$2:$Z$73,26,FALSE())),"please select a BUG ID")</f>
        <v>please select a BUG ID</v>
      </c>
      <c r="C625" s="51" t="str">
        <f>IFERROR(__xludf.DUMMYFUNCTION("IFERROR(IF(REGEXMATCH(VLOOKUP(A625,Internal_lists_bugs!$A$2:$R$73,18,FALSE()), ""Yes""), VLOOKUP(A625,Internal_lists_bugs!$A$2:$U$73,21,FALSE()), VLOOKUP(A625,Internal_lists_bugs!$A$2:$R$73,18,FALSE())),""please select a BUG ID"")"),"please select a BUG ID")</f>
        <v>please select a BUG ID</v>
      </c>
      <c r="D625" s="43"/>
      <c r="F625" s="62"/>
      <c r="G625" s="63"/>
      <c r="H625" s="43"/>
      <c r="J625" s="62"/>
      <c r="K625" s="63"/>
    </row>
    <row r="626">
      <c r="A626" s="78"/>
      <c r="B626" s="59" t="str">
        <f>IFERROR(HYPERLINK(VLOOKUP(A626,Internal_lists_bugs!$A$2:$C$73,3,FALSE()), VLOOKUP(A626,Internal_lists_bugs!$A$2:$C$73,3,FALSE())&amp;Char(10) &amp; Char(10) &amp; VLOOKUP(A626,Internal_lists_bugs!$A$2:$Z$73,26,FALSE())),"please select a BUG ID")</f>
        <v>please select a BUG ID</v>
      </c>
      <c r="C626" s="51" t="str">
        <f>IFERROR(__xludf.DUMMYFUNCTION("IFERROR(IF(REGEXMATCH(VLOOKUP(A626,Internal_lists_bugs!$A$2:$R$73,18,FALSE()), ""Yes""), VLOOKUP(A626,Internal_lists_bugs!$A$2:$U$73,21,FALSE()), VLOOKUP(A626,Internal_lists_bugs!$A$2:$R$73,18,FALSE())),""please select a BUG ID"")"),"please select a BUG ID")</f>
        <v>please select a BUG ID</v>
      </c>
      <c r="D626" s="43"/>
      <c r="F626" s="62"/>
      <c r="G626" s="63"/>
      <c r="H626" s="43"/>
      <c r="J626" s="62"/>
      <c r="K626" s="63"/>
    </row>
    <row r="627">
      <c r="A627" s="78"/>
      <c r="B627" s="59" t="str">
        <f>IFERROR(HYPERLINK(VLOOKUP(A627,Internal_lists_bugs!$A$2:$C$73,3,FALSE()), VLOOKUP(A627,Internal_lists_bugs!$A$2:$C$73,3,FALSE())&amp;Char(10) &amp; Char(10) &amp; VLOOKUP(A627,Internal_lists_bugs!$A$2:$Z$73,26,FALSE())),"please select a BUG ID")</f>
        <v>please select a BUG ID</v>
      </c>
      <c r="C627" s="51" t="str">
        <f>IFERROR(__xludf.DUMMYFUNCTION("IFERROR(IF(REGEXMATCH(VLOOKUP(A627,Internal_lists_bugs!$A$2:$R$73,18,FALSE()), ""Yes""), VLOOKUP(A627,Internal_lists_bugs!$A$2:$U$73,21,FALSE()), VLOOKUP(A627,Internal_lists_bugs!$A$2:$R$73,18,FALSE())),""please select a BUG ID"")"),"please select a BUG ID")</f>
        <v>please select a BUG ID</v>
      </c>
      <c r="D627" s="43"/>
      <c r="F627" s="62"/>
      <c r="G627" s="63"/>
      <c r="H627" s="43"/>
      <c r="J627" s="62"/>
      <c r="K627" s="63"/>
    </row>
    <row r="628">
      <c r="A628" s="78"/>
      <c r="B628" s="59" t="str">
        <f>IFERROR(HYPERLINK(VLOOKUP(A628,Internal_lists_bugs!$A$2:$C$73,3,FALSE()), VLOOKUP(A628,Internal_lists_bugs!$A$2:$C$73,3,FALSE())&amp;Char(10) &amp; Char(10) &amp; VLOOKUP(A628,Internal_lists_bugs!$A$2:$Z$73,26,FALSE())),"please select a BUG ID")</f>
        <v>please select a BUG ID</v>
      </c>
      <c r="C628" s="51" t="str">
        <f>IFERROR(__xludf.DUMMYFUNCTION("IFERROR(IF(REGEXMATCH(VLOOKUP(A628,Internal_lists_bugs!$A$2:$R$73,18,FALSE()), ""Yes""), VLOOKUP(A628,Internal_lists_bugs!$A$2:$U$73,21,FALSE()), VLOOKUP(A628,Internal_lists_bugs!$A$2:$R$73,18,FALSE())),""please select a BUG ID"")"),"please select a BUG ID")</f>
        <v>please select a BUG ID</v>
      </c>
      <c r="D628" s="43"/>
      <c r="F628" s="62"/>
      <c r="G628" s="63"/>
      <c r="H628" s="43"/>
      <c r="J628" s="62"/>
      <c r="K628" s="63"/>
    </row>
    <row r="629">
      <c r="A629" s="78"/>
      <c r="B629" s="59" t="str">
        <f>IFERROR(HYPERLINK(VLOOKUP(A629,Internal_lists_bugs!$A$2:$C$73,3,FALSE()), VLOOKUP(A629,Internal_lists_bugs!$A$2:$C$73,3,FALSE())&amp;Char(10) &amp; Char(10) &amp; VLOOKUP(A629,Internal_lists_bugs!$A$2:$Z$73,26,FALSE())),"please select a BUG ID")</f>
        <v>please select a BUG ID</v>
      </c>
      <c r="C629" s="51" t="str">
        <f>IFERROR(__xludf.DUMMYFUNCTION("IFERROR(IF(REGEXMATCH(VLOOKUP(A629,Internal_lists_bugs!$A$2:$R$73,18,FALSE()), ""Yes""), VLOOKUP(A629,Internal_lists_bugs!$A$2:$U$73,21,FALSE()), VLOOKUP(A629,Internal_lists_bugs!$A$2:$R$73,18,FALSE())),""please select a BUG ID"")"),"please select a BUG ID")</f>
        <v>please select a BUG ID</v>
      </c>
      <c r="D629" s="43"/>
      <c r="F629" s="62"/>
      <c r="G629" s="63"/>
      <c r="H629" s="43"/>
      <c r="J629" s="62"/>
      <c r="K629" s="63"/>
    </row>
    <row r="630">
      <c r="A630" s="78"/>
      <c r="B630" s="59" t="str">
        <f>IFERROR(HYPERLINK(VLOOKUP(A630,Internal_lists_bugs!$A$2:$C$73,3,FALSE()), VLOOKUP(A630,Internal_lists_bugs!$A$2:$C$73,3,FALSE())&amp;Char(10) &amp; Char(10) &amp; VLOOKUP(A630,Internal_lists_bugs!$A$2:$Z$73,26,FALSE())),"please select a BUG ID")</f>
        <v>please select a BUG ID</v>
      </c>
      <c r="C630" s="51" t="str">
        <f>IFERROR(__xludf.DUMMYFUNCTION("IFERROR(IF(REGEXMATCH(VLOOKUP(A630,Internal_lists_bugs!$A$2:$R$73,18,FALSE()), ""Yes""), VLOOKUP(A630,Internal_lists_bugs!$A$2:$U$73,21,FALSE()), VLOOKUP(A630,Internal_lists_bugs!$A$2:$R$73,18,FALSE())),""please select a BUG ID"")"),"please select a BUG ID")</f>
        <v>please select a BUG ID</v>
      </c>
      <c r="D630" s="43"/>
      <c r="F630" s="62"/>
      <c r="G630" s="63"/>
      <c r="H630" s="43"/>
      <c r="J630" s="62"/>
      <c r="K630" s="63"/>
    </row>
    <row r="631">
      <c r="A631" s="78"/>
      <c r="B631" s="59" t="str">
        <f>IFERROR(HYPERLINK(VLOOKUP(A631,Internal_lists_bugs!$A$2:$C$73,3,FALSE()), VLOOKUP(A631,Internal_lists_bugs!$A$2:$C$73,3,FALSE())&amp;Char(10) &amp; Char(10) &amp; VLOOKUP(A631,Internal_lists_bugs!$A$2:$Z$73,26,FALSE())),"please select a BUG ID")</f>
        <v>please select a BUG ID</v>
      </c>
      <c r="C631" s="51" t="str">
        <f>IFERROR(__xludf.DUMMYFUNCTION("IFERROR(IF(REGEXMATCH(VLOOKUP(A631,Internal_lists_bugs!$A$2:$R$73,18,FALSE()), ""Yes""), VLOOKUP(A631,Internal_lists_bugs!$A$2:$U$73,21,FALSE()), VLOOKUP(A631,Internal_lists_bugs!$A$2:$R$73,18,FALSE())),""please select a BUG ID"")"),"please select a BUG ID")</f>
        <v>please select a BUG ID</v>
      </c>
      <c r="D631" s="43"/>
      <c r="F631" s="62"/>
      <c r="G631" s="63"/>
      <c r="H631" s="43"/>
      <c r="J631" s="62"/>
      <c r="K631" s="63"/>
    </row>
    <row r="632">
      <c r="A632" s="78"/>
      <c r="B632" s="59" t="str">
        <f>IFERROR(HYPERLINK(VLOOKUP(A632,Internal_lists_bugs!$A$2:$C$73,3,FALSE()), VLOOKUP(A632,Internal_lists_bugs!$A$2:$C$73,3,FALSE())&amp;Char(10) &amp; Char(10) &amp; VLOOKUP(A632,Internal_lists_bugs!$A$2:$Z$73,26,FALSE())),"please select a BUG ID")</f>
        <v>please select a BUG ID</v>
      </c>
      <c r="C632" s="51" t="str">
        <f>IFERROR(__xludf.DUMMYFUNCTION("IFERROR(IF(REGEXMATCH(VLOOKUP(A632,Internal_lists_bugs!$A$2:$R$73,18,FALSE()), ""Yes""), VLOOKUP(A632,Internal_lists_bugs!$A$2:$U$73,21,FALSE()), VLOOKUP(A632,Internal_lists_bugs!$A$2:$R$73,18,FALSE())),""please select a BUG ID"")"),"please select a BUG ID")</f>
        <v>please select a BUG ID</v>
      </c>
      <c r="D632" s="43"/>
      <c r="F632" s="62"/>
      <c r="G632" s="63"/>
      <c r="H632" s="43"/>
      <c r="J632" s="62"/>
      <c r="K632" s="63"/>
    </row>
    <row r="633">
      <c r="A633" s="78"/>
      <c r="B633" s="59" t="str">
        <f>IFERROR(HYPERLINK(VLOOKUP(A633,Internal_lists_bugs!$A$2:$C$73,3,FALSE()), VLOOKUP(A633,Internal_lists_bugs!$A$2:$C$73,3,FALSE())&amp;Char(10) &amp; Char(10) &amp; VLOOKUP(A633,Internal_lists_bugs!$A$2:$Z$73,26,FALSE())),"please select a BUG ID")</f>
        <v>please select a BUG ID</v>
      </c>
      <c r="C633" s="51" t="str">
        <f>IFERROR(__xludf.DUMMYFUNCTION("IFERROR(IF(REGEXMATCH(VLOOKUP(A633,Internal_lists_bugs!$A$2:$R$73,18,FALSE()), ""Yes""), VLOOKUP(A633,Internal_lists_bugs!$A$2:$U$73,21,FALSE()), VLOOKUP(A633,Internal_lists_bugs!$A$2:$R$73,18,FALSE())),""please select a BUG ID"")"),"please select a BUG ID")</f>
        <v>please select a BUG ID</v>
      </c>
      <c r="D633" s="43"/>
      <c r="F633" s="62"/>
      <c r="G633" s="63"/>
      <c r="H633" s="43"/>
      <c r="J633" s="62"/>
      <c r="K633" s="63"/>
    </row>
    <row r="634">
      <c r="A634" s="78"/>
      <c r="B634" s="59" t="str">
        <f>IFERROR(HYPERLINK(VLOOKUP(A634,Internal_lists_bugs!$A$2:$C$73,3,FALSE()), VLOOKUP(A634,Internal_lists_bugs!$A$2:$C$73,3,FALSE())&amp;Char(10) &amp; Char(10) &amp; VLOOKUP(A634,Internal_lists_bugs!$A$2:$Z$73,26,FALSE())),"please select a BUG ID")</f>
        <v>please select a BUG ID</v>
      </c>
      <c r="C634" s="51" t="str">
        <f>IFERROR(__xludf.DUMMYFUNCTION("IFERROR(IF(REGEXMATCH(VLOOKUP(A634,Internal_lists_bugs!$A$2:$R$73,18,FALSE()), ""Yes""), VLOOKUP(A634,Internal_lists_bugs!$A$2:$U$73,21,FALSE()), VLOOKUP(A634,Internal_lists_bugs!$A$2:$R$73,18,FALSE())),""please select a BUG ID"")"),"please select a BUG ID")</f>
        <v>please select a BUG ID</v>
      </c>
      <c r="D634" s="43"/>
      <c r="F634" s="62"/>
      <c r="G634" s="63"/>
      <c r="H634" s="43"/>
      <c r="J634" s="62"/>
      <c r="K634" s="63"/>
    </row>
    <row r="635">
      <c r="A635" s="78"/>
      <c r="B635" s="59" t="str">
        <f>IFERROR(HYPERLINK(VLOOKUP(A635,Internal_lists_bugs!$A$2:$C$73,3,FALSE()), VLOOKUP(A635,Internal_lists_bugs!$A$2:$C$73,3,FALSE())&amp;Char(10) &amp; Char(10) &amp; VLOOKUP(A635,Internal_lists_bugs!$A$2:$Z$73,26,FALSE())),"please select a BUG ID")</f>
        <v>please select a BUG ID</v>
      </c>
      <c r="C635" s="51" t="str">
        <f>IFERROR(__xludf.DUMMYFUNCTION("IFERROR(IF(REGEXMATCH(VLOOKUP(A635,Internal_lists_bugs!$A$2:$R$73,18,FALSE()), ""Yes""), VLOOKUP(A635,Internal_lists_bugs!$A$2:$U$73,21,FALSE()), VLOOKUP(A635,Internal_lists_bugs!$A$2:$R$73,18,FALSE())),""please select a BUG ID"")"),"please select a BUG ID")</f>
        <v>please select a BUG ID</v>
      </c>
      <c r="D635" s="43"/>
      <c r="F635" s="62"/>
      <c r="G635" s="63"/>
      <c r="H635" s="43"/>
      <c r="J635" s="62"/>
      <c r="K635" s="63"/>
    </row>
    <row r="636">
      <c r="A636" s="78"/>
      <c r="B636" s="59" t="str">
        <f>IFERROR(HYPERLINK(VLOOKUP(A636,Internal_lists_bugs!$A$2:$C$73,3,FALSE()), VLOOKUP(A636,Internal_lists_bugs!$A$2:$C$73,3,FALSE())&amp;Char(10) &amp; Char(10) &amp; VLOOKUP(A636,Internal_lists_bugs!$A$2:$Z$73,26,FALSE())),"please select a BUG ID")</f>
        <v>please select a BUG ID</v>
      </c>
      <c r="C636" s="51" t="str">
        <f>IFERROR(__xludf.DUMMYFUNCTION("IFERROR(IF(REGEXMATCH(VLOOKUP(A636,Internal_lists_bugs!$A$2:$R$73,18,FALSE()), ""Yes""), VLOOKUP(A636,Internal_lists_bugs!$A$2:$U$73,21,FALSE()), VLOOKUP(A636,Internal_lists_bugs!$A$2:$R$73,18,FALSE())),""please select a BUG ID"")"),"please select a BUG ID")</f>
        <v>please select a BUG ID</v>
      </c>
      <c r="D636" s="43"/>
      <c r="F636" s="62"/>
      <c r="G636" s="63"/>
      <c r="H636" s="43"/>
      <c r="J636" s="62"/>
      <c r="K636" s="63"/>
    </row>
    <row r="637">
      <c r="A637" s="78"/>
      <c r="B637" s="59" t="str">
        <f>IFERROR(HYPERLINK(VLOOKUP(A637,Internal_lists_bugs!$A$2:$C$73,3,FALSE()), VLOOKUP(A637,Internal_lists_bugs!$A$2:$C$73,3,FALSE())&amp;Char(10) &amp; Char(10) &amp; VLOOKUP(A637,Internal_lists_bugs!$A$2:$Z$73,26,FALSE())),"please select a BUG ID")</f>
        <v>please select a BUG ID</v>
      </c>
      <c r="C637" s="51" t="str">
        <f>IFERROR(__xludf.DUMMYFUNCTION("IFERROR(IF(REGEXMATCH(VLOOKUP(A637,Internal_lists_bugs!$A$2:$R$73,18,FALSE()), ""Yes""), VLOOKUP(A637,Internal_lists_bugs!$A$2:$U$73,21,FALSE()), VLOOKUP(A637,Internal_lists_bugs!$A$2:$R$73,18,FALSE())),""please select a BUG ID"")"),"please select a BUG ID")</f>
        <v>please select a BUG ID</v>
      </c>
      <c r="D637" s="43"/>
      <c r="F637" s="62"/>
      <c r="G637" s="63"/>
      <c r="H637" s="43"/>
      <c r="J637" s="62"/>
      <c r="K637" s="63"/>
    </row>
    <row r="638">
      <c r="A638" s="78"/>
      <c r="B638" s="59" t="str">
        <f>IFERROR(HYPERLINK(VLOOKUP(A638,Internal_lists_bugs!$A$2:$C$73,3,FALSE()), VLOOKUP(A638,Internal_lists_bugs!$A$2:$C$73,3,FALSE())&amp;Char(10) &amp; Char(10) &amp; VLOOKUP(A638,Internal_lists_bugs!$A$2:$Z$73,26,FALSE())),"please select a BUG ID")</f>
        <v>please select a BUG ID</v>
      </c>
      <c r="C638" s="51" t="str">
        <f>IFERROR(__xludf.DUMMYFUNCTION("IFERROR(IF(REGEXMATCH(VLOOKUP(A638,Internal_lists_bugs!$A$2:$R$73,18,FALSE()), ""Yes""), VLOOKUP(A638,Internal_lists_bugs!$A$2:$U$73,21,FALSE()), VLOOKUP(A638,Internal_lists_bugs!$A$2:$R$73,18,FALSE())),""please select a BUG ID"")"),"please select a BUG ID")</f>
        <v>please select a BUG ID</v>
      </c>
      <c r="D638" s="43"/>
      <c r="F638" s="62"/>
      <c r="G638" s="63"/>
      <c r="H638" s="43"/>
      <c r="J638" s="62"/>
      <c r="K638" s="63"/>
    </row>
    <row r="639">
      <c r="A639" s="78"/>
      <c r="B639" s="59" t="str">
        <f>IFERROR(HYPERLINK(VLOOKUP(A639,Internal_lists_bugs!$A$2:$C$73,3,FALSE()), VLOOKUP(A639,Internal_lists_bugs!$A$2:$C$73,3,FALSE())&amp;Char(10) &amp; Char(10) &amp; VLOOKUP(A639,Internal_lists_bugs!$A$2:$Z$73,26,FALSE())),"please select a BUG ID")</f>
        <v>please select a BUG ID</v>
      </c>
      <c r="C639" s="51" t="str">
        <f>IFERROR(__xludf.DUMMYFUNCTION("IFERROR(IF(REGEXMATCH(VLOOKUP(A639,Internal_lists_bugs!$A$2:$R$73,18,FALSE()), ""Yes""), VLOOKUP(A639,Internal_lists_bugs!$A$2:$U$73,21,FALSE()), VLOOKUP(A639,Internal_lists_bugs!$A$2:$R$73,18,FALSE())),""please select a BUG ID"")"),"please select a BUG ID")</f>
        <v>please select a BUG ID</v>
      </c>
      <c r="D639" s="43"/>
      <c r="F639" s="62"/>
      <c r="G639" s="63"/>
      <c r="H639" s="43"/>
      <c r="J639" s="62"/>
      <c r="K639" s="63"/>
    </row>
    <row r="640">
      <c r="A640" s="78"/>
      <c r="B640" s="59" t="str">
        <f>IFERROR(HYPERLINK(VLOOKUP(A640,Internal_lists_bugs!$A$2:$C$73,3,FALSE()), VLOOKUP(A640,Internal_lists_bugs!$A$2:$C$73,3,FALSE())&amp;Char(10) &amp; Char(10) &amp; VLOOKUP(A640,Internal_lists_bugs!$A$2:$Z$73,26,FALSE())),"please select a BUG ID")</f>
        <v>please select a BUG ID</v>
      </c>
      <c r="C640" s="51" t="str">
        <f>IFERROR(__xludf.DUMMYFUNCTION("IFERROR(IF(REGEXMATCH(VLOOKUP(A640,Internal_lists_bugs!$A$2:$R$73,18,FALSE()), ""Yes""), VLOOKUP(A640,Internal_lists_bugs!$A$2:$U$73,21,FALSE()), VLOOKUP(A640,Internal_lists_bugs!$A$2:$R$73,18,FALSE())),""please select a BUG ID"")"),"please select a BUG ID")</f>
        <v>please select a BUG ID</v>
      </c>
      <c r="D640" s="43"/>
      <c r="F640" s="62"/>
      <c r="G640" s="63"/>
      <c r="H640" s="43"/>
      <c r="J640" s="62"/>
      <c r="K640" s="63"/>
    </row>
    <row r="641">
      <c r="A641" s="78"/>
      <c r="B641" s="59" t="str">
        <f>IFERROR(HYPERLINK(VLOOKUP(A641,Internal_lists_bugs!$A$2:$C$73,3,FALSE()), VLOOKUP(A641,Internal_lists_bugs!$A$2:$C$73,3,FALSE())&amp;Char(10) &amp; Char(10) &amp; VLOOKUP(A641,Internal_lists_bugs!$A$2:$Z$73,26,FALSE())),"please select a BUG ID")</f>
        <v>please select a BUG ID</v>
      </c>
      <c r="C641" s="51" t="str">
        <f>IFERROR(__xludf.DUMMYFUNCTION("IFERROR(IF(REGEXMATCH(VLOOKUP(A641,Internal_lists_bugs!$A$2:$R$73,18,FALSE()), ""Yes""), VLOOKUP(A641,Internal_lists_bugs!$A$2:$U$73,21,FALSE()), VLOOKUP(A641,Internal_lists_bugs!$A$2:$R$73,18,FALSE())),""please select a BUG ID"")"),"please select a BUG ID")</f>
        <v>please select a BUG ID</v>
      </c>
      <c r="D641" s="43"/>
      <c r="F641" s="62"/>
      <c r="G641" s="63"/>
      <c r="H641" s="43"/>
      <c r="J641" s="62"/>
      <c r="K641" s="63"/>
    </row>
    <row r="642">
      <c r="A642" s="78"/>
      <c r="B642" s="59" t="str">
        <f>IFERROR(HYPERLINK(VLOOKUP(A642,Internal_lists_bugs!$A$2:$C$73,3,FALSE()), VLOOKUP(A642,Internal_lists_bugs!$A$2:$C$73,3,FALSE())&amp;Char(10) &amp; Char(10) &amp; VLOOKUP(A642,Internal_lists_bugs!$A$2:$Z$73,26,FALSE())),"please select a BUG ID")</f>
        <v>please select a BUG ID</v>
      </c>
      <c r="C642" s="51" t="str">
        <f>IFERROR(__xludf.DUMMYFUNCTION("IFERROR(IF(REGEXMATCH(VLOOKUP(A642,Internal_lists_bugs!$A$2:$R$73,18,FALSE()), ""Yes""), VLOOKUP(A642,Internal_lists_bugs!$A$2:$U$73,21,FALSE()), VLOOKUP(A642,Internal_lists_bugs!$A$2:$R$73,18,FALSE())),""please select a BUG ID"")"),"please select a BUG ID")</f>
        <v>please select a BUG ID</v>
      </c>
      <c r="D642" s="43"/>
      <c r="F642" s="62"/>
      <c r="G642" s="63"/>
      <c r="H642" s="43"/>
      <c r="J642" s="62"/>
      <c r="K642" s="63"/>
    </row>
    <row r="643">
      <c r="A643" s="78"/>
      <c r="B643" s="59" t="str">
        <f>IFERROR(HYPERLINK(VLOOKUP(A643,Internal_lists_bugs!$A$2:$C$73,3,FALSE()), VLOOKUP(A643,Internal_lists_bugs!$A$2:$C$73,3,FALSE())&amp;Char(10) &amp; Char(10) &amp; VLOOKUP(A643,Internal_lists_bugs!$A$2:$Z$73,26,FALSE())),"please select a BUG ID")</f>
        <v>please select a BUG ID</v>
      </c>
      <c r="C643" s="51" t="str">
        <f>IFERROR(__xludf.DUMMYFUNCTION("IFERROR(IF(REGEXMATCH(VLOOKUP(A643,Internal_lists_bugs!$A$2:$R$73,18,FALSE()), ""Yes""), VLOOKUP(A643,Internal_lists_bugs!$A$2:$U$73,21,FALSE()), VLOOKUP(A643,Internal_lists_bugs!$A$2:$R$73,18,FALSE())),""please select a BUG ID"")"),"please select a BUG ID")</f>
        <v>please select a BUG ID</v>
      </c>
      <c r="D643" s="43"/>
      <c r="F643" s="62"/>
      <c r="G643" s="63"/>
      <c r="H643" s="43"/>
      <c r="J643" s="62"/>
      <c r="K643" s="63"/>
    </row>
    <row r="644">
      <c r="A644" s="78"/>
      <c r="B644" s="59" t="str">
        <f>IFERROR(HYPERLINK(VLOOKUP(A644,Internal_lists_bugs!$A$2:$C$73,3,FALSE()), VLOOKUP(A644,Internal_lists_bugs!$A$2:$C$73,3,FALSE())&amp;Char(10) &amp; Char(10) &amp; VLOOKUP(A644,Internal_lists_bugs!$A$2:$Z$73,26,FALSE())),"please select a BUG ID")</f>
        <v>please select a BUG ID</v>
      </c>
      <c r="C644" s="51" t="str">
        <f>IFERROR(__xludf.DUMMYFUNCTION("IFERROR(IF(REGEXMATCH(VLOOKUP(A644,Internal_lists_bugs!$A$2:$R$73,18,FALSE()), ""Yes""), VLOOKUP(A644,Internal_lists_bugs!$A$2:$U$73,21,FALSE()), VLOOKUP(A644,Internal_lists_bugs!$A$2:$R$73,18,FALSE())),""please select a BUG ID"")"),"please select a BUG ID")</f>
        <v>please select a BUG ID</v>
      </c>
      <c r="D644" s="43"/>
      <c r="F644" s="62"/>
      <c r="G644" s="63"/>
      <c r="H644" s="43"/>
      <c r="J644" s="62"/>
      <c r="K644" s="63"/>
    </row>
    <row r="645">
      <c r="A645" s="78"/>
      <c r="B645" s="59" t="str">
        <f>IFERROR(HYPERLINK(VLOOKUP(A645,Internal_lists_bugs!$A$2:$C$73,3,FALSE()), VLOOKUP(A645,Internal_lists_bugs!$A$2:$C$73,3,FALSE())&amp;Char(10) &amp; Char(10) &amp; VLOOKUP(A645,Internal_lists_bugs!$A$2:$Z$73,26,FALSE())),"please select a BUG ID")</f>
        <v>please select a BUG ID</v>
      </c>
      <c r="C645" s="51" t="str">
        <f>IFERROR(__xludf.DUMMYFUNCTION("IFERROR(IF(REGEXMATCH(VLOOKUP(A645,Internal_lists_bugs!$A$2:$R$73,18,FALSE()), ""Yes""), VLOOKUP(A645,Internal_lists_bugs!$A$2:$U$73,21,FALSE()), VLOOKUP(A645,Internal_lists_bugs!$A$2:$R$73,18,FALSE())),""please select a BUG ID"")"),"please select a BUG ID")</f>
        <v>please select a BUG ID</v>
      </c>
      <c r="D645" s="43"/>
      <c r="F645" s="62"/>
      <c r="G645" s="63"/>
      <c r="H645" s="43"/>
      <c r="J645" s="62"/>
      <c r="K645" s="63"/>
    </row>
    <row r="646">
      <c r="A646" s="78"/>
      <c r="B646" s="59" t="str">
        <f>IFERROR(HYPERLINK(VLOOKUP(A646,Internal_lists_bugs!$A$2:$C$73,3,FALSE()), VLOOKUP(A646,Internal_lists_bugs!$A$2:$C$73,3,FALSE())&amp;Char(10) &amp; Char(10) &amp; VLOOKUP(A646,Internal_lists_bugs!$A$2:$Z$73,26,FALSE())),"please select a BUG ID")</f>
        <v>please select a BUG ID</v>
      </c>
      <c r="C646" s="51" t="str">
        <f>IFERROR(__xludf.DUMMYFUNCTION("IFERROR(IF(REGEXMATCH(VLOOKUP(A646,Internal_lists_bugs!$A$2:$R$73,18,FALSE()), ""Yes""), VLOOKUP(A646,Internal_lists_bugs!$A$2:$U$73,21,FALSE()), VLOOKUP(A646,Internal_lists_bugs!$A$2:$R$73,18,FALSE())),""please select a BUG ID"")"),"please select a BUG ID")</f>
        <v>please select a BUG ID</v>
      </c>
      <c r="D646" s="43"/>
      <c r="F646" s="62"/>
      <c r="G646" s="63"/>
      <c r="H646" s="43"/>
      <c r="J646" s="62"/>
      <c r="K646" s="63"/>
    </row>
    <row r="647">
      <c r="A647" s="78"/>
      <c r="B647" s="59" t="str">
        <f>IFERROR(HYPERLINK(VLOOKUP(A647,Internal_lists_bugs!$A$2:$C$73,3,FALSE()), VLOOKUP(A647,Internal_lists_bugs!$A$2:$C$73,3,FALSE())&amp;Char(10) &amp; Char(10) &amp; VLOOKUP(A647,Internal_lists_bugs!$A$2:$Z$73,26,FALSE())),"please select a BUG ID")</f>
        <v>please select a BUG ID</v>
      </c>
      <c r="C647" s="51" t="str">
        <f>IFERROR(__xludf.DUMMYFUNCTION("IFERROR(IF(REGEXMATCH(VLOOKUP(A647,Internal_lists_bugs!$A$2:$R$73,18,FALSE()), ""Yes""), VLOOKUP(A647,Internal_lists_bugs!$A$2:$U$73,21,FALSE()), VLOOKUP(A647,Internal_lists_bugs!$A$2:$R$73,18,FALSE())),""please select a BUG ID"")"),"please select a BUG ID")</f>
        <v>please select a BUG ID</v>
      </c>
      <c r="D647" s="43"/>
      <c r="F647" s="62"/>
      <c r="G647" s="63"/>
      <c r="H647" s="43"/>
      <c r="J647" s="62"/>
      <c r="K647" s="63"/>
    </row>
    <row r="648">
      <c r="A648" s="78"/>
      <c r="B648" s="59" t="str">
        <f>IFERROR(HYPERLINK(VLOOKUP(A648,Internal_lists_bugs!$A$2:$C$73,3,FALSE()), VLOOKUP(A648,Internal_lists_bugs!$A$2:$C$73,3,FALSE())&amp;Char(10) &amp; Char(10) &amp; VLOOKUP(A648,Internal_lists_bugs!$A$2:$Z$73,26,FALSE())),"please select a BUG ID")</f>
        <v>please select a BUG ID</v>
      </c>
      <c r="C648" s="51" t="str">
        <f>IFERROR(__xludf.DUMMYFUNCTION("IFERROR(IF(REGEXMATCH(VLOOKUP(A648,Internal_lists_bugs!$A$2:$R$73,18,FALSE()), ""Yes""), VLOOKUP(A648,Internal_lists_bugs!$A$2:$U$73,21,FALSE()), VLOOKUP(A648,Internal_lists_bugs!$A$2:$R$73,18,FALSE())),""please select a BUG ID"")"),"please select a BUG ID")</f>
        <v>please select a BUG ID</v>
      </c>
      <c r="D648" s="43"/>
      <c r="F648" s="62"/>
      <c r="G648" s="63"/>
      <c r="H648" s="43"/>
      <c r="J648" s="62"/>
      <c r="K648" s="63"/>
    </row>
    <row r="649">
      <c r="A649" s="78"/>
      <c r="B649" s="59" t="str">
        <f>IFERROR(HYPERLINK(VLOOKUP(A649,Internal_lists_bugs!$A$2:$C$73,3,FALSE()), VLOOKUP(A649,Internal_lists_bugs!$A$2:$C$73,3,FALSE())&amp;Char(10) &amp; Char(10) &amp; VLOOKUP(A649,Internal_lists_bugs!$A$2:$Z$73,26,FALSE())),"please select a BUG ID")</f>
        <v>please select a BUG ID</v>
      </c>
      <c r="C649" s="51" t="str">
        <f>IFERROR(__xludf.DUMMYFUNCTION("IFERROR(IF(REGEXMATCH(VLOOKUP(A649,Internal_lists_bugs!$A$2:$R$73,18,FALSE()), ""Yes""), VLOOKUP(A649,Internal_lists_bugs!$A$2:$U$73,21,FALSE()), VLOOKUP(A649,Internal_lists_bugs!$A$2:$R$73,18,FALSE())),""please select a BUG ID"")"),"please select a BUG ID")</f>
        <v>please select a BUG ID</v>
      </c>
      <c r="D649" s="43"/>
      <c r="F649" s="62"/>
      <c r="G649" s="63"/>
      <c r="H649" s="43"/>
      <c r="J649" s="62"/>
      <c r="K649" s="63"/>
    </row>
    <row r="650">
      <c r="A650" s="78"/>
      <c r="B650" s="59" t="str">
        <f>IFERROR(HYPERLINK(VLOOKUP(A650,Internal_lists_bugs!$A$2:$C$73,3,FALSE()), VLOOKUP(A650,Internal_lists_bugs!$A$2:$C$73,3,FALSE())&amp;Char(10) &amp; Char(10) &amp; VLOOKUP(A650,Internal_lists_bugs!$A$2:$Z$73,26,FALSE())),"please select a BUG ID")</f>
        <v>please select a BUG ID</v>
      </c>
      <c r="C650" s="51" t="str">
        <f>IFERROR(__xludf.DUMMYFUNCTION("IFERROR(IF(REGEXMATCH(VLOOKUP(A650,Internal_lists_bugs!$A$2:$R$73,18,FALSE()), ""Yes""), VLOOKUP(A650,Internal_lists_bugs!$A$2:$U$73,21,FALSE()), VLOOKUP(A650,Internal_lists_bugs!$A$2:$R$73,18,FALSE())),""please select a BUG ID"")"),"please select a BUG ID")</f>
        <v>please select a BUG ID</v>
      </c>
      <c r="D650" s="43"/>
      <c r="F650" s="62"/>
      <c r="G650" s="63"/>
      <c r="H650" s="43"/>
      <c r="J650" s="62"/>
      <c r="K650" s="63"/>
    </row>
    <row r="651">
      <c r="A651" s="78"/>
      <c r="B651" s="59" t="str">
        <f>IFERROR(HYPERLINK(VLOOKUP(A651,Internal_lists_bugs!$A$2:$C$73,3,FALSE()), VLOOKUP(A651,Internal_lists_bugs!$A$2:$C$73,3,FALSE())&amp;Char(10) &amp; Char(10) &amp; VLOOKUP(A651,Internal_lists_bugs!$A$2:$Z$73,26,FALSE())),"please select a BUG ID")</f>
        <v>please select a BUG ID</v>
      </c>
      <c r="C651" s="51" t="str">
        <f>IFERROR(__xludf.DUMMYFUNCTION("IFERROR(IF(REGEXMATCH(VLOOKUP(A651,Internal_lists_bugs!$A$2:$R$73,18,FALSE()), ""Yes""), VLOOKUP(A651,Internal_lists_bugs!$A$2:$U$73,21,FALSE()), VLOOKUP(A651,Internal_lists_bugs!$A$2:$R$73,18,FALSE())),""please select a BUG ID"")"),"please select a BUG ID")</f>
        <v>please select a BUG ID</v>
      </c>
      <c r="D651" s="43"/>
      <c r="F651" s="62"/>
      <c r="G651" s="63"/>
      <c r="H651" s="43"/>
      <c r="J651" s="62"/>
      <c r="K651" s="63"/>
    </row>
    <row r="652">
      <c r="A652" s="78"/>
      <c r="B652" s="59" t="str">
        <f>IFERROR(HYPERLINK(VLOOKUP(A652,Internal_lists_bugs!$A$2:$C$73,3,FALSE()), VLOOKUP(A652,Internal_lists_bugs!$A$2:$C$73,3,FALSE())&amp;Char(10) &amp; Char(10) &amp; VLOOKUP(A652,Internal_lists_bugs!$A$2:$Z$73,26,FALSE())),"please select a BUG ID")</f>
        <v>please select a BUG ID</v>
      </c>
      <c r="C652" s="51" t="str">
        <f>IFERROR(__xludf.DUMMYFUNCTION("IFERROR(IF(REGEXMATCH(VLOOKUP(A652,Internal_lists_bugs!$A$2:$R$73,18,FALSE()), ""Yes""), VLOOKUP(A652,Internal_lists_bugs!$A$2:$U$73,21,FALSE()), VLOOKUP(A652,Internal_lists_bugs!$A$2:$R$73,18,FALSE())),""please select a BUG ID"")"),"please select a BUG ID")</f>
        <v>please select a BUG ID</v>
      </c>
      <c r="D652" s="43"/>
      <c r="F652" s="62"/>
      <c r="G652" s="63"/>
      <c r="H652" s="43"/>
      <c r="J652" s="62"/>
      <c r="K652" s="63"/>
    </row>
    <row r="653">
      <c r="A653" s="78"/>
      <c r="B653" s="59" t="str">
        <f>IFERROR(HYPERLINK(VLOOKUP(A653,Internal_lists_bugs!$A$2:$C$73,3,FALSE()), VLOOKUP(A653,Internal_lists_bugs!$A$2:$C$73,3,FALSE())&amp;Char(10) &amp; Char(10) &amp; VLOOKUP(A653,Internal_lists_bugs!$A$2:$Z$73,26,FALSE())),"please select a BUG ID")</f>
        <v>please select a BUG ID</v>
      </c>
      <c r="C653" s="51" t="str">
        <f>IFERROR(__xludf.DUMMYFUNCTION("IFERROR(IF(REGEXMATCH(VLOOKUP(A653,Internal_lists_bugs!$A$2:$R$73,18,FALSE()), ""Yes""), VLOOKUP(A653,Internal_lists_bugs!$A$2:$U$73,21,FALSE()), VLOOKUP(A653,Internal_lists_bugs!$A$2:$R$73,18,FALSE())),""please select a BUG ID"")"),"please select a BUG ID")</f>
        <v>please select a BUG ID</v>
      </c>
      <c r="D653" s="43"/>
      <c r="F653" s="62"/>
      <c r="G653" s="63"/>
      <c r="H653" s="43"/>
      <c r="J653" s="62"/>
      <c r="K653" s="63"/>
    </row>
    <row r="654">
      <c r="A654" s="78"/>
      <c r="B654" s="59" t="str">
        <f>IFERROR(HYPERLINK(VLOOKUP(A654,Internal_lists_bugs!$A$2:$C$73,3,FALSE()), VLOOKUP(A654,Internal_lists_bugs!$A$2:$C$73,3,FALSE())&amp;Char(10) &amp; Char(10) &amp; VLOOKUP(A654,Internal_lists_bugs!$A$2:$Z$73,26,FALSE())),"please select a BUG ID")</f>
        <v>please select a BUG ID</v>
      </c>
      <c r="C654" s="51" t="str">
        <f>IFERROR(__xludf.DUMMYFUNCTION("IFERROR(IF(REGEXMATCH(VLOOKUP(A654,Internal_lists_bugs!$A$2:$R$73,18,FALSE()), ""Yes""), VLOOKUP(A654,Internal_lists_bugs!$A$2:$U$73,21,FALSE()), VLOOKUP(A654,Internal_lists_bugs!$A$2:$R$73,18,FALSE())),""please select a BUG ID"")"),"please select a BUG ID")</f>
        <v>please select a BUG ID</v>
      </c>
      <c r="D654" s="43"/>
      <c r="F654" s="62"/>
      <c r="G654" s="63"/>
      <c r="H654" s="43"/>
      <c r="J654" s="62"/>
      <c r="K654" s="63"/>
    </row>
    <row r="655">
      <c r="A655" s="78"/>
      <c r="B655" s="59" t="str">
        <f>IFERROR(HYPERLINK(VLOOKUP(A655,Internal_lists_bugs!$A$2:$C$73,3,FALSE()), VLOOKUP(A655,Internal_lists_bugs!$A$2:$C$73,3,FALSE())&amp;Char(10) &amp; Char(10) &amp; VLOOKUP(A655,Internal_lists_bugs!$A$2:$Z$73,26,FALSE())),"please select a BUG ID")</f>
        <v>please select a BUG ID</v>
      </c>
      <c r="C655" s="51" t="str">
        <f>IFERROR(__xludf.DUMMYFUNCTION("IFERROR(IF(REGEXMATCH(VLOOKUP(A655,Internal_lists_bugs!$A$2:$R$73,18,FALSE()), ""Yes""), VLOOKUP(A655,Internal_lists_bugs!$A$2:$U$73,21,FALSE()), VLOOKUP(A655,Internal_lists_bugs!$A$2:$R$73,18,FALSE())),""please select a BUG ID"")"),"please select a BUG ID")</f>
        <v>please select a BUG ID</v>
      </c>
      <c r="D655" s="43"/>
      <c r="F655" s="62"/>
      <c r="G655" s="63"/>
      <c r="H655" s="43"/>
      <c r="J655" s="62"/>
      <c r="K655" s="63"/>
    </row>
    <row r="656">
      <c r="A656" s="78"/>
      <c r="B656" s="59" t="str">
        <f>IFERROR(HYPERLINK(VLOOKUP(A656,Internal_lists_bugs!$A$2:$C$73,3,FALSE()), VLOOKUP(A656,Internal_lists_bugs!$A$2:$C$73,3,FALSE())&amp;Char(10) &amp; Char(10) &amp; VLOOKUP(A656,Internal_lists_bugs!$A$2:$Z$73,26,FALSE())),"please select a BUG ID")</f>
        <v>please select a BUG ID</v>
      </c>
      <c r="C656" s="51" t="str">
        <f>IFERROR(__xludf.DUMMYFUNCTION("IFERROR(IF(REGEXMATCH(VLOOKUP(A656,Internal_lists_bugs!$A$2:$R$73,18,FALSE()), ""Yes""), VLOOKUP(A656,Internal_lists_bugs!$A$2:$U$73,21,FALSE()), VLOOKUP(A656,Internal_lists_bugs!$A$2:$R$73,18,FALSE())),""please select a BUG ID"")"),"please select a BUG ID")</f>
        <v>please select a BUG ID</v>
      </c>
      <c r="D656" s="43"/>
      <c r="F656" s="62"/>
      <c r="G656" s="63"/>
      <c r="H656" s="43"/>
      <c r="J656" s="62"/>
      <c r="K656" s="63"/>
    </row>
    <row r="657">
      <c r="A657" s="78"/>
      <c r="B657" s="59" t="str">
        <f>IFERROR(HYPERLINK(VLOOKUP(A657,Internal_lists_bugs!$A$2:$C$73,3,FALSE()), VLOOKUP(A657,Internal_lists_bugs!$A$2:$C$73,3,FALSE())&amp;Char(10) &amp; Char(10) &amp; VLOOKUP(A657,Internal_lists_bugs!$A$2:$Z$73,26,FALSE())),"please select a BUG ID")</f>
        <v>please select a BUG ID</v>
      </c>
      <c r="C657" s="51" t="str">
        <f>IFERROR(__xludf.DUMMYFUNCTION("IFERROR(IF(REGEXMATCH(VLOOKUP(A657,Internal_lists_bugs!$A$2:$R$73,18,FALSE()), ""Yes""), VLOOKUP(A657,Internal_lists_bugs!$A$2:$U$73,21,FALSE()), VLOOKUP(A657,Internal_lists_bugs!$A$2:$R$73,18,FALSE())),""please select a BUG ID"")"),"please select a BUG ID")</f>
        <v>please select a BUG ID</v>
      </c>
      <c r="D657" s="43"/>
      <c r="F657" s="62"/>
      <c r="G657" s="63"/>
      <c r="H657" s="43"/>
      <c r="J657" s="62"/>
      <c r="K657" s="63"/>
    </row>
    <row r="658">
      <c r="A658" s="78"/>
      <c r="B658" s="59" t="str">
        <f>IFERROR(HYPERLINK(VLOOKUP(A658,Internal_lists_bugs!$A$2:$C$73,3,FALSE()), VLOOKUP(A658,Internal_lists_bugs!$A$2:$C$73,3,FALSE())&amp;Char(10) &amp; Char(10) &amp; VLOOKUP(A658,Internal_lists_bugs!$A$2:$Z$73,26,FALSE())),"please select a BUG ID")</f>
        <v>please select a BUG ID</v>
      </c>
      <c r="C658" s="51" t="str">
        <f>IFERROR(__xludf.DUMMYFUNCTION("IFERROR(IF(REGEXMATCH(VLOOKUP(A658,Internal_lists_bugs!$A$2:$R$73,18,FALSE()), ""Yes""), VLOOKUP(A658,Internal_lists_bugs!$A$2:$U$73,21,FALSE()), VLOOKUP(A658,Internal_lists_bugs!$A$2:$R$73,18,FALSE())),""please select a BUG ID"")"),"please select a BUG ID")</f>
        <v>please select a BUG ID</v>
      </c>
      <c r="D658" s="43"/>
      <c r="F658" s="62"/>
      <c r="G658" s="63"/>
      <c r="H658" s="43"/>
      <c r="J658" s="62"/>
      <c r="K658" s="63"/>
    </row>
    <row r="659">
      <c r="A659" s="78"/>
      <c r="B659" s="59" t="str">
        <f>IFERROR(HYPERLINK(VLOOKUP(A659,Internal_lists_bugs!$A$2:$C$73,3,FALSE()), VLOOKUP(A659,Internal_lists_bugs!$A$2:$C$73,3,FALSE())&amp;Char(10) &amp; Char(10) &amp; VLOOKUP(A659,Internal_lists_bugs!$A$2:$Z$73,26,FALSE())),"please select a BUG ID")</f>
        <v>please select a BUG ID</v>
      </c>
      <c r="C659" s="51" t="str">
        <f>IFERROR(__xludf.DUMMYFUNCTION("IFERROR(IF(REGEXMATCH(VLOOKUP(A659,Internal_lists_bugs!$A$2:$R$73,18,FALSE()), ""Yes""), VLOOKUP(A659,Internal_lists_bugs!$A$2:$U$73,21,FALSE()), VLOOKUP(A659,Internal_lists_bugs!$A$2:$R$73,18,FALSE())),""please select a BUG ID"")"),"please select a BUG ID")</f>
        <v>please select a BUG ID</v>
      </c>
      <c r="D659" s="43"/>
      <c r="F659" s="62"/>
      <c r="G659" s="63"/>
      <c r="H659" s="43"/>
      <c r="J659" s="62"/>
      <c r="K659" s="63"/>
    </row>
    <row r="660">
      <c r="A660" s="78"/>
      <c r="B660" s="59" t="str">
        <f>IFERROR(HYPERLINK(VLOOKUP(A660,Internal_lists_bugs!$A$2:$C$73,3,FALSE()), VLOOKUP(A660,Internal_lists_bugs!$A$2:$C$73,3,FALSE())&amp;Char(10) &amp; Char(10) &amp; VLOOKUP(A660,Internal_lists_bugs!$A$2:$Z$73,26,FALSE())),"please select a BUG ID")</f>
        <v>please select a BUG ID</v>
      </c>
      <c r="C660" s="51" t="str">
        <f>IFERROR(__xludf.DUMMYFUNCTION("IFERROR(IF(REGEXMATCH(VLOOKUP(A660,Internal_lists_bugs!$A$2:$R$73,18,FALSE()), ""Yes""), VLOOKUP(A660,Internal_lists_bugs!$A$2:$U$73,21,FALSE()), VLOOKUP(A660,Internal_lists_bugs!$A$2:$R$73,18,FALSE())),""please select a BUG ID"")"),"please select a BUG ID")</f>
        <v>please select a BUG ID</v>
      </c>
      <c r="D660" s="43"/>
      <c r="F660" s="62"/>
      <c r="G660" s="63"/>
      <c r="H660" s="43"/>
      <c r="J660" s="62"/>
      <c r="K660" s="63"/>
    </row>
    <row r="661">
      <c r="A661" s="78"/>
      <c r="B661" s="59" t="str">
        <f>IFERROR(HYPERLINK(VLOOKUP(A661,Internal_lists_bugs!$A$2:$C$73,3,FALSE()), VLOOKUP(A661,Internal_lists_bugs!$A$2:$C$73,3,FALSE())&amp;Char(10) &amp; Char(10) &amp; VLOOKUP(A661,Internal_lists_bugs!$A$2:$Z$73,26,FALSE())),"please select a BUG ID")</f>
        <v>please select a BUG ID</v>
      </c>
      <c r="C661" s="51" t="str">
        <f>IFERROR(__xludf.DUMMYFUNCTION("IFERROR(IF(REGEXMATCH(VLOOKUP(A661,Internal_lists_bugs!$A$2:$R$73,18,FALSE()), ""Yes""), VLOOKUP(A661,Internal_lists_bugs!$A$2:$U$73,21,FALSE()), VLOOKUP(A661,Internal_lists_bugs!$A$2:$R$73,18,FALSE())),""please select a BUG ID"")"),"please select a BUG ID")</f>
        <v>please select a BUG ID</v>
      </c>
      <c r="D661" s="43"/>
      <c r="F661" s="62"/>
      <c r="G661" s="63"/>
      <c r="H661" s="43"/>
      <c r="J661" s="62"/>
      <c r="K661" s="63"/>
    </row>
    <row r="662">
      <c r="A662" s="78"/>
      <c r="B662" s="59" t="str">
        <f>IFERROR(HYPERLINK(VLOOKUP(A662,Internal_lists_bugs!$A$2:$C$73,3,FALSE()), VLOOKUP(A662,Internal_lists_bugs!$A$2:$C$73,3,FALSE())&amp;Char(10) &amp; Char(10) &amp; VLOOKUP(A662,Internal_lists_bugs!$A$2:$Z$73,26,FALSE())),"please select a BUG ID")</f>
        <v>please select a BUG ID</v>
      </c>
      <c r="C662" s="51" t="str">
        <f>IFERROR(__xludf.DUMMYFUNCTION("IFERROR(IF(REGEXMATCH(VLOOKUP(A662,Internal_lists_bugs!$A$2:$R$73,18,FALSE()), ""Yes""), VLOOKUP(A662,Internal_lists_bugs!$A$2:$U$73,21,FALSE()), VLOOKUP(A662,Internal_lists_bugs!$A$2:$R$73,18,FALSE())),""please select a BUG ID"")"),"please select a BUG ID")</f>
        <v>please select a BUG ID</v>
      </c>
      <c r="D662" s="43"/>
      <c r="F662" s="62"/>
      <c r="G662" s="63"/>
      <c r="H662" s="43"/>
      <c r="J662" s="62"/>
      <c r="K662" s="63"/>
    </row>
    <row r="663">
      <c r="A663" s="78"/>
      <c r="B663" s="59" t="str">
        <f>IFERROR(HYPERLINK(VLOOKUP(A663,Internal_lists_bugs!$A$2:$C$73,3,FALSE()), VLOOKUP(A663,Internal_lists_bugs!$A$2:$C$73,3,FALSE())&amp;Char(10) &amp; Char(10) &amp; VLOOKUP(A663,Internal_lists_bugs!$A$2:$Z$73,26,FALSE())),"please select a BUG ID")</f>
        <v>please select a BUG ID</v>
      </c>
      <c r="C663" s="51" t="str">
        <f>IFERROR(__xludf.DUMMYFUNCTION("IFERROR(IF(REGEXMATCH(VLOOKUP(A663,Internal_lists_bugs!$A$2:$R$73,18,FALSE()), ""Yes""), VLOOKUP(A663,Internal_lists_bugs!$A$2:$U$73,21,FALSE()), VLOOKUP(A663,Internal_lists_bugs!$A$2:$R$73,18,FALSE())),""please select a BUG ID"")"),"please select a BUG ID")</f>
        <v>please select a BUG ID</v>
      </c>
      <c r="D663" s="43"/>
      <c r="F663" s="62"/>
      <c r="G663" s="63"/>
      <c r="H663" s="43"/>
      <c r="J663" s="62"/>
      <c r="K663" s="63"/>
    </row>
    <row r="664">
      <c r="A664" s="78"/>
      <c r="B664" s="59" t="str">
        <f>IFERROR(HYPERLINK(VLOOKUP(A664,Internal_lists_bugs!$A$2:$C$73,3,FALSE()), VLOOKUP(A664,Internal_lists_bugs!$A$2:$C$73,3,FALSE())&amp;Char(10) &amp; Char(10) &amp; VLOOKUP(A664,Internal_lists_bugs!$A$2:$Z$73,26,FALSE())),"please select a BUG ID")</f>
        <v>please select a BUG ID</v>
      </c>
      <c r="C664" s="51" t="str">
        <f>IFERROR(__xludf.DUMMYFUNCTION("IFERROR(IF(REGEXMATCH(VLOOKUP(A664,Internal_lists_bugs!$A$2:$R$73,18,FALSE()), ""Yes""), VLOOKUP(A664,Internal_lists_bugs!$A$2:$U$73,21,FALSE()), VLOOKUP(A664,Internal_lists_bugs!$A$2:$R$73,18,FALSE())),""please select a BUG ID"")"),"please select a BUG ID")</f>
        <v>please select a BUG ID</v>
      </c>
      <c r="D664" s="43"/>
      <c r="F664" s="62"/>
      <c r="G664" s="63"/>
      <c r="H664" s="43"/>
      <c r="J664" s="62"/>
      <c r="K664" s="63"/>
    </row>
    <row r="665">
      <c r="A665" s="78"/>
      <c r="B665" s="59" t="str">
        <f>IFERROR(HYPERLINK(VLOOKUP(A665,Internal_lists_bugs!$A$2:$C$73,3,FALSE()), VLOOKUP(A665,Internal_lists_bugs!$A$2:$C$73,3,FALSE())&amp;Char(10) &amp; Char(10) &amp; VLOOKUP(A665,Internal_lists_bugs!$A$2:$Z$73,26,FALSE())),"please select a BUG ID")</f>
        <v>please select a BUG ID</v>
      </c>
      <c r="C665" s="51" t="str">
        <f>IFERROR(__xludf.DUMMYFUNCTION("IFERROR(IF(REGEXMATCH(VLOOKUP(A665,Internal_lists_bugs!$A$2:$R$73,18,FALSE()), ""Yes""), VLOOKUP(A665,Internal_lists_bugs!$A$2:$U$73,21,FALSE()), VLOOKUP(A665,Internal_lists_bugs!$A$2:$R$73,18,FALSE())),""please select a BUG ID"")"),"please select a BUG ID")</f>
        <v>please select a BUG ID</v>
      </c>
      <c r="D665" s="43"/>
      <c r="F665" s="62"/>
      <c r="G665" s="63"/>
      <c r="H665" s="43"/>
      <c r="J665" s="62"/>
      <c r="K665" s="63"/>
    </row>
    <row r="666">
      <c r="A666" s="78"/>
      <c r="B666" s="59" t="str">
        <f>IFERROR(HYPERLINK(VLOOKUP(A666,Internal_lists_bugs!$A$2:$C$73,3,FALSE()), VLOOKUP(A666,Internal_lists_bugs!$A$2:$C$73,3,FALSE())&amp;Char(10) &amp; Char(10) &amp; VLOOKUP(A666,Internal_lists_bugs!$A$2:$Z$73,26,FALSE())),"please select a BUG ID")</f>
        <v>please select a BUG ID</v>
      </c>
      <c r="C666" s="51" t="str">
        <f>IFERROR(__xludf.DUMMYFUNCTION("IFERROR(IF(REGEXMATCH(VLOOKUP(A666,Internal_lists_bugs!$A$2:$R$73,18,FALSE()), ""Yes""), VLOOKUP(A666,Internal_lists_bugs!$A$2:$U$73,21,FALSE()), VLOOKUP(A666,Internal_lists_bugs!$A$2:$R$73,18,FALSE())),""please select a BUG ID"")"),"please select a BUG ID")</f>
        <v>please select a BUG ID</v>
      </c>
      <c r="D666" s="43"/>
      <c r="F666" s="62"/>
      <c r="G666" s="63"/>
      <c r="H666" s="43"/>
      <c r="J666" s="62"/>
      <c r="K666" s="63"/>
    </row>
    <row r="667">
      <c r="A667" s="78"/>
      <c r="B667" s="59" t="str">
        <f>IFERROR(HYPERLINK(VLOOKUP(A667,Internal_lists_bugs!$A$2:$C$73,3,FALSE()), VLOOKUP(A667,Internal_lists_bugs!$A$2:$C$73,3,FALSE())&amp;Char(10) &amp; Char(10) &amp; VLOOKUP(A667,Internal_lists_bugs!$A$2:$Z$73,26,FALSE())),"please select a BUG ID")</f>
        <v>please select a BUG ID</v>
      </c>
      <c r="C667" s="51" t="str">
        <f>IFERROR(__xludf.DUMMYFUNCTION("IFERROR(IF(REGEXMATCH(VLOOKUP(A667,Internal_lists_bugs!$A$2:$R$73,18,FALSE()), ""Yes""), VLOOKUP(A667,Internal_lists_bugs!$A$2:$U$73,21,FALSE()), VLOOKUP(A667,Internal_lists_bugs!$A$2:$R$73,18,FALSE())),""please select a BUG ID"")"),"please select a BUG ID")</f>
        <v>please select a BUG ID</v>
      </c>
      <c r="D667" s="43"/>
      <c r="F667" s="62"/>
      <c r="G667" s="63"/>
      <c r="H667" s="43"/>
      <c r="J667" s="62"/>
      <c r="K667" s="63"/>
    </row>
    <row r="668">
      <c r="A668" s="78"/>
      <c r="B668" s="59" t="str">
        <f>IFERROR(HYPERLINK(VLOOKUP(A668,Internal_lists_bugs!$A$2:$C$73,3,FALSE()), VLOOKUP(A668,Internal_lists_bugs!$A$2:$C$73,3,FALSE())&amp;Char(10) &amp; Char(10) &amp; VLOOKUP(A668,Internal_lists_bugs!$A$2:$Z$73,26,FALSE())),"please select a BUG ID")</f>
        <v>please select a BUG ID</v>
      </c>
      <c r="C668" s="51" t="str">
        <f>IFERROR(__xludf.DUMMYFUNCTION("IFERROR(IF(REGEXMATCH(VLOOKUP(A668,Internal_lists_bugs!$A$2:$R$73,18,FALSE()), ""Yes""), VLOOKUP(A668,Internal_lists_bugs!$A$2:$U$73,21,FALSE()), VLOOKUP(A668,Internal_lists_bugs!$A$2:$R$73,18,FALSE())),""please select a BUG ID"")"),"please select a BUG ID")</f>
        <v>please select a BUG ID</v>
      </c>
      <c r="D668" s="43"/>
      <c r="F668" s="62"/>
      <c r="G668" s="63"/>
      <c r="H668" s="43"/>
      <c r="J668" s="62"/>
      <c r="K668" s="63"/>
    </row>
    <row r="669">
      <c r="A669" s="78"/>
      <c r="B669" s="59" t="str">
        <f>IFERROR(HYPERLINK(VLOOKUP(A669,Internal_lists_bugs!$A$2:$C$73,3,FALSE()), VLOOKUP(A669,Internal_lists_bugs!$A$2:$C$73,3,FALSE())&amp;Char(10) &amp; Char(10) &amp; VLOOKUP(A669,Internal_lists_bugs!$A$2:$Z$73,26,FALSE())),"please select a BUG ID")</f>
        <v>please select a BUG ID</v>
      </c>
      <c r="C669" s="51" t="str">
        <f>IFERROR(__xludf.DUMMYFUNCTION("IFERROR(IF(REGEXMATCH(VLOOKUP(A669,Internal_lists_bugs!$A$2:$R$73,18,FALSE()), ""Yes""), VLOOKUP(A669,Internal_lists_bugs!$A$2:$U$73,21,FALSE()), VLOOKUP(A669,Internal_lists_bugs!$A$2:$R$73,18,FALSE())),""please select a BUG ID"")"),"please select a BUG ID")</f>
        <v>please select a BUG ID</v>
      </c>
      <c r="D669" s="43"/>
      <c r="F669" s="62"/>
      <c r="G669" s="63"/>
      <c r="H669" s="43"/>
      <c r="J669" s="62"/>
      <c r="K669" s="63"/>
    </row>
    <row r="670">
      <c r="A670" s="78"/>
      <c r="B670" s="59" t="str">
        <f>IFERROR(HYPERLINK(VLOOKUP(A670,Internal_lists_bugs!$A$2:$C$73,3,FALSE()), VLOOKUP(A670,Internal_lists_bugs!$A$2:$C$73,3,FALSE())&amp;Char(10) &amp; Char(10) &amp; VLOOKUP(A670,Internal_lists_bugs!$A$2:$Z$73,26,FALSE())),"please select a BUG ID")</f>
        <v>please select a BUG ID</v>
      </c>
      <c r="C670" s="51" t="str">
        <f>IFERROR(__xludf.DUMMYFUNCTION("IFERROR(IF(REGEXMATCH(VLOOKUP(A670,Internal_lists_bugs!$A$2:$R$73,18,FALSE()), ""Yes""), VLOOKUP(A670,Internal_lists_bugs!$A$2:$U$73,21,FALSE()), VLOOKUP(A670,Internal_lists_bugs!$A$2:$R$73,18,FALSE())),""please select a BUG ID"")"),"please select a BUG ID")</f>
        <v>please select a BUG ID</v>
      </c>
      <c r="D670" s="43"/>
      <c r="F670" s="62"/>
      <c r="G670" s="63"/>
      <c r="H670" s="43"/>
      <c r="J670" s="62"/>
      <c r="K670" s="63"/>
    </row>
    <row r="671">
      <c r="A671" s="78"/>
      <c r="B671" s="59" t="str">
        <f>IFERROR(HYPERLINK(VLOOKUP(A671,Internal_lists_bugs!$A$2:$C$73,3,FALSE()), VLOOKUP(A671,Internal_lists_bugs!$A$2:$C$73,3,FALSE())&amp;Char(10) &amp; Char(10) &amp; VLOOKUP(A671,Internal_lists_bugs!$A$2:$Z$73,26,FALSE())),"please select a BUG ID")</f>
        <v>please select a BUG ID</v>
      </c>
      <c r="C671" s="51" t="str">
        <f>IFERROR(__xludf.DUMMYFUNCTION("IFERROR(IF(REGEXMATCH(VLOOKUP(A671,Internal_lists_bugs!$A$2:$R$73,18,FALSE()), ""Yes""), VLOOKUP(A671,Internal_lists_bugs!$A$2:$U$73,21,FALSE()), VLOOKUP(A671,Internal_lists_bugs!$A$2:$R$73,18,FALSE())),""please select a BUG ID"")"),"please select a BUG ID")</f>
        <v>please select a BUG ID</v>
      </c>
      <c r="D671" s="43"/>
      <c r="F671" s="62"/>
      <c r="G671" s="63"/>
      <c r="H671" s="43"/>
      <c r="J671" s="62"/>
      <c r="K671" s="63"/>
    </row>
    <row r="672">
      <c r="A672" s="78"/>
      <c r="B672" s="59" t="str">
        <f>IFERROR(HYPERLINK(VLOOKUP(A672,Internal_lists_bugs!$A$2:$C$73,3,FALSE()), VLOOKUP(A672,Internal_lists_bugs!$A$2:$C$73,3,FALSE())&amp;Char(10) &amp; Char(10) &amp; VLOOKUP(A672,Internal_lists_bugs!$A$2:$Z$73,26,FALSE())),"please select a BUG ID")</f>
        <v>please select a BUG ID</v>
      </c>
      <c r="C672" s="51" t="str">
        <f>IFERROR(__xludf.DUMMYFUNCTION("IFERROR(IF(REGEXMATCH(VLOOKUP(A672,Internal_lists_bugs!$A$2:$R$73,18,FALSE()), ""Yes""), VLOOKUP(A672,Internal_lists_bugs!$A$2:$U$73,21,FALSE()), VLOOKUP(A672,Internal_lists_bugs!$A$2:$R$73,18,FALSE())),""please select a BUG ID"")"),"please select a BUG ID")</f>
        <v>please select a BUG ID</v>
      </c>
      <c r="D672" s="43"/>
      <c r="F672" s="62"/>
      <c r="G672" s="63"/>
      <c r="H672" s="43"/>
      <c r="J672" s="62"/>
      <c r="K672" s="63"/>
    </row>
    <row r="673">
      <c r="A673" s="78"/>
      <c r="B673" s="59" t="str">
        <f>IFERROR(HYPERLINK(VLOOKUP(A673,Internal_lists_bugs!$A$2:$C$73,3,FALSE()), VLOOKUP(A673,Internal_lists_bugs!$A$2:$C$73,3,FALSE())&amp;Char(10) &amp; Char(10) &amp; VLOOKUP(A673,Internal_lists_bugs!$A$2:$Z$73,26,FALSE())),"please select a BUG ID")</f>
        <v>please select a BUG ID</v>
      </c>
      <c r="C673" s="51" t="str">
        <f>IFERROR(__xludf.DUMMYFUNCTION("IFERROR(IF(REGEXMATCH(VLOOKUP(A673,Internal_lists_bugs!$A$2:$R$73,18,FALSE()), ""Yes""), VLOOKUP(A673,Internal_lists_bugs!$A$2:$U$73,21,FALSE()), VLOOKUP(A673,Internal_lists_bugs!$A$2:$R$73,18,FALSE())),""please select a BUG ID"")"),"please select a BUG ID")</f>
        <v>please select a BUG ID</v>
      </c>
      <c r="D673" s="43"/>
      <c r="F673" s="62"/>
      <c r="G673" s="63"/>
      <c r="H673" s="43"/>
      <c r="J673" s="62"/>
      <c r="K673" s="63"/>
    </row>
    <row r="674">
      <c r="A674" s="78"/>
      <c r="B674" s="59" t="str">
        <f>IFERROR(HYPERLINK(VLOOKUP(A674,Internal_lists_bugs!$A$2:$C$73,3,FALSE()), VLOOKUP(A674,Internal_lists_bugs!$A$2:$C$73,3,FALSE())&amp;Char(10) &amp; Char(10) &amp; VLOOKUP(A674,Internal_lists_bugs!$A$2:$Z$73,26,FALSE())),"please select a BUG ID")</f>
        <v>please select a BUG ID</v>
      </c>
      <c r="C674" s="51" t="str">
        <f>IFERROR(__xludf.DUMMYFUNCTION("IFERROR(IF(REGEXMATCH(VLOOKUP(A674,Internal_lists_bugs!$A$2:$R$73,18,FALSE()), ""Yes""), VLOOKUP(A674,Internal_lists_bugs!$A$2:$U$73,21,FALSE()), VLOOKUP(A674,Internal_lists_bugs!$A$2:$R$73,18,FALSE())),""please select a BUG ID"")"),"please select a BUG ID")</f>
        <v>please select a BUG ID</v>
      </c>
      <c r="D674" s="43"/>
      <c r="F674" s="62"/>
      <c r="G674" s="63"/>
      <c r="H674" s="43"/>
      <c r="J674" s="62"/>
      <c r="K674" s="63"/>
    </row>
    <row r="675">
      <c r="A675" s="78"/>
      <c r="B675" s="59" t="str">
        <f>IFERROR(HYPERLINK(VLOOKUP(A675,Internal_lists_bugs!$A$2:$C$73,3,FALSE()), VLOOKUP(A675,Internal_lists_bugs!$A$2:$C$73,3,FALSE())&amp;Char(10) &amp; Char(10) &amp; VLOOKUP(A675,Internal_lists_bugs!$A$2:$Z$73,26,FALSE())),"please select a BUG ID")</f>
        <v>please select a BUG ID</v>
      </c>
      <c r="C675" s="51" t="str">
        <f>IFERROR(__xludf.DUMMYFUNCTION("IFERROR(IF(REGEXMATCH(VLOOKUP(A675,Internal_lists_bugs!$A$2:$R$73,18,FALSE()), ""Yes""), VLOOKUP(A675,Internal_lists_bugs!$A$2:$U$73,21,FALSE()), VLOOKUP(A675,Internal_lists_bugs!$A$2:$R$73,18,FALSE())),""please select a BUG ID"")"),"please select a BUG ID")</f>
        <v>please select a BUG ID</v>
      </c>
      <c r="D675" s="43"/>
      <c r="F675" s="62"/>
      <c r="G675" s="63"/>
      <c r="H675" s="43"/>
      <c r="J675" s="62"/>
      <c r="K675" s="63"/>
    </row>
    <row r="676">
      <c r="A676" s="78"/>
      <c r="B676" s="59" t="str">
        <f>IFERROR(HYPERLINK(VLOOKUP(A676,Internal_lists_bugs!$A$2:$C$73,3,FALSE()), VLOOKUP(A676,Internal_lists_bugs!$A$2:$C$73,3,FALSE())&amp;Char(10) &amp; Char(10) &amp; VLOOKUP(A676,Internal_lists_bugs!$A$2:$Z$73,26,FALSE())),"please select a BUG ID")</f>
        <v>please select a BUG ID</v>
      </c>
      <c r="C676" s="51" t="str">
        <f>IFERROR(__xludf.DUMMYFUNCTION("IFERROR(IF(REGEXMATCH(VLOOKUP(A676,Internal_lists_bugs!$A$2:$R$73,18,FALSE()), ""Yes""), VLOOKUP(A676,Internal_lists_bugs!$A$2:$U$73,21,FALSE()), VLOOKUP(A676,Internal_lists_bugs!$A$2:$R$73,18,FALSE())),""please select a BUG ID"")"),"please select a BUG ID")</f>
        <v>please select a BUG ID</v>
      </c>
      <c r="D676" s="43"/>
      <c r="F676" s="62"/>
      <c r="G676" s="63"/>
      <c r="H676" s="43"/>
      <c r="J676" s="62"/>
      <c r="K676" s="63"/>
    </row>
    <row r="677">
      <c r="A677" s="78"/>
      <c r="B677" s="59" t="str">
        <f>IFERROR(HYPERLINK(VLOOKUP(A677,Internal_lists_bugs!$A$2:$C$73,3,FALSE()), VLOOKUP(A677,Internal_lists_bugs!$A$2:$C$73,3,FALSE())&amp;Char(10) &amp; Char(10) &amp; VLOOKUP(A677,Internal_lists_bugs!$A$2:$Z$73,26,FALSE())),"please select a BUG ID")</f>
        <v>please select a BUG ID</v>
      </c>
      <c r="C677" s="51" t="str">
        <f>IFERROR(__xludf.DUMMYFUNCTION("IFERROR(IF(REGEXMATCH(VLOOKUP(A677,Internal_lists_bugs!$A$2:$R$73,18,FALSE()), ""Yes""), VLOOKUP(A677,Internal_lists_bugs!$A$2:$U$73,21,FALSE()), VLOOKUP(A677,Internal_lists_bugs!$A$2:$R$73,18,FALSE())),""please select a BUG ID"")"),"please select a BUG ID")</f>
        <v>please select a BUG ID</v>
      </c>
      <c r="D677" s="43"/>
      <c r="F677" s="62"/>
      <c r="G677" s="63"/>
      <c r="H677" s="43"/>
      <c r="J677" s="62"/>
      <c r="K677" s="63"/>
    </row>
    <row r="678">
      <c r="A678" s="78"/>
      <c r="B678" s="59" t="str">
        <f>IFERROR(HYPERLINK(VLOOKUP(A678,Internal_lists_bugs!$A$2:$C$73,3,FALSE()), VLOOKUP(A678,Internal_lists_bugs!$A$2:$C$73,3,FALSE())&amp;Char(10) &amp; Char(10) &amp; VLOOKUP(A678,Internal_lists_bugs!$A$2:$Z$73,26,FALSE())),"please select a BUG ID")</f>
        <v>please select a BUG ID</v>
      </c>
      <c r="C678" s="51" t="str">
        <f>IFERROR(__xludf.DUMMYFUNCTION("IFERROR(IF(REGEXMATCH(VLOOKUP(A678,Internal_lists_bugs!$A$2:$R$73,18,FALSE()), ""Yes""), VLOOKUP(A678,Internal_lists_bugs!$A$2:$U$73,21,FALSE()), VLOOKUP(A678,Internal_lists_bugs!$A$2:$R$73,18,FALSE())),""please select a BUG ID"")"),"please select a BUG ID")</f>
        <v>please select a BUG ID</v>
      </c>
      <c r="D678" s="43"/>
      <c r="F678" s="62"/>
      <c r="G678" s="63"/>
      <c r="H678" s="43"/>
      <c r="J678" s="62"/>
      <c r="K678" s="63"/>
    </row>
    <row r="679">
      <c r="A679" s="78"/>
      <c r="B679" s="59" t="str">
        <f>IFERROR(HYPERLINK(VLOOKUP(A679,Internal_lists_bugs!$A$2:$C$73,3,FALSE()), VLOOKUP(A679,Internal_lists_bugs!$A$2:$C$73,3,FALSE())&amp;Char(10) &amp; Char(10) &amp; VLOOKUP(A679,Internal_lists_bugs!$A$2:$Z$73,26,FALSE())),"please select a BUG ID")</f>
        <v>please select a BUG ID</v>
      </c>
      <c r="C679" s="51" t="str">
        <f>IFERROR(__xludf.DUMMYFUNCTION("IFERROR(IF(REGEXMATCH(VLOOKUP(A679,Internal_lists_bugs!$A$2:$R$73,18,FALSE()), ""Yes""), VLOOKUP(A679,Internal_lists_bugs!$A$2:$U$73,21,FALSE()), VLOOKUP(A679,Internal_lists_bugs!$A$2:$R$73,18,FALSE())),""please select a BUG ID"")"),"please select a BUG ID")</f>
        <v>please select a BUG ID</v>
      </c>
      <c r="D679" s="43"/>
      <c r="F679" s="62"/>
      <c r="G679" s="63"/>
      <c r="H679" s="43"/>
      <c r="J679" s="62"/>
      <c r="K679" s="63"/>
    </row>
    <row r="680">
      <c r="A680" s="78"/>
      <c r="B680" s="59" t="str">
        <f>IFERROR(HYPERLINK(VLOOKUP(A680,Internal_lists_bugs!$A$2:$C$73,3,FALSE()), VLOOKUP(A680,Internal_lists_bugs!$A$2:$C$73,3,FALSE())&amp;Char(10) &amp; Char(10) &amp; VLOOKUP(A680,Internal_lists_bugs!$A$2:$Z$73,26,FALSE())),"please select a BUG ID")</f>
        <v>please select a BUG ID</v>
      </c>
      <c r="C680" s="51" t="str">
        <f>IFERROR(__xludf.DUMMYFUNCTION("IFERROR(IF(REGEXMATCH(VLOOKUP(A680,Internal_lists_bugs!$A$2:$R$73,18,FALSE()), ""Yes""), VLOOKUP(A680,Internal_lists_bugs!$A$2:$U$73,21,FALSE()), VLOOKUP(A680,Internal_lists_bugs!$A$2:$R$73,18,FALSE())),""please select a BUG ID"")"),"please select a BUG ID")</f>
        <v>please select a BUG ID</v>
      </c>
      <c r="D680" s="43"/>
      <c r="F680" s="62"/>
      <c r="G680" s="63"/>
      <c r="H680" s="43"/>
      <c r="J680" s="62"/>
      <c r="K680" s="63"/>
    </row>
    <row r="681">
      <c r="A681" s="78"/>
      <c r="B681" s="59" t="str">
        <f>IFERROR(HYPERLINK(VLOOKUP(A681,Internal_lists_bugs!$A$2:$C$73,3,FALSE()), VLOOKUP(A681,Internal_lists_bugs!$A$2:$C$73,3,FALSE())&amp;Char(10) &amp; Char(10) &amp; VLOOKUP(A681,Internal_lists_bugs!$A$2:$Z$73,26,FALSE())),"please select a BUG ID")</f>
        <v>please select a BUG ID</v>
      </c>
      <c r="C681" s="51" t="str">
        <f>IFERROR(__xludf.DUMMYFUNCTION("IFERROR(IF(REGEXMATCH(VLOOKUP(A681,Internal_lists_bugs!$A$2:$R$73,18,FALSE()), ""Yes""), VLOOKUP(A681,Internal_lists_bugs!$A$2:$U$73,21,FALSE()), VLOOKUP(A681,Internal_lists_bugs!$A$2:$R$73,18,FALSE())),""please select a BUG ID"")"),"please select a BUG ID")</f>
        <v>please select a BUG ID</v>
      </c>
      <c r="D681" s="43"/>
      <c r="F681" s="62"/>
      <c r="G681" s="63"/>
      <c r="H681" s="43"/>
      <c r="J681" s="62"/>
      <c r="K681" s="63"/>
    </row>
    <row r="682">
      <c r="A682" s="78"/>
      <c r="B682" s="59" t="str">
        <f>IFERROR(HYPERLINK(VLOOKUP(A682,Internal_lists_bugs!$A$2:$C$73,3,FALSE()), VLOOKUP(A682,Internal_lists_bugs!$A$2:$C$73,3,FALSE())&amp;Char(10) &amp; Char(10) &amp; VLOOKUP(A682,Internal_lists_bugs!$A$2:$Z$73,26,FALSE())),"please select a BUG ID")</f>
        <v>please select a BUG ID</v>
      </c>
      <c r="C682" s="51" t="str">
        <f>IFERROR(__xludf.DUMMYFUNCTION("IFERROR(IF(REGEXMATCH(VLOOKUP(A682,Internal_lists_bugs!$A$2:$R$73,18,FALSE()), ""Yes""), VLOOKUP(A682,Internal_lists_bugs!$A$2:$U$73,21,FALSE()), VLOOKUP(A682,Internal_lists_bugs!$A$2:$R$73,18,FALSE())),""please select a BUG ID"")"),"please select a BUG ID")</f>
        <v>please select a BUG ID</v>
      </c>
      <c r="D682" s="43"/>
      <c r="F682" s="62"/>
      <c r="G682" s="63"/>
      <c r="H682" s="43"/>
      <c r="J682" s="62"/>
      <c r="K682" s="63"/>
    </row>
    <row r="683">
      <c r="A683" s="78"/>
      <c r="B683" s="59" t="str">
        <f>IFERROR(HYPERLINK(VLOOKUP(A683,Internal_lists_bugs!$A$2:$C$73,3,FALSE()), VLOOKUP(A683,Internal_lists_bugs!$A$2:$C$73,3,FALSE())&amp;Char(10) &amp; Char(10) &amp; VLOOKUP(A683,Internal_lists_bugs!$A$2:$Z$73,26,FALSE())),"please select a BUG ID")</f>
        <v>please select a BUG ID</v>
      </c>
      <c r="C683" s="51" t="str">
        <f>IFERROR(__xludf.DUMMYFUNCTION("IFERROR(IF(REGEXMATCH(VLOOKUP(A683,Internal_lists_bugs!$A$2:$R$73,18,FALSE()), ""Yes""), VLOOKUP(A683,Internal_lists_bugs!$A$2:$U$73,21,FALSE()), VLOOKUP(A683,Internal_lists_bugs!$A$2:$R$73,18,FALSE())),""please select a BUG ID"")"),"please select a BUG ID")</f>
        <v>please select a BUG ID</v>
      </c>
      <c r="D683" s="43"/>
      <c r="F683" s="62"/>
      <c r="G683" s="63"/>
      <c r="H683" s="43"/>
      <c r="J683" s="62"/>
      <c r="K683" s="63"/>
    </row>
    <row r="684">
      <c r="A684" s="78"/>
      <c r="B684" s="59" t="str">
        <f>IFERROR(HYPERLINK(VLOOKUP(A684,Internal_lists_bugs!$A$2:$C$73,3,FALSE()), VLOOKUP(A684,Internal_lists_bugs!$A$2:$C$73,3,FALSE())&amp;Char(10) &amp; Char(10) &amp; VLOOKUP(A684,Internal_lists_bugs!$A$2:$Z$73,26,FALSE())),"please select a BUG ID")</f>
        <v>please select a BUG ID</v>
      </c>
      <c r="C684" s="51" t="str">
        <f>IFERROR(__xludf.DUMMYFUNCTION("IFERROR(IF(REGEXMATCH(VLOOKUP(A684,Internal_lists_bugs!$A$2:$R$73,18,FALSE()), ""Yes""), VLOOKUP(A684,Internal_lists_bugs!$A$2:$U$73,21,FALSE()), VLOOKUP(A684,Internal_lists_bugs!$A$2:$R$73,18,FALSE())),""please select a BUG ID"")"),"please select a BUG ID")</f>
        <v>please select a BUG ID</v>
      </c>
      <c r="D684" s="43"/>
      <c r="F684" s="62"/>
      <c r="G684" s="63"/>
      <c r="H684" s="43"/>
      <c r="J684" s="62"/>
      <c r="K684" s="63"/>
    </row>
    <row r="685">
      <c r="A685" s="78"/>
      <c r="B685" s="59" t="str">
        <f>IFERROR(HYPERLINK(VLOOKUP(A685,Internal_lists_bugs!$A$2:$C$73,3,FALSE()), VLOOKUP(A685,Internal_lists_bugs!$A$2:$C$73,3,FALSE())&amp;Char(10) &amp; Char(10) &amp; VLOOKUP(A685,Internal_lists_bugs!$A$2:$Z$73,26,FALSE())),"please select a BUG ID")</f>
        <v>please select a BUG ID</v>
      </c>
      <c r="C685" s="51" t="str">
        <f>IFERROR(__xludf.DUMMYFUNCTION("IFERROR(IF(REGEXMATCH(VLOOKUP(A685,Internal_lists_bugs!$A$2:$R$73,18,FALSE()), ""Yes""), VLOOKUP(A685,Internal_lists_bugs!$A$2:$U$73,21,FALSE()), VLOOKUP(A685,Internal_lists_bugs!$A$2:$R$73,18,FALSE())),""please select a BUG ID"")"),"please select a BUG ID")</f>
        <v>please select a BUG ID</v>
      </c>
      <c r="D685" s="43"/>
      <c r="F685" s="62"/>
      <c r="G685" s="63"/>
      <c r="H685" s="43"/>
      <c r="J685" s="62"/>
      <c r="K685" s="63"/>
    </row>
    <row r="686">
      <c r="A686" s="78"/>
      <c r="B686" s="59" t="str">
        <f>IFERROR(HYPERLINK(VLOOKUP(A686,Internal_lists_bugs!$A$2:$C$73,3,FALSE()), VLOOKUP(A686,Internal_lists_bugs!$A$2:$C$73,3,FALSE())&amp;Char(10) &amp; Char(10) &amp; VLOOKUP(A686,Internal_lists_bugs!$A$2:$Z$73,26,FALSE())),"please select a BUG ID")</f>
        <v>please select a BUG ID</v>
      </c>
      <c r="C686" s="51" t="str">
        <f>IFERROR(__xludf.DUMMYFUNCTION("IFERROR(IF(REGEXMATCH(VLOOKUP(A686,Internal_lists_bugs!$A$2:$R$73,18,FALSE()), ""Yes""), VLOOKUP(A686,Internal_lists_bugs!$A$2:$U$73,21,FALSE()), VLOOKUP(A686,Internal_lists_bugs!$A$2:$R$73,18,FALSE())),""please select a BUG ID"")"),"please select a BUG ID")</f>
        <v>please select a BUG ID</v>
      </c>
      <c r="D686" s="43"/>
      <c r="F686" s="62"/>
      <c r="G686" s="63"/>
      <c r="H686" s="43"/>
      <c r="J686" s="62"/>
      <c r="K686" s="63"/>
    </row>
    <row r="687">
      <c r="A687" s="78"/>
      <c r="B687" s="59" t="str">
        <f>IFERROR(HYPERLINK(VLOOKUP(A687,Internal_lists_bugs!$A$2:$C$73,3,FALSE()), VLOOKUP(A687,Internal_lists_bugs!$A$2:$C$73,3,FALSE())&amp;Char(10) &amp; Char(10) &amp; VLOOKUP(A687,Internal_lists_bugs!$A$2:$Z$73,26,FALSE())),"please select a BUG ID")</f>
        <v>please select a BUG ID</v>
      </c>
      <c r="C687" s="51" t="str">
        <f>IFERROR(__xludf.DUMMYFUNCTION("IFERROR(IF(REGEXMATCH(VLOOKUP(A687,Internal_lists_bugs!$A$2:$R$73,18,FALSE()), ""Yes""), VLOOKUP(A687,Internal_lists_bugs!$A$2:$U$73,21,FALSE()), VLOOKUP(A687,Internal_lists_bugs!$A$2:$R$73,18,FALSE())),""please select a BUG ID"")"),"please select a BUG ID")</f>
        <v>please select a BUG ID</v>
      </c>
      <c r="D687" s="43"/>
      <c r="F687" s="62"/>
      <c r="G687" s="63"/>
      <c r="H687" s="43"/>
      <c r="J687" s="62"/>
      <c r="K687" s="63"/>
    </row>
    <row r="688">
      <c r="A688" s="78"/>
      <c r="B688" s="59" t="str">
        <f>IFERROR(HYPERLINK(VLOOKUP(A688,Internal_lists_bugs!$A$2:$C$73,3,FALSE()), VLOOKUP(A688,Internal_lists_bugs!$A$2:$C$73,3,FALSE())&amp;Char(10) &amp; Char(10) &amp; VLOOKUP(A688,Internal_lists_bugs!$A$2:$Z$73,26,FALSE())),"please select a BUG ID")</f>
        <v>please select a BUG ID</v>
      </c>
      <c r="C688" s="51" t="str">
        <f>IFERROR(__xludf.DUMMYFUNCTION("IFERROR(IF(REGEXMATCH(VLOOKUP(A688,Internal_lists_bugs!$A$2:$R$73,18,FALSE()), ""Yes""), VLOOKUP(A688,Internal_lists_bugs!$A$2:$U$73,21,FALSE()), VLOOKUP(A688,Internal_lists_bugs!$A$2:$R$73,18,FALSE())),""please select a BUG ID"")"),"please select a BUG ID")</f>
        <v>please select a BUG ID</v>
      </c>
      <c r="D688" s="43"/>
      <c r="F688" s="62"/>
      <c r="G688" s="63"/>
      <c r="H688" s="43"/>
      <c r="J688" s="62"/>
      <c r="K688" s="63"/>
    </row>
    <row r="689">
      <c r="A689" s="78"/>
      <c r="B689" s="59" t="str">
        <f>IFERROR(HYPERLINK(VLOOKUP(A689,Internal_lists_bugs!$A$2:$C$73,3,FALSE()), VLOOKUP(A689,Internal_lists_bugs!$A$2:$C$73,3,FALSE())&amp;Char(10) &amp; Char(10) &amp; VLOOKUP(A689,Internal_lists_bugs!$A$2:$Z$73,26,FALSE())),"please select a BUG ID")</f>
        <v>please select a BUG ID</v>
      </c>
      <c r="C689" s="51" t="str">
        <f>IFERROR(__xludf.DUMMYFUNCTION("IFERROR(IF(REGEXMATCH(VLOOKUP(A689,Internal_lists_bugs!$A$2:$R$73,18,FALSE()), ""Yes""), VLOOKUP(A689,Internal_lists_bugs!$A$2:$U$73,21,FALSE()), VLOOKUP(A689,Internal_lists_bugs!$A$2:$R$73,18,FALSE())),""please select a BUG ID"")"),"please select a BUG ID")</f>
        <v>please select a BUG ID</v>
      </c>
      <c r="D689" s="43"/>
      <c r="F689" s="62"/>
      <c r="G689" s="63"/>
      <c r="H689" s="43"/>
      <c r="J689" s="62"/>
      <c r="K689" s="63"/>
    </row>
    <row r="690">
      <c r="A690" s="78"/>
      <c r="B690" s="59" t="str">
        <f>IFERROR(HYPERLINK(VLOOKUP(A690,Internal_lists_bugs!$A$2:$C$73,3,FALSE()), VLOOKUP(A690,Internal_lists_bugs!$A$2:$C$73,3,FALSE())&amp;Char(10) &amp; Char(10) &amp; VLOOKUP(A690,Internal_lists_bugs!$A$2:$Z$73,26,FALSE())),"please select a BUG ID")</f>
        <v>please select a BUG ID</v>
      </c>
      <c r="C690" s="51" t="str">
        <f>IFERROR(__xludf.DUMMYFUNCTION("IFERROR(IF(REGEXMATCH(VLOOKUP(A690,Internal_lists_bugs!$A$2:$R$73,18,FALSE()), ""Yes""), VLOOKUP(A690,Internal_lists_bugs!$A$2:$U$73,21,FALSE()), VLOOKUP(A690,Internal_lists_bugs!$A$2:$R$73,18,FALSE())),""please select a BUG ID"")"),"please select a BUG ID")</f>
        <v>please select a BUG ID</v>
      </c>
      <c r="D690" s="43"/>
      <c r="F690" s="62"/>
      <c r="G690" s="63"/>
      <c r="H690" s="43"/>
      <c r="J690" s="62"/>
      <c r="K690" s="63"/>
    </row>
    <row r="691">
      <c r="A691" s="78"/>
      <c r="B691" s="59" t="str">
        <f>IFERROR(HYPERLINK(VLOOKUP(A691,Internal_lists_bugs!$A$2:$C$73,3,FALSE()), VLOOKUP(A691,Internal_lists_bugs!$A$2:$C$73,3,FALSE())&amp;Char(10) &amp; Char(10) &amp; VLOOKUP(A691,Internal_lists_bugs!$A$2:$Z$73,26,FALSE())),"please select a BUG ID")</f>
        <v>please select a BUG ID</v>
      </c>
      <c r="C691" s="51" t="str">
        <f>IFERROR(__xludf.DUMMYFUNCTION("IFERROR(IF(REGEXMATCH(VLOOKUP(A691,Internal_lists_bugs!$A$2:$R$73,18,FALSE()), ""Yes""), VLOOKUP(A691,Internal_lists_bugs!$A$2:$U$73,21,FALSE()), VLOOKUP(A691,Internal_lists_bugs!$A$2:$R$73,18,FALSE())),""please select a BUG ID"")"),"please select a BUG ID")</f>
        <v>please select a BUG ID</v>
      </c>
      <c r="D691" s="43"/>
      <c r="F691" s="62"/>
      <c r="G691" s="63"/>
      <c r="H691" s="43"/>
      <c r="J691" s="62"/>
      <c r="K691" s="63"/>
    </row>
    <row r="692">
      <c r="A692" s="78"/>
      <c r="B692" s="59" t="str">
        <f>IFERROR(HYPERLINK(VLOOKUP(A692,Internal_lists_bugs!$A$2:$C$73,3,FALSE()), VLOOKUP(A692,Internal_lists_bugs!$A$2:$C$73,3,FALSE())&amp;Char(10) &amp; Char(10) &amp; VLOOKUP(A692,Internal_lists_bugs!$A$2:$Z$73,26,FALSE())),"please select a BUG ID")</f>
        <v>please select a BUG ID</v>
      </c>
      <c r="C692" s="51" t="str">
        <f>IFERROR(__xludf.DUMMYFUNCTION("IFERROR(IF(REGEXMATCH(VLOOKUP(A692,Internal_lists_bugs!$A$2:$R$73,18,FALSE()), ""Yes""), VLOOKUP(A692,Internal_lists_bugs!$A$2:$U$73,21,FALSE()), VLOOKUP(A692,Internal_lists_bugs!$A$2:$R$73,18,FALSE())),""please select a BUG ID"")"),"please select a BUG ID")</f>
        <v>please select a BUG ID</v>
      </c>
      <c r="D692" s="43"/>
      <c r="F692" s="62"/>
      <c r="G692" s="63"/>
      <c r="H692" s="43"/>
      <c r="J692" s="62"/>
      <c r="K692" s="63"/>
    </row>
    <row r="693">
      <c r="A693" s="78"/>
      <c r="B693" s="59" t="str">
        <f>IFERROR(HYPERLINK(VLOOKUP(A693,Internal_lists_bugs!$A$2:$C$73,3,FALSE()), VLOOKUP(A693,Internal_lists_bugs!$A$2:$C$73,3,FALSE())&amp;Char(10) &amp; Char(10) &amp; VLOOKUP(A693,Internal_lists_bugs!$A$2:$Z$73,26,FALSE())),"please select a BUG ID")</f>
        <v>please select a BUG ID</v>
      </c>
      <c r="C693" s="51" t="str">
        <f>IFERROR(__xludf.DUMMYFUNCTION("IFERROR(IF(REGEXMATCH(VLOOKUP(A693,Internal_lists_bugs!$A$2:$R$73,18,FALSE()), ""Yes""), VLOOKUP(A693,Internal_lists_bugs!$A$2:$U$73,21,FALSE()), VLOOKUP(A693,Internal_lists_bugs!$A$2:$R$73,18,FALSE())),""please select a BUG ID"")"),"please select a BUG ID")</f>
        <v>please select a BUG ID</v>
      </c>
      <c r="D693" s="43"/>
      <c r="F693" s="62"/>
      <c r="G693" s="63"/>
      <c r="H693" s="43"/>
      <c r="J693" s="62"/>
      <c r="K693" s="63"/>
    </row>
    <row r="694">
      <c r="A694" s="78"/>
      <c r="B694" s="59" t="str">
        <f>IFERROR(HYPERLINK(VLOOKUP(A694,Internal_lists_bugs!$A$2:$C$73,3,FALSE()), VLOOKUP(A694,Internal_lists_bugs!$A$2:$C$73,3,FALSE())&amp;Char(10) &amp; Char(10) &amp; VLOOKUP(A694,Internal_lists_bugs!$A$2:$Z$73,26,FALSE())),"please select a BUG ID")</f>
        <v>please select a BUG ID</v>
      </c>
      <c r="C694" s="51" t="str">
        <f>IFERROR(__xludf.DUMMYFUNCTION("IFERROR(IF(REGEXMATCH(VLOOKUP(A694,Internal_lists_bugs!$A$2:$R$73,18,FALSE()), ""Yes""), VLOOKUP(A694,Internal_lists_bugs!$A$2:$U$73,21,FALSE()), VLOOKUP(A694,Internal_lists_bugs!$A$2:$R$73,18,FALSE())),""please select a BUG ID"")"),"please select a BUG ID")</f>
        <v>please select a BUG ID</v>
      </c>
      <c r="D694" s="43"/>
      <c r="F694" s="62"/>
      <c r="G694" s="63"/>
      <c r="H694" s="43"/>
      <c r="J694" s="62"/>
      <c r="K694" s="63"/>
    </row>
    <row r="695">
      <c r="A695" s="78"/>
      <c r="B695" s="59" t="str">
        <f>IFERROR(HYPERLINK(VLOOKUP(A695,Internal_lists_bugs!$A$2:$C$73,3,FALSE()), VLOOKUP(A695,Internal_lists_bugs!$A$2:$C$73,3,FALSE())&amp;Char(10) &amp; Char(10) &amp; VLOOKUP(A695,Internal_lists_bugs!$A$2:$Z$73,26,FALSE())),"please select a BUG ID")</f>
        <v>please select a BUG ID</v>
      </c>
      <c r="C695" s="51" t="str">
        <f>IFERROR(__xludf.DUMMYFUNCTION("IFERROR(IF(REGEXMATCH(VLOOKUP(A695,Internal_lists_bugs!$A$2:$R$73,18,FALSE()), ""Yes""), VLOOKUP(A695,Internal_lists_bugs!$A$2:$U$73,21,FALSE()), VLOOKUP(A695,Internal_lists_bugs!$A$2:$R$73,18,FALSE())),""please select a BUG ID"")"),"please select a BUG ID")</f>
        <v>please select a BUG ID</v>
      </c>
      <c r="D695" s="43"/>
      <c r="F695" s="62"/>
      <c r="G695" s="63"/>
      <c r="H695" s="43"/>
      <c r="J695" s="62"/>
      <c r="K695" s="63"/>
    </row>
    <row r="696">
      <c r="A696" s="78"/>
      <c r="B696" s="59" t="str">
        <f>IFERROR(HYPERLINK(VLOOKUP(A696,Internal_lists_bugs!$A$2:$C$73,3,FALSE()), VLOOKUP(A696,Internal_lists_bugs!$A$2:$C$73,3,FALSE())&amp;Char(10) &amp; Char(10) &amp; VLOOKUP(A696,Internal_lists_bugs!$A$2:$Z$73,26,FALSE())),"please select a BUG ID")</f>
        <v>please select a BUG ID</v>
      </c>
      <c r="C696" s="51" t="str">
        <f>IFERROR(__xludf.DUMMYFUNCTION("IFERROR(IF(REGEXMATCH(VLOOKUP(A696,Internal_lists_bugs!$A$2:$R$73,18,FALSE()), ""Yes""), VLOOKUP(A696,Internal_lists_bugs!$A$2:$U$73,21,FALSE()), VLOOKUP(A696,Internal_lists_bugs!$A$2:$R$73,18,FALSE())),""please select a BUG ID"")"),"please select a BUG ID")</f>
        <v>please select a BUG ID</v>
      </c>
      <c r="D696" s="43"/>
      <c r="F696" s="62"/>
      <c r="G696" s="63"/>
      <c r="H696" s="43"/>
      <c r="J696" s="62"/>
      <c r="K696" s="63"/>
    </row>
    <row r="697">
      <c r="A697" s="78"/>
      <c r="B697" s="59" t="str">
        <f>IFERROR(HYPERLINK(VLOOKUP(A697,Internal_lists_bugs!$A$2:$C$73,3,FALSE()), VLOOKUP(A697,Internal_lists_bugs!$A$2:$C$73,3,FALSE())&amp;Char(10) &amp; Char(10) &amp; VLOOKUP(A697,Internal_lists_bugs!$A$2:$Z$73,26,FALSE())),"please select a BUG ID")</f>
        <v>please select a BUG ID</v>
      </c>
      <c r="C697" s="51" t="str">
        <f>IFERROR(__xludf.DUMMYFUNCTION("IFERROR(IF(REGEXMATCH(VLOOKUP(A697,Internal_lists_bugs!$A$2:$R$73,18,FALSE()), ""Yes""), VLOOKUP(A697,Internal_lists_bugs!$A$2:$U$73,21,FALSE()), VLOOKUP(A697,Internal_lists_bugs!$A$2:$R$73,18,FALSE())),""please select a BUG ID"")"),"please select a BUG ID")</f>
        <v>please select a BUG ID</v>
      </c>
      <c r="D697" s="43"/>
      <c r="F697" s="62"/>
      <c r="G697" s="63"/>
      <c r="H697" s="43"/>
      <c r="J697" s="62"/>
      <c r="K697" s="63"/>
    </row>
    <row r="698">
      <c r="A698" s="78"/>
      <c r="B698" s="59" t="str">
        <f>IFERROR(HYPERLINK(VLOOKUP(A698,Internal_lists_bugs!$A$2:$C$73,3,FALSE()), VLOOKUP(A698,Internal_lists_bugs!$A$2:$C$73,3,FALSE())&amp;Char(10) &amp; Char(10) &amp; VLOOKUP(A698,Internal_lists_bugs!$A$2:$Z$73,26,FALSE())),"please select a BUG ID")</f>
        <v>please select a BUG ID</v>
      </c>
      <c r="C698" s="51" t="str">
        <f>IFERROR(__xludf.DUMMYFUNCTION("IFERROR(IF(REGEXMATCH(VLOOKUP(A698,Internal_lists_bugs!$A$2:$R$73,18,FALSE()), ""Yes""), VLOOKUP(A698,Internal_lists_bugs!$A$2:$U$73,21,FALSE()), VLOOKUP(A698,Internal_lists_bugs!$A$2:$R$73,18,FALSE())),""please select a BUG ID"")"),"please select a BUG ID")</f>
        <v>please select a BUG ID</v>
      </c>
      <c r="D698" s="43"/>
      <c r="F698" s="62"/>
      <c r="G698" s="63"/>
      <c r="H698" s="43"/>
      <c r="J698" s="62"/>
      <c r="K698" s="63"/>
    </row>
    <row r="699">
      <c r="A699" s="78"/>
      <c r="B699" s="59" t="str">
        <f>IFERROR(HYPERLINK(VLOOKUP(A699,Internal_lists_bugs!$A$2:$C$73,3,FALSE()), VLOOKUP(A699,Internal_lists_bugs!$A$2:$C$73,3,FALSE())&amp;Char(10) &amp; Char(10) &amp; VLOOKUP(A699,Internal_lists_bugs!$A$2:$Z$73,26,FALSE())),"please select a BUG ID")</f>
        <v>please select a BUG ID</v>
      </c>
      <c r="C699" s="51" t="str">
        <f>IFERROR(__xludf.DUMMYFUNCTION("IFERROR(IF(REGEXMATCH(VLOOKUP(A699,Internal_lists_bugs!$A$2:$R$73,18,FALSE()), ""Yes""), VLOOKUP(A699,Internal_lists_bugs!$A$2:$U$73,21,FALSE()), VLOOKUP(A699,Internal_lists_bugs!$A$2:$R$73,18,FALSE())),""please select a BUG ID"")"),"please select a BUG ID")</f>
        <v>please select a BUG ID</v>
      </c>
      <c r="D699" s="43"/>
      <c r="F699" s="62"/>
      <c r="G699" s="63"/>
      <c r="H699" s="43"/>
      <c r="J699" s="62"/>
      <c r="K699" s="63"/>
    </row>
    <row r="700">
      <c r="A700" s="78"/>
      <c r="B700" s="59" t="str">
        <f>IFERROR(HYPERLINK(VLOOKUP(A700,Internal_lists_bugs!$A$2:$C$73,3,FALSE()), VLOOKUP(A700,Internal_lists_bugs!$A$2:$C$73,3,FALSE())&amp;Char(10) &amp; Char(10) &amp; VLOOKUP(A700,Internal_lists_bugs!$A$2:$Z$73,26,FALSE())),"please select a BUG ID")</f>
        <v>please select a BUG ID</v>
      </c>
      <c r="C700" s="51" t="str">
        <f>IFERROR(__xludf.DUMMYFUNCTION("IFERROR(IF(REGEXMATCH(VLOOKUP(A700,Internal_lists_bugs!$A$2:$R$73,18,FALSE()), ""Yes""), VLOOKUP(A700,Internal_lists_bugs!$A$2:$U$73,21,FALSE()), VLOOKUP(A700,Internal_lists_bugs!$A$2:$R$73,18,FALSE())),""please select a BUG ID"")"),"please select a BUG ID")</f>
        <v>please select a BUG ID</v>
      </c>
      <c r="D700" s="43"/>
      <c r="F700" s="62"/>
      <c r="G700" s="63"/>
      <c r="H700" s="43"/>
      <c r="J700" s="62"/>
      <c r="K700" s="63"/>
    </row>
    <row r="701">
      <c r="A701" s="78"/>
      <c r="B701" s="59" t="str">
        <f>IFERROR(HYPERLINK(VLOOKUP(A701,Internal_lists_bugs!$A$2:$C$73,3,FALSE()), VLOOKUP(A701,Internal_lists_bugs!$A$2:$C$73,3,FALSE())&amp;Char(10) &amp; Char(10) &amp; VLOOKUP(A701,Internal_lists_bugs!$A$2:$Z$73,26,FALSE())),"please select a BUG ID")</f>
        <v>please select a BUG ID</v>
      </c>
      <c r="C701" s="51" t="str">
        <f>IFERROR(__xludf.DUMMYFUNCTION("IFERROR(IF(REGEXMATCH(VLOOKUP(A701,Internal_lists_bugs!$A$2:$R$73,18,FALSE()), ""Yes""), VLOOKUP(A701,Internal_lists_bugs!$A$2:$U$73,21,FALSE()), VLOOKUP(A701,Internal_lists_bugs!$A$2:$R$73,18,FALSE())),""please select a BUG ID"")"),"please select a BUG ID")</f>
        <v>please select a BUG ID</v>
      </c>
      <c r="D701" s="43"/>
      <c r="F701" s="62"/>
      <c r="G701" s="63"/>
      <c r="H701" s="43"/>
      <c r="J701" s="62"/>
      <c r="K701" s="63"/>
    </row>
    <row r="702">
      <c r="A702" s="78"/>
      <c r="B702" s="59" t="str">
        <f>IFERROR(HYPERLINK(VLOOKUP(A702,Internal_lists_bugs!$A$2:$C$73,3,FALSE()), VLOOKUP(A702,Internal_lists_bugs!$A$2:$C$73,3,FALSE())&amp;Char(10) &amp; Char(10) &amp; VLOOKUP(A702,Internal_lists_bugs!$A$2:$Z$73,26,FALSE())),"please select a BUG ID")</f>
        <v>please select a BUG ID</v>
      </c>
      <c r="C702" s="51" t="str">
        <f>IFERROR(__xludf.DUMMYFUNCTION("IFERROR(IF(REGEXMATCH(VLOOKUP(A702,Internal_lists_bugs!$A$2:$R$73,18,FALSE()), ""Yes""), VLOOKUP(A702,Internal_lists_bugs!$A$2:$U$73,21,FALSE()), VLOOKUP(A702,Internal_lists_bugs!$A$2:$R$73,18,FALSE())),""please select a BUG ID"")"),"please select a BUG ID")</f>
        <v>please select a BUG ID</v>
      </c>
      <c r="D702" s="43"/>
      <c r="F702" s="62"/>
      <c r="G702" s="63"/>
      <c r="H702" s="43"/>
      <c r="J702" s="62"/>
      <c r="K702" s="63"/>
    </row>
    <row r="703">
      <c r="A703" s="78"/>
      <c r="B703" s="59" t="str">
        <f>IFERROR(HYPERLINK(VLOOKUP(A703,Internal_lists_bugs!$A$2:$C$73,3,FALSE()), VLOOKUP(A703,Internal_lists_bugs!$A$2:$C$73,3,FALSE())&amp;Char(10) &amp; Char(10) &amp; VLOOKUP(A703,Internal_lists_bugs!$A$2:$Z$73,26,FALSE())),"please select a BUG ID")</f>
        <v>please select a BUG ID</v>
      </c>
      <c r="C703" s="51" t="str">
        <f>IFERROR(__xludf.DUMMYFUNCTION("IFERROR(IF(REGEXMATCH(VLOOKUP(A703,Internal_lists_bugs!$A$2:$R$73,18,FALSE()), ""Yes""), VLOOKUP(A703,Internal_lists_bugs!$A$2:$U$73,21,FALSE()), VLOOKUP(A703,Internal_lists_bugs!$A$2:$R$73,18,FALSE())),""please select a BUG ID"")"),"please select a BUG ID")</f>
        <v>please select a BUG ID</v>
      </c>
      <c r="D703" s="43"/>
      <c r="F703" s="62"/>
      <c r="G703" s="63"/>
      <c r="H703" s="43"/>
      <c r="J703" s="62"/>
      <c r="K703" s="63"/>
    </row>
    <row r="704">
      <c r="A704" s="78"/>
      <c r="B704" s="59" t="str">
        <f>IFERROR(HYPERLINK(VLOOKUP(A704,Internal_lists_bugs!$A$2:$C$73,3,FALSE()), VLOOKUP(A704,Internal_lists_bugs!$A$2:$C$73,3,FALSE())&amp;Char(10) &amp; Char(10) &amp; VLOOKUP(A704,Internal_lists_bugs!$A$2:$Z$73,26,FALSE())),"please select a BUG ID")</f>
        <v>please select a BUG ID</v>
      </c>
      <c r="C704" s="51" t="str">
        <f>IFERROR(__xludf.DUMMYFUNCTION("IFERROR(IF(REGEXMATCH(VLOOKUP(A704,Internal_lists_bugs!$A$2:$R$73,18,FALSE()), ""Yes""), VLOOKUP(A704,Internal_lists_bugs!$A$2:$U$73,21,FALSE()), VLOOKUP(A704,Internal_lists_bugs!$A$2:$R$73,18,FALSE())),""please select a BUG ID"")"),"please select a BUG ID")</f>
        <v>please select a BUG ID</v>
      </c>
      <c r="D704" s="43"/>
      <c r="F704" s="62"/>
      <c r="G704" s="63"/>
      <c r="H704" s="43"/>
      <c r="J704" s="62"/>
      <c r="K704" s="63"/>
    </row>
    <row r="705">
      <c r="A705" s="78"/>
      <c r="B705" s="59" t="str">
        <f>IFERROR(HYPERLINK(VLOOKUP(A705,Internal_lists_bugs!$A$2:$C$73,3,FALSE()), VLOOKUP(A705,Internal_lists_bugs!$A$2:$C$73,3,FALSE())&amp;Char(10) &amp; Char(10) &amp; VLOOKUP(A705,Internal_lists_bugs!$A$2:$Z$73,26,FALSE())),"please select a BUG ID")</f>
        <v>please select a BUG ID</v>
      </c>
      <c r="C705" s="51" t="str">
        <f>IFERROR(__xludf.DUMMYFUNCTION("IFERROR(IF(REGEXMATCH(VLOOKUP(A705,Internal_lists_bugs!$A$2:$R$73,18,FALSE()), ""Yes""), VLOOKUP(A705,Internal_lists_bugs!$A$2:$U$73,21,FALSE()), VLOOKUP(A705,Internal_lists_bugs!$A$2:$R$73,18,FALSE())),""please select a BUG ID"")"),"please select a BUG ID")</f>
        <v>please select a BUG ID</v>
      </c>
      <c r="D705" s="43"/>
      <c r="F705" s="62"/>
      <c r="G705" s="63"/>
      <c r="H705" s="43"/>
      <c r="J705" s="62"/>
      <c r="K705" s="63"/>
    </row>
    <row r="706">
      <c r="A706" s="78"/>
      <c r="B706" s="59" t="str">
        <f>IFERROR(HYPERLINK(VLOOKUP(A706,Internal_lists_bugs!$A$2:$C$73,3,FALSE()), VLOOKUP(A706,Internal_lists_bugs!$A$2:$C$73,3,FALSE())&amp;Char(10) &amp; Char(10) &amp; VLOOKUP(A706,Internal_lists_bugs!$A$2:$Z$73,26,FALSE())),"please select a BUG ID")</f>
        <v>please select a BUG ID</v>
      </c>
      <c r="C706" s="51" t="str">
        <f>IFERROR(__xludf.DUMMYFUNCTION("IFERROR(IF(REGEXMATCH(VLOOKUP(A706,Internal_lists_bugs!$A$2:$R$73,18,FALSE()), ""Yes""), VLOOKUP(A706,Internal_lists_bugs!$A$2:$U$73,21,FALSE()), VLOOKUP(A706,Internal_lists_bugs!$A$2:$R$73,18,FALSE())),""please select a BUG ID"")"),"please select a BUG ID")</f>
        <v>please select a BUG ID</v>
      </c>
      <c r="D706" s="43"/>
      <c r="F706" s="62"/>
      <c r="G706" s="63"/>
      <c r="H706" s="43"/>
      <c r="J706" s="62"/>
      <c r="K706" s="63"/>
    </row>
    <row r="707">
      <c r="A707" s="78"/>
      <c r="B707" s="59" t="str">
        <f>IFERROR(HYPERLINK(VLOOKUP(A707,Internal_lists_bugs!$A$2:$C$73,3,FALSE()), VLOOKUP(A707,Internal_lists_bugs!$A$2:$C$73,3,FALSE())&amp;Char(10) &amp; Char(10) &amp; VLOOKUP(A707,Internal_lists_bugs!$A$2:$Z$73,26,FALSE())),"please select a BUG ID")</f>
        <v>please select a BUG ID</v>
      </c>
      <c r="C707" s="51" t="str">
        <f>IFERROR(__xludf.DUMMYFUNCTION("IFERROR(IF(REGEXMATCH(VLOOKUP(A707,Internal_lists_bugs!$A$2:$R$73,18,FALSE()), ""Yes""), VLOOKUP(A707,Internal_lists_bugs!$A$2:$U$73,21,FALSE()), VLOOKUP(A707,Internal_lists_bugs!$A$2:$R$73,18,FALSE())),""please select a BUG ID"")"),"please select a BUG ID")</f>
        <v>please select a BUG ID</v>
      </c>
      <c r="D707" s="43"/>
      <c r="F707" s="62"/>
      <c r="G707" s="63"/>
      <c r="H707" s="43"/>
      <c r="J707" s="62"/>
      <c r="K707" s="63"/>
    </row>
    <row r="708">
      <c r="A708" s="78"/>
      <c r="B708" s="59" t="str">
        <f>IFERROR(HYPERLINK(VLOOKUP(A708,Internal_lists_bugs!$A$2:$C$73,3,FALSE()), VLOOKUP(A708,Internal_lists_bugs!$A$2:$C$73,3,FALSE())&amp;Char(10) &amp; Char(10) &amp; VLOOKUP(A708,Internal_lists_bugs!$A$2:$Z$73,26,FALSE())),"please select a BUG ID")</f>
        <v>please select a BUG ID</v>
      </c>
      <c r="C708" s="51" t="str">
        <f>IFERROR(__xludf.DUMMYFUNCTION("IFERROR(IF(REGEXMATCH(VLOOKUP(A708,Internal_lists_bugs!$A$2:$R$73,18,FALSE()), ""Yes""), VLOOKUP(A708,Internal_lists_bugs!$A$2:$U$73,21,FALSE()), VLOOKUP(A708,Internal_lists_bugs!$A$2:$R$73,18,FALSE())),""please select a BUG ID"")"),"please select a BUG ID")</f>
        <v>please select a BUG ID</v>
      </c>
      <c r="D708" s="43"/>
      <c r="F708" s="62"/>
      <c r="G708" s="63"/>
      <c r="H708" s="43"/>
      <c r="J708" s="62"/>
      <c r="K708" s="63"/>
    </row>
    <row r="709">
      <c r="A709" s="78"/>
      <c r="B709" s="59" t="str">
        <f>IFERROR(HYPERLINK(VLOOKUP(A709,Internal_lists_bugs!$A$2:$C$73,3,FALSE()), VLOOKUP(A709,Internal_lists_bugs!$A$2:$C$73,3,FALSE())&amp;Char(10) &amp; Char(10) &amp; VLOOKUP(A709,Internal_lists_bugs!$A$2:$Z$73,26,FALSE())),"please select a BUG ID")</f>
        <v>please select a BUG ID</v>
      </c>
      <c r="C709" s="51" t="str">
        <f>IFERROR(__xludf.DUMMYFUNCTION("IFERROR(IF(REGEXMATCH(VLOOKUP(A709,Internal_lists_bugs!$A$2:$R$73,18,FALSE()), ""Yes""), VLOOKUP(A709,Internal_lists_bugs!$A$2:$U$73,21,FALSE()), VLOOKUP(A709,Internal_lists_bugs!$A$2:$R$73,18,FALSE())),""please select a BUG ID"")"),"please select a BUG ID")</f>
        <v>please select a BUG ID</v>
      </c>
      <c r="D709" s="43"/>
      <c r="F709" s="62"/>
      <c r="G709" s="63"/>
      <c r="H709" s="43"/>
      <c r="J709" s="62"/>
      <c r="K709" s="63"/>
    </row>
    <row r="710">
      <c r="A710" s="78"/>
      <c r="B710" s="59" t="str">
        <f>IFERROR(HYPERLINK(VLOOKUP(A710,Internal_lists_bugs!$A$2:$C$73,3,FALSE()), VLOOKUP(A710,Internal_lists_bugs!$A$2:$C$73,3,FALSE())&amp;Char(10) &amp; Char(10) &amp; VLOOKUP(A710,Internal_lists_bugs!$A$2:$Z$73,26,FALSE())),"please select a BUG ID")</f>
        <v>please select a BUG ID</v>
      </c>
      <c r="C710" s="51" t="str">
        <f>IFERROR(__xludf.DUMMYFUNCTION("IFERROR(IF(REGEXMATCH(VLOOKUP(A710,Internal_lists_bugs!$A$2:$R$73,18,FALSE()), ""Yes""), VLOOKUP(A710,Internal_lists_bugs!$A$2:$U$73,21,FALSE()), VLOOKUP(A710,Internal_lists_bugs!$A$2:$R$73,18,FALSE())),""please select a BUG ID"")"),"please select a BUG ID")</f>
        <v>please select a BUG ID</v>
      </c>
      <c r="D710" s="43"/>
      <c r="F710" s="62"/>
      <c r="G710" s="63"/>
      <c r="H710" s="43"/>
      <c r="J710" s="62"/>
      <c r="K710" s="63"/>
    </row>
    <row r="711">
      <c r="A711" s="78"/>
      <c r="B711" s="59" t="str">
        <f>IFERROR(HYPERLINK(VLOOKUP(A711,Internal_lists_bugs!$A$2:$C$73,3,FALSE()), VLOOKUP(A711,Internal_lists_bugs!$A$2:$C$73,3,FALSE())&amp;Char(10) &amp; Char(10) &amp; VLOOKUP(A711,Internal_lists_bugs!$A$2:$Z$73,26,FALSE())),"please select a BUG ID")</f>
        <v>please select a BUG ID</v>
      </c>
      <c r="C711" s="51" t="str">
        <f>IFERROR(__xludf.DUMMYFUNCTION("IFERROR(IF(REGEXMATCH(VLOOKUP(A711,Internal_lists_bugs!$A$2:$R$73,18,FALSE()), ""Yes""), VLOOKUP(A711,Internal_lists_bugs!$A$2:$U$73,21,FALSE()), VLOOKUP(A711,Internal_lists_bugs!$A$2:$R$73,18,FALSE())),""please select a BUG ID"")"),"please select a BUG ID")</f>
        <v>please select a BUG ID</v>
      </c>
      <c r="D711" s="43"/>
      <c r="F711" s="62"/>
      <c r="G711" s="63"/>
      <c r="H711" s="43"/>
      <c r="J711" s="62"/>
      <c r="K711" s="63"/>
    </row>
    <row r="712">
      <c r="A712" s="78"/>
      <c r="B712" s="59" t="str">
        <f>IFERROR(HYPERLINK(VLOOKUP(A712,Internal_lists_bugs!$A$2:$C$73,3,FALSE()), VLOOKUP(A712,Internal_lists_bugs!$A$2:$C$73,3,FALSE())&amp;Char(10) &amp; Char(10) &amp; VLOOKUP(A712,Internal_lists_bugs!$A$2:$Z$73,26,FALSE())),"please select a BUG ID")</f>
        <v>please select a BUG ID</v>
      </c>
      <c r="C712" s="51" t="str">
        <f>IFERROR(__xludf.DUMMYFUNCTION("IFERROR(IF(REGEXMATCH(VLOOKUP(A712,Internal_lists_bugs!$A$2:$R$73,18,FALSE()), ""Yes""), VLOOKUP(A712,Internal_lists_bugs!$A$2:$U$73,21,FALSE()), VLOOKUP(A712,Internal_lists_bugs!$A$2:$R$73,18,FALSE())),""please select a BUG ID"")"),"please select a BUG ID")</f>
        <v>please select a BUG ID</v>
      </c>
      <c r="D712" s="43"/>
      <c r="F712" s="62"/>
      <c r="G712" s="63"/>
      <c r="H712" s="43"/>
      <c r="J712" s="62"/>
      <c r="K712" s="63"/>
    </row>
    <row r="713">
      <c r="A713" s="78"/>
      <c r="B713" s="59" t="str">
        <f>IFERROR(HYPERLINK(VLOOKUP(A713,Internal_lists_bugs!$A$2:$C$73,3,FALSE()), VLOOKUP(A713,Internal_lists_bugs!$A$2:$C$73,3,FALSE())&amp;Char(10) &amp; Char(10) &amp; VLOOKUP(A713,Internal_lists_bugs!$A$2:$Z$73,26,FALSE())),"please select a BUG ID")</f>
        <v>please select a BUG ID</v>
      </c>
      <c r="C713" s="51" t="str">
        <f>IFERROR(__xludf.DUMMYFUNCTION("IFERROR(IF(REGEXMATCH(VLOOKUP(A713,Internal_lists_bugs!$A$2:$R$73,18,FALSE()), ""Yes""), VLOOKUP(A713,Internal_lists_bugs!$A$2:$U$73,21,FALSE()), VLOOKUP(A713,Internal_lists_bugs!$A$2:$R$73,18,FALSE())),""please select a BUG ID"")"),"please select a BUG ID")</f>
        <v>please select a BUG ID</v>
      </c>
      <c r="D713" s="43"/>
      <c r="F713" s="62"/>
      <c r="G713" s="63"/>
      <c r="H713" s="43"/>
      <c r="J713" s="62"/>
      <c r="K713" s="63"/>
    </row>
    <row r="714">
      <c r="A714" s="78"/>
      <c r="B714" s="59" t="str">
        <f>IFERROR(HYPERLINK(VLOOKUP(A714,Internal_lists_bugs!$A$2:$C$73,3,FALSE()), VLOOKUP(A714,Internal_lists_bugs!$A$2:$C$73,3,FALSE())&amp;Char(10) &amp; Char(10) &amp; VLOOKUP(A714,Internal_lists_bugs!$A$2:$Z$73,26,FALSE())),"please select a BUG ID")</f>
        <v>please select a BUG ID</v>
      </c>
      <c r="C714" s="51" t="str">
        <f>IFERROR(__xludf.DUMMYFUNCTION("IFERROR(IF(REGEXMATCH(VLOOKUP(A714,Internal_lists_bugs!$A$2:$R$73,18,FALSE()), ""Yes""), VLOOKUP(A714,Internal_lists_bugs!$A$2:$U$73,21,FALSE()), VLOOKUP(A714,Internal_lists_bugs!$A$2:$R$73,18,FALSE())),""please select a BUG ID"")"),"please select a BUG ID")</f>
        <v>please select a BUG ID</v>
      </c>
      <c r="D714" s="43"/>
      <c r="F714" s="62"/>
      <c r="G714" s="63"/>
      <c r="H714" s="43"/>
      <c r="J714" s="62"/>
      <c r="K714" s="63"/>
    </row>
    <row r="715">
      <c r="A715" s="78"/>
      <c r="B715" s="59" t="str">
        <f>IFERROR(HYPERLINK(VLOOKUP(A715,Internal_lists_bugs!$A$2:$C$73,3,FALSE()), VLOOKUP(A715,Internal_lists_bugs!$A$2:$C$73,3,FALSE())&amp;Char(10) &amp; Char(10) &amp; VLOOKUP(A715,Internal_lists_bugs!$A$2:$Z$73,26,FALSE())),"please select a BUG ID")</f>
        <v>please select a BUG ID</v>
      </c>
      <c r="C715" s="51" t="str">
        <f>IFERROR(__xludf.DUMMYFUNCTION("IFERROR(IF(REGEXMATCH(VLOOKUP(A715,Internal_lists_bugs!$A$2:$R$73,18,FALSE()), ""Yes""), VLOOKUP(A715,Internal_lists_bugs!$A$2:$U$73,21,FALSE()), VLOOKUP(A715,Internal_lists_bugs!$A$2:$R$73,18,FALSE())),""please select a BUG ID"")"),"please select a BUG ID")</f>
        <v>please select a BUG ID</v>
      </c>
      <c r="D715" s="43"/>
      <c r="F715" s="62"/>
      <c r="G715" s="63"/>
      <c r="H715" s="43"/>
      <c r="J715" s="62"/>
      <c r="K715" s="63"/>
    </row>
    <row r="716">
      <c r="A716" s="78"/>
      <c r="B716" s="59" t="str">
        <f>IFERROR(HYPERLINK(VLOOKUP(A716,Internal_lists_bugs!$A$2:$C$73,3,FALSE()), VLOOKUP(A716,Internal_lists_bugs!$A$2:$C$73,3,FALSE())&amp;Char(10) &amp; Char(10) &amp; VLOOKUP(A716,Internal_lists_bugs!$A$2:$Z$73,26,FALSE())),"please select a BUG ID")</f>
        <v>please select a BUG ID</v>
      </c>
      <c r="C716" s="51" t="str">
        <f>IFERROR(__xludf.DUMMYFUNCTION("IFERROR(IF(REGEXMATCH(VLOOKUP(A716,Internal_lists_bugs!$A$2:$R$73,18,FALSE()), ""Yes""), VLOOKUP(A716,Internal_lists_bugs!$A$2:$U$73,21,FALSE()), VLOOKUP(A716,Internal_lists_bugs!$A$2:$R$73,18,FALSE())),""please select a BUG ID"")"),"please select a BUG ID")</f>
        <v>please select a BUG ID</v>
      </c>
      <c r="D716" s="43"/>
      <c r="F716" s="62"/>
      <c r="G716" s="63"/>
      <c r="H716" s="43"/>
      <c r="J716" s="62"/>
      <c r="K716" s="63"/>
    </row>
    <row r="717">
      <c r="A717" s="78"/>
      <c r="B717" s="59" t="str">
        <f>IFERROR(HYPERLINK(VLOOKUP(A717,Internal_lists_bugs!$A$2:$C$73,3,FALSE()), VLOOKUP(A717,Internal_lists_bugs!$A$2:$C$73,3,FALSE())&amp;Char(10) &amp; Char(10) &amp; VLOOKUP(A717,Internal_lists_bugs!$A$2:$Z$73,26,FALSE())),"please select a BUG ID")</f>
        <v>please select a BUG ID</v>
      </c>
      <c r="C717" s="51" t="str">
        <f>IFERROR(__xludf.DUMMYFUNCTION("IFERROR(IF(REGEXMATCH(VLOOKUP(A717,Internal_lists_bugs!$A$2:$R$73,18,FALSE()), ""Yes""), VLOOKUP(A717,Internal_lists_bugs!$A$2:$U$73,21,FALSE()), VLOOKUP(A717,Internal_lists_bugs!$A$2:$R$73,18,FALSE())),""please select a BUG ID"")"),"please select a BUG ID")</f>
        <v>please select a BUG ID</v>
      </c>
      <c r="D717" s="43"/>
      <c r="F717" s="62"/>
      <c r="G717" s="63"/>
      <c r="H717" s="43"/>
      <c r="J717" s="62"/>
      <c r="K717" s="63"/>
    </row>
    <row r="718">
      <c r="A718" s="78"/>
      <c r="B718" s="59" t="str">
        <f>IFERROR(HYPERLINK(VLOOKUP(A718,Internal_lists_bugs!$A$2:$C$73,3,FALSE()), VLOOKUP(A718,Internal_lists_bugs!$A$2:$C$73,3,FALSE())&amp;Char(10) &amp; Char(10) &amp; VLOOKUP(A718,Internal_lists_bugs!$A$2:$Z$73,26,FALSE())),"please select a BUG ID")</f>
        <v>please select a BUG ID</v>
      </c>
      <c r="C718" s="51" t="str">
        <f>IFERROR(__xludf.DUMMYFUNCTION("IFERROR(IF(REGEXMATCH(VLOOKUP(A718,Internal_lists_bugs!$A$2:$R$73,18,FALSE()), ""Yes""), VLOOKUP(A718,Internal_lists_bugs!$A$2:$U$73,21,FALSE()), VLOOKUP(A718,Internal_lists_bugs!$A$2:$R$73,18,FALSE())),""please select a BUG ID"")"),"please select a BUG ID")</f>
        <v>please select a BUG ID</v>
      </c>
      <c r="D718" s="43"/>
      <c r="F718" s="62"/>
      <c r="G718" s="63"/>
      <c r="H718" s="43"/>
      <c r="J718" s="62"/>
      <c r="K718" s="63"/>
    </row>
    <row r="719">
      <c r="A719" s="78"/>
      <c r="B719" s="59" t="str">
        <f>IFERROR(HYPERLINK(VLOOKUP(A719,Internal_lists_bugs!$A$2:$C$73,3,FALSE()), VLOOKUP(A719,Internal_lists_bugs!$A$2:$C$73,3,FALSE())&amp;Char(10) &amp; Char(10) &amp; VLOOKUP(A719,Internal_lists_bugs!$A$2:$Z$73,26,FALSE())),"please select a BUG ID")</f>
        <v>please select a BUG ID</v>
      </c>
      <c r="C719" s="51" t="str">
        <f>IFERROR(__xludf.DUMMYFUNCTION("IFERROR(IF(REGEXMATCH(VLOOKUP(A719,Internal_lists_bugs!$A$2:$R$73,18,FALSE()), ""Yes""), VLOOKUP(A719,Internal_lists_bugs!$A$2:$U$73,21,FALSE()), VLOOKUP(A719,Internal_lists_bugs!$A$2:$R$73,18,FALSE())),""please select a BUG ID"")"),"please select a BUG ID")</f>
        <v>please select a BUG ID</v>
      </c>
      <c r="D719" s="43"/>
      <c r="F719" s="62"/>
      <c r="G719" s="63"/>
      <c r="H719" s="43"/>
      <c r="J719" s="62"/>
      <c r="K719" s="63"/>
    </row>
    <row r="720">
      <c r="A720" s="78"/>
      <c r="B720" s="59" t="str">
        <f>IFERROR(HYPERLINK(VLOOKUP(A720,Internal_lists_bugs!$A$2:$C$73,3,FALSE()), VLOOKUP(A720,Internal_lists_bugs!$A$2:$C$73,3,FALSE())&amp;Char(10) &amp; Char(10) &amp; VLOOKUP(A720,Internal_lists_bugs!$A$2:$Z$73,26,FALSE())),"please select a BUG ID")</f>
        <v>please select a BUG ID</v>
      </c>
      <c r="C720" s="51" t="str">
        <f>IFERROR(__xludf.DUMMYFUNCTION("IFERROR(IF(REGEXMATCH(VLOOKUP(A720,Internal_lists_bugs!$A$2:$R$73,18,FALSE()), ""Yes""), VLOOKUP(A720,Internal_lists_bugs!$A$2:$U$73,21,FALSE()), VLOOKUP(A720,Internal_lists_bugs!$A$2:$R$73,18,FALSE())),""please select a BUG ID"")"),"please select a BUG ID")</f>
        <v>please select a BUG ID</v>
      </c>
      <c r="D720" s="43"/>
      <c r="F720" s="62"/>
      <c r="G720" s="63"/>
      <c r="H720" s="43"/>
      <c r="J720" s="62"/>
      <c r="K720" s="63"/>
    </row>
    <row r="721">
      <c r="A721" s="78"/>
      <c r="B721" s="59" t="str">
        <f>IFERROR(HYPERLINK(VLOOKUP(A721,Internal_lists_bugs!$A$2:$C$73,3,FALSE()), VLOOKUP(A721,Internal_lists_bugs!$A$2:$C$73,3,FALSE())&amp;Char(10) &amp; Char(10) &amp; VLOOKUP(A721,Internal_lists_bugs!$A$2:$Z$73,26,FALSE())),"please select a BUG ID")</f>
        <v>please select a BUG ID</v>
      </c>
      <c r="C721" s="51" t="str">
        <f>IFERROR(__xludf.DUMMYFUNCTION("IFERROR(IF(REGEXMATCH(VLOOKUP(A721,Internal_lists_bugs!$A$2:$R$73,18,FALSE()), ""Yes""), VLOOKUP(A721,Internal_lists_bugs!$A$2:$U$73,21,FALSE()), VLOOKUP(A721,Internal_lists_bugs!$A$2:$R$73,18,FALSE())),""please select a BUG ID"")"),"please select a BUG ID")</f>
        <v>please select a BUG ID</v>
      </c>
      <c r="D721" s="43"/>
      <c r="F721" s="62"/>
      <c r="G721" s="63"/>
      <c r="H721" s="43"/>
      <c r="J721" s="62"/>
      <c r="K721" s="63"/>
    </row>
    <row r="722">
      <c r="A722" s="78"/>
      <c r="B722" s="59" t="str">
        <f>IFERROR(HYPERLINK(VLOOKUP(A722,Internal_lists_bugs!$A$2:$C$73,3,FALSE()), VLOOKUP(A722,Internal_lists_bugs!$A$2:$C$73,3,FALSE())&amp;Char(10) &amp; Char(10) &amp; VLOOKUP(A722,Internal_lists_bugs!$A$2:$Z$73,26,FALSE())),"please select a BUG ID")</f>
        <v>please select a BUG ID</v>
      </c>
      <c r="C722" s="51" t="str">
        <f>IFERROR(__xludf.DUMMYFUNCTION("IFERROR(IF(REGEXMATCH(VLOOKUP(A722,Internal_lists_bugs!$A$2:$R$73,18,FALSE()), ""Yes""), VLOOKUP(A722,Internal_lists_bugs!$A$2:$U$73,21,FALSE()), VLOOKUP(A722,Internal_lists_bugs!$A$2:$R$73,18,FALSE())),""please select a BUG ID"")"),"please select a BUG ID")</f>
        <v>please select a BUG ID</v>
      </c>
      <c r="D722" s="43"/>
      <c r="F722" s="62"/>
      <c r="G722" s="63"/>
      <c r="H722" s="43"/>
      <c r="J722" s="62"/>
      <c r="K722" s="63"/>
    </row>
    <row r="723">
      <c r="A723" s="78"/>
      <c r="B723" s="59" t="str">
        <f>IFERROR(HYPERLINK(VLOOKUP(A723,Internal_lists_bugs!$A$2:$C$73,3,FALSE()), VLOOKUP(A723,Internal_lists_bugs!$A$2:$C$73,3,FALSE())&amp;Char(10) &amp; Char(10) &amp; VLOOKUP(A723,Internal_lists_bugs!$A$2:$Z$73,26,FALSE())),"please select a BUG ID")</f>
        <v>please select a BUG ID</v>
      </c>
      <c r="C723" s="51" t="str">
        <f>IFERROR(__xludf.DUMMYFUNCTION("IFERROR(IF(REGEXMATCH(VLOOKUP(A723,Internal_lists_bugs!$A$2:$R$73,18,FALSE()), ""Yes""), VLOOKUP(A723,Internal_lists_bugs!$A$2:$U$73,21,FALSE()), VLOOKUP(A723,Internal_lists_bugs!$A$2:$R$73,18,FALSE())),""please select a BUG ID"")"),"please select a BUG ID")</f>
        <v>please select a BUG ID</v>
      </c>
      <c r="D723" s="43"/>
      <c r="F723" s="62"/>
      <c r="G723" s="63"/>
      <c r="H723" s="43"/>
      <c r="J723" s="62"/>
      <c r="K723" s="63"/>
    </row>
    <row r="724">
      <c r="A724" s="78"/>
      <c r="B724" s="59" t="str">
        <f>IFERROR(HYPERLINK(VLOOKUP(A724,Internal_lists_bugs!$A$2:$C$73,3,FALSE()), VLOOKUP(A724,Internal_lists_bugs!$A$2:$C$73,3,FALSE())&amp;Char(10) &amp; Char(10) &amp; VLOOKUP(A724,Internal_lists_bugs!$A$2:$Z$73,26,FALSE())),"please select a BUG ID")</f>
        <v>please select a BUG ID</v>
      </c>
      <c r="C724" s="51" t="str">
        <f>IFERROR(__xludf.DUMMYFUNCTION("IFERROR(IF(REGEXMATCH(VLOOKUP(A724,Internal_lists_bugs!$A$2:$R$73,18,FALSE()), ""Yes""), VLOOKUP(A724,Internal_lists_bugs!$A$2:$U$73,21,FALSE()), VLOOKUP(A724,Internal_lists_bugs!$A$2:$R$73,18,FALSE())),""please select a BUG ID"")"),"please select a BUG ID")</f>
        <v>please select a BUG ID</v>
      </c>
      <c r="D724" s="43"/>
      <c r="F724" s="62"/>
      <c r="G724" s="63"/>
      <c r="H724" s="43"/>
      <c r="J724" s="62"/>
      <c r="K724" s="63"/>
    </row>
    <row r="725">
      <c r="A725" s="78"/>
      <c r="B725" s="59" t="str">
        <f>IFERROR(HYPERLINK(VLOOKUP(A725,Internal_lists_bugs!$A$2:$C$73,3,FALSE()), VLOOKUP(A725,Internal_lists_bugs!$A$2:$C$73,3,FALSE())&amp;Char(10) &amp; Char(10) &amp; VLOOKUP(A725,Internal_lists_bugs!$A$2:$Z$73,26,FALSE())),"please select a BUG ID")</f>
        <v>please select a BUG ID</v>
      </c>
      <c r="C725" s="51" t="str">
        <f>IFERROR(__xludf.DUMMYFUNCTION("IFERROR(IF(REGEXMATCH(VLOOKUP(A725,Internal_lists_bugs!$A$2:$R$73,18,FALSE()), ""Yes""), VLOOKUP(A725,Internal_lists_bugs!$A$2:$U$73,21,FALSE()), VLOOKUP(A725,Internal_lists_bugs!$A$2:$R$73,18,FALSE())),""please select a BUG ID"")"),"please select a BUG ID")</f>
        <v>please select a BUG ID</v>
      </c>
      <c r="D725" s="43"/>
      <c r="F725" s="62"/>
      <c r="G725" s="63"/>
      <c r="H725" s="43"/>
      <c r="J725" s="62"/>
      <c r="K725" s="63"/>
    </row>
    <row r="726">
      <c r="A726" s="78"/>
      <c r="B726" s="59" t="str">
        <f>IFERROR(HYPERLINK(VLOOKUP(A726,Internal_lists_bugs!$A$2:$C$73,3,FALSE()), VLOOKUP(A726,Internal_lists_bugs!$A$2:$C$73,3,FALSE())&amp;Char(10) &amp; Char(10) &amp; VLOOKUP(A726,Internal_lists_bugs!$A$2:$Z$73,26,FALSE())),"please select a BUG ID")</f>
        <v>please select a BUG ID</v>
      </c>
      <c r="C726" s="51" t="str">
        <f>IFERROR(__xludf.DUMMYFUNCTION("IFERROR(IF(REGEXMATCH(VLOOKUP(A726,Internal_lists_bugs!$A$2:$R$73,18,FALSE()), ""Yes""), VLOOKUP(A726,Internal_lists_bugs!$A$2:$U$73,21,FALSE()), VLOOKUP(A726,Internal_lists_bugs!$A$2:$R$73,18,FALSE())),""please select a BUG ID"")"),"please select a BUG ID")</f>
        <v>please select a BUG ID</v>
      </c>
      <c r="D726" s="43"/>
      <c r="F726" s="62"/>
      <c r="G726" s="63"/>
      <c r="H726" s="43"/>
      <c r="J726" s="62"/>
      <c r="K726" s="63"/>
    </row>
    <row r="727">
      <c r="A727" s="78"/>
      <c r="B727" s="59" t="str">
        <f>IFERROR(HYPERLINK(VLOOKUP(A727,Internal_lists_bugs!$A$2:$C$73,3,FALSE()), VLOOKUP(A727,Internal_lists_bugs!$A$2:$C$73,3,FALSE())&amp;Char(10) &amp; Char(10) &amp; VLOOKUP(A727,Internal_lists_bugs!$A$2:$Z$73,26,FALSE())),"please select a BUG ID")</f>
        <v>please select a BUG ID</v>
      </c>
      <c r="C727" s="51" t="str">
        <f>IFERROR(__xludf.DUMMYFUNCTION("IFERROR(IF(REGEXMATCH(VLOOKUP(A727,Internal_lists_bugs!$A$2:$R$73,18,FALSE()), ""Yes""), VLOOKUP(A727,Internal_lists_bugs!$A$2:$U$73,21,FALSE()), VLOOKUP(A727,Internal_lists_bugs!$A$2:$R$73,18,FALSE())),""please select a BUG ID"")"),"please select a BUG ID")</f>
        <v>please select a BUG ID</v>
      </c>
      <c r="D727" s="43"/>
      <c r="F727" s="62"/>
      <c r="G727" s="63"/>
      <c r="H727" s="43"/>
      <c r="J727" s="62"/>
      <c r="K727" s="63"/>
    </row>
    <row r="728">
      <c r="A728" s="78"/>
      <c r="B728" s="59" t="str">
        <f>IFERROR(HYPERLINK(VLOOKUP(A728,Internal_lists_bugs!$A$2:$C$73,3,FALSE()), VLOOKUP(A728,Internal_lists_bugs!$A$2:$C$73,3,FALSE())&amp;Char(10) &amp; Char(10) &amp; VLOOKUP(A728,Internal_lists_bugs!$A$2:$Z$73,26,FALSE())),"please select a BUG ID")</f>
        <v>please select a BUG ID</v>
      </c>
      <c r="C728" s="51" t="str">
        <f>IFERROR(__xludf.DUMMYFUNCTION("IFERROR(IF(REGEXMATCH(VLOOKUP(A728,Internal_lists_bugs!$A$2:$R$73,18,FALSE()), ""Yes""), VLOOKUP(A728,Internal_lists_bugs!$A$2:$U$73,21,FALSE()), VLOOKUP(A728,Internal_lists_bugs!$A$2:$R$73,18,FALSE())),""please select a BUG ID"")"),"please select a BUG ID")</f>
        <v>please select a BUG ID</v>
      </c>
      <c r="D728" s="43"/>
      <c r="F728" s="62"/>
      <c r="G728" s="63"/>
      <c r="H728" s="43"/>
      <c r="J728" s="62"/>
      <c r="K728" s="63"/>
    </row>
    <row r="729">
      <c r="A729" s="78"/>
      <c r="B729" s="59" t="str">
        <f>IFERROR(HYPERLINK(VLOOKUP(A729,Internal_lists_bugs!$A$2:$C$73,3,FALSE()), VLOOKUP(A729,Internal_lists_bugs!$A$2:$C$73,3,FALSE())&amp;Char(10) &amp; Char(10) &amp; VLOOKUP(A729,Internal_lists_bugs!$A$2:$Z$73,26,FALSE())),"please select a BUG ID")</f>
        <v>please select a BUG ID</v>
      </c>
      <c r="C729" s="51" t="str">
        <f>IFERROR(__xludf.DUMMYFUNCTION("IFERROR(IF(REGEXMATCH(VLOOKUP(A729,Internal_lists_bugs!$A$2:$R$73,18,FALSE()), ""Yes""), VLOOKUP(A729,Internal_lists_bugs!$A$2:$U$73,21,FALSE()), VLOOKUP(A729,Internal_lists_bugs!$A$2:$R$73,18,FALSE())),""please select a BUG ID"")"),"please select a BUG ID")</f>
        <v>please select a BUG ID</v>
      </c>
      <c r="D729" s="43"/>
      <c r="F729" s="62"/>
      <c r="G729" s="63"/>
      <c r="H729" s="43"/>
      <c r="J729" s="62"/>
      <c r="K729" s="63"/>
    </row>
    <row r="730">
      <c r="A730" s="78"/>
      <c r="B730" s="59" t="str">
        <f>IFERROR(HYPERLINK(VLOOKUP(A730,Internal_lists_bugs!$A$2:$C$73,3,FALSE()), VLOOKUP(A730,Internal_lists_bugs!$A$2:$C$73,3,FALSE())&amp;Char(10) &amp; Char(10) &amp; VLOOKUP(A730,Internal_lists_bugs!$A$2:$Z$73,26,FALSE())),"please select a BUG ID")</f>
        <v>please select a BUG ID</v>
      </c>
      <c r="C730" s="51" t="str">
        <f>IFERROR(__xludf.DUMMYFUNCTION("IFERROR(IF(REGEXMATCH(VLOOKUP(A730,Internal_lists_bugs!$A$2:$R$73,18,FALSE()), ""Yes""), VLOOKUP(A730,Internal_lists_bugs!$A$2:$U$73,21,FALSE()), VLOOKUP(A730,Internal_lists_bugs!$A$2:$R$73,18,FALSE())),""please select a BUG ID"")"),"please select a BUG ID")</f>
        <v>please select a BUG ID</v>
      </c>
      <c r="D730" s="43"/>
      <c r="F730" s="62"/>
      <c r="G730" s="63"/>
      <c r="H730" s="43"/>
      <c r="J730" s="62"/>
      <c r="K730" s="63"/>
    </row>
    <row r="731">
      <c r="A731" s="78"/>
      <c r="B731" s="59" t="str">
        <f>IFERROR(HYPERLINK(VLOOKUP(A731,Internal_lists_bugs!$A$2:$C$73,3,FALSE()), VLOOKUP(A731,Internal_lists_bugs!$A$2:$C$73,3,FALSE())&amp;Char(10) &amp; Char(10) &amp; VLOOKUP(A731,Internal_lists_bugs!$A$2:$Z$73,26,FALSE())),"please select a BUG ID")</f>
        <v>please select a BUG ID</v>
      </c>
      <c r="C731" s="51" t="str">
        <f>IFERROR(__xludf.DUMMYFUNCTION("IFERROR(IF(REGEXMATCH(VLOOKUP(A731,Internal_lists_bugs!$A$2:$R$73,18,FALSE()), ""Yes""), VLOOKUP(A731,Internal_lists_bugs!$A$2:$U$73,21,FALSE()), VLOOKUP(A731,Internal_lists_bugs!$A$2:$R$73,18,FALSE())),""please select a BUG ID"")"),"please select a BUG ID")</f>
        <v>please select a BUG ID</v>
      </c>
      <c r="D731" s="43"/>
      <c r="F731" s="62"/>
      <c r="G731" s="63"/>
      <c r="H731" s="43"/>
      <c r="J731" s="62"/>
      <c r="K731" s="63"/>
    </row>
    <row r="732">
      <c r="A732" s="78"/>
      <c r="B732" s="59" t="str">
        <f>IFERROR(HYPERLINK(VLOOKUP(A732,Internal_lists_bugs!$A$2:$C$73,3,FALSE()), VLOOKUP(A732,Internal_lists_bugs!$A$2:$C$73,3,FALSE())&amp;Char(10) &amp; Char(10) &amp; VLOOKUP(A732,Internal_lists_bugs!$A$2:$Z$73,26,FALSE())),"please select a BUG ID")</f>
        <v>please select a BUG ID</v>
      </c>
      <c r="C732" s="51" t="str">
        <f>IFERROR(__xludf.DUMMYFUNCTION("IFERROR(IF(REGEXMATCH(VLOOKUP(A732,Internal_lists_bugs!$A$2:$R$73,18,FALSE()), ""Yes""), VLOOKUP(A732,Internal_lists_bugs!$A$2:$U$73,21,FALSE()), VLOOKUP(A732,Internal_lists_bugs!$A$2:$R$73,18,FALSE())),""please select a BUG ID"")"),"please select a BUG ID")</f>
        <v>please select a BUG ID</v>
      </c>
      <c r="D732" s="43"/>
      <c r="F732" s="62"/>
      <c r="G732" s="63"/>
      <c r="H732" s="43"/>
      <c r="J732" s="62"/>
      <c r="K732" s="63"/>
    </row>
    <row r="733">
      <c r="A733" s="78"/>
      <c r="B733" s="59" t="str">
        <f>IFERROR(HYPERLINK(VLOOKUP(A733,Internal_lists_bugs!$A$2:$C$73,3,FALSE()), VLOOKUP(A733,Internal_lists_bugs!$A$2:$C$73,3,FALSE())&amp;Char(10) &amp; Char(10) &amp; VLOOKUP(A733,Internal_lists_bugs!$A$2:$Z$73,26,FALSE())),"please select a BUG ID")</f>
        <v>please select a BUG ID</v>
      </c>
      <c r="C733" s="51" t="str">
        <f>IFERROR(__xludf.DUMMYFUNCTION("IFERROR(IF(REGEXMATCH(VLOOKUP(A733,Internal_lists_bugs!$A$2:$R$73,18,FALSE()), ""Yes""), VLOOKUP(A733,Internal_lists_bugs!$A$2:$U$73,21,FALSE()), VLOOKUP(A733,Internal_lists_bugs!$A$2:$R$73,18,FALSE())),""please select a BUG ID"")"),"please select a BUG ID")</f>
        <v>please select a BUG ID</v>
      </c>
      <c r="D733" s="43"/>
      <c r="F733" s="62"/>
      <c r="G733" s="63"/>
      <c r="H733" s="43"/>
      <c r="J733" s="62"/>
      <c r="K733" s="63"/>
    </row>
    <row r="734">
      <c r="A734" s="78"/>
      <c r="B734" s="59" t="str">
        <f>IFERROR(HYPERLINK(VLOOKUP(A734,Internal_lists_bugs!$A$2:$C$73,3,FALSE()), VLOOKUP(A734,Internal_lists_bugs!$A$2:$C$73,3,FALSE())&amp;Char(10) &amp; Char(10) &amp; VLOOKUP(A734,Internal_lists_bugs!$A$2:$Z$73,26,FALSE())),"please select a BUG ID")</f>
        <v>please select a BUG ID</v>
      </c>
      <c r="C734" s="51" t="str">
        <f>IFERROR(__xludf.DUMMYFUNCTION("IFERROR(IF(REGEXMATCH(VLOOKUP(A734,Internal_lists_bugs!$A$2:$R$73,18,FALSE()), ""Yes""), VLOOKUP(A734,Internal_lists_bugs!$A$2:$U$73,21,FALSE()), VLOOKUP(A734,Internal_lists_bugs!$A$2:$R$73,18,FALSE())),""please select a BUG ID"")"),"please select a BUG ID")</f>
        <v>please select a BUG ID</v>
      </c>
      <c r="D734" s="43"/>
      <c r="F734" s="62"/>
      <c r="G734" s="63"/>
      <c r="H734" s="43"/>
      <c r="J734" s="62"/>
      <c r="K734" s="63"/>
    </row>
    <row r="735">
      <c r="A735" s="78"/>
      <c r="B735" s="59" t="str">
        <f>IFERROR(HYPERLINK(VLOOKUP(A735,Internal_lists_bugs!$A$2:$C$73,3,FALSE()), VLOOKUP(A735,Internal_lists_bugs!$A$2:$C$73,3,FALSE())&amp;Char(10) &amp; Char(10) &amp; VLOOKUP(A735,Internal_lists_bugs!$A$2:$Z$73,26,FALSE())),"please select a BUG ID")</f>
        <v>please select a BUG ID</v>
      </c>
      <c r="C735" s="51" t="str">
        <f>IFERROR(__xludf.DUMMYFUNCTION("IFERROR(IF(REGEXMATCH(VLOOKUP(A735,Internal_lists_bugs!$A$2:$R$73,18,FALSE()), ""Yes""), VLOOKUP(A735,Internal_lists_bugs!$A$2:$U$73,21,FALSE()), VLOOKUP(A735,Internal_lists_bugs!$A$2:$R$73,18,FALSE())),""please select a BUG ID"")"),"please select a BUG ID")</f>
        <v>please select a BUG ID</v>
      </c>
      <c r="D735" s="43"/>
      <c r="F735" s="62"/>
      <c r="G735" s="63"/>
      <c r="H735" s="43"/>
      <c r="J735" s="62"/>
      <c r="K735" s="63"/>
    </row>
    <row r="736">
      <c r="A736" s="78"/>
      <c r="B736" s="59" t="str">
        <f>IFERROR(HYPERLINK(VLOOKUP(A736,Internal_lists_bugs!$A$2:$C$73,3,FALSE()), VLOOKUP(A736,Internal_lists_bugs!$A$2:$C$73,3,FALSE())&amp;Char(10) &amp; Char(10) &amp; VLOOKUP(A736,Internal_lists_bugs!$A$2:$Z$73,26,FALSE())),"please select a BUG ID")</f>
        <v>please select a BUG ID</v>
      </c>
      <c r="C736" s="51" t="str">
        <f>IFERROR(__xludf.DUMMYFUNCTION("IFERROR(IF(REGEXMATCH(VLOOKUP(A736,Internal_lists_bugs!$A$2:$R$73,18,FALSE()), ""Yes""), VLOOKUP(A736,Internal_lists_bugs!$A$2:$U$73,21,FALSE()), VLOOKUP(A736,Internal_lists_bugs!$A$2:$R$73,18,FALSE())),""please select a BUG ID"")"),"please select a BUG ID")</f>
        <v>please select a BUG ID</v>
      </c>
      <c r="D736" s="43"/>
      <c r="F736" s="62"/>
      <c r="G736" s="63"/>
      <c r="H736" s="43"/>
      <c r="J736" s="62"/>
      <c r="K736" s="63"/>
    </row>
    <row r="737">
      <c r="A737" s="78"/>
      <c r="B737" s="59" t="str">
        <f>IFERROR(HYPERLINK(VLOOKUP(A737,Internal_lists_bugs!$A$2:$C$73,3,FALSE()), VLOOKUP(A737,Internal_lists_bugs!$A$2:$C$73,3,FALSE())&amp;Char(10) &amp; Char(10) &amp; VLOOKUP(A737,Internal_lists_bugs!$A$2:$Z$73,26,FALSE())),"please select a BUG ID")</f>
        <v>please select a BUG ID</v>
      </c>
      <c r="C737" s="51" t="str">
        <f>IFERROR(__xludf.DUMMYFUNCTION("IFERROR(IF(REGEXMATCH(VLOOKUP(A737,Internal_lists_bugs!$A$2:$R$73,18,FALSE()), ""Yes""), VLOOKUP(A737,Internal_lists_bugs!$A$2:$U$73,21,FALSE()), VLOOKUP(A737,Internal_lists_bugs!$A$2:$R$73,18,FALSE())),""please select a BUG ID"")"),"please select a BUG ID")</f>
        <v>please select a BUG ID</v>
      </c>
      <c r="D737" s="43"/>
      <c r="F737" s="62"/>
      <c r="G737" s="63"/>
      <c r="H737" s="43"/>
      <c r="J737" s="62"/>
      <c r="K737" s="63"/>
    </row>
    <row r="738">
      <c r="A738" s="78"/>
      <c r="B738" s="59" t="str">
        <f>IFERROR(HYPERLINK(VLOOKUP(A738,Internal_lists_bugs!$A$2:$C$73,3,FALSE()), VLOOKUP(A738,Internal_lists_bugs!$A$2:$C$73,3,FALSE())&amp;Char(10) &amp; Char(10) &amp; VLOOKUP(A738,Internal_lists_bugs!$A$2:$Z$73,26,FALSE())),"please select a BUG ID")</f>
        <v>please select a BUG ID</v>
      </c>
      <c r="C738" s="51" t="str">
        <f>IFERROR(__xludf.DUMMYFUNCTION("IFERROR(IF(REGEXMATCH(VLOOKUP(A738,Internal_lists_bugs!$A$2:$R$73,18,FALSE()), ""Yes""), VLOOKUP(A738,Internal_lists_bugs!$A$2:$U$73,21,FALSE()), VLOOKUP(A738,Internal_lists_bugs!$A$2:$R$73,18,FALSE())),""please select a BUG ID"")"),"please select a BUG ID")</f>
        <v>please select a BUG ID</v>
      </c>
      <c r="D738" s="43"/>
      <c r="F738" s="62"/>
      <c r="G738" s="63"/>
      <c r="H738" s="43"/>
      <c r="J738" s="62"/>
      <c r="K738" s="63"/>
    </row>
    <row r="739">
      <c r="A739" s="78"/>
      <c r="B739" s="59" t="str">
        <f>IFERROR(HYPERLINK(VLOOKUP(A739,Internal_lists_bugs!$A$2:$C$73,3,FALSE()), VLOOKUP(A739,Internal_lists_bugs!$A$2:$C$73,3,FALSE())&amp;Char(10) &amp; Char(10) &amp; VLOOKUP(A739,Internal_lists_bugs!$A$2:$Z$73,26,FALSE())),"please select a BUG ID")</f>
        <v>please select a BUG ID</v>
      </c>
      <c r="C739" s="51" t="str">
        <f>IFERROR(__xludf.DUMMYFUNCTION("IFERROR(IF(REGEXMATCH(VLOOKUP(A739,Internal_lists_bugs!$A$2:$R$73,18,FALSE()), ""Yes""), VLOOKUP(A739,Internal_lists_bugs!$A$2:$U$73,21,FALSE()), VLOOKUP(A739,Internal_lists_bugs!$A$2:$R$73,18,FALSE())),""please select a BUG ID"")"),"please select a BUG ID")</f>
        <v>please select a BUG ID</v>
      </c>
      <c r="D739" s="43"/>
      <c r="F739" s="62"/>
      <c r="G739" s="63"/>
      <c r="H739" s="43"/>
      <c r="J739" s="62"/>
      <c r="K739" s="63"/>
    </row>
    <row r="740">
      <c r="A740" s="78"/>
      <c r="B740" s="59" t="str">
        <f>IFERROR(HYPERLINK(VLOOKUP(A740,Internal_lists_bugs!$A$2:$C$73,3,FALSE()), VLOOKUP(A740,Internal_lists_bugs!$A$2:$C$73,3,FALSE())&amp;Char(10) &amp; Char(10) &amp; VLOOKUP(A740,Internal_lists_bugs!$A$2:$Z$73,26,FALSE())),"please select a BUG ID")</f>
        <v>please select a BUG ID</v>
      </c>
      <c r="C740" s="51" t="str">
        <f>IFERROR(__xludf.DUMMYFUNCTION("IFERROR(IF(REGEXMATCH(VLOOKUP(A740,Internal_lists_bugs!$A$2:$R$73,18,FALSE()), ""Yes""), VLOOKUP(A740,Internal_lists_bugs!$A$2:$U$73,21,FALSE()), VLOOKUP(A740,Internal_lists_bugs!$A$2:$R$73,18,FALSE())),""please select a BUG ID"")"),"please select a BUG ID")</f>
        <v>please select a BUG ID</v>
      </c>
      <c r="D740" s="43"/>
      <c r="F740" s="62"/>
      <c r="G740" s="63"/>
      <c r="H740" s="43"/>
      <c r="J740" s="62"/>
      <c r="K740" s="63"/>
    </row>
    <row r="741">
      <c r="A741" s="78"/>
      <c r="B741" s="59" t="str">
        <f>IFERROR(HYPERLINK(VLOOKUP(A741,Internal_lists_bugs!$A$2:$C$73,3,FALSE()), VLOOKUP(A741,Internal_lists_bugs!$A$2:$C$73,3,FALSE())&amp;Char(10) &amp; Char(10) &amp; VLOOKUP(A741,Internal_lists_bugs!$A$2:$Z$73,26,FALSE())),"please select a BUG ID")</f>
        <v>please select a BUG ID</v>
      </c>
      <c r="C741" s="51" t="str">
        <f>IFERROR(__xludf.DUMMYFUNCTION("IFERROR(IF(REGEXMATCH(VLOOKUP(A741,Internal_lists_bugs!$A$2:$R$73,18,FALSE()), ""Yes""), VLOOKUP(A741,Internal_lists_bugs!$A$2:$U$73,21,FALSE()), VLOOKUP(A741,Internal_lists_bugs!$A$2:$R$73,18,FALSE())),""please select a BUG ID"")"),"please select a BUG ID")</f>
        <v>please select a BUG ID</v>
      </c>
      <c r="D741" s="43"/>
      <c r="F741" s="62"/>
      <c r="G741" s="63"/>
      <c r="H741" s="43"/>
      <c r="J741" s="62"/>
      <c r="K741" s="63"/>
    </row>
    <row r="742">
      <c r="A742" s="78"/>
      <c r="B742" s="59" t="str">
        <f>IFERROR(HYPERLINK(VLOOKUP(A742,Internal_lists_bugs!$A$2:$C$73,3,FALSE()), VLOOKUP(A742,Internal_lists_bugs!$A$2:$C$73,3,FALSE())&amp;Char(10) &amp; Char(10) &amp; VLOOKUP(A742,Internal_lists_bugs!$A$2:$Z$73,26,FALSE())),"please select a BUG ID")</f>
        <v>please select a BUG ID</v>
      </c>
      <c r="C742" s="51" t="str">
        <f>IFERROR(__xludf.DUMMYFUNCTION("IFERROR(IF(REGEXMATCH(VLOOKUP(A742,Internal_lists_bugs!$A$2:$R$73,18,FALSE()), ""Yes""), VLOOKUP(A742,Internal_lists_bugs!$A$2:$U$73,21,FALSE()), VLOOKUP(A742,Internal_lists_bugs!$A$2:$R$73,18,FALSE())),""please select a BUG ID"")"),"please select a BUG ID")</f>
        <v>please select a BUG ID</v>
      </c>
      <c r="D742" s="43"/>
      <c r="F742" s="62"/>
      <c r="G742" s="63"/>
      <c r="H742" s="43"/>
      <c r="J742" s="62"/>
      <c r="K742" s="63"/>
    </row>
    <row r="743">
      <c r="A743" s="78"/>
      <c r="B743" s="59" t="str">
        <f>IFERROR(HYPERLINK(VLOOKUP(A743,Internal_lists_bugs!$A$2:$C$73,3,FALSE()), VLOOKUP(A743,Internal_lists_bugs!$A$2:$C$73,3,FALSE())&amp;Char(10) &amp; Char(10) &amp; VLOOKUP(A743,Internal_lists_bugs!$A$2:$Z$73,26,FALSE())),"please select a BUG ID")</f>
        <v>please select a BUG ID</v>
      </c>
      <c r="C743" s="51" t="str">
        <f>IFERROR(__xludf.DUMMYFUNCTION("IFERROR(IF(REGEXMATCH(VLOOKUP(A743,Internal_lists_bugs!$A$2:$R$73,18,FALSE()), ""Yes""), VLOOKUP(A743,Internal_lists_bugs!$A$2:$U$73,21,FALSE()), VLOOKUP(A743,Internal_lists_bugs!$A$2:$R$73,18,FALSE())),""please select a BUG ID"")"),"please select a BUG ID")</f>
        <v>please select a BUG ID</v>
      </c>
      <c r="D743" s="43"/>
      <c r="F743" s="62"/>
      <c r="G743" s="63"/>
      <c r="H743" s="43"/>
      <c r="J743" s="62"/>
      <c r="K743" s="63"/>
    </row>
    <row r="744">
      <c r="A744" s="78"/>
      <c r="B744" s="59" t="str">
        <f>IFERROR(HYPERLINK(VLOOKUP(A744,Internal_lists_bugs!$A$2:$C$73,3,FALSE()), VLOOKUP(A744,Internal_lists_bugs!$A$2:$C$73,3,FALSE())&amp;Char(10) &amp; Char(10) &amp; VLOOKUP(A744,Internal_lists_bugs!$A$2:$Z$73,26,FALSE())),"please select a BUG ID")</f>
        <v>please select a BUG ID</v>
      </c>
      <c r="C744" s="51" t="str">
        <f>IFERROR(__xludf.DUMMYFUNCTION("IFERROR(IF(REGEXMATCH(VLOOKUP(A744,Internal_lists_bugs!$A$2:$R$73,18,FALSE()), ""Yes""), VLOOKUP(A744,Internal_lists_bugs!$A$2:$U$73,21,FALSE()), VLOOKUP(A744,Internal_lists_bugs!$A$2:$R$73,18,FALSE())),""please select a BUG ID"")"),"please select a BUG ID")</f>
        <v>please select a BUG ID</v>
      </c>
      <c r="D744" s="43"/>
      <c r="F744" s="62"/>
      <c r="G744" s="63"/>
      <c r="H744" s="43"/>
      <c r="J744" s="62"/>
      <c r="K744" s="63"/>
    </row>
    <row r="745">
      <c r="A745" s="78"/>
      <c r="B745" s="59" t="str">
        <f>IFERROR(HYPERLINK(VLOOKUP(A745,Internal_lists_bugs!$A$2:$C$73,3,FALSE()), VLOOKUP(A745,Internal_lists_bugs!$A$2:$C$73,3,FALSE())&amp;Char(10) &amp; Char(10) &amp; VLOOKUP(A745,Internal_lists_bugs!$A$2:$Z$73,26,FALSE())),"please select a BUG ID")</f>
        <v>please select a BUG ID</v>
      </c>
      <c r="C745" s="51" t="str">
        <f>IFERROR(__xludf.DUMMYFUNCTION("IFERROR(IF(REGEXMATCH(VLOOKUP(A745,Internal_lists_bugs!$A$2:$R$73,18,FALSE()), ""Yes""), VLOOKUP(A745,Internal_lists_bugs!$A$2:$U$73,21,FALSE()), VLOOKUP(A745,Internal_lists_bugs!$A$2:$R$73,18,FALSE())),""please select a BUG ID"")"),"please select a BUG ID")</f>
        <v>please select a BUG ID</v>
      </c>
      <c r="D745" s="43"/>
      <c r="F745" s="62"/>
      <c r="G745" s="63"/>
      <c r="H745" s="43"/>
      <c r="J745" s="62"/>
      <c r="K745" s="63"/>
    </row>
    <row r="746">
      <c r="A746" s="78"/>
      <c r="B746" s="59" t="str">
        <f>IFERROR(HYPERLINK(VLOOKUP(A746,Internal_lists_bugs!$A$2:$C$73,3,FALSE()), VLOOKUP(A746,Internal_lists_bugs!$A$2:$C$73,3,FALSE())&amp;Char(10) &amp; Char(10) &amp; VLOOKUP(A746,Internal_lists_bugs!$A$2:$Z$73,26,FALSE())),"please select a BUG ID")</f>
        <v>please select a BUG ID</v>
      </c>
      <c r="C746" s="51" t="str">
        <f>IFERROR(__xludf.DUMMYFUNCTION("IFERROR(IF(REGEXMATCH(VLOOKUP(A746,Internal_lists_bugs!$A$2:$R$73,18,FALSE()), ""Yes""), VLOOKUP(A746,Internal_lists_bugs!$A$2:$U$73,21,FALSE()), VLOOKUP(A746,Internal_lists_bugs!$A$2:$R$73,18,FALSE())),""please select a BUG ID"")"),"please select a BUG ID")</f>
        <v>please select a BUG ID</v>
      </c>
      <c r="D746" s="43"/>
      <c r="F746" s="62"/>
      <c r="G746" s="63"/>
      <c r="H746" s="43"/>
      <c r="J746" s="62"/>
      <c r="K746" s="63"/>
    </row>
    <row r="747">
      <c r="A747" s="78"/>
      <c r="B747" s="59" t="str">
        <f>IFERROR(HYPERLINK(VLOOKUP(A747,Internal_lists_bugs!$A$2:$C$73,3,FALSE()), VLOOKUP(A747,Internal_lists_bugs!$A$2:$C$73,3,FALSE())&amp;Char(10) &amp; Char(10) &amp; VLOOKUP(A747,Internal_lists_bugs!$A$2:$Z$73,26,FALSE())),"please select a BUG ID")</f>
        <v>please select a BUG ID</v>
      </c>
      <c r="C747" s="51" t="str">
        <f>IFERROR(__xludf.DUMMYFUNCTION("IFERROR(IF(REGEXMATCH(VLOOKUP(A747,Internal_lists_bugs!$A$2:$R$73,18,FALSE()), ""Yes""), VLOOKUP(A747,Internal_lists_bugs!$A$2:$U$73,21,FALSE()), VLOOKUP(A747,Internal_lists_bugs!$A$2:$R$73,18,FALSE())),""please select a BUG ID"")"),"please select a BUG ID")</f>
        <v>please select a BUG ID</v>
      </c>
      <c r="D747" s="43"/>
      <c r="F747" s="62"/>
      <c r="G747" s="63"/>
      <c r="H747" s="43"/>
      <c r="J747" s="62"/>
      <c r="K747" s="63"/>
    </row>
    <row r="748">
      <c r="A748" s="78"/>
      <c r="B748" s="59" t="str">
        <f>IFERROR(HYPERLINK(VLOOKUP(A748,Internal_lists_bugs!$A$2:$C$73,3,FALSE()), VLOOKUP(A748,Internal_lists_bugs!$A$2:$C$73,3,FALSE())&amp;Char(10) &amp; Char(10) &amp; VLOOKUP(A748,Internal_lists_bugs!$A$2:$Z$73,26,FALSE())),"please select a BUG ID")</f>
        <v>please select a BUG ID</v>
      </c>
      <c r="C748" s="51" t="str">
        <f>IFERROR(__xludf.DUMMYFUNCTION("IFERROR(IF(REGEXMATCH(VLOOKUP(A748,Internal_lists_bugs!$A$2:$R$73,18,FALSE()), ""Yes""), VLOOKUP(A748,Internal_lists_bugs!$A$2:$U$73,21,FALSE()), VLOOKUP(A748,Internal_lists_bugs!$A$2:$R$73,18,FALSE())),""please select a BUG ID"")"),"please select a BUG ID")</f>
        <v>please select a BUG ID</v>
      </c>
      <c r="D748" s="43"/>
      <c r="F748" s="62"/>
      <c r="G748" s="63"/>
      <c r="H748" s="43"/>
      <c r="J748" s="62"/>
      <c r="K748" s="63"/>
    </row>
    <row r="749">
      <c r="A749" s="78"/>
      <c r="B749" s="59" t="str">
        <f>IFERROR(HYPERLINK(VLOOKUP(A749,Internal_lists_bugs!$A$2:$C$73,3,FALSE()), VLOOKUP(A749,Internal_lists_bugs!$A$2:$C$73,3,FALSE())&amp;Char(10) &amp; Char(10) &amp; VLOOKUP(A749,Internal_lists_bugs!$A$2:$Z$73,26,FALSE())),"please select a BUG ID")</f>
        <v>please select a BUG ID</v>
      </c>
      <c r="C749" s="51" t="str">
        <f>IFERROR(__xludf.DUMMYFUNCTION("IFERROR(IF(REGEXMATCH(VLOOKUP(A749,Internal_lists_bugs!$A$2:$R$73,18,FALSE()), ""Yes""), VLOOKUP(A749,Internal_lists_bugs!$A$2:$U$73,21,FALSE()), VLOOKUP(A749,Internal_lists_bugs!$A$2:$R$73,18,FALSE())),""please select a BUG ID"")"),"please select a BUG ID")</f>
        <v>please select a BUG ID</v>
      </c>
      <c r="D749" s="43"/>
      <c r="F749" s="62"/>
      <c r="G749" s="63"/>
      <c r="H749" s="43"/>
      <c r="J749" s="62"/>
      <c r="K749" s="63"/>
    </row>
    <row r="750">
      <c r="A750" s="78"/>
      <c r="B750" s="59" t="str">
        <f>IFERROR(HYPERLINK(VLOOKUP(A750,Internal_lists_bugs!$A$2:$C$73,3,FALSE()), VLOOKUP(A750,Internal_lists_bugs!$A$2:$C$73,3,FALSE())&amp;Char(10) &amp; Char(10) &amp; VLOOKUP(A750,Internal_lists_bugs!$A$2:$Z$73,26,FALSE())),"please select a BUG ID")</f>
        <v>please select a BUG ID</v>
      </c>
      <c r="C750" s="51" t="str">
        <f>IFERROR(__xludf.DUMMYFUNCTION("IFERROR(IF(REGEXMATCH(VLOOKUP(A750,Internal_lists_bugs!$A$2:$R$73,18,FALSE()), ""Yes""), VLOOKUP(A750,Internal_lists_bugs!$A$2:$U$73,21,FALSE()), VLOOKUP(A750,Internal_lists_bugs!$A$2:$R$73,18,FALSE())),""please select a BUG ID"")"),"please select a BUG ID")</f>
        <v>please select a BUG ID</v>
      </c>
      <c r="D750" s="43"/>
      <c r="F750" s="62"/>
      <c r="G750" s="63"/>
      <c r="H750" s="43"/>
      <c r="J750" s="62"/>
      <c r="K750" s="63"/>
    </row>
    <row r="751">
      <c r="A751" s="78"/>
      <c r="B751" s="59" t="str">
        <f>IFERROR(HYPERLINK(VLOOKUP(A751,Internal_lists_bugs!$A$2:$C$73,3,FALSE()), VLOOKUP(A751,Internal_lists_bugs!$A$2:$C$73,3,FALSE())&amp;Char(10) &amp; Char(10) &amp; VLOOKUP(A751,Internal_lists_bugs!$A$2:$Z$73,26,FALSE())),"please select a BUG ID")</f>
        <v>please select a BUG ID</v>
      </c>
      <c r="C751" s="51" t="str">
        <f>IFERROR(__xludf.DUMMYFUNCTION("IFERROR(IF(REGEXMATCH(VLOOKUP(A751,Internal_lists_bugs!$A$2:$R$73,18,FALSE()), ""Yes""), VLOOKUP(A751,Internal_lists_bugs!$A$2:$U$73,21,FALSE()), VLOOKUP(A751,Internal_lists_bugs!$A$2:$R$73,18,FALSE())),""please select a BUG ID"")"),"please select a BUG ID")</f>
        <v>please select a BUG ID</v>
      </c>
      <c r="D751" s="43"/>
      <c r="F751" s="62"/>
      <c r="G751" s="63"/>
      <c r="H751" s="43"/>
      <c r="J751" s="62"/>
      <c r="K751" s="63"/>
    </row>
    <row r="752">
      <c r="A752" s="78"/>
      <c r="B752" s="59" t="str">
        <f>IFERROR(HYPERLINK(VLOOKUP(A752,Internal_lists_bugs!$A$2:$C$73,3,FALSE()), VLOOKUP(A752,Internal_lists_bugs!$A$2:$C$73,3,FALSE())&amp;Char(10) &amp; Char(10) &amp; VLOOKUP(A752,Internal_lists_bugs!$A$2:$Z$73,26,FALSE())),"please select a BUG ID")</f>
        <v>please select a BUG ID</v>
      </c>
      <c r="C752" s="51" t="str">
        <f>IFERROR(__xludf.DUMMYFUNCTION("IFERROR(IF(REGEXMATCH(VLOOKUP(A752,Internal_lists_bugs!$A$2:$R$73,18,FALSE()), ""Yes""), VLOOKUP(A752,Internal_lists_bugs!$A$2:$U$73,21,FALSE()), VLOOKUP(A752,Internal_lists_bugs!$A$2:$R$73,18,FALSE())),""please select a BUG ID"")"),"please select a BUG ID")</f>
        <v>please select a BUG ID</v>
      </c>
      <c r="D752" s="43"/>
      <c r="F752" s="62"/>
      <c r="G752" s="63"/>
      <c r="H752" s="43"/>
      <c r="J752" s="62"/>
      <c r="K752" s="63"/>
    </row>
    <row r="753">
      <c r="A753" s="78"/>
      <c r="B753" s="59" t="str">
        <f>IFERROR(HYPERLINK(VLOOKUP(A753,Internal_lists_bugs!$A$2:$C$73,3,FALSE()), VLOOKUP(A753,Internal_lists_bugs!$A$2:$C$73,3,FALSE())&amp;Char(10) &amp; Char(10) &amp; VLOOKUP(A753,Internal_lists_bugs!$A$2:$Z$73,26,FALSE())),"please select a BUG ID")</f>
        <v>please select a BUG ID</v>
      </c>
      <c r="C753" s="51" t="str">
        <f>IFERROR(__xludf.DUMMYFUNCTION("IFERROR(IF(REGEXMATCH(VLOOKUP(A753,Internal_lists_bugs!$A$2:$R$73,18,FALSE()), ""Yes""), VLOOKUP(A753,Internal_lists_bugs!$A$2:$U$73,21,FALSE()), VLOOKUP(A753,Internal_lists_bugs!$A$2:$R$73,18,FALSE())),""please select a BUG ID"")"),"please select a BUG ID")</f>
        <v>please select a BUG ID</v>
      </c>
      <c r="D753" s="43"/>
      <c r="F753" s="62"/>
      <c r="G753" s="63"/>
      <c r="H753" s="43"/>
      <c r="J753" s="62"/>
      <c r="K753" s="63"/>
    </row>
    <row r="754">
      <c r="A754" s="78"/>
      <c r="B754" s="59" t="str">
        <f>IFERROR(HYPERLINK(VLOOKUP(A754,Internal_lists_bugs!$A$2:$C$73,3,FALSE()), VLOOKUP(A754,Internal_lists_bugs!$A$2:$C$73,3,FALSE())&amp;Char(10) &amp; Char(10) &amp; VLOOKUP(A754,Internal_lists_bugs!$A$2:$Z$73,26,FALSE())),"please select a BUG ID")</f>
        <v>please select a BUG ID</v>
      </c>
      <c r="C754" s="51" t="str">
        <f>IFERROR(__xludf.DUMMYFUNCTION("IFERROR(IF(REGEXMATCH(VLOOKUP(A754,Internal_lists_bugs!$A$2:$R$73,18,FALSE()), ""Yes""), VLOOKUP(A754,Internal_lists_bugs!$A$2:$U$73,21,FALSE()), VLOOKUP(A754,Internal_lists_bugs!$A$2:$R$73,18,FALSE())),""please select a BUG ID"")"),"please select a BUG ID")</f>
        <v>please select a BUG ID</v>
      </c>
      <c r="D754" s="43"/>
      <c r="F754" s="62"/>
      <c r="G754" s="63"/>
      <c r="H754" s="43"/>
      <c r="J754" s="62"/>
      <c r="K754" s="63"/>
    </row>
    <row r="755">
      <c r="A755" s="78"/>
      <c r="B755" s="59" t="str">
        <f>IFERROR(HYPERLINK(VLOOKUP(A755,Internal_lists_bugs!$A$2:$C$73,3,FALSE()), VLOOKUP(A755,Internal_lists_bugs!$A$2:$C$73,3,FALSE())&amp;Char(10) &amp; Char(10) &amp; VLOOKUP(A755,Internal_lists_bugs!$A$2:$Z$73,26,FALSE())),"please select a BUG ID")</f>
        <v>please select a BUG ID</v>
      </c>
      <c r="C755" s="51" t="str">
        <f>IFERROR(__xludf.DUMMYFUNCTION("IFERROR(IF(REGEXMATCH(VLOOKUP(A755,Internal_lists_bugs!$A$2:$R$73,18,FALSE()), ""Yes""), VLOOKUP(A755,Internal_lists_bugs!$A$2:$U$73,21,FALSE()), VLOOKUP(A755,Internal_lists_bugs!$A$2:$R$73,18,FALSE())),""please select a BUG ID"")"),"please select a BUG ID")</f>
        <v>please select a BUG ID</v>
      </c>
      <c r="D755" s="43"/>
      <c r="F755" s="62"/>
      <c r="G755" s="63"/>
      <c r="H755" s="43"/>
      <c r="J755" s="62"/>
      <c r="K755" s="63"/>
    </row>
    <row r="756">
      <c r="A756" s="78"/>
      <c r="B756" s="59" t="str">
        <f>IFERROR(HYPERLINK(VLOOKUP(A756,Internal_lists_bugs!$A$2:$C$73,3,FALSE()), VLOOKUP(A756,Internal_lists_bugs!$A$2:$C$73,3,FALSE())&amp;Char(10) &amp; Char(10) &amp; VLOOKUP(A756,Internal_lists_bugs!$A$2:$Z$73,26,FALSE())),"please select a BUG ID")</f>
        <v>please select a BUG ID</v>
      </c>
      <c r="C756" s="51" t="str">
        <f>IFERROR(__xludf.DUMMYFUNCTION("IFERROR(IF(REGEXMATCH(VLOOKUP(A756,Internal_lists_bugs!$A$2:$R$73,18,FALSE()), ""Yes""), VLOOKUP(A756,Internal_lists_bugs!$A$2:$U$73,21,FALSE()), VLOOKUP(A756,Internal_lists_bugs!$A$2:$R$73,18,FALSE())),""please select a BUG ID"")"),"please select a BUG ID")</f>
        <v>please select a BUG ID</v>
      </c>
      <c r="D756" s="43"/>
      <c r="F756" s="62"/>
      <c r="G756" s="63"/>
      <c r="H756" s="43"/>
      <c r="J756" s="62"/>
      <c r="K756" s="63"/>
    </row>
    <row r="757">
      <c r="A757" s="78"/>
      <c r="B757" s="59" t="str">
        <f>IFERROR(HYPERLINK(VLOOKUP(A757,Internal_lists_bugs!$A$2:$C$73,3,FALSE()), VLOOKUP(A757,Internal_lists_bugs!$A$2:$C$73,3,FALSE())&amp;Char(10) &amp; Char(10) &amp; VLOOKUP(A757,Internal_lists_bugs!$A$2:$Z$73,26,FALSE())),"please select a BUG ID")</f>
        <v>please select a BUG ID</v>
      </c>
      <c r="C757" s="51" t="str">
        <f>IFERROR(__xludf.DUMMYFUNCTION("IFERROR(IF(REGEXMATCH(VLOOKUP(A757,Internal_lists_bugs!$A$2:$R$73,18,FALSE()), ""Yes""), VLOOKUP(A757,Internal_lists_bugs!$A$2:$U$73,21,FALSE()), VLOOKUP(A757,Internal_lists_bugs!$A$2:$R$73,18,FALSE())),""please select a BUG ID"")"),"please select a BUG ID")</f>
        <v>please select a BUG ID</v>
      </c>
      <c r="D757" s="43"/>
      <c r="F757" s="62"/>
      <c r="G757" s="63"/>
      <c r="H757" s="43"/>
      <c r="J757" s="62"/>
      <c r="K757" s="63"/>
    </row>
    <row r="758">
      <c r="A758" s="78"/>
      <c r="B758" s="59" t="str">
        <f>IFERROR(HYPERLINK(VLOOKUP(A758,Internal_lists_bugs!$A$2:$C$73,3,FALSE()), VLOOKUP(A758,Internal_lists_bugs!$A$2:$C$73,3,FALSE())&amp;Char(10) &amp; Char(10) &amp; VLOOKUP(A758,Internal_lists_bugs!$A$2:$Z$73,26,FALSE())),"please select a BUG ID")</f>
        <v>please select a BUG ID</v>
      </c>
      <c r="C758" s="51" t="str">
        <f>IFERROR(__xludf.DUMMYFUNCTION("IFERROR(IF(REGEXMATCH(VLOOKUP(A758,Internal_lists_bugs!$A$2:$R$73,18,FALSE()), ""Yes""), VLOOKUP(A758,Internal_lists_bugs!$A$2:$U$73,21,FALSE()), VLOOKUP(A758,Internal_lists_bugs!$A$2:$R$73,18,FALSE())),""please select a BUG ID"")"),"please select a BUG ID")</f>
        <v>please select a BUG ID</v>
      </c>
      <c r="D758" s="43"/>
      <c r="F758" s="62"/>
      <c r="G758" s="63"/>
      <c r="H758" s="43"/>
      <c r="J758" s="62"/>
      <c r="K758" s="63"/>
    </row>
    <row r="759">
      <c r="A759" s="78"/>
      <c r="B759" s="59" t="str">
        <f>IFERROR(HYPERLINK(VLOOKUP(A759,Internal_lists_bugs!$A$2:$C$73,3,FALSE()), VLOOKUP(A759,Internal_lists_bugs!$A$2:$C$73,3,FALSE())&amp;Char(10) &amp; Char(10) &amp; VLOOKUP(A759,Internal_lists_bugs!$A$2:$Z$73,26,FALSE())),"please select a BUG ID")</f>
        <v>please select a BUG ID</v>
      </c>
      <c r="C759" s="51" t="str">
        <f>IFERROR(__xludf.DUMMYFUNCTION("IFERROR(IF(REGEXMATCH(VLOOKUP(A759,Internal_lists_bugs!$A$2:$R$73,18,FALSE()), ""Yes""), VLOOKUP(A759,Internal_lists_bugs!$A$2:$U$73,21,FALSE()), VLOOKUP(A759,Internal_lists_bugs!$A$2:$R$73,18,FALSE())),""please select a BUG ID"")"),"please select a BUG ID")</f>
        <v>please select a BUG ID</v>
      </c>
      <c r="D759" s="43"/>
      <c r="F759" s="62"/>
      <c r="G759" s="63"/>
      <c r="H759" s="43"/>
      <c r="J759" s="62"/>
      <c r="K759" s="63"/>
    </row>
    <row r="760">
      <c r="A760" s="78"/>
      <c r="B760" s="59" t="str">
        <f>IFERROR(HYPERLINK(VLOOKUP(A760,Internal_lists_bugs!$A$2:$C$73,3,FALSE()), VLOOKUP(A760,Internal_lists_bugs!$A$2:$C$73,3,FALSE())&amp;Char(10) &amp; Char(10) &amp; VLOOKUP(A760,Internal_lists_bugs!$A$2:$Z$73,26,FALSE())),"please select a BUG ID")</f>
        <v>please select a BUG ID</v>
      </c>
      <c r="C760" s="51" t="str">
        <f>IFERROR(__xludf.DUMMYFUNCTION("IFERROR(IF(REGEXMATCH(VLOOKUP(A760,Internal_lists_bugs!$A$2:$R$73,18,FALSE()), ""Yes""), VLOOKUP(A760,Internal_lists_bugs!$A$2:$U$73,21,FALSE()), VLOOKUP(A760,Internal_lists_bugs!$A$2:$R$73,18,FALSE())),""please select a BUG ID"")"),"please select a BUG ID")</f>
        <v>please select a BUG ID</v>
      </c>
      <c r="D760" s="43"/>
      <c r="F760" s="62"/>
      <c r="G760" s="63"/>
      <c r="H760" s="43"/>
      <c r="J760" s="62"/>
      <c r="K760" s="63"/>
    </row>
    <row r="761">
      <c r="A761" s="78"/>
      <c r="B761" s="59" t="str">
        <f>IFERROR(HYPERLINK(VLOOKUP(A761,Internal_lists_bugs!$A$2:$C$73,3,FALSE()), VLOOKUP(A761,Internal_lists_bugs!$A$2:$C$73,3,FALSE())&amp;Char(10) &amp; Char(10) &amp; VLOOKUP(A761,Internal_lists_bugs!$A$2:$Z$73,26,FALSE())),"please select a BUG ID")</f>
        <v>please select a BUG ID</v>
      </c>
      <c r="C761" s="51" t="str">
        <f>IFERROR(__xludf.DUMMYFUNCTION("IFERROR(IF(REGEXMATCH(VLOOKUP(A761,Internal_lists_bugs!$A$2:$R$73,18,FALSE()), ""Yes""), VLOOKUP(A761,Internal_lists_bugs!$A$2:$U$73,21,FALSE()), VLOOKUP(A761,Internal_lists_bugs!$A$2:$R$73,18,FALSE())),""please select a BUG ID"")"),"please select a BUG ID")</f>
        <v>please select a BUG ID</v>
      </c>
      <c r="D761" s="43"/>
      <c r="F761" s="62"/>
      <c r="G761" s="63"/>
      <c r="H761" s="43"/>
      <c r="J761" s="62"/>
      <c r="K761" s="63"/>
    </row>
    <row r="762">
      <c r="A762" s="78"/>
      <c r="B762" s="59" t="str">
        <f>IFERROR(HYPERLINK(VLOOKUP(A762,Internal_lists_bugs!$A$2:$C$73,3,FALSE()), VLOOKUP(A762,Internal_lists_bugs!$A$2:$C$73,3,FALSE())&amp;Char(10) &amp; Char(10) &amp; VLOOKUP(A762,Internal_lists_bugs!$A$2:$Z$73,26,FALSE())),"please select a BUG ID")</f>
        <v>please select a BUG ID</v>
      </c>
      <c r="C762" s="51" t="str">
        <f>IFERROR(__xludf.DUMMYFUNCTION("IFERROR(IF(REGEXMATCH(VLOOKUP(A762,Internal_lists_bugs!$A$2:$R$73,18,FALSE()), ""Yes""), VLOOKUP(A762,Internal_lists_bugs!$A$2:$U$73,21,FALSE()), VLOOKUP(A762,Internal_lists_bugs!$A$2:$R$73,18,FALSE())),""please select a BUG ID"")"),"please select a BUG ID")</f>
        <v>please select a BUG ID</v>
      </c>
      <c r="D762" s="43"/>
      <c r="F762" s="62"/>
      <c r="G762" s="63"/>
      <c r="H762" s="43"/>
      <c r="J762" s="62"/>
      <c r="K762" s="63"/>
    </row>
    <row r="763">
      <c r="A763" s="78"/>
      <c r="B763" s="59" t="str">
        <f>IFERROR(HYPERLINK(VLOOKUP(A763,Internal_lists_bugs!$A$2:$C$73,3,FALSE()), VLOOKUP(A763,Internal_lists_bugs!$A$2:$C$73,3,FALSE())&amp;Char(10) &amp; Char(10) &amp; VLOOKUP(A763,Internal_lists_bugs!$A$2:$Z$73,26,FALSE())),"please select a BUG ID")</f>
        <v>please select a BUG ID</v>
      </c>
      <c r="C763" s="51" t="str">
        <f>IFERROR(__xludf.DUMMYFUNCTION("IFERROR(IF(REGEXMATCH(VLOOKUP(A763,Internal_lists_bugs!$A$2:$R$73,18,FALSE()), ""Yes""), VLOOKUP(A763,Internal_lists_bugs!$A$2:$U$73,21,FALSE()), VLOOKUP(A763,Internal_lists_bugs!$A$2:$R$73,18,FALSE())),""please select a BUG ID"")"),"please select a BUG ID")</f>
        <v>please select a BUG ID</v>
      </c>
      <c r="D763" s="43"/>
      <c r="F763" s="62"/>
      <c r="G763" s="63"/>
      <c r="H763" s="43"/>
      <c r="J763" s="62"/>
      <c r="K763" s="63"/>
    </row>
    <row r="764">
      <c r="A764" s="78"/>
      <c r="B764" s="59" t="str">
        <f>IFERROR(HYPERLINK(VLOOKUP(A764,Internal_lists_bugs!$A$2:$C$73,3,FALSE()), VLOOKUP(A764,Internal_lists_bugs!$A$2:$C$73,3,FALSE())&amp;Char(10) &amp; Char(10) &amp; VLOOKUP(A764,Internal_lists_bugs!$A$2:$Z$73,26,FALSE())),"please select a BUG ID")</f>
        <v>please select a BUG ID</v>
      </c>
      <c r="C764" s="51" t="str">
        <f>IFERROR(__xludf.DUMMYFUNCTION("IFERROR(IF(REGEXMATCH(VLOOKUP(A764,Internal_lists_bugs!$A$2:$R$73,18,FALSE()), ""Yes""), VLOOKUP(A764,Internal_lists_bugs!$A$2:$U$73,21,FALSE()), VLOOKUP(A764,Internal_lists_bugs!$A$2:$R$73,18,FALSE())),""please select a BUG ID"")"),"please select a BUG ID")</f>
        <v>please select a BUG ID</v>
      </c>
      <c r="D764" s="43"/>
      <c r="F764" s="62"/>
      <c r="G764" s="63"/>
      <c r="H764" s="43"/>
      <c r="J764" s="62"/>
      <c r="K764" s="63"/>
    </row>
    <row r="765">
      <c r="A765" s="78"/>
      <c r="B765" s="59" t="str">
        <f>IFERROR(HYPERLINK(VLOOKUP(A765,Internal_lists_bugs!$A$2:$C$73,3,FALSE()), VLOOKUP(A765,Internal_lists_bugs!$A$2:$C$73,3,FALSE())&amp;Char(10) &amp; Char(10) &amp; VLOOKUP(A765,Internal_lists_bugs!$A$2:$Z$73,26,FALSE())),"please select a BUG ID")</f>
        <v>please select a BUG ID</v>
      </c>
      <c r="C765" s="51" t="str">
        <f>IFERROR(__xludf.DUMMYFUNCTION("IFERROR(IF(REGEXMATCH(VLOOKUP(A765,Internal_lists_bugs!$A$2:$R$73,18,FALSE()), ""Yes""), VLOOKUP(A765,Internal_lists_bugs!$A$2:$U$73,21,FALSE()), VLOOKUP(A765,Internal_lists_bugs!$A$2:$R$73,18,FALSE())),""please select a BUG ID"")"),"please select a BUG ID")</f>
        <v>please select a BUG ID</v>
      </c>
      <c r="D765" s="43"/>
      <c r="F765" s="62"/>
      <c r="G765" s="63"/>
      <c r="H765" s="43"/>
      <c r="J765" s="62"/>
      <c r="K765" s="63"/>
    </row>
    <row r="766">
      <c r="A766" s="78"/>
      <c r="B766" s="59" t="str">
        <f>IFERROR(HYPERLINK(VLOOKUP(A766,Internal_lists_bugs!$A$2:$C$73,3,FALSE()), VLOOKUP(A766,Internal_lists_bugs!$A$2:$C$73,3,FALSE())&amp;Char(10) &amp; Char(10) &amp; VLOOKUP(A766,Internal_lists_bugs!$A$2:$Z$73,26,FALSE())),"please select a BUG ID")</f>
        <v>please select a BUG ID</v>
      </c>
      <c r="C766" s="51" t="str">
        <f>IFERROR(__xludf.DUMMYFUNCTION("IFERROR(IF(REGEXMATCH(VLOOKUP(A766,Internal_lists_bugs!$A$2:$R$73,18,FALSE()), ""Yes""), VLOOKUP(A766,Internal_lists_bugs!$A$2:$U$73,21,FALSE()), VLOOKUP(A766,Internal_lists_bugs!$A$2:$R$73,18,FALSE())),""please select a BUG ID"")"),"please select a BUG ID")</f>
        <v>please select a BUG ID</v>
      </c>
      <c r="D766" s="43"/>
      <c r="F766" s="62"/>
      <c r="G766" s="63"/>
      <c r="H766" s="43"/>
      <c r="J766" s="62"/>
      <c r="K766" s="63"/>
    </row>
    <row r="767">
      <c r="A767" s="78"/>
      <c r="B767" s="59" t="str">
        <f>IFERROR(HYPERLINK(VLOOKUP(A767,Internal_lists_bugs!$A$2:$C$73,3,FALSE()), VLOOKUP(A767,Internal_lists_bugs!$A$2:$C$73,3,FALSE())&amp;Char(10) &amp; Char(10) &amp; VLOOKUP(A767,Internal_lists_bugs!$A$2:$Z$73,26,FALSE())),"please select a BUG ID")</f>
        <v>please select a BUG ID</v>
      </c>
      <c r="C767" s="51" t="str">
        <f>IFERROR(__xludf.DUMMYFUNCTION("IFERROR(IF(REGEXMATCH(VLOOKUP(A767,Internal_lists_bugs!$A$2:$R$73,18,FALSE()), ""Yes""), VLOOKUP(A767,Internal_lists_bugs!$A$2:$U$73,21,FALSE()), VLOOKUP(A767,Internal_lists_bugs!$A$2:$R$73,18,FALSE())),""please select a BUG ID"")"),"please select a BUG ID")</f>
        <v>please select a BUG ID</v>
      </c>
      <c r="D767" s="43"/>
      <c r="F767" s="62"/>
      <c r="G767" s="63"/>
      <c r="H767" s="43"/>
      <c r="J767" s="62"/>
      <c r="K767" s="63"/>
    </row>
    <row r="768">
      <c r="A768" s="78"/>
      <c r="B768" s="59" t="str">
        <f>IFERROR(HYPERLINK(VLOOKUP(A768,Internal_lists_bugs!$A$2:$C$73,3,FALSE()), VLOOKUP(A768,Internal_lists_bugs!$A$2:$C$73,3,FALSE())&amp;Char(10) &amp; Char(10) &amp; VLOOKUP(A768,Internal_lists_bugs!$A$2:$Z$73,26,FALSE())),"please select a BUG ID")</f>
        <v>please select a BUG ID</v>
      </c>
      <c r="C768" s="51" t="str">
        <f>IFERROR(__xludf.DUMMYFUNCTION("IFERROR(IF(REGEXMATCH(VLOOKUP(A768,Internal_lists_bugs!$A$2:$R$73,18,FALSE()), ""Yes""), VLOOKUP(A768,Internal_lists_bugs!$A$2:$U$73,21,FALSE()), VLOOKUP(A768,Internal_lists_bugs!$A$2:$R$73,18,FALSE())),""please select a BUG ID"")"),"please select a BUG ID")</f>
        <v>please select a BUG ID</v>
      </c>
      <c r="D768" s="43"/>
      <c r="F768" s="62"/>
      <c r="G768" s="63"/>
      <c r="H768" s="43"/>
      <c r="J768" s="62"/>
      <c r="K768" s="63"/>
    </row>
    <row r="769">
      <c r="A769" s="78"/>
      <c r="B769" s="59" t="str">
        <f>IFERROR(HYPERLINK(VLOOKUP(A769,Internal_lists_bugs!$A$2:$C$73,3,FALSE()), VLOOKUP(A769,Internal_lists_bugs!$A$2:$C$73,3,FALSE())&amp;Char(10) &amp; Char(10) &amp; VLOOKUP(A769,Internal_lists_bugs!$A$2:$Z$73,26,FALSE())),"please select a BUG ID")</f>
        <v>please select a BUG ID</v>
      </c>
      <c r="C769" s="51" t="str">
        <f>IFERROR(__xludf.DUMMYFUNCTION("IFERROR(IF(REGEXMATCH(VLOOKUP(A769,Internal_lists_bugs!$A$2:$R$73,18,FALSE()), ""Yes""), VLOOKUP(A769,Internal_lists_bugs!$A$2:$U$73,21,FALSE()), VLOOKUP(A769,Internal_lists_bugs!$A$2:$R$73,18,FALSE())),""please select a BUG ID"")"),"please select a BUG ID")</f>
        <v>please select a BUG ID</v>
      </c>
      <c r="D769" s="43"/>
      <c r="F769" s="62"/>
      <c r="G769" s="63"/>
      <c r="H769" s="43"/>
      <c r="J769" s="62"/>
      <c r="K769" s="63"/>
    </row>
    <row r="770">
      <c r="A770" s="78"/>
      <c r="B770" s="59" t="str">
        <f>IFERROR(HYPERLINK(VLOOKUP(A770,Internal_lists_bugs!$A$2:$C$73,3,FALSE()), VLOOKUP(A770,Internal_lists_bugs!$A$2:$C$73,3,FALSE())&amp;Char(10) &amp; Char(10) &amp; VLOOKUP(A770,Internal_lists_bugs!$A$2:$Z$73,26,FALSE())),"please select a BUG ID")</f>
        <v>please select a BUG ID</v>
      </c>
      <c r="C770" s="51" t="str">
        <f>IFERROR(__xludf.DUMMYFUNCTION("IFERROR(IF(REGEXMATCH(VLOOKUP(A770,Internal_lists_bugs!$A$2:$R$73,18,FALSE()), ""Yes""), VLOOKUP(A770,Internal_lists_bugs!$A$2:$U$73,21,FALSE()), VLOOKUP(A770,Internal_lists_bugs!$A$2:$R$73,18,FALSE())),""please select a BUG ID"")"),"please select a BUG ID")</f>
        <v>please select a BUG ID</v>
      </c>
      <c r="D770" s="43"/>
      <c r="F770" s="62"/>
      <c r="G770" s="63"/>
      <c r="H770" s="43"/>
      <c r="J770" s="62"/>
      <c r="K770" s="63"/>
    </row>
    <row r="771">
      <c r="A771" s="78"/>
      <c r="B771" s="59" t="str">
        <f>IFERROR(HYPERLINK(VLOOKUP(A771,Internal_lists_bugs!$A$2:$C$73,3,FALSE()), VLOOKUP(A771,Internal_lists_bugs!$A$2:$C$73,3,FALSE())&amp;Char(10) &amp; Char(10) &amp; VLOOKUP(A771,Internal_lists_bugs!$A$2:$Z$73,26,FALSE())),"please select a BUG ID")</f>
        <v>please select a BUG ID</v>
      </c>
      <c r="C771" s="51" t="str">
        <f>IFERROR(__xludf.DUMMYFUNCTION("IFERROR(IF(REGEXMATCH(VLOOKUP(A771,Internal_lists_bugs!$A$2:$R$73,18,FALSE()), ""Yes""), VLOOKUP(A771,Internal_lists_bugs!$A$2:$U$73,21,FALSE()), VLOOKUP(A771,Internal_lists_bugs!$A$2:$R$73,18,FALSE())),""please select a BUG ID"")"),"please select a BUG ID")</f>
        <v>please select a BUG ID</v>
      </c>
      <c r="D771" s="43"/>
      <c r="F771" s="62"/>
      <c r="G771" s="63"/>
      <c r="H771" s="43"/>
      <c r="J771" s="62"/>
      <c r="K771" s="63"/>
    </row>
    <row r="772">
      <c r="A772" s="78"/>
      <c r="B772" s="59" t="str">
        <f>IFERROR(HYPERLINK(VLOOKUP(A772,Internal_lists_bugs!$A$2:$C$73,3,FALSE()), VLOOKUP(A772,Internal_lists_bugs!$A$2:$C$73,3,FALSE())&amp;Char(10) &amp; Char(10) &amp; VLOOKUP(A772,Internal_lists_bugs!$A$2:$Z$73,26,FALSE())),"please select a BUG ID")</f>
        <v>please select a BUG ID</v>
      </c>
      <c r="C772" s="51" t="str">
        <f>IFERROR(__xludf.DUMMYFUNCTION("IFERROR(IF(REGEXMATCH(VLOOKUP(A772,Internal_lists_bugs!$A$2:$R$73,18,FALSE()), ""Yes""), VLOOKUP(A772,Internal_lists_bugs!$A$2:$U$73,21,FALSE()), VLOOKUP(A772,Internal_lists_bugs!$A$2:$R$73,18,FALSE())),""please select a BUG ID"")"),"please select a BUG ID")</f>
        <v>please select a BUG ID</v>
      </c>
      <c r="D772" s="43"/>
      <c r="F772" s="62"/>
      <c r="G772" s="63"/>
      <c r="H772" s="43"/>
      <c r="J772" s="62"/>
      <c r="K772" s="63"/>
    </row>
    <row r="773">
      <c r="A773" s="78"/>
      <c r="B773" s="59" t="str">
        <f>IFERROR(HYPERLINK(VLOOKUP(A773,Internal_lists_bugs!$A$2:$C$73,3,FALSE()), VLOOKUP(A773,Internal_lists_bugs!$A$2:$C$73,3,FALSE())&amp;Char(10) &amp; Char(10) &amp; VLOOKUP(A773,Internal_lists_bugs!$A$2:$Z$73,26,FALSE())),"please select a BUG ID")</f>
        <v>please select a BUG ID</v>
      </c>
      <c r="C773" s="51" t="str">
        <f>IFERROR(__xludf.DUMMYFUNCTION("IFERROR(IF(REGEXMATCH(VLOOKUP(A773,Internal_lists_bugs!$A$2:$R$73,18,FALSE()), ""Yes""), VLOOKUP(A773,Internal_lists_bugs!$A$2:$U$73,21,FALSE()), VLOOKUP(A773,Internal_lists_bugs!$A$2:$R$73,18,FALSE())),""please select a BUG ID"")"),"please select a BUG ID")</f>
        <v>please select a BUG ID</v>
      </c>
      <c r="D773" s="43"/>
      <c r="F773" s="62"/>
      <c r="G773" s="63"/>
      <c r="H773" s="43"/>
      <c r="J773" s="62"/>
      <c r="K773" s="63"/>
    </row>
    <row r="774">
      <c r="A774" s="78"/>
      <c r="B774" s="59" t="str">
        <f>IFERROR(HYPERLINK(VLOOKUP(A774,Internal_lists_bugs!$A$2:$C$73,3,FALSE()), VLOOKUP(A774,Internal_lists_bugs!$A$2:$C$73,3,FALSE())&amp;Char(10) &amp; Char(10) &amp; VLOOKUP(A774,Internal_lists_bugs!$A$2:$Z$73,26,FALSE())),"please select a BUG ID")</f>
        <v>please select a BUG ID</v>
      </c>
      <c r="C774" s="51" t="str">
        <f>IFERROR(__xludf.DUMMYFUNCTION("IFERROR(IF(REGEXMATCH(VLOOKUP(A774,Internal_lists_bugs!$A$2:$R$73,18,FALSE()), ""Yes""), VLOOKUP(A774,Internal_lists_bugs!$A$2:$U$73,21,FALSE()), VLOOKUP(A774,Internal_lists_bugs!$A$2:$R$73,18,FALSE())),""please select a BUG ID"")"),"please select a BUG ID")</f>
        <v>please select a BUG ID</v>
      </c>
      <c r="D774" s="43"/>
      <c r="F774" s="62"/>
      <c r="G774" s="63"/>
      <c r="H774" s="43"/>
      <c r="J774" s="62"/>
      <c r="K774" s="63"/>
    </row>
    <row r="775">
      <c r="A775" s="78"/>
      <c r="B775" s="59" t="str">
        <f>IFERROR(HYPERLINK(VLOOKUP(A775,Internal_lists_bugs!$A$2:$C$73,3,FALSE()), VLOOKUP(A775,Internal_lists_bugs!$A$2:$C$73,3,FALSE())&amp;Char(10) &amp; Char(10) &amp; VLOOKUP(A775,Internal_lists_bugs!$A$2:$Z$73,26,FALSE())),"please select a BUG ID")</f>
        <v>please select a BUG ID</v>
      </c>
      <c r="C775" s="51" t="str">
        <f>IFERROR(__xludf.DUMMYFUNCTION("IFERROR(IF(REGEXMATCH(VLOOKUP(A775,Internal_lists_bugs!$A$2:$R$73,18,FALSE()), ""Yes""), VLOOKUP(A775,Internal_lists_bugs!$A$2:$U$73,21,FALSE()), VLOOKUP(A775,Internal_lists_bugs!$A$2:$R$73,18,FALSE())),""please select a BUG ID"")"),"please select a BUG ID")</f>
        <v>please select a BUG ID</v>
      </c>
      <c r="D775" s="43"/>
      <c r="F775" s="62"/>
      <c r="G775" s="63"/>
      <c r="H775" s="43"/>
      <c r="J775" s="62"/>
      <c r="K775" s="63"/>
    </row>
    <row r="776">
      <c r="A776" s="78"/>
      <c r="B776" s="59" t="str">
        <f>IFERROR(HYPERLINK(VLOOKUP(A776,Internal_lists_bugs!$A$2:$C$73,3,FALSE()), VLOOKUP(A776,Internal_lists_bugs!$A$2:$C$73,3,FALSE())&amp;Char(10) &amp; Char(10) &amp; VLOOKUP(A776,Internal_lists_bugs!$A$2:$Z$73,26,FALSE())),"please select a BUG ID")</f>
        <v>please select a BUG ID</v>
      </c>
      <c r="C776" s="51" t="str">
        <f>IFERROR(__xludf.DUMMYFUNCTION("IFERROR(IF(REGEXMATCH(VLOOKUP(A776,Internal_lists_bugs!$A$2:$R$73,18,FALSE()), ""Yes""), VLOOKUP(A776,Internal_lists_bugs!$A$2:$U$73,21,FALSE()), VLOOKUP(A776,Internal_lists_bugs!$A$2:$R$73,18,FALSE())),""please select a BUG ID"")"),"please select a BUG ID")</f>
        <v>please select a BUG ID</v>
      </c>
      <c r="D776" s="43"/>
      <c r="F776" s="62"/>
      <c r="G776" s="63"/>
      <c r="H776" s="43"/>
      <c r="J776" s="62"/>
      <c r="K776" s="63"/>
    </row>
    <row r="777">
      <c r="A777" s="78"/>
      <c r="B777" s="59" t="str">
        <f>IFERROR(HYPERLINK(VLOOKUP(A777,Internal_lists_bugs!$A$2:$C$73,3,FALSE()), VLOOKUP(A777,Internal_lists_bugs!$A$2:$C$73,3,FALSE())&amp;Char(10) &amp; Char(10) &amp; VLOOKUP(A777,Internal_lists_bugs!$A$2:$Z$73,26,FALSE())),"please select a BUG ID")</f>
        <v>please select a BUG ID</v>
      </c>
      <c r="C777" s="51" t="str">
        <f>IFERROR(__xludf.DUMMYFUNCTION("IFERROR(IF(REGEXMATCH(VLOOKUP(A777,Internal_lists_bugs!$A$2:$R$73,18,FALSE()), ""Yes""), VLOOKUP(A777,Internal_lists_bugs!$A$2:$U$73,21,FALSE()), VLOOKUP(A777,Internal_lists_bugs!$A$2:$R$73,18,FALSE())),""please select a BUG ID"")"),"please select a BUG ID")</f>
        <v>please select a BUG ID</v>
      </c>
      <c r="D777" s="43"/>
      <c r="F777" s="62"/>
      <c r="G777" s="63"/>
      <c r="H777" s="43"/>
      <c r="J777" s="62"/>
      <c r="K777" s="63"/>
    </row>
    <row r="778">
      <c r="A778" s="78"/>
      <c r="B778" s="59" t="str">
        <f>IFERROR(HYPERLINK(VLOOKUP(A778,Internal_lists_bugs!$A$2:$C$73,3,FALSE()), VLOOKUP(A778,Internal_lists_bugs!$A$2:$C$73,3,FALSE())&amp;Char(10) &amp; Char(10) &amp; VLOOKUP(A778,Internal_lists_bugs!$A$2:$Z$73,26,FALSE())),"please select a BUG ID")</f>
        <v>please select a BUG ID</v>
      </c>
      <c r="C778" s="51" t="str">
        <f>IFERROR(__xludf.DUMMYFUNCTION("IFERROR(IF(REGEXMATCH(VLOOKUP(A778,Internal_lists_bugs!$A$2:$R$73,18,FALSE()), ""Yes""), VLOOKUP(A778,Internal_lists_bugs!$A$2:$U$73,21,FALSE()), VLOOKUP(A778,Internal_lists_bugs!$A$2:$R$73,18,FALSE())),""please select a BUG ID"")"),"please select a BUG ID")</f>
        <v>please select a BUG ID</v>
      </c>
      <c r="D778" s="43"/>
      <c r="F778" s="62"/>
      <c r="G778" s="63"/>
      <c r="H778" s="43"/>
      <c r="J778" s="62"/>
      <c r="K778" s="63"/>
    </row>
    <row r="779">
      <c r="A779" s="78"/>
      <c r="B779" s="59" t="str">
        <f>IFERROR(HYPERLINK(VLOOKUP(A779,Internal_lists_bugs!$A$2:$C$73,3,FALSE()), VLOOKUP(A779,Internal_lists_bugs!$A$2:$C$73,3,FALSE())&amp;Char(10) &amp; Char(10) &amp; VLOOKUP(A779,Internal_lists_bugs!$A$2:$Z$73,26,FALSE())),"please select a BUG ID")</f>
        <v>please select a BUG ID</v>
      </c>
      <c r="C779" s="51" t="str">
        <f>IFERROR(__xludf.DUMMYFUNCTION("IFERROR(IF(REGEXMATCH(VLOOKUP(A779,Internal_lists_bugs!$A$2:$R$73,18,FALSE()), ""Yes""), VLOOKUP(A779,Internal_lists_bugs!$A$2:$U$73,21,FALSE()), VLOOKUP(A779,Internal_lists_bugs!$A$2:$R$73,18,FALSE())),""please select a BUG ID"")"),"please select a BUG ID")</f>
        <v>please select a BUG ID</v>
      </c>
      <c r="D779" s="43"/>
      <c r="F779" s="62"/>
      <c r="G779" s="63"/>
      <c r="H779" s="43"/>
      <c r="J779" s="62"/>
      <c r="K779" s="63"/>
    </row>
    <row r="780">
      <c r="A780" s="78"/>
      <c r="B780" s="59" t="str">
        <f>IFERROR(HYPERLINK(VLOOKUP(A780,Internal_lists_bugs!$A$2:$C$73,3,FALSE()), VLOOKUP(A780,Internal_lists_bugs!$A$2:$C$73,3,FALSE())&amp;Char(10) &amp; Char(10) &amp; VLOOKUP(A780,Internal_lists_bugs!$A$2:$Z$73,26,FALSE())),"please select a BUG ID")</f>
        <v>please select a BUG ID</v>
      </c>
      <c r="C780" s="51" t="str">
        <f>IFERROR(__xludf.DUMMYFUNCTION("IFERROR(IF(REGEXMATCH(VLOOKUP(A780,Internal_lists_bugs!$A$2:$R$73,18,FALSE()), ""Yes""), VLOOKUP(A780,Internal_lists_bugs!$A$2:$U$73,21,FALSE()), VLOOKUP(A780,Internal_lists_bugs!$A$2:$R$73,18,FALSE())),""please select a BUG ID"")"),"please select a BUG ID")</f>
        <v>please select a BUG ID</v>
      </c>
      <c r="D780" s="43"/>
      <c r="F780" s="62"/>
      <c r="G780" s="63"/>
      <c r="H780" s="43"/>
      <c r="J780" s="62"/>
      <c r="K780" s="63"/>
    </row>
    <row r="781">
      <c r="A781" s="78"/>
      <c r="B781" s="59" t="str">
        <f>IFERROR(HYPERLINK(VLOOKUP(A781,Internal_lists_bugs!$A$2:$C$73,3,FALSE()), VLOOKUP(A781,Internal_lists_bugs!$A$2:$C$73,3,FALSE())&amp;Char(10) &amp; Char(10) &amp; VLOOKUP(A781,Internal_lists_bugs!$A$2:$Z$73,26,FALSE())),"please select a BUG ID")</f>
        <v>please select a BUG ID</v>
      </c>
      <c r="C781" s="51" t="str">
        <f>IFERROR(__xludf.DUMMYFUNCTION("IFERROR(IF(REGEXMATCH(VLOOKUP(A781,Internal_lists_bugs!$A$2:$R$73,18,FALSE()), ""Yes""), VLOOKUP(A781,Internal_lists_bugs!$A$2:$U$73,21,FALSE()), VLOOKUP(A781,Internal_lists_bugs!$A$2:$R$73,18,FALSE())),""please select a BUG ID"")"),"please select a BUG ID")</f>
        <v>please select a BUG ID</v>
      </c>
      <c r="D781" s="43"/>
      <c r="F781" s="62"/>
      <c r="G781" s="63"/>
      <c r="H781" s="43"/>
      <c r="J781" s="62"/>
      <c r="K781" s="63"/>
    </row>
    <row r="782">
      <c r="A782" s="78"/>
      <c r="B782" s="59" t="str">
        <f>IFERROR(HYPERLINK(VLOOKUP(A782,Internal_lists_bugs!$A$2:$C$73,3,FALSE()), VLOOKUP(A782,Internal_lists_bugs!$A$2:$C$73,3,FALSE())&amp;Char(10) &amp; Char(10) &amp; VLOOKUP(A782,Internal_lists_bugs!$A$2:$Z$73,26,FALSE())),"please select a BUG ID")</f>
        <v>please select a BUG ID</v>
      </c>
      <c r="C782" s="51" t="str">
        <f>IFERROR(__xludf.DUMMYFUNCTION("IFERROR(IF(REGEXMATCH(VLOOKUP(A782,Internal_lists_bugs!$A$2:$R$73,18,FALSE()), ""Yes""), VLOOKUP(A782,Internal_lists_bugs!$A$2:$U$73,21,FALSE()), VLOOKUP(A782,Internal_lists_bugs!$A$2:$R$73,18,FALSE())),""please select a BUG ID"")"),"please select a BUG ID")</f>
        <v>please select a BUG ID</v>
      </c>
      <c r="D782" s="43"/>
      <c r="F782" s="62"/>
      <c r="G782" s="63"/>
      <c r="H782" s="43"/>
      <c r="J782" s="62"/>
      <c r="K782" s="63"/>
    </row>
    <row r="783">
      <c r="A783" s="78"/>
      <c r="B783" s="59" t="str">
        <f>IFERROR(HYPERLINK(VLOOKUP(A783,Internal_lists_bugs!$A$2:$C$73,3,FALSE()), VLOOKUP(A783,Internal_lists_bugs!$A$2:$C$73,3,FALSE())&amp;Char(10) &amp; Char(10) &amp; VLOOKUP(A783,Internal_lists_bugs!$A$2:$Z$73,26,FALSE())),"please select a BUG ID")</f>
        <v>please select a BUG ID</v>
      </c>
      <c r="C783" s="51" t="str">
        <f>IFERROR(__xludf.DUMMYFUNCTION("IFERROR(IF(REGEXMATCH(VLOOKUP(A783,Internal_lists_bugs!$A$2:$R$73,18,FALSE()), ""Yes""), VLOOKUP(A783,Internal_lists_bugs!$A$2:$U$73,21,FALSE()), VLOOKUP(A783,Internal_lists_bugs!$A$2:$R$73,18,FALSE())),""please select a BUG ID"")"),"please select a BUG ID")</f>
        <v>please select a BUG ID</v>
      </c>
      <c r="D783" s="43"/>
      <c r="F783" s="62"/>
      <c r="G783" s="63"/>
      <c r="H783" s="43"/>
      <c r="J783" s="62"/>
      <c r="K783" s="63"/>
    </row>
    <row r="784">
      <c r="A784" s="78"/>
      <c r="B784" s="59" t="str">
        <f>IFERROR(HYPERLINK(VLOOKUP(A784,Internal_lists_bugs!$A$2:$C$73,3,FALSE()), VLOOKUP(A784,Internal_lists_bugs!$A$2:$C$73,3,FALSE())&amp;Char(10) &amp; Char(10) &amp; VLOOKUP(A784,Internal_lists_bugs!$A$2:$Z$73,26,FALSE())),"please select a BUG ID")</f>
        <v>please select a BUG ID</v>
      </c>
      <c r="C784" s="51" t="str">
        <f>IFERROR(__xludf.DUMMYFUNCTION("IFERROR(IF(REGEXMATCH(VLOOKUP(A784,Internal_lists_bugs!$A$2:$R$73,18,FALSE()), ""Yes""), VLOOKUP(A784,Internal_lists_bugs!$A$2:$U$73,21,FALSE()), VLOOKUP(A784,Internal_lists_bugs!$A$2:$R$73,18,FALSE())),""please select a BUG ID"")"),"please select a BUG ID")</f>
        <v>please select a BUG ID</v>
      </c>
      <c r="D784" s="43"/>
      <c r="F784" s="62"/>
      <c r="G784" s="63"/>
      <c r="H784" s="43"/>
      <c r="J784" s="62"/>
      <c r="K784" s="63"/>
    </row>
    <row r="785">
      <c r="A785" s="78"/>
      <c r="B785" s="59" t="str">
        <f>IFERROR(HYPERLINK(VLOOKUP(A785,Internal_lists_bugs!$A$2:$C$73,3,FALSE()), VLOOKUP(A785,Internal_lists_bugs!$A$2:$C$73,3,FALSE())&amp;Char(10) &amp; Char(10) &amp; VLOOKUP(A785,Internal_lists_bugs!$A$2:$Z$73,26,FALSE())),"please select a BUG ID")</f>
        <v>please select a BUG ID</v>
      </c>
      <c r="C785" s="51" t="str">
        <f>IFERROR(__xludf.DUMMYFUNCTION("IFERROR(IF(REGEXMATCH(VLOOKUP(A785,Internal_lists_bugs!$A$2:$R$73,18,FALSE()), ""Yes""), VLOOKUP(A785,Internal_lists_bugs!$A$2:$U$73,21,FALSE()), VLOOKUP(A785,Internal_lists_bugs!$A$2:$R$73,18,FALSE())),""please select a BUG ID"")"),"please select a BUG ID")</f>
        <v>please select a BUG ID</v>
      </c>
      <c r="D785" s="43"/>
      <c r="F785" s="62"/>
      <c r="G785" s="63"/>
      <c r="H785" s="43"/>
      <c r="J785" s="62"/>
      <c r="K785" s="63"/>
    </row>
    <row r="786">
      <c r="A786" s="78"/>
      <c r="B786" s="59" t="str">
        <f>IFERROR(HYPERLINK(VLOOKUP(A786,Internal_lists_bugs!$A$2:$C$73,3,FALSE()), VLOOKUP(A786,Internal_lists_bugs!$A$2:$C$73,3,FALSE())&amp;Char(10) &amp; Char(10) &amp; VLOOKUP(A786,Internal_lists_bugs!$A$2:$Z$73,26,FALSE())),"please select a BUG ID")</f>
        <v>please select a BUG ID</v>
      </c>
      <c r="C786" s="51" t="str">
        <f>IFERROR(__xludf.DUMMYFUNCTION("IFERROR(IF(REGEXMATCH(VLOOKUP(A786,Internal_lists_bugs!$A$2:$R$73,18,FALSE()), ""Yes""), VLOOKUP(A786,Internal_lists_bugs!$A$2:$U$73,21,FALSE()), VLOOKUP(A786,Internal_lists_bugs!$A$2:$R$73,18,FALSE())),""please select a BUG ID"")"),"please select a BUG ID")</f>
        <v>please select a BUG ID</v>
      </c>
      <c r="D786" s="43"/>
      <c r="F786" s="62"/>
      <c r="G786" s="63"/>
      <c r="H786" s="43"/>
      <c r="J786" s="62"/>
      <c r="K786" s="63"/>
    </row>
    <row r="787">
      <c r="A787" s="78"/>
      <c r="B787" s="59" t="str">
        <f>IFERROR(HYPERLINK(VLOOKUP(A787,Internal_lists_bugs!$A$2:$C$73,3,FALSE()), VLOOKUP(A787,Internal_lists_bugs!$A$2:$C$73,3,FALSE())&amp;Char(10) &amp; Char(10) &amp; VLOOKUP(A787,Internal_lists_bugs!$A$2:$Z$73,26,FALSE())),"please select a BUG ID")</f>
        <v>please select a BUG ID</v>
      </c>
      <c r="C787" s="51" t="str">
        <f>IFERROR(__xludf.DUMMYFUNCTION("IFERROR(IF(REGEXMATCH(VLOOKUP(A787,Internal_lists_bugs!$A$2:$R$73,18,FALSE()), ""Yes""), VLOOKUP(A787,Internal_lists_bugs!$A$2:$U$73,21,FALSE()), VLOOKUP(A787,Internal_lists_bugs!$A$2:$R$73,18,FALSE())),""please select a BUG ID"")"),"please select a BUG ID")</f>
        <v>please select a BUG ID</v>
      </c>
      <c r="D787" s="43"/>
      <c r="F787" s="62"/>
      <c r="G787" s="63"/>
      <c r="H787" s="43"/>
      <c r="J787" s="62"/>
      <c r="K787" s="63"/>
    </row>
    <row r="788">
      <c r="A788" s="78"/>
      <c r="B788" s="59" t="str">
        <f>IFERROR(HYPERLINK(VLOOKUP(A788,Internal_lists_bugs!$A$2:$C$73,3,FALSE()), VLOOKUP(A788,Internal_lists_bugs!$A$2:$C$73,3,FALSE())&amp;Char(10) &amp; Char(10) &amp; VLOOKUP(A788,Internal_lists_bugs!$A$2:$Z$73,26,FALSE())),"please select a BUG ID")</f>
        <v>please select a BUG ID</v>
      </c>
      <c r="C788" s="51" t="str">
        <f>IFERROR(__xludf.DUMMYFUNCTION("IFERROR(IF(REGEXMATCH(VLOOKUP(A788,Internal_lists_bugs!$A$2:$R$73,18,FALSE()), ""Yes""), VLOOKUP(A788,Internal_lists_bugs!$A$2:$U$73,21,FALSE()), VLOOKUP(A788,Internal_lists_bugs!$A$2:$R$73,18,FALSE())),""please select a BUG ID"")"),"please select a BUG ID")</f>
        <v>please select a BUG ID</v>
      </c>
      <c r="D788" s="43"/>
      <c r="F788" s="62"/>
      <c r="G788" s="63"/>
      <c r="H788" s="43"/>
      <c r="J788" s="62"/>
      <c r="K788" s="63"/>
    </row>
    <row r="789">
      <c r="A789" s="78"/>
      <c r="B789" s="59" t="str">
        <f>IFERROR(HYPERLINK(VLOOKUP(A789,Internal_lists_bugs!$A$2:$C$73,3,FALSE()), VLOOKUP(A789,Internal_lists_bugs!$A$2:$C$73,3,FALSE())&amp;Char(10) &amp; Char(10) &amp; VLOOKUP(A789,Internal_lists_bugs!$A$2:$Z$73,26,FALSE())),"please select a BUG ID")</f>
        <v>please select a BUG ID</v>
      </c>
      <c r="C789" s="51" t="str">
        <f>IFERROR(__xludf.DUMMYFUNCTION("IFERROR(IF(REGEXMATCH(VLOOKUP(A789,Internal_lists_bugs!$A$2:$R$73,18,FALSE()), ""Yes""), VLOOKUP(A789,Internal_lists_bugs!$A$2:$U$73,21,FALSE()), VLOOKUP(A789,Internal_lists_bugs!$A$2:$R$73,18,FALSE())),""please select a BUG ID"")"),"please select a BUG ID")</f>
        <v>please select a BUG ID</v>
      </c>
      <c r="D789" s="43"/>
      <c r="F789" s="62"/>
      <c r="G789" s="63"/>
      <c r="H789" s="43"/>
      <c r="J789" s="62"/>
      <c r="K789" s="63"/>
    </row>
    <row r="790">
      <c r="A790" s="78"/>
      <c r="B790" s="59" t="str">
        <f>IFERROR(HYPERLINK(VLOOKUP(A790,Internal_lists_bugs!$A$2:$C$73,3,FALSE()), VLOOKUP(A790,Internal_lists_bugs!$A$2:$C$73,3,FALSE())&amp;Char(10) &amp; Char(10) &amp; VLOOKUP(A790,Internal_lists_bugs!$A$2:$Z$73,26,FALSE())),"please select a BUG ID")</f>
        <v>please select a BUG ID</v>
      </c>
      <c r="C790" s="51" t="str">
        <f>IFERROR(__xludf.DUMMYFUNCTION("IFERROR(IF(REGEXMATCH(VLOOKUP(A790,Internal_lists_bugs!$A$2:$R$73,18,FALSE()), ""Yes""), VLOOKUP(A790,Internal_lists_bugs!$A$2:$U$73,21,FALSE()), VLOOKUP(A790,Internal_lists_bugs!$A$2:$R$73,18,FALSE())),""please select a BUG ID"")"),"please select a BUG ID")</f>
        <v>please select a BUG ID</v>
      </c>
      <c r="D790" s="43"/>
      <c r="F790" s="62"/>
      <c r="G790" s="63"/>
      <c r="H790" s="43"/>
      <c r="J790" s="62"/>
      <c r="K790" s="63"/>
    </row>
    <row r="791">
      <c r="A791" s="78"/>
      <c r="B791" s="59" t="str">
        <f>IFERROR(HYPERLINK(VLOOKUP(A791,Internal_lists_bugs!$A$2:$C$73,3,FALSE()), VLOOKUP(A791,Internal_lists_bugs!$A$2:$C$73,3,FALSE())&amp;Char(10) &amp; Char(10) &amp; VLOOKUP(A791,Internal_lists_bugs!$A$2:$Z$73,26,FALSE())),"please select a BUG ID")</f>
        <v>please select a BUG ID</v>
      </c>
      <c r="C791" s="51" t="str">
        <f>IFERROR(__xludf.DUMMYFUNCTION("IFERROR(IF(REGEXMATCH(VLOOKUP(A791,Internal_lists_bugs!$A$2:$R$73,18,FALSE()), ""Yes""), VLOOKUP(A791,Internal_lists_bugs!$A$2:$U$73,21,FALSE()), VLOOKUP(A791,Internal_lists_bugs!$A$2:$R$73,18,FALSE())),""please select a BUG ID"")"),"please select a BUG ID")</f>
        <v>please select a BUG ID</v>
      </c>
      <c r="D791" s="43"/>
      <c r="F791" s="62"/>
      <c r="G791" s="63"/>
      <c r="H791" s="43"/>
      <c r="J791" s="62"/>
      <c r="K791" s="63"/>
    </row>
    <row r="792">
      <c r="A792" s="78"/>
      <c r="B792" s="59" t="str">
        <f>IFERROR(HYPERLINK(VLOOKUP(A792,Internal_lists_bugs!$A$2:$C$73,3,FALSE()), VLOOKUP(A792,Internal_lists_bugs!$A$2:$C$73,3,FALSE())&amp;Char(10) &amp; Char(10) &amp; VLOOKUP(A792,Internal_lists_bugs!$A$2:$Z$73,26,FALSE())),"please select a BUG ID")</f>
        <v>please select a BUG ID</v>
      </c>
      <c r="C792" s="51" t="str">
        <f>IFERROR(__xludf.DUMMYFUNCTION("IFERROR(IF(REGEXMATCH(VLOOKUP(A792,Internal_lists_bugs!$A$2:$R$73,18,FALSE()), ""Yes""), VLOOKUP(A792,Internal_lists_bugs!$A$2:$U$73,21,FALSE()), VLOOKUP(A792,Internal_lists_bugs!$A$2:$R$73,18,FALSE())),""please select a BUG ID"")"),"please select a BUG ID")</f>
        <v>please select a BUG ID</v>
      </c>
      <c r="D792" s="43"/>
      <c r="F792" s="62"/>
      <c r="G792" s="63"/>
      <c r="H792" s="43"/>
      <c r="J792" s="62"/>
      <c r="K792" s="63"/>
    </row>
    <row r="793">
      <c r="A793" s="78"/>
      <c r="B793" s="59" t="str">
        <f>IFERROR(HYPERLINK(VLOOKUP(A793,Internal_lists_bugs!$A$2:$C$73,3,FALSE()), VLOOKUP(A793,Internal_lists_bugs!$A$2:$C$73,3,FALSE())&amp;Char(10) &amp; Char(10) &amp; VLOOKUP(A793,Internal_lists_bugs!$A$2:$Z$73,26,FALSE())),"please select a BUG ID")</f>
        <v>please select a BUG ID</v>
      </c>
      <c r="C793" s="51" t="str">
        <f>IFERROR(__xludf.DUMMYFUNCTION("IFERROR(IF(REGEXMATCH(VLOOKUP(A793,Internal_lists_bugs!$A$2:$R$73,18,FALSE()), ""Yes""), VLOOKUP(A793,Internal_lists_bugs!$A$2:$U$73,21,FALSE()), VLOOKUP(A793,Internal_lists_bugs!$A$2:$R$73,18,FALSE())),""please select a BUG ID"")"),"please select a BUG ID")</f>
        <v>please select a BUG ID</v>
      </c>
      <c r="D793" s="43"/>
      <c r="F793" s="62"/>
      <c r="G793" s="63"/>
      <c r="H793" s="43"/>
      <c r="J793" s="62"/>
      <c r="K793" s="63"/>
    </row>
    <row r="794">
      <c r="A794" s="78"/>
      <c r="B794" s="59" t="str">
        <f>IFERROR(HYPERLINK(VLOOKUP(A794,Internal_lists_bugs!$A$2:$C$73,3,FALSE()), VLOOKUP(A794,Internal_lists_bugs!$A$2:$C$73,3,FALSE())&amp;Char(10) &amp; Char(10) &amp; VLOOKUP(A794,Internal_lists_bugs!$A$2:$Z$73,26,FALSE())),"please select a BUG ID")</f>
        <v>please select a BUG ID</v>
      </c>
      <c r="C794" s="51" t="str">
        <f>IFERROR(__xludf.DUMMYFUNCTION("IFERROR(IF(REGEXMATCH(VLOOKUP(A794,Internal_lists_bugs!$A$2:$R$73,18,FALSE()), ""Yes""), VLOOKUP(A794,Internal_lists_bugs!$A$2:$U$73,21,FALSE()), VLOOKUP(A794,Internal_lists_bugs!$A$2:$R$73,18,FALSE())),""please select a BUG ID"")"),"please select a BUG ID")</f>
        <v>please select a BUG ID</v>
      </c>
      <c r="D794" s="43"/>
      <c r="F794" s="62"/>
      <c r="G794" s="63"/>
      <c r="H794" s="43"/>
      <c r="J794" s="62"/>
      <c r="K794" s="63"/>
    </row>
    <row r="795">
      <c r="A795" s="78"/>
      <c r="B795" s="59" t="str">
        <f>IFERROR(HYPERLINK(VLOOKUP(A795,Internal_lists_bugs!$A$2:$C$73,3,FALSE()), VLOOKUP(A795,Internal_lists_bugs!$A$2:$C$73,3,FALSE())&amp;Char(10) &amp; Char(10) &amp; VLOOKUP(A795,Internal_lists_bugs!$A$2:$Z$73,26,FALSE())),"please select a BUG ID")</f>
        <v>please select a BUG ID</v>
      </c>
      <c r="C795" s="51" t="str">
        <f>IFERROR(__xludf.DUMMYFUNCTION("IFERROR(IF(REGEXMATCH(VLOOKUP(A795,Internal_lists_bugs!$A$2:$R$73,18,FALSE()), ""Yes""), VLOOKUP(A795,Internal_lists_bugs!$A$2:$U$73,21,FALSE()), VLOOKUP(A795,Internal_lists_bugs!$A$2:$R$73,18,FALSE())),""please select a BUG ID"")"),"please select a BUG ID")</f>
        <v>please select a BUG ID</v>
      </c>
      <c r="D795" s="43"/>
      <c r="F795" s="62"/>
      <c r="G795" s="63"/>
      <c r="H795" s="43"/>
      <c r="J795" s="62"/>
      <c r="K795" s="63"/>
    </row>
    <row r="796">
      <c r="A796" s="78"/>
      <c r="B796" s="59" t="str">
        <f>IFERROR(HYPERLINK(VLOOKUP(A796,Internal_lists_bugs!$A$2:$C$73,3,FALSE()), VLOOKUP(A796,Internal_lists_bugs!$A$2:$C$73,3,FALSE())&amp;Char(10) &amp; Char(10) &amp; VLOOKUP(A796,Internal_lists_bugs!$A$2:$Z$73,26,FALSE())),"please select a BUG ID")</f>
        <v>please select a BUG ID</v>
      </c>
      <c r="C796" s="51" t="str">
        <f>IFERROR(__xludf.DUMMYFUNCTION("IFERROR(IF(REGEXMATCH(VLOOKUP(A796,Internal_lists_bugs!$A$2:$R$73,18,FALSE()), ""Yes""), VLOOKUP(A796,Internal_lists_bugs!$A$2:$U$73,21,FALSE()), VLOOKUP(A796,Internal_lists_bugs!$A$2:$R$73,18,FALSE())),""please select a BUG ID"")"),"please select a BUG ID")</f>
        <v>please select a BUG ID</v>
      </c>
      <c r="D796" s="43"/>
      <c r="F796" s="62"/>
      <c r="G796" s="63"/>
      <c r="H796" s="43"/>
      <c r="J796" s="62"/>
      <c r="K796" s="63"/>
    </row>
    <row r="797">
      <c r="A797" s="78"/>
      <c r="B797" s="59" t="str">
        <f>IFERROR(HYPERLINK(VLOOKUP(A797,Internal_lists_bugs!$A$2:$C$73,3,FALSE()), VLOOKUP(A797,Internal_lists_bugs!$A$2:$C$73,3,FALSE())&amp;Char(10) &amp; Char(10) &amp; VLOOKUP(A797,Internal_lists_bugs!$A$2:$Z$73,26,FALSE())),"please select a BUG ID")</f>
        <v>please select a BUG ID</v>
      </c>
      <c r="C797" s="51" t="str">
        <f>IFERROR(__xludf.DUMMYFUNCTION("IFERROR(IF(REGEXMATCH(VLOOKUP(A797,Internal_lists_bugs!$A$2:$R$73,18,FALSE()), ""Yes""), VLOOKUP(A797,Internal_lists_bugs!$A$2:$U$73,21,FALSE()), VLOOKUP(A797,Internal_lists_bugs!$A$2:$R$73,18,FALSE())),""please select a BUG ID"")"),"please select a BUG ID")</f>
        <v>please select a BUG ID</v>
      </c>
      <c r="D797" s="43"/>
      <c r="F797" s="62"/>
      <c r="G797" s="63"/>
      <c r="H797" s="43"/>
      <c r="J797" s="62"/>
      <c r="K797" s="63"/>
    </row>
    <row r="798">
      <c r="A798" s="78"/>
      <c r="B798" s="59" t="str">
        <f>IFERROR(HYPERLINK(VLOOKUP(A798,Internal_lists_bugs!$A$2:$C$73,3,FALSE()), VLOOKUP(A798,Internal_lists_bugs!$A$2:$C$73,3,FALSE())&amp;Char(10) &amp; Char(10) &amp; VLOOKUP(A798,Internal_lists_bugs!$A$2:$Z$73,26,FALSE())),"please select a BUG ID")</f>
        <v>please select a BUG ID</v>
      </c>
      <c r="C798" s="51" t="str">
        <f>IFERROR(__xludf.DUMMYFUNCTION("IFERROR(IF(REGEXMATCH(VLOOKUP(A798,Internal_lists_bugs!$A$2:$R$73,18,FALSE()), ""Yes""), VLOOKUP(A798,Internal_lists_bugs!$A$2:$U$73,21,FALSE()), VLOOKUP(A798,Internal_lists_bugs!$A$2:$R$73,18,FALSE())),""please select a BUG ID"")"),"please select a BUG ID")</f>
        <v>please select a BUG ID</v>
      </c>
      <c r="D798" s="43"/>
      <c r="F798" s="62"/>
      <c r="G798" s="63"/>
      <c r="H798" s="43"/>
      <c r="J798" s="62"/>
      <c r="K798" s="63"/>
    </row>
    <row r="799">
      <c r="A799" s="78"/>
      <c r="B799" s="59" t="str">
        <f>IFERROR(HYPERLINK(VLOOKUP(A799,Internal_lists_bugs!$A$2:$C$73,3,FALSE()), VLOOKUP(A799,Internal_lists_bugs!$A$2:$C$73,3,FALSE())&amp;Char(10) &amp; Char(10) &amp; VLOOKUP(A799,Internal_lists_bugs!$A$2:$Z$73,26,FALSE())),"please select a BUG ID")</f>
        <v>please select a BUG ID</v>
      </c>
      <c r="C799" s="51" t="str">
        <f>IFERROR(__xludf.DUMMYFUNCTION("IFERROR(IF(REGEXMATCH(VLOOKUP(A799,Internal_lists_bugs!$A$2:$R$73,18,FALSE()), ""Yes""), VLOOKUP(A799,Internal_lists_bugs!$A$2:$U$73,21,FALSE()), VLOOKUP(A799,Internal_lists_bugs!$A$2:$R$73,18,FALSE())),""please select a BUG ID"")"),"please select a BUG ID")</f>
        <v>please select a BUG ID</v>
      </c>
      <c r="D799" s="43"/>
      <c r="F799" s="62"/>
      <c r="G799" s="63"/>
      <c r="H799" s="43"/>
      <c r="J799" s="62"/>
      <c r="K799" s="63"/>
    </row>
    <row r="800">
      <c r="A800" s="78"/>
      <c r="B800" s="59" t="str">
        <f>IFERROR(HYPERLINK(VLOOKUP(A800,Internal_lists_bugs!$A$2:$C$73,3,FALSE()), VLOOKUP(A800,Internal_lists_bugs!$A$2:$C$73,3,FALSE())&amp;Char(10) &amp; Char(10) &amp; VLOOKUP(A800,Internal_lists_bugs!$A$2:$Z$73,26,FALSE())),"please select a BUG ID")</f>
        <v>please select a BUG ID</v>
      </c>
      <c r="C800" s="51" t="str">
        <f>IFERROR(__xludf.DUMMYFUNCTION("IFERROR(IF(REGEXMATCH(VLOOKUP(A800,Internal_lists_bugs!$A$2:$R$73,18,FALSE()), ""Yes""), VLOOKUP(A800,Internal_lists_bugs!$A$2:$U$73,21,FALSE()), VLOOKUP(A800,Internal_lists_bugs!$A$2:$R$73,18,FALSE())),""please select a BUG ID"")"),"please select a BUG ID")</f>
        <v>please select a BUG ID</v>
      </c>
      <c r="D800" s="43"/>
      <c r="F800" s="62"/>
      <c r="G800" s="63"/>
      <c r="H800" s="43"/>
      <c r="J800" s="62"/>
      <c r="K800" s="63"/>
    </row>
    <row r="801">
      <c r="A801" s="78"/>
      <c r="B801" s="59" t="str">
        <f>IFERROR(HYPERLINK(VLOOKUP(A801,Internal_lists_bugs!$A$2:$C$73,3,FALSE()), VLOOKUP(A801,Internal_lists_bugs!$A$2:$C$73,3,FALSE())&amp;Char(10) &amp; Char(10) &amp; VLOOKUP(A801,Internal_lists_bugs!$A$2:$Z$73,26,FALSE())),"please select a BUG ID")</f>
        <v>please select a BUG ID</v>
      </c>
      <c r="C801" s="51" t="str">
        <f>IFERROR(__xludf.DUMMYFUNCTION("IFERROR(IF(REGEXMATCH(VLOOKUP(A801,Internal_lists_bugs!$A$2:$R$73,18,FALSE()), ""Yes""), VLOOKUP(A801,Internal_lists_bugs!$A$2:$U$73,21,FALSE()), VLOOKUP(A801,Internal_lists_bugs!$A$2:$R$73,18,FALSE())),""please select a BUG ID"")"),"please select a BUG ID")</f>
        <v>please select a BUG ID</v>
      </c>
      <c r="D801" s="43"/>
      <c r="F801" s="62"/>
      <c r="G801" s="63"/>
      <c r="H801" s="43"/>
      <c r="J801" s="62"/>
      <c r="K801" s="63"/>
    </row>
    <row r="802">
      <c r="A802" s="78"/>
      <c r="B802" s="59" t="str">
        <f>IFERROR(HYPERLINK(VLOOKUP(A802,Internal_lists_bugs!$A$2:$C$73,3,FALSE()), VLOOKUP(A802,Internal_lists_bugs!$A$2:$C$73,3,FALSE())&amp;Char(10) &amp; Char(10) &amp; VLOOKUP(A802,Internal_lists_bugs!$A$2:$Z$73,26,FALSE())),"please select a BUG ID")</f>
        <v>please select a BUG ID</v>
      </c>
      <c r="C802" s="51" t="str">
        <f>IFERROR(__xludf.DUMMYFUNCTION("IFERROR(IF(REGEXMATCH(VLOOKUP(A802,Internal_lists_bugs!$A$2:$R$73,18,FALSE()), ""Yes""), VLOOKUP(A802,Internal_lists_bugs!$A$2:$U$73,21,FALSE()), VLOOKUP(A802,Internal_lists_bugs!$A$2:$R$73,18,FALSE())),""please select a BUG ID"")"),"please select a BUG ID")</f>
        <v>please select a BUG ID</v>
      </c>
      <c r="D802" s="43"/>
      <c r="F802" s="62"/>
      <c r="G802" s="63"/>
      <c r="H802" s="43"/>
      <c r="J802" s="62"/>
      <c r="K802" s="63"/>
    </row>
    <row r="803">
      <c r="A803" s="78"/>
      <c r="B803" s="59" t="str">
        <f>IFERROR(HYPERLINK(VLOOKUP(A803,Internal_lists_bugs!$A$2:$C$73,3,FALSE()), VLOOKUP(A803,Internal_lists_bugs!$A$2:$C$73,3,FALSE())&amp;Char(10) &amp; Char(10) &amp; VLOOKUP(A803,Internal_lists_bugs!$A$2:$Z$73,26,FALSE())),"please select a BUG ID")</f>
        <v>please select a BUG ID</v>
      </c>
      <c r="C803" s="51" t="str">
        <f>IFERROR(__xludf.DUMMYFUNCTION("IFERROR(IF(REGEXMATCH(VLOOKUP(A803,Internal_lists_bugs!$A$2:$R$73,18,FALSE()), ""Yes""), VLOOKUP(A803,Internal_lists_bugs!$A$2:$U$73,21,FALSE()), VLOOKUP(A803,Internal_lists_bugs!$A$2:$R$73,18,FALSE())),""please select a BUG ID"")"),"please select a BUG ID")</f>
        <v>please select a BUG ID</v>
      </c>
      <c r="D803" s="43"/>
      <c r="F803" s="62"/>
      <c r="G803" s="63"/>
      <c r="H803" s="43"/>
      <c r="J803" s="62"/>
      <c r="K803" s="63"/>
    </row>
    <row r="804">
      <c r="A804" s="78"/>
      <c r="B804" s="59" t="str">
        <f>IFERROR(HYPERLINK(VLOOKUP(A804,Internal_lists_bugs!$A$2:$C$73,3,FALSE()), VLOOKUP(A804,Internal_lists_bugs!$A$2:$C$73,3,FALSE())&amp;Char(10) &amp; Char(10) &amp; VLOOKUP(A804,Internal_lists_bugs!$A$2:$Z$73,26,FALSE())),"please select a BUG ID")</f>
        <v>please select a BUG ID</v>
      </c>
      <c r="C804" s="51" t="str">
        <f>IFERROR(__xludf.DUMMYFUNCTION("IFERROR(IF(REGEXMATCH(VLOOKUP(A804,Internal_lists_bugs!$A$2:$R$73,18,FALSE()), ""Yes""), VLOOKUP(A804,Internal_lists_bugs!$A$2:$U$73,21,FALSE()), VLOOKUP(A804,Internal_lists_bugs!$A$2:$R$73,18,FALSE())),""please select a BUG ID"")"),"please select a BUG ID")</f>
        <v>please select a BUG ID</v>
      </c>
      <c r="D804" s="43"/>
      <c r="F804" s="62"/>
      <c r="G804" s="63"/>
      <c r="H804" s="43"/>
      <c r="J804" s="62"/>
      <c r="K804" s="63"/>
    </row>
    <row r="805">
      <c r="A805" s="78"/>
      <c r="B805" s="59" t="str">
        <f>IFERROR(HYPERLINK(VLOOKUP(A805,Internal_lists_bugs!$A$2:$C$73,3,FALSE()), VLOOKUP(A805,Internal_lists_bugs!$A$2:$C$73,3,FALSE())&amp;Char(10) &amp; Char(10) &amp; VLOOKUP(A805,Internal_lists_bugs!$A$2:$Z$73,26,FALSE())),"please select a BUG ID")</f>
        <v>please select a BUG ID</v>
      </c>
      <c r="C805" s="51" t="str">
        <f>IFERROR(__xludf.DUMMYFUNCTION("IFERROR(IF(REGEXMATCH(VLOOKUP(A805,Internal_lists_bugs!$A$2:$R$73,18,FALSE()), ""Yes""), VLOOKUP(A805,Internal_lists_bugs!$A$2:$U$73,21,FALSE()), VLOOKUP(A805,Internal_lists_bugs!$A$2:$R$73,18,FALSE())),""please select a BUG ID"")"),"please select a BUG ID")</f>
        <v>please select a BUG ID</v>
      </c>
      <c r="D805" s="43"/>
      <c r="F805" s="62"/>
      <c r="G805" s="63"/>
      <c r="H805" s="43"/>
      <c r="J805" s="62"/>
      <c r="K805" s="63"/>
    </row>
    <row r="806">
      <c r="A806" s="78"/>
      <c r="B806" s="59" t="str">
        <f>IFERROR(HYPERLINK(VLOOKUP(A806,Internal_lists_bugs!$A$2:$C$73,3,FALSE()), VLOOKUP(A806,Internal_lists_bugs!$A$2:$C$73,3,FALSE())&amp;Char(10) &amp; Char(10) &amp; VLOOKUP(A806,Internal_lists_bugs!$A$2:$Z$73,26,FALSE())),"please select a BUG ID")</f>
        <v>please select a BUG ID</v>
      </c>
      <c r="C806" s="51" t="str">
        <f>IFERROR(__xludf.DUMMYFUNCTION("IFERROR(IF(REGEXMATCH(VLOOKUP(A806,Internal_lists_bugs!$A$2:$R$73,18,FALSE()), ""Yes""), VLOOKUP(A806,Internal_lists_bugs!$A$2:$U$73,21,FALSE()), VLOOKUP(A806,Internal_lists_bugs!$A$2:$R$73,18,FALSE())),""please select a BUG ID"")"),"please select a BUG ID")</f>
        <v>please select a BUG ID</v>
      </c>
      <c r="D806" s="43"/>
      <c r="F806" s="62"/>
      <c r="G806" s="63"/>
      <c r="H806" s="43"/>
      <c r="J806" s="62"/>
      <c r="K806" s="63"/>
    </row>
    <row r="807">
      <c r="A807" s="78"/>
      <c r="B807" s="59" t="str">
        <f>IFERROR(HYPERLINK(VLOOKUP(A807,Internal_lists_bugs!$A$2:$C$73,3,FALSE()), VLOOKUP(A807,Internal_lists_bugs!$A$2:$C$73,3,FALSE())&amp;Char(10) &amp; Char(10) &amp; VLOOKUP(A807,Internal_lists_bugs!$A$2:$Z$73,26,FALSE())),"please select a BUG ID")</f>
        <v>please select a BUG ID</v>
      </c>
      <c r="C807" s="51" t="str">
        <f>IFERROR(__xludf.DUMMYFUNCTION("IFERROR(IF(REGEXMATCH(VLOOKUP(A807,Internal_lists_bugs!$A$2:$R$73,18,FALSE()), ""Yes""), VLOOKUP(A807,Internal_lists_bugs!$A$2:$U$73,21,FALSE()), VLOOKUP(A807,Internal_lists_bugs!$A$2:$R$73,18,FALSE())),""please select a BUG ID"")"),"please select a BUG ID")</f>
        <v>please select a BUG ID</v>
      </c>
      <c r="D807" s="43"/>
      <c r="F807" s="62"/>
      <c r="G807" s="63"/>
      <c r="H807" s="43"/>
      <c r="J807" s="62"/>
      <c r="K807" s="63"/>
    </row>
    <row r="808">
      <c r="A808" s="78"/>
      <c r="B808" s="59" t="str">
        <f>IFERROR(HYPERLINK(VLOOKUP(A808,Internal_lists_bugs!$A$2:$C$73,3,FALSE()), VLOOKUP(A808,Internal_lists_bugs!$A$2:$C$73,3,FALSE())&amp;Char(10) &amp; Char(10) &amp; VLOOKUP(A808,Internal_lists_bugs!$A$2:$Z$73,26,FALSE())),"please select a BUG ID")</f>
        <v>please select a BUG ID</v>
      </c>
      <c r="C808" s="51" t="str">
        <f>IFERROR(__xludf.DUMMYFUNCTION("IFERROR(IF(REGEXMATCH(VLOOKUP(A808,Internal_lists_bugs!$A$2:$R$73,18,FALSE()), ""Yes""), VLOOKUP(A808,Internal_lists_bugs!$A$2:$U$73,21,FALSE()), VLOOKUP(A808,Internal_lists_bugs!$A$2:$R$73,18,FALSE())),""please select a BUG ID"")"),"please select a BUG ID")</f>
        <v>please select a BUG ID</v>
      </c>
      <c r="D808" s="43"/>
      <c r="F808" s="62"/>
      <c r="G808" s="63"/>
      <c r="H808" s="43"/>
      <c r="J808" s="62"/>
      <c r="K808" s="63"/>
    </row>
    <row r="809">
      <c r="A809" s="78"/>
      <c r="B809" s="59" t="str">
        <f>IFERROR(HYPERLINK(VLOOKUP(A809,Internal_lists_bugs!$A$2:$C$73,3,FALSE()), VLOOKUP(A809,Internal_lists_bugs!$A$2:$C$73,3,FALSE())&amp;Char(10) &amp; Char(10) &amp; VLOOKUP(A809,Internal_lists_bugs!$A$2:$Z$73,26,FALSE())),"please select a BUG ID")</f>
        <v>please select a BUG ID</v>
      </c>
      <c r="C809" s="51" t="str">
        <f>IFERROR(__xludf.DUMMYFUNCTION("IFERROR(IF(REGEXMATCH(VLOOKUP(A809,Internal_lists_bugs!$A$2:$R$73,18,FALSE()), ""Yes""), VLOOKUP(A809,Internal_lists_bugs!$A$2:$U$73,21,FALSE()), VLOOKUP(A809,Internal_lists_bugs!$A$2:$R$73,18,FALSE())),""please select a BUG ID"")"),"please select a BUG ID")</f>
        <v>please select a BUG ID</v>
      </c>
      <c r="D809" s="43"/>
      <c r="F809" s="62"/>
      <c r="G809" s="63"/>
      <c r="H809" s="43"/>
      <c r="J809" s="62"/>
      <c r="K809" s="63"/>
    </row>
    <row r="810">
      <c r="A810" s="78"/>
      <c r="B810" s="59" t="str">
        <f>IFERROR(HYPERLINK(VLOOKUP(A810,Internal_lists_bugs!$A$2:$C$73,3,FALSE()), VLOOKUP(A810,Internal_lists_bugs!$A$2:$C$73,3,FALSE())&amp;Char(10) &amp; Char(10) &amp; VLOOKUP(A810,Internal_lists_bugs!$A$2:$Z$73,26,FALSE())),"please select a BUG ID")</f>
        <v>please select a BUG ID</v>
      </c>
      <c r="C810" s="51" t="str">
        <f>IFERROR(__xludf.DUMMYFUNCTION("IFERROR(IF(REGEXMATCH(VLOOKUP(A810,Internal_lists_bugs!$A$2:$R$73,18,FALSE()), ""Yes""), VLOOKUP(A810,Internal_lists_bugs!$A$2:$U$73,21,FALSE()), VLOOKUP(A810,Internal_lists_bugs!$A$2:$R$73,18,FALSE())),""please select a BUG ID"")"),"please select a BUG ID")</f>
        <v>please select a BUG ID</v>
      </c>
      <c r="D810" s="43"/>
      <c r="F810" s="62"/>
      <c r="G810" s="63"/>
      <c r="H810" s="43"/>
      <c r="J810" s="62"/>
      <c r="K810" s="63"/>
    </row>
    <row r="811">
      <c r="A811" s="78"/>
      <c r="B811" s="59" t="str">
        <f>IFERROR(HYPERLINK(VLOOKUP(A811,Internal_lists_bugs!$A$2:$C$73,3,FALSE()), VLOOKUP(A811,Internal_lists_bugs!$A$2:$C$73,3,FALSE())&amp;Char(10) &amp; Char(10) &amp; VLOOKUP(A811,Internal_lists_bugs!$A$2:$Z$73,26,FALSE())),"please select a BUG ID")</f>
        <v>please select a BUG ID</v>
      </c>
      <c r="C811" s="51" t="str">
        <f>IFERROR(__xludf.DUMMYFUNCTION("IFERROR(IF(REGEXMATCH(VLOOKUP(A811,Internal_lists_bugs!$A$2:$R$73,18,FALSE()), ""Yes""), VLOOKUP(A811,Internal_lists_bugs!$A$2:$U$73,21,FALSE()), VLOOKUP(A811,Internal_lists_bugs!$A$2:$R$73,18,FALSE())),""please select a BUG ID"")"),"please select a BUG ID")</f>
        <v>please select a BUG ID</v>
      </c>
      <c r="D811" s="43"/>
      <c r="F811" s="62"/>
      <c r="G811" s="63"/>
      <c r="H811" s="43"/>
      <c r="J811" s="62"/>
      <c r="K811" s="63"/>
    </row>
    <row r="812">
      <c r="A812" s="78"/>
      <c r="B812" s="59" t="str">
        <f>IFERROR(HYPERLINK(VLOOKUP(A812,Internal_lists_bugs!$A$2:$C$73,3,FALSE()), VLOOKUP(A812,Internal_lists_bugs!$A$2:$C$73,3,FALSE())&amp;Char(10) &amp; Char(10) &amp; VLOOKUP(A812,Internal_lists_bugs!$A$2:$Z$73,26,FALSE())),"please select a BUG ID")</f>
        <v>please select a BUG ID</v>
      </c>
      <c r="C812" s="51" t="str">
        <f>IFERROR(__xludf.DUMMYFUNCTION("IFERROR(IF(REGEXMATCH(VLOOKUP(A812,Internal_lists_bugs!$A$2:$R$73,18,FALSE()), ""Yes""), VLOOKUP(A812,Internal_lists_bugs!$A$2:$U$73,21,FALSE()), VLOOKUP(A812,Internal_lists_bugs!$A$2:$R$73,18,FALSE())),""please select a BUG ID"")"),"please select a BUG ID")</f>
        <v>please select a BUG ID</v>
      </c>
      <c r="D812" s="43"/>
      <c r="F812" s="62"/>
      <c r="G812" s="63"/>
      <c r="H812" s="43"/>
      <c r="J812" s="62"/>
      <c r="K812" s="63"/>
    </row>
    <row r="813">
      <c r="A813" s="78"/>
      <c r="B813" s="59" t="str">
        <f>IFERROR(HYPERLINK(VLOOKUP(A813,Internal_lists_bugs!$A$2:$C$73,3,FALSE()), VLOOKUP(A813,Internal_lists_bugs!$A$2:$C$73,3,FALSE())&amp;Char(10) &amp; Char(10) &amp; VLOOKUP(A813,Internal_lists_bugs!$A$2:$Z$73,26,FALSE())),"please select a BUG ID")</f>
        <v>please select a BUG ID</v>
      </c>
      <c r="C813" s="51" t="str">
        <f>IFERROR(__xludf.DUMMYFUNCTION("IFERROR(IF(REGEXMATCH(VLOOKUP(A813,Internal_lists_bugs!$A$2:$R$73,18,FALSE()), ""Yes""), VLOOKUP(A813,Internal_lists_bugs!$A$2:$U$73,21,FALSE()), VLOOKUP(A813,Internal_lists_bugs!$A$2:$R$73,18,FALSE())),""please select a BUG ID"")"),"please select a BUG ID")</f>
        <v>please select a BUG ID</v>
      </c>
      <c r="D813" s="43"/>
      <c r="F813" s="62"/>
      <c r="G813" s="63"/>
      <c r="H813" s="43"/>
      <c r="J813" s="62"/>
      <c r="K813" s="63"/>
    </row>
    <row r="814">
      <c r="A814" s="78"/>
      <c r="B814" s="59" t="str">
        <f>IFERROR(HYPERLINK(VLOOKUP(A814,Internal_lists_bugs!$A$2:$C$73,3,FALSE()), VLOOKUP(A814,Internal_lists_bugs!$A$2:$C$73,3,FALSE())&amp;Char(10) &amp; Char(10) &amp; VLOOKUP(A814,Internal_lists_bugs!$A$2:$Z$73,26,FALSE())),"please select a BUG ID")</f>
        <v>please select a BUG ID</v>
      </c>
      <c r="C814" s="51" t="str">
        <f>IFERROR(__xludf.DUMMYFUNCTION("IFERROR(IF(REGEXMATCH(VLOOKUP(A814,Internal_lists_bugs!$A$2:$R$73,18,FALSE()), ""Yes""), VLOOKUP(A814,Internal_lists_bugs!$A$2:$U$73,21,FALSE()), VLOOKUP(A814,Internal_lists_bugs!$A$2:$R$73,18,FALSE())),""please select a BUG ID"")"),"please select a BUG ID")</f>
        <v>please select a BUG ID</v>
      </c>
      <c r="D814" s="43"/>
      <c r="F814" s="62"/>
      <c r="G814" s="63"/>
      <c r="H814" s="43"/>
      <c r="J814" s="62"/>
      <c r="K814" s="63"/>
    </row>
    <row r="815">
      <c r="A815" s="78"/>
      <c r="B815" s="59" t="str">
        <f>IFERROR(HYPERLINK(VLOOKUP(A815,Internal_lists_bugs!$A$2:$C$73,3,FALSE()), VLOOKUP(A815,Internal_lists_bugs!$A$2:$C$73,3,FALSE())&amp;Char(10) &amp; Char(10) &amp; VLOOKUP(A815,Internal_lists_bugs!$A$2:$Z$73,26,FALSE())),"please select a BUG ID")</f>
        <v>please select a BUG ID</v>
      </c>
      <c r="C815" s="51" t="str">
        <f>IFERROR(__xludf.DUMMYFUNCTION("IFERROR(IF(REGEXMATCH(VLOOKUP(A815,Internal_lists_bugs!$A$2:$R$73,18,FALSE()), ""Yes""), VLOOKUP(A815,Internal_lists_bugs!$A$2:$U$73,21,FALSE()), VLOOKUP(A815,Internal_lists_bugs!$A$2:$R$73,18,FALSE())),""please select a BUG ID"")"),"please select a BUG ID")</f>
        <v>please select a BUG ID</v>
      </c>
      <c r="D815" s="43"/>
      <c r="F815" s="62"/>
      <c r="G815" s="63"/>
      <c r="H815" s="43"/>
      <c r="J815" s="62"/>
      <c r="K815" s="63"/>
    </row>
    <row r="816">
      <c r="A816" s="78"/>
      <c r="B816" s="59" t="str">
        <f>IFERROR(HYPERLINK(VLOOKUP(A816,Internal_lists_bugs!$A$2:$C$73,3,FALSE()), VLOOKUP(A816,Internal_lists_bugs!$A$2:$C$73,3,FALSE())&amp;Char(10) &amp; Char(10) &amp; VLOOKUP(A816,Internal_lists_bugs!$A$2:$Z$73,26,FALSE())),"please select a BUG ID")</f>
        <v>please select a BUG ID</v>
      </c>
      <c r="C816" s="51" t="str">
        <f>IFERROR(__xludf.DUMMYFUNCTION("IFERROR(IF(REGEXMATCH(VLOOKUP(A816,Internal_lists_bugs!$A$2:$R$73,18,FALSE()), ""Yes""), VLOOKUP(A816,Internal_lists_bugs!$A$2:$U$73,21,FALSE()), VLOOKUP(A816,Internal_lists_bugs!$A$2:$R$73,18,FALSE())),""please select a BUG ID"")"),"please select a BUG ID")</f>
        <v>please select a BUG ID</v>
      </c>
      <c r="D816" s="43"/>
      <c r="F816" s="62"/>
      <c r="G816" s="63"/>
      <c r="H816" s="43"/>
      <c r="J816" s="62"/>
      <c r="K816" s="63"/>
    </row>
    <row r="817">
      <c r="A817" s="78"/>
      <c r="B817" s="59" t="str">
        <f>IFERROR(HYPERLINK(VLOOKUP(A817,Internal_lists_bugs!$A$2:$C$73,3,FALSE()), VLOOKUP(A817,Internal_lists_bugs!$A$2:$C$73,3,FALSE())&amp;Char(10) &amp; Char(10) &amp; VLOOKUP(A817,Internal_lists_bugs!$A$2:$Z$73,26,FALSE())),"please select a BUG ID")</f>
        <v>please select a BUG ID</v>
      </c>
      <c r="C817" s="51" t="str">
        <f>IFERROR(__xludf.DUMMYFUNCTION("IFERROR(IF(REGEXMATCH(VLOOKUP(A817,Internal_lists_bugs!$A$2:$R$73,18,FALSE()), ""Yes""), VLOOKUP(A817,Internal_lists_bugs!$A$2:$U$73,21,FALSE()), VLOOKUP(A817,Internal_lists_bugs!$A$2:$R$73,18,FALSE())),""please select a BUG ID"")"),"please select a BUG ID")</f>
        <v>please select a BUG ID</v>
      </c>
      <c r="D817" s="43"/>
      <c r="F817" s="62"/>
      <c r="G817" s="63"/>
      <c r="H817" s="43"/>
      <c r="J817" s="62"/>
      <c r="K817" s="63"/>
    </row>
    <row r="818">
      <c r="A818" s="78"/>
      <c r="B818" s="59" t="str">
        <f>IFERROR(HYPERLINK(VLOOKUP(A818,Internal_lists_bugs!$A$2:$C$73,3,FALSE()), VLOOKUP(A818,Internal_lists_bugs!$A$2:$C$73,3,FALSE())&amp;Char(10) &amp; Char(10) &amp; VLOOKUP(A818,Internal_lists_bugs!$A$2:$Z$73,26,FALSE())),"please select a BUG ID")</f>
        <v>please select a BUG ID</v>
      </c>
      <c r="C818" s="51" t="str">
        <f>IFERROR(__xludf.DUMMYFUNCTION("IFERROR(IF(REGEXMATCH(VLOOKUP(A818,Internal_lists_bugs!$A$2:$R$73,18,FALSE()), ""Yes""), VLOOKUP(A818,Internal_lists_bugs!$A$2:$U$73,21,FALSE()), VLOOKUP(A818,Internal_lists_bugs!$A$2:$R$73,18,FALSE())),""please select a BUG ID"")"),"please select a BUG ID")</f>
        <v>please select a BUG ID</v>
      </c>
      <c r="D818" s="43"/>
      <c r="F818" s="62"/>
      <c r="G818" s="63"/>
      <c r="H818" s="43"/>
      <c r="J818" s="62"/>
      <c r="K818" s="63"/>
    </row>
    <row r="819">
      <c r="A819" s="78"/>
      <c r="B819" s="59" t="str">
        <f>IFERROR(HYPERLINK(VLOOKUP(A819,Internal_lists_bugs!$A$2:$C$73,3,FALSE()), VLOOKUP(A819,Internal_lists_bugs!$A$2:$C$73,3,FALSE())&amp;Char(10) &amp; Char(10) &amp; VLOOKUP(A819,Internal_lists_bugs!$A$2:$Z$73,26,FALSE())),"please select a BUG ID")</f>
        <v>please select a BUG ID</v>
      </c>
      <c r="C819" s="51" t="str">
        <f>IFERROR(__xludf.DUMMYFUNCTION("IFERROR(IF(REGEXMATCH(VLOOKUP(A819,Internal_lists_bugs!$A$2:$R$73,18,FALSE()), ""Yes""), VLOOKUP(A819,Internal_lists_bugs!$A$2:$U$73,21,FALSE()), VLOOKUP(A819,Internal_lists_bugs!$A$2:$R$73,18,FALSE())),""please select a BUG ID"")"),"please select a BUG ID")</f>
        <v>please select a BUG ID</v>
      </c>
      <c r="D819" s="43"/>
      <c r="F819" s="62"/>
      <c r="G819" s="63"/>
      <c r="H819" s="43"/>
      <c r="J819" s="62"/>
      <c r="K819" s="63"/>
    </row>
    <row r="820">
      <c r="A820" s="78"/>
      <c r="B820" s="59" t="str">
        <f>IFERROR(HYPERLINK(VLOOKUP(A820,Internal_lists_bugs!$A$2:$C$73,3,FALSE()), VLOOKUP(A820,Internal_lists_bugs!$A$2:$C$73,3,FALSE())&amp;Char(10) &amp; Char(10) &amp; VLOOKUP(A820,Internal_lists_bugs!$A$2:$Z$73,26,FALSE())),"please select a BUG ID")</f>
        <v>please select a BUG ID</v>
      </c>
      <c r="C820" s="51" t="str">
        <f>IFERROR(__xludf.DUMMYFUNCTION("IFERROR(IF(REGEXMATCH(VLOOKUP(A820,Internal_lists_bugs!$A$2:$R$73,18,FALSE()), ""Yes""), VLOOKUP(A820,Internal_lists_bugs!$A$2:$U$73,21,FALSE()), VLOOKUP(A820,Internal_lists_bugs!$A$2:$R$73,18,FALSE())),""please select a BUG ID"")"),"please select a BUG ID")</f>
        <v>please select a BUG ID</v>
      </c>
      <c r="D820" s="43"/>
      <c r="F820" s="62"/>
      <c r="G820" s="63"/>
      <c r="H820" s="43"/>
      <c r="J820" s="62"/>
      <c r="K820" s="63"/>
    </row>
    <row r="821">
      <c r="A821" s="78"/>
      <c r="B821" s="59" t="str">
        <f>IFERROR(HYPERLINK(VLOOKUP(A821,Internal_lists_bugs!$A$2:$C$73,3,FALSE()), VLOOKUP(A821,Internal_lists_bugs!$A$2:$C$73,3,FALSE())&amp;Char(10) &amp; Char(10) &amp; VLOOKUP(A821,Internal_lists_bugs!$A$2:$Z$73,26,FALSE())),"please select a BUG ID")</f>
        <v>please select a BUG ID</v>
      </c>
      <c r="C821" s="51" t="str">
        <f>IFERROR(__xludf.DUMMYFUNCTION("IFERROR(IF(REGEXMATCH(VLOOKUP(A821,Internal_lists_bugs!$A$2:$R$73,18,FALSE()), ""Yes""), VLOOKUP(A821,Internal_lists_bugs!$A$2:$U$73,21,FALSE()), VLOOKUP(A821,Internal_lists_bugs!$A$2:$R$73,18,FALSE())),""please select a BUG ID"")"),"please select a BUG ID")</f>
        <v>please select a BUG ID</v>
      </c>
      <c r="D821" s="43"/>
      <c r="F821" s="62"/>
      <c r="G821" s="63"/>
      <c r="H821" s="43"/>
      <c r="J821" s="62"/>
      <c r="K821" s="63"/>
    </row>
    <row r="822">
      <c r="A822" s="78"/>
      <c r="B822" s="59" t="str">
        <f>IFERROR(HYPERLINK(VLOOKUP(A822,Internal_lists_bugs!$A$2:$C$73,3,FALSE()), VLOOKUP(A822,Internal_lists_bugs!$A$2:$C$73,3,FALSE())&amp;Char(10) &amp; Char(10) &amp; VLOOKUP(A822,Internal_lists_bugs!$A$2:$Z$73,26,FALSE())),"please select a BUG ID")</f>
        <v>please select a BUG ID</v>
      </c>
      <c r="C822" s="51" t="str">
        <f>IFERROR(__xludf.DUMMYFUNCTION("IFERROR(IF(REGEXMATCH(VLOOKUP(A822,Internal_lists_bugs!$A$2:$R$73,18,FALSE()), ""Yes""), VLOOKUP(A822,Internal_lists_bugs!$A$2:$U$73,21,FALSE()), VLOOKUP(A822,Internal_lists_bugs!$A$2:$R$73,18,FALSE())),""please select a BUG ID"")"),"please select a BUG ID")</f>
        <v>please select a BUG ID</v>
      </c>
      <c r="D822" s="43"/>
      <c r="F822" s="62"/>
      <c r="G822" s="63"/>
      <c r="H822" s="43"/>
      <c r="J822" s="62"/>
      <c r="K822" s="63"/>
    </row>
    <row r="823">
      <c r="A823" s="78"/>
      <c r="B823" s="59" t="str">
        <f>IFERROR(HYPERLINK(VLOOKUP(A823,Internal_lists_bugs!$A$2:$C$73,3,FALSE()), VLOOKUP(A823,Internal_lists_bugs!$A$2:$C$73,3,FALSE())&amp;Char(10) &amp; Char(10) &amp; VLOOKUP(A823,Internal_lists_bugs!$A$2:$Z$73,26,FALSE())),"please select a BUG ID")</f>
        <v>please select a BUG ID</v>
      </c>
      <c r="C823" s="51" t="str">
        <f>IFERROR(__xludf.DUMMYFUNCTION("IFERROR(IF(REGEXMATCH(VLOOKUP(A823,Internal_lists_bugs!$A$2:$R$73,18,FALSE()), ""Yes""), VLOOKUP(A823,Internal_lists_bugs!$A$2:$U$73,21,FALSE()), VLOOKUP(A823,Internal_lists_bugs!$A$2:$R$73,18,FALSE())),""please select a BUG ID"")"),"please select a BUG ID")</f>
        <v>please select a BUG ID</v>
      </c>
      <c r="D823" s="43"/>
      <c r="F823" s="62"/>
      <c r="G823" s="63"/>
      <c r="H823" s="43"/>
      <c r="J823" s="62"/>
      <c r="K823" s="63"/>
    </row>
    <row r="824">
      <c r="A824" s="78"/>
      <c r="B824" s="59" t="str">
        <f>IFERROR(HYPERLINK(VLOOKUP(A824,Internal_lists_bugs!$A$2:$C$73,3,FALSE()), VLOOKUP(A824,Internal_lists_bugs!$A$2:$C$73,3,FALSE())&amp;Char(10) &amp; Char(10) &amp; VLOOKUP(A824,Internal_lists_bugs!$A$2:$Z$73,26,FALSE())),"please select a BUG ID")</f>
        <v>please select a BUG ID</v>
      </c>
      <c r="C824" s="51" t="str">
        <f>IFERROR(__xludf.DUMMYFUNCTION("IFERROR(IF(REGEXMATCH(VLOOKUP(A824,Internal_lists_bugs!$A$2:$R$73,18,FALSE()), ""Yes""), VLOOKUP(A824,Internal_lists_bugs!$A$2:$U$73,21,FALSE()), VLOOKUP(A824,Internal_lists_bugs!$A$2:$R$73,18,FALSE())),""please select a BUG ID"")"),"please select a BUG ID")</f>
        <v>please select a BUG ID</v>
      </c>
      <c r="D824" s="43"/>
      <c r="F824" s="62"/>
      <c r="G824" s="63"/>
      <c r="H824" s="43"/>
      <c r="J824" s="62"/>
      <c r="K824" s="63"/>
    </row>
    <row r="825">
      <c r="A825" s="78"/>
      <c r="B825" s="59" t="str">
        <f>IFERROR(HYPERLINK(VLOOKUP(A825,Internal_lists_bugs!$A$2:$C$73,3,FALSE()), VLOOKUP(A825,Internal_lists_bugs!$A$2:$C$73,3,FALSE())&amp;Char(10) &amp; Char(10) &amp; VLOOKUP(A825,Internal_lists_bugs!$A$2:$Z$73,26,FALSE())),"please select a BUG ID")</f>
        <v>please select a BUG ID</v>
      </c>
      <c r="C825" s="51" t="str">
        <f>IFERROR(__xludf.DUMMYFUNCTION("IFERROR(IF(REGEXMATCH(VLOOKUP(A825,Internal_lists_bugs!$A$2:$R$73,18,FALSE()), ""Yes""), VLOOKUP(A825,Internal_lists_bugs!$A$2:$U$73,21,FALSE()), VLOOKUP(A825,Internal_lists_bugs!$A$2:$R$73,18,FALSE())),""please select a BUG ID"")"),"please select a BUG ID")</f>
        <v>please select a BUG ID</v>
      </c>
      <c r="D825" s="43"/>
      <c r="F825" s="62"/>
      <c r="G825" s="63"/>
      <c r="H825" s="43"/>
      <c r="J825" s="62"/>
      <c r="K825" s="63"/>
    </row>
    <row r="826">
      <c r="A826" s="78"/>
      <c r="B826" s="59" t="str">
        <f>IFERROR(HYPERLINK(VLOOKUP(A826,Internal_lists_bugs!$A$2:$C$73,3,FALSE()), VLOOKUP(A826,Internal_lists_bugs!$A$2:$C$73,3,FALSE())&amp;Char(10) &amp; Char(10) &amp; VLOOKUP(A826,Internal_lists_bugs!$A$2:$Z$73,26,FALSE())),"please select a BUG ID")</f>
        <v>please select a BUG ID</v>
      </c>
      <c r="C826" s="51" t="str">
        <f>IFERROR(__xludf.DUMMYFUNCTION("IFERROR(IF(REGEXMATCH(VLOOKUP(A826,Internal_lists_bugs!$A$2:$R$73,18,FALSE()), ""Yes""), VLOOKUP(A826,Internal_lists_bugs!$A$2:$U$73,21,FALSE()), VLOOKUP(A826,Internal_lists_bugs!$A$2:$R$73,18,FALSE())),""please select a BUG ID"")"),"please select a BUG ID")</f>
        <v>please select a BUG ID</v>
      </c>
      <c r="D826" s="43"/>
      <c r="F826" s="62"/>
      <c r="G826" s="63"/>
      <c r="H826" s="43"/>
      <c r="J826" s="62"/>
      <c r="K826" s="63"/>
    </row>
    <row r="827">
      <c r="A827" s="78"/>
      <c r="B827" s="59" t="str">
        <f>IFERROR(HYPERLINK(VLOOKUP(A827,Internal_lists_bugs!$A$2:$C$73,3,FALSE()), VLOOKUP(A827,Internal_lists_bugs!$A$2:$C$73,3,FALSE())&amp;Char(10) &amp; Char(10) &amp; VLOOKUP(A827,Internal_lists_bugs!$A$2:$Z$73,26,FALSE())),"please select a BUG ID")</f>
        <v>please select a BUG ID</v>
      </c>
      <c r="C827" s="51" t="str">
        <f>IFERROR(__xludf.DUMMYFUNCTION("IFERROR(IF(REGEXMATCH(VLOOKUP(A827,Internal_lists_bugs!$A$2:$R$73,18,FALSE()), ""Yes""), VLOOKUP(A827,Internal_lists_bugs!$A$2:$U$73,21,FALSE()), VLOOKUP(A827,Internal_lists_bugs!$A$2:$R$73,18,FALSE())),""please select a BUG ID"")"),"please select a BUG ID")</f>
        <v>please select a BUG ID</v>
      </c>
      <c r="D827" s="43"/>
      <c r="F827" s="62"/>
      <c r="G827" s="63"/>
      <c r="H827" s="43"/>
      <c r="J827" s="62"/>
      <c r="K827" s="63"/>
    </row>
    <row r="828">
      <c r="A828" s="78"/>
      <c r="B828" s="59" t="str">
        <f>IFERROR(HYPERLINK(VLOOKUP(A828,Internal_lists_bugs!$A$2:$C$73,3,FALSE()), VLOOKUP(A828,Internal_lists_bugs!$A$2:$C$73,3,FALSE())&amp;Char(10) &amp; Char(10) &amp; VLOOKUP(A828,Internal_lists_bugs!$A$2:$Z$73,26,FALSE())),"please select a BUG ID")</f>
        <v>please select a BUG ID</v>
      </c>
      <c r="C828" s="51" t="str">
        <f>IFERROR(__xludf.DUMMYFUNCTION("IFERROR(IF(REGEXMATCH(VLOOKUP(A828,Internal_lists_bugs!$A$2:$R$73,18,FALSE()), ""Yes""), VLOOKUP(A828,Internal_lists_bugs!$A$2:$U$73,21,FALSE()), VLOOKUP(A828,Internal_lists_bugs!$A$2:$R$73,18,FALSE())),""please select a BUG ID"")"),"please select a BUG ID")</f>
        <v>please select a BUG ID</v>
      </c>
      <c r="D828" s="43"/>
      <c r="F828" s="62"/>
      <c r="G828" s="63"/>
      <c r="H828" s="43"/>
      <c r="J828" s="62"/>
      <c r="K828" s="63"/>
    </row>
    <row r="829">
      <c r="A829" s="78"/>
      <c r="B829" s="59" t="str">
        <f>IFERROR(HYPERLINK(VLOOKUP(A829,Internal_lists_bugs!$A$2:$C$73,3,FALSE()), VLOOKUP(A829,Internal_lists_bugs!$A$2:$C$73,3,FALSE())&amp;Char(10) &amp; Char(10) &amp; VLOOKUP(A829,Internal_lists_bugs!$A$2:$Z$73,26,FALSE())),"please select a BUG ID")</f>
        <v>please select a BUG ID</v>
      </c>
      <c r="C829" s="51" t="str">
        <f>IFERROR(__xludf.DUMMYFUNCTION("IFERROR(IF(REGEXMATCH(VLOOKUP(A829,Internal_lists_bugs!$A$2:$R$73,18,FALSE()), ""Yes""), VLOOKUP(A829,Internal_lists_bugs!$A$2:$U$73,21,FALSE()), VLOOKUP(A829,Internal_lists_bugs!$A$2:$R$73,18,FALSE())),""please select a BUG ID"")"),"please select a BUG ID")</f>
        <v>please select a BUG ID</v>
      </c>
      <c r="D829" s="43"/>
      <c r="F829" s="62"/>
      <c r="G829" s="63"/>
      <c r="H829" s="43"/>
      <c r="J829" s="62"/>
      <c r="K829" s="63"/>
    </row>
    <row r="830">
      <c r="A830" s="78"/>
      <c r="B830" s="59" t="str">
        <f>IFERROR(HYPERLINK(VLOOKUP(A830,Internal_lists_bugs!$A$2:$C$73,3,FALSE()), VLOOKUP(A830,Internal_lists_bugs!$A$2:$C$73,3,FALSE())&amp;Char(10) &amp; Char(10) &amp; VLOOKUP(A830,Internal_lists_bugs!$A$2:$Z$73,26,FALSE())),"please select a BUG ID")</f>
        <v>please select a BUG ID</v>
      </c>
      <c r="C830" s="51" t="str">
        <f>IFERROR(__xludf.DUMMYFUNCTION("IFERROR(IF(REGEXMATCH(VLOOKUP(A830,Internal_lists_bugs!$A$2:$R$73,18,FALSE()), ""Yes""), VLOOKUP(A830,Internal_lists_bugs!$A$2:$U$73,21,FALSE()), VLOOKUP(A830,Internal_lists_bugs!$A$2:$R$73,18,FALSE())),""please select a BUG ID"")"),"please select a BUG ID")</f>
        <v>please select a BUG ID</v>
      </c>
      <c r="D830" s="43"/>
      <c r="F830" s="62"/>
      <c r="G830" s="63"/>
      <c r="H830" s="43"/>
      <c r="J830" s="62"/>
      <c r="K830" s="63"/>
    </row>
    <row r="831">
      <c r="A831" s="78"/>
      <c r="B831" s="59" t="str">
        <f>IFERROR(HYPERLINK(VLOOKUP(A831,Internal_lists_bugs!$A$2:$C$73,3,FALSE()), VLOOKUP(A831,Internal_lists_bugs!$A$2:$C$73,3,FALSE())&amp;Char(10) &amp; Char(10) &amp; VLOOKUP(A831,Internal_lists_bugs!$A$2:$Z$73,26,FALSE())),"please select a BUG ID")</f>
        <v>please select a BUG ID</v>
      </c>
      <c r="C831" s="51" t="str">
        <f>IFERROR(__xludf.DUMMYFUNCTION("IFERROR(IF(REGEXMATCH(VLOOKUP(A831,Internal_lists_bugs!$A$2:$R$73,18,FALSE()), ""Yes""), VLOOKUP(A831,Internal_lists_bugs!$A$2:$U$73,21,FALSE()), VLOOKUP(A831,Internal_lists_bugs!$A$2:$R$73,18,FALSE())),""please select a BUG ID"")"),"please select a BUG ID")</f>
        <v>please select a BUG ID</v>
      </c>
      <c r="D831" s="43"/>
      <c r="F831" s="62"/>
      <c r="G831" s="63"/>
      <c r="H831" s="43"/>
      <c r="J831" s="62"/>
      <c r="K831" s="63"/>
    </row>
    <row r="832">
      <c r="A832" s="78"/>
      <c r="B832" s="59" t="str">
        <f>IFERROR(HYPERLINK(VLOOKUP(A832,Internal_lists_bugs!$A$2:$C$73,3,FALSE()), VLOOKUP(A832,Internal_lists_bugs!$A$2:$C$73,3,FALSE())&amp;Char(10) &amp; Char(10) &amp; VLOOKUP(A832,Internal_lists_bugs!$A$2:$Z$73,26,FALSE())),"please select a BUG ID")</f>
        <v>please select a BUG ID</v>
      </c>
      <c r="C832" s="51" t="str">
        <f>IFERROR(__xludf.DUMMYFUNCTION("IFERROR(IF(REGEXMATCH(VLOOKUP(A832,Internal_lists_bugs!$A$2:$R$73,18,FALSE()), ""Yes""), VLOOKUP(A832,Internal_lists_bugs!$A$2:$U$73,21,FALSE()), VLOOKUP(A832,Internal_lists_bugs!$A$2:$R$73,18,FALSE())),""please select a BUG ID"")"),"please select a BUG ID")</f>
        <v>please select a BUG ID</v>
      </c>
      <c r="D832" s="43"/>
      <c r="F832" s="62"/>
      <c r="G832" s="63"/>
      <c r="H832" s="43"/>
      <c r="J832" s="62"/>
      <c r="K832" s="63"/>
    </row>
    <row r="833">
      <c r="A833" s="78"/>
      <c r="B833" s="59" t="str">
        <f>IFERROR(HYPERLINK(VLOOKUP(A833,Internal_lists_bugs!$A$2:$C$73,3,FALSE()), VLOOKUP(A833,Internal_lists_bugs!$A$2:$C$73,3,FALSE())&amp;Char(10) &amp; Char(10) &amp; VLOOKUP(A833,Internal_lists_bugs!$A$2:$Z$73,26,FALSE())),"please select a BUG ID")</f>
        <v>please select a BUG ID</v>
      </c>
      <c r="C833" s="51" t="str">
        <f>IFERROR(__xludf.DUMMYFUNCTION("IFERROR(IF(REGEXMATCH(VLOOKUP(A833,Internal_lists_bugs!$A$2:$R$73,18,FALSE()), ""Yes""), VLOOKUP(A833,Internal_lists_bugs!$A$2:$U$73,21,FALSE()), VLOOKUP(A833,Internal_lists_bugs!$A$2:$R$73,18,FALSE())),""please select a BUG ID"")"),"please select a BUG ID")</f>
        <v>please select a BUG ID</v>
      </c>
      <c r="D833" s="43"/>
      <c r="F833" s="62"/>
      <c r="G833" s="63"/>
      <c r="H833" s="43"/>
      <c r="J833" s="62"/>
      <c r="K833" s="63"/>
    </row>
    <row r="834">
      <c r="A834" s="78"/>
      <c r="B834" s="59" t="str">
        <f>IFERROR(HYPERLINK(VLOOKUP(A834,Internal_lists_bugs!$A$2:$C$73,3,FALSE()), VLOOKUP(A834,Internal_lists_bugs!$A$2:$C$73,3,FALSE())&amp;Char(10) &amp; Char(10) &amp; VLOOKUP(A834,Internal_lists_bugs!$A$2:$Z$73,26,FALSE())),"please select a BUG ID")</f>
        <v>please select a BUG ID</v>
      </c>
      <c r="C834" s="51" t="str">
        <f>IFERROR(__xludf.DUMMYFUNCTION("IFERROR(IF(REGEXMATCH(VLOOKUP(A834,Internal_lists_bugs!$A$2:$R$73,18,FALSE()), ""Yes""), VLOOKUP(A834,Internal_lists_bugs!$A$2:$U$73,21,FALSE()), VLOOKUP(A834,Internal_lists_bugs!$A$2:$R$73,18,FALSE())),""please select a BUG ID"")"),"please select a BUG ID")</f>
        <v>please select a BUG ID</v>
      </c>
      <c r="D834" s="43"/>
      <c r="F834" s="62"/>
      <c r="G834" s="63"/>
      <c r="H834" s="43"/>
      <c r="J834" s="62"/>
      <c r="K834" s="63"/>
    </row>
    <row r="835">
      <c r="A835" s="78"/>
      <c r="B835" s="59" t="str">
        <f>IFERROR(HYPERLINK(VLOOKUP(A835,Internal_lists_bugs!$A$2:$C$73,3,FALSE()), VLOOKUP(A835,Internal_lists_bugs!$A$2:$C$73,3,FALSE())&amp;Char(10) &amp; Char(10) &amp; VLOOKUP(A835,Internal_lists_bugs!$A$2:$Z$73,26,FALSE())),"please select a BUG ID")</f>
        <v>please select a BUG ID</v>
      </c>
      <c r="C835" s="51" t="str">
        <f>IFERROR(__xludf.DUMMYFUNCTION("IFERROR(IF(REGEXMATCH(VLOOKUP(A835,Internal_lists_bugs!$A$2:$R$73,18,FALSE()), ""Yes""), VLOOKUP(A835,Internal_lists_bugs!$A$2:$U$73,21,FALSE()), VLOOKUP(A835,Internal_lists_bugs!$A$2:$R$73,18,FALSE())),""please select a BUG ID"")"),"please select a BUG ID")</f>
        <v>please select a BUG ID</v>
      </c>
      <c r="D835" s="43"/>
      <c r="F835" s="62"/>
      <c r="G835" s="63"/>
      <c r="H835" s="43"/>
      <c r="J835" s="62"/>
      <c r="K835" s="63"/>
    </row>
    <row r="836">
      <c r="A836" s="78"/>
      <c r="B836" s="59" t="str">
        <f>IFERROR(HYPERLINK(VLOOKUP(A836,Internal_lists_bugs!$A$2:$C$73,3,FALSE()), VLOOKUP(A836,Internal_lists_bugs!$A$2:$C$73,3,FALSE())&amp;Char(10) &amp; Char(10) &amp; VLOOKUP(A836,Internal_lists_bugs!$A$2:$Z$73,26,FALSE())),"please select a BUG ID")</f>
        <v>please select a BUG ID</v>
      </c>
      <c r="C836" s="51" t="str">
        <f>IFERROR(__xludf.DUMMYFUNCTION("IFERROR(IF(REGEXMATCH(VLOOKUP(A836,Internal_lists_bugs!$A$2:$R$73,18,FALSE()), ""Yes""), VLOOKUP(A836,Internal_lists_bugs!$A$2:$U$73,21,FALSE()), VLOOKUP(A836,Internal_lists_bugs!$A$2:$R$73,18,FALSE())),""please select a BUG ID"")"),"please select a BUG ID")</f>
        <v>please select a BUG ID</v>
      </c>
      <c r="D836" s="43"/>
      <c r="F836" s="62"/>
      <c r="G836" s="63"/>
      <c r="H836" s="43"/>
      <c r="J836" s="62"/>
      <c r="K836" s="63"/>
    </row>
    <row r="837">
      <c r="A837" s="78"/>
      <c r="B837" s="59" t="str">
        <f>IFERROR(HYPERLINK(VLOOKUP(A837,Internal_lists_bugs!$A$2:$C$73,3,FALSE()), VLOOKUP(A837,Internal_lists_bugs!$A$2:$C$73,3,FALSE())&amp;Char(10) &amp; Char(10) &amp; VLOOKUP(A837,Internal_lists_bugs!$A$2:$Z$73,26,FALSE())),"please select a BUG ID")</f>
        <v>please select a BUG ID</v>
      </c>
      <c r="C837" s="51" t="str">
        <f>IFERROR(__xludf.DUMMYFUNCTION("IFERROR(IF(REGEXMATCH(VLOOKUP(A837,Internal_lists_bugs!$A$2:$R$73,18,FALSE()), ""Yes""), VLOOKUP(A837,Internal_lists_bugs!$A$2:$U$73,21,FALSE()), VLOOKUP(A837,Internal_lists_bugs!$A$2:$R$73,18,FALSE())),""please select a BUG ID"")"),"please select a BUG ID")</f>
        <v>please select a BUG ID</v>
      </c>
      <c r="D837" s="43"/>
      <c r="F837" s="62"/>
      <c r="G837" s="63"/>
      <c r="H837" s="43"/>
      <c r="J837" s="62"/>
      <c r="K837" s="63"/>
    </row>
    <row r="838">
      <c r="A838" s="78"/>
      <c r="B838" s="59" t="str">
        <f>IFERROR(HYPERLINK(VLOOKUP(A838,Internal_lists_bugs!$A$2:$C$73,3,FALSE()), VLOOKUP(A838,Internal_lists_bugs!$A$2:$C$73,3,FALSE())&amp;Char(10) &amp; Char(10) &amp; VLOOKUP(A838,Internal_lists_bugs!$A$2:$Z$73,26,FALSE())),"please select a BUG ID")</f>
        <v>please select a BUG ID</v>
      </c>
      <c r="C838" s="51" t="str">
        <f>IFERROR(__xludf.DUMMYFUNCTION("IFERROR(IF(REGEXMATCH(VLOOKUP(A838,Internal_lists_bugs!$A$2:$R$73,18,FALSE()), ""Yes""), VLOOKUP(A838,Internal_lists_bugs!$A$2:$U$73,21,FALSE()), VLOOKUP(A838,Internal_lists_bugs!$A$2:$R$73,18,FALSE())),""please select a BUG ID"")"),"please select a BUG ID")</f>
        <v>please select a BUG ID</v>
      </c>
      <c r="D838" s="43"/>
      <c r="F838" s="62"/>
      <c r="G838" s="63"/>
      <c r="H838" s="43"/>
      <c r="J838" s="62"/>
      <c r="K838" s="63"/>
    </row>
    <row r="839">
      <c r="A839" s="78"/>
      <c r="B839" s="59" t="str">
        <f>IFERROR(HYPERLINK(VLOOKUP(A839,Internal_lists_bugs!$A$2:$C$73,3,FALSE()), VLOOKUP(A839,Internal_lists_bugs!$A$2:$C$73,3,FALSE())&amp;Char(10) &amp; Char(10) &amp; VLOOKUP(A839,Internal_lists_bugs!$A$2:$Z$73,26,FALSE())),"please select a BUG ID")</f>
        <v>please select a BUG ID</v>
      </c>
      <c r="C839" s="51" t="str">
        <f>IFERROR(__xludf.DUMMYFUNCTION("IFERROR(IF(REGEXMATCH(VLOOKUP(A839,Internal_lists_bugs!$A$2:$R$73,18,FALSE()), ""Yes""), VLOOKUP(A839,Internal_lists_bugs!$A$2:$U$73,21,FALSE()), VLOOKUP(A839,Internal_lists_bugs!$A$2:$R$73,18,FALSE())),""please select a BUG ID"")"),"please select a BUG ID")</f>
        <v>please select a BUG ID</v>
      </c>
      <c r="D839" s="43"/>
      <c r="F839" s="62"/>
      <c r="G839" s="63"/>
      <c r="H839" s="43"/>
      <c r="J839" s="62"/>
      <c r="K839" s="63"/>
    </row>
    <row r="840">
      <c r="A840" s="78"/>
      <c r="B840" s="59" t="str">
        <f>IFERROR(HYPERLINK(VLOOKUP(A840,Internal_lists_bugs!$A$2:$C$73,3,FALSE()), VLOOKUP(A840,Internal_lists_bugs!$A$2:$C$73,3,FALSE())&amp;Char(10) &amp; Char(10) &amp; VLOOKUP(A840,Internal_lists_bugs!$A$2:$Z$73,26,FALSE())),"please select a BUG ID")</f>
        <v>please select a BUG ID</v>
      </c>
      <c r="C840" s="51" t="str">
        <f>IFERROR(__xludf.DUMMYFUNCTION("IFERROR(IF(REGEXMATCH(VLOOKUP(A840,Internal_lists_bugs!$A$2:$R$73,18,FALSE()), ""Yes""), VLOOKUP(A840,Internal_lists_bugs!$A$2:$U$73,21,FALSE()), VLOOKUP(A840,Internal_lists_bugs!$A$2:$R$73,18,FALSE())),""please select a BUG ID"")"),"please select a BUG ID")</f>
        <v>please select a BUG ID</v>
      </c>
      <c r="D840" s="43"/>
      <c r="F840" s="62"/>
      <c r="G840" s="63"/>
      <c r="H840" s="43"/>
      <c r="J840" s="62"/>
      <c r="K840" s="63"/>
    </row>
    <row r="841">
      <c r="A841" s="78"/>
      <c r="B841" s="59" t="str">
        <f>IFERROR(HYPERLINK(VLOOKUP(A841,Internal_lists_bugs!$A$2:$C$73,3,FALSE()), VLOOKUP(A841,Internal_lists_bugs!$A$2:$C$73,3,FALSE())&amp;Char(10) &amp; Char(10) &amp; VLOOKUP(A841,Internal_lists_bugs!$A$2:$Z$73,26,FALSE())),"please select a BUG ID")</f>
        <v>please select a BUG ID</v>
      </c>
      <c r="C841" s="51" t="str">
        <f>IFERROR(__xludf.DUMMYFUNCTION("IFERROR(IF(REGEXMATCH(VLOOKUP(A841,Internal_lists_bugs!$A$2:$R$73,18,FALSE()), ""Yes""), VLOOKUP(A841,Internal_lists_bugs!$A$2:$U$73,21,FALSE()), VLOOKUP(A841,Internal_lists_bugs!$A$2:$R$73,18,FALSE())),""please select a BUG ID"")"),"please select a BUG ID")</f>
        <v>please select a BUG ID</v>
      </c>
      <c r="D841" s="43"/>
      <c r="F841" s="62"/>
      <c r="G841" s="63"/>
      <c r="H841" s="43"/>
      <c r="J841" s="62"/>
      <c r="K841" s="63"/>
    </row>
    <row r="842">
      <c r="A842" s="78"/>
      <c r="B842" s="59" t="str">
        <f>IFERROR(HYPERLINK(VLOOKUP(A842,Internal_lists_bugs!$A$2:$C$73,3,FALSE()), VLOOKUP(A842,Internal_lists_bugs!$A$2:$C$73,3,FALSE())&amp;Char(10) &amp; Char(10) &amp; VLOOKUP(A842,Internal_lists_bugs!$A$2:$Z$73,26,FALSE())),"please select a BUG ID")</f>
        <v>please select a BUG ID</v>
      </c>
      <c r="C842" s="51" t="str">
        <f>IFERROR(__xludf.DUMMYFUNCTION("IFERROR(IF(REGEXMATCH(VLOOKUP(A842,Internal_lists_bugs!$A$2:$R$73,18,FALSE()), ""Yes""), VLOOKUP(A842,Internal_lists_bugs!$A$2:$U$73,21,FALSE()), VLOOKUP(A842,Internal_lists_bugs!$A$2:$R$73,18,FALSE())),""please select a BUG ID"")"),"please select a BUG ID")</f>
        <v>please select a BUG ID</v>
      </c>
      <c r="D842" s="43"/>
      <c r="F842" s="62"/>
      <c r="G842" s="63"/>
      <c r="H842" s="43"/>
      <c r="J842" s="62"/>
      <c r="K842" s="63"/>
    </row>
    <row r="843">
      <c r="A843" s="78"/>
      <c r="B843" s="59" t="str">
        <f>IFERROR(HYPERLINK(VLOOKUP(A843,Internal_lists_bugs!$A$2:$C$73,3,FALSE()), VLOOKUP(A843,Internal_lists_bugs!$A$2:$C$73,3,FALSE())&amp;Char(10) &amp; Char(10) &amp; VLOOKUP(A843,Internal_lists_bugs!$A$2:$Z$73,26,FALSE())),"please select a BUG ID")</f>
        <v>please select a BUG ID</v>
      </c>
      <c r="C843" s="51" t="str">
        <f>IFERROR(__xludf.DUMMYFUNCTION("IFERROR(IF(REGEXMATCH(VLOOKUP(A843,Internal_lists_bugs!$A$2:$R$73,18,FALSE()), ""Yes""), VLOOKUP(A843,Internal_lists_bugs!$A$2:$U$73,21,FALSE()), VLOOKUP(A843,Internal_lists_bugs!$A$2:$R$73,18,FALSE())),""please select a BUG ID"")"),"please select a BUG ID")</f>
        <v>please select a BUG ID</v>
      </c>
      <c r="D843" s="43"/>
      <c r="F843" s="62"/>
      <c r="G843" s="63"/>
      <c r="H843" s="43"/>
      <c r="J843" s="62"/>
      <c r="K843" s="63"/>
    </row>
    <row r="844">
      <c r="A844" s="78"/>
      <c r="B844" s="59" t="str">
        <f>IFERROR(HYPERLINK(VLOOKUP(A844,Internal_lists_bugs!$A$2:$C$73,3,FALSE()), VLOOKUP(A844,Internal_lists_bugs!$A$2:$C$73,3,FALSE())&amp;Char(10) &amp; Char(10) &amp; VLOOKUP(A844,Internal_lists_bugs!$A$2:$Z$73,26,FALSE())),"please select a BUG ID")</f>
        <v>please select a BUG ID</v>
      </c>
      <c r="C844" s="51" t="str">
        <f>IFERROR(__xludf.DUMMYFUNCTION("IFERROR(IF(REGEXMATCH(VLOOKUP(A844,Internal_lists_bugs!$A$2:$R$73,18,FALSE()), ""Yes""), VLOOKUP(A844,Internal_lists_bugs!$A$2:$U$73,21,FALSE()), VLOOKUP(A844,Internal_lists_bugs!$A$2:$R$73,18,FALSE())),""please select a BUG ID"")"),"please select a BUG ID")</f>
        <v>please select a BUG ID</v>
      </c>
      <c r="D844" s="43"/>
      <c r="F844" s="62"/>
      <c r="G844" s="63"/>
      <c r="H844" s="43"/>
      <c r="J844" s="62"/>
      <c r="K844" s="63"/>
    </row>
    <row r="845">
      <c r="A845" s="78"/>
      <c r="B845" s="59" t="str">
        <f>IFERROR(HYPERLINK(VLOOKUP(A845,Internal_lists_bugs!$A$2:$C$73,3,FALSE()), VLOOKUP(A845,Internal_lists_bugs!$A$2:$C$73,3,FALSE())&amp;Char(10) &amp; Char(10) &amp; VLOOKUP(A845,Internal_lists_bugs!$A$2:$Z$73,26,FALSE())),"please select a BUG ID")</f>
        <v>please select a BUG ID</v>
      </c>
      <c r="C845" s="51" t="str">
        <f>IFERROR(__xludf.DUMMYFUNCTION("IFERROR(IF(REGEXMATCH(VLOOKUP(A845,Internal_lists_bugs!$A$2:$R$73,18,FALSE()), ""Yes""), VLOOKUP(A845,Internal_lists_bugs!$A$2:$U$73,21,FALSE()), VLOOKUP(A845,Internal_lists_bugs!$A$2:$R$73,18,FALSE())),""please select a BUG ID"")"),"please select a BUG ID")</f>
        <v>please select a BUG ID</v>
      </c>
      <c r="D845" s="43"/>
      <c r="F845" s="62"/>
      <c r="G845" s="63"/>
      <c r="H845" s="43"/>
      <c r="J845" s="62"/>
      <c r="K845" s="63"/>
    </row>
    <row r="846">
      <c r="A846" s="78"/>
      <c r="B846" s="59" t="str">
        <f>IFERROR(HYPERLINK(VLOOKUP(A846,Internal_lists_bugs!$A$2:$C$73,3,FALSE()), VLOOKUP(A846,Internal_lists_bugs!$A$2:$C$73,3,FALSE())&amp;Char(10) &amp; Char(10) &amp; VLOOKUP(A846,Internal_lists_bugs!$A$2:$Z$73,26,FALSE())),"please select a BUG ID")</f>
        <v>please select a BUG ID</v>
      </c>
      <c r="C846" s="51" t="str">
        <f>IFERROR(__xludf.DUMMYFUNCTION("IFERROR(IF(REGEXMATCH(VLOOKUP(A846,Internal_lists_bugs!$A$2:$R$73,18,FALSE()), ""Yes""), VLOOKUP(A846,Internal_lists_bugs!$A$2:$U$73,21,FALSE()), VLOOKUP(A846,Internal_lists_bugs!$A$2:$R$73,18,FALSE())),""please select a BUG ID"")"),"please select a BUG ID")</f>
        <v>please select a BUG ID</v>
      </c>
      <c r="D846" s="43"/>
      <c r="F846" s="62"/>
      <c r="G846" s="63"/>
      <c r="H846" s="43"/>
      <c r="J846" s="62"/>
      <c r="K846" s="63"/>
    </row>
    <row r="847">
      <c r="A847" s="78"/>
      <c r="B847" s="59" t="str">
        <f>IFERROR(HYPERLINK(VLOOKUP(A847,Internal_lists_bugs!$A$2:$C$73,3,FALSE()), VLOOKUP(A847,Internal_lists_bugs!$A$2:$C$73,3,FALSE())&amp;Char(10) &amp; Char(10) &amp; VLOOKUP(A847,Internal_lists_bugs!$A$2:$Z$73,26,FALSE())),"please select a BUG ID")</f>
        <v>please select a BUG ID</v>
      </c>
      <c r="C847" s="51" t="str">
        <f>IFERROR(__xludf.DUMMYFUNCTION("IFERROR(IF(REGEXMATCH(VLOOKUP(A847,Internal_lists_bugs!$A$2:$R$73,18,FALSE()), ""Yes""), VLOOKUP(A847,Internal_lists_bugs!$A$2:$U$73,21,FALSE()), VLOOKUP(A847,Internal_lists_bugs!$A$2:$R$73,18,FALSE())),""please select a BUG ID"")"),"please select a BUG ID")</f>
        <v>please select a BUG ID</v>
      </c>
      <c r="D847" s="43"/>
      <c r="F847" s="62"/>
      <c r="G847" s="63"/>
      <c r="H847" s="43"/>
      <c r="J847" s="62"/>
      <c r="K847" s="63"/>
    </row>
    <row r="848">
      <c r="A848" s="78"/>
      <c r="B848" s="59" t="str">
        <f>IFERROR(HYPERLINK(VLOOKUP(A848,Internal_lists_bugs!$A$2:$C$73,3,FALSE()), VLOOKUP(A848,Internal_lists_bugs!$A$2:$C$73,3,FALSE())&amp;Char(10) &amp; Char(10) &amp; VLOOKUP(A848,Internal_lists_bugs!$A$2:$Z$73,26,FALSE())),"please select a BUG ID")</f>
        <v>please select a BUG ID</v>
      </c>
      <c r="C848" s="51" t="str">
        <f>IFERROR(__xludf.DUMMYFUNCTION("IFERROR(IF(REGEXMATCH(VLOOKUP(A848,Internal_lists_bugs!$A$2:$R$73,18,FALSE()), ""Yes""), VLOOKUP(A848,Internal_lists_bugs!$A$2:$U$73,21,FALSE()), VLOOKUP(A848,Internal_lists_bugs!$A$2:$R$73,18,FALSE())),""please select a BUG ID"")"),"please select a BUG ID")</f>
        <v>please select a BUG ID</v>
      </c>
      <c r="D848" s="43"/>
      <c r="F848" s="62"/>
      <c r="G848" s="63"/>
      <c r="H848" s="43"/>
      <c r="J848" s="62"/>
      <c r="K848" s="63"/>
    </row>
    <row r="849">
      <c r="A849" s="78"/>
      <c r="B849" s="59" t="str">
        <f>IFERROR(HYPERLINK(VLOOKUP(A849,Internal_lists_bugs!$A$2:$C$73,3,FALSE()), VLOOKUP(A849,Internal_lists_bugs!$A$2:$C$73,3,FALSE())&amp;Char(10) &amp; Char(10) &amp; VLOOKUP(A849,Internal_lists_bugs!$A$2:$Z$73,26,FALSE())),"please select a BUG ID")</f>
        <v>please select a BUG ID</v>
      </c>
      <c r="C849" s="51" t="str">
        <f>IFERROR(__xludf.DUMMYFUNCTION("IFERROR(IF(REGEXMATCH(VLOOKUP(A849,Internal_lists_bugs!$A$2:$R$73,18,FALSE()), ""Yes""), VLOOKUP(A849,Internal_lists_bugs!$A$2:$U$73,21,FALSE()), VLOOKUP(A849,Internal_lists_bugs!$A$2:$R$73,18,FALSE())),""please select a BUG ID"")"),"please select a BUG ID")</f>
        <v>please select a BUG ID</v>
      </c>
      <c r="D849" s="43"/>
      <c r="F849" s="62"/>
      <c r="G849" s="63"/>
      <c r="H849" s="43"/>
      <c r="J849" s="62"/>
      <c r="K849" s="63"/>
    </row>
    <row r="850">
      <c r="A850" s="78"/>
      <c r="B850" s="59" t="str">
        <f>IFERROR(HYPERLINK(VLOOKUP(A850,Internal_lists_bugs!$A$2:$C$73,3,FALSE()), VLOOKUP(A850,Internal_lists_bugs!$A$2:$C$73,3,FALSE())&amp;Char(10) &amp; Char(10) &amp; VLOOKUP(A850,Internal_lists_bugs!$A$2:$Z$73,26,FALSE())),"please select a BUG ID")</f>
        <v>please select a BUG ID</v>
      </c>
      <c r="C850" s="51" t="str">
        <f>IFERROR(__xludf.DUMMYFUNCTION("IFERROR(IF(REGEXMATCH(VLOOKUP(A850,Internal_lists_bugs!$A$2:$R$73,18,FALSE()), ""Yes""), VLOOKUP(A850,Internal_lists_bugs!$A$2:$U$73,21,FALSE()), VLOOKUP(A850,Internal_lists_bugs!$A$2:$R$73,18,FALSE())),""please select a BUG ID"")"),"please select a BUG ID")</f>
        <v>please select a BUG ID</v>
      </c>
      <c r="D850" s="43"/>
      <c r="F850" s="62"/>
      <c r="G850" s="63"/>
      <c r="H850" s="43"/>
      <c r="J850" s="62"/>
      <c r="K850" s="63"/>
    </row>
    <row r="851">
      <c r="A851" s="78"/>
      <c r="B851" s="59" t="str">
        <f>IFERROR(HYPERLINK(VLOOKUP(A851,Internal_lists_bugs!$A$2:$C$73,3,FALSE()), VLOOKUP(A851,Internal_lists_bugs!$A$2:$C$73,3,FALSE())&amp;Char(10) &amp; Char(10) &amp; VLOOKUP(A851,Internal_lists_bugs!$A$2:$Z$73,26,FALSE())),"please select a BUG ID")</f>
        <v>please select a BUG ID</v>
      </c>
      <c r="C851" s="51" t="str">
        <f>IFERROR(__xludf.DUMMYFUNCTION("IFERROR(IF(REGEXMATCH(VLOOKUP(A851,Internal_lists_bugs!$A$2:$R$73,18,FALSE()), ""Yes""), VLOOKUP(A851,Internal_lists_bugs!$A$2:$U$73,21,FALSE()), VLOOKUP(A851,Internal_lists_bugs!$A$2:$R$73,18,FALSE())),""please select a BUG ID"")"),"please select a BUG ID")</f>
        <v>please select a BUG ID</v>
      </c>
      <c r="D851" s="43"/>
      <c r="F851" s="62"/>
      <c r="G851" s="63"/>
      <c r="H851" s="43"/>
      <c r="J851" s="62"/>
      <c r="K851" s="63"/>
    </row>
    <row r="852">
      <c r="A852" s="78"/>
      <c r="B852" s="59" t="str">
        <f>IFERROR(HYPERLINK(VLOOKUP(A852,Internal_lists_bugs!$A$2:$C$73,3,FALSE()), VLOOKUP(A852,Internal_lists_bugs!$A$2:$C$73,3,FALSE())&amp;Char(10) &amp; Char(10) &amp; VLOOKUP(A852,Internal_lists_bugs!$A$2:$Z$73,26,FALSE())),"please select a BUG ID")</f>
        <v>please select a BUG ID</v>
      </c>
      <c r="C852" s="51" t="str">
        <f>IFERROR(__xludf.DUMMYFUNCTION("IFERROR(IF(REGEXMATCH(VLOOKUP(A852,Internal_lists_bugs!$A$2:$R$73,18,FALSE()), ""Yes""), VLOOKUP(A852,Internal_lists_bugs!$A$2:$U$73,21,FALSE()), VLOOKUP(A852,Internal_lists_bugs!$A$2:$R$73,18,FALSE())),""please select a BUG ID"")"),"please select a BUG ID")</f>
        <v>please select a BUG ID</v>
      </c>
      <c r="D852" s="43"/>
      <c r="F852" s="62"/>
      <c r="G852" s="63"/>
      <c r="H852" s="43"/>
      <c r="J852" s="62"/>
      <c r="K852" s="63"/>
    </row>
    <row r="853">
      <c r="A853" s="78"/>
      <c r="B853" s="59" t="str">
        <f>IFERROR(HYPERLINK(VLOOKUP(A853,Internal_lists_bugs!$A$2:$C$73,3,FALSE()), VLOOKUP(A853,Internal_lists_bugs!$A$2:$C$73,3,FALSE())&amp;Char(10) &amp; Char(10) &amp; VLOOKUP(A853,Internal_lists_bugs!$A$2:$Z$73,26,FALSE())),"please select a BUG ID")</f>
        <v>please select a BUG ID</v>
      </c>
      <c r="C853" s="51" t="str">
        <f>IFERROR(__xludf.DUMMYFUNCTION("IFERROR(IF(REGEXMATCH(VLOOKUP(A853,Internal_lists_bugs!$A$2:$R$73,18,FALSE()), ""Yes""), VLOOKUP(A853,Internal_lists_bugs!$A$2:$U$73,21,FALSE()), VLOOKUP(A853,Internal_lists_bugs!$A$2:$R$73,18,FALSE())),""please select a BUG ID"")"),"please select a BUG ID")</f>
        <v>please select a BUG ID</v>
      </c>
      <c r="D853" s="43"/>
      <c r="F853" s="62"/>
      <c r="G853" s="63"/>
      <c r="H853" s="43"/>
      <c r="J853" s="62"/>
      <c r="K853" s="63"/>
    </row>
    <row r="854">
      <c r="A854" s="78"/>
      <c r="B854" s="59" t="str">
        <f>IFERROR(HYPERLINK(VLOOKUP(A854,Internal_lists_bugs!$A$2:$C$73,3,FALSE()), VLOOKUP(A854,Internal_lists_bugs!$A$2:$C$73,3,FALSE())&amp;Char(10) &amp; Char(10) &amp; VLOOKUP(A854,Internal_lists_bugs!$A$2:$Z$73,26,FALSE())),"please select a BUG ID")</f>
        <v>please select a BUG ID</v>
      </c>
      <c r="C854" s="51" t="str">
        <f>IFERROR(__xludf.DUMMYFUNCTION("IFERROR(IF(REGEXMATCH(VLOOKUP(A854,Internal_lists_bugs!$A$2:$R$73,18,FALSE()), ""Yes""), VLOOKUP(A854,Internal_lists_bugs!$A$2:$U$73,21,FALSE()), VLOOKUP(A854,Internal_lists_bugs!$A$2:$R$73,18,FALSE())),""please select a BUG ID"")"),"please select a BUG ID")</f>
        <v>please select a BUG ID</v>
      </c>
      <c r="D854" s="43"/>
      <c r="F854" s="62"/>
      <c r="G854" s="63"/>
      <c r="H854" s="43"/>
      <c r="J854" s="62"/>
      <c r="K854" s="63"/>
    </row>
    <row r="855">
      <c r="A855" s="78"/>
      <c r="B855" s="59" t="str">
        <f>IFERROR(HYPERLINK(VLOOKUP(A855,Internal_lists_bugs!$A$2:$C$73,3,FALSE()), VLOOKUP(A855,Internal_lists_bugs!$A$2:$C$73,3,FALSE())&amp;Char(10) &amp; Char(10) &amp; VLOOKUP(A855,Internal_lists_bugs!$A$2:$Z$73,26,FALSE())),"please select a BUG ID")</f>
        <v>please select a BUG ID</v>
      </c>
      <c r="C855" s="51" t="str">
        <f>IFERROR(__xludf.DUMMYFUNCTION("IFERROR(IF(REGEXMATCH(VLOOKUP(A855,Internal_lists_bugs!$A$2:$R$73,18,FALSE()), ""Yes""), VLOOKUP(A855,Internal_lists_bugs!$A$2:$U$73,21,FALSE()), VLOOKUP(A855,Internal_lists_bugs!$A$2:$R$73,18,FALSE())),""please select a BUG ID"")"),"please select a BUG ID")</f>
        <v>please select a BUG ID</v>
      </c>
      <c r="D855" s="43"/>
      <c r="F855" s="62"/>
      <c r="G855" s="63"/>
      <c r="H855" s="43"/>
      <c r="J855" s="62"/>
      <c r="K855" s="63"/>
    </row>
    <row r="856">
      <c r="A856" s="78"/>
      <c r="B856" s="59" t="str">
        <f>IFERROR(HYPERLINK(VLOOKUP(A856,Internal_lists_bugs!$A$2:$C$73,3,FALSE()), VLOOKUP(A856,Internal_lists_bugs!$A$2:$C$73,3,FALSE())&amp;Char(10) &amp; Char(10) &amp; VLOOKUP(A856,Internal_lists_bugs!$A$2:$Z$73,26,FALSE())),"please select a BUG ID")</f>
        <v>please select a BUG ID</v>
      </c>
      <c r="C856" s="51" t="str">
        <f>IFERROR(__xludf.DUMMYFUNCTION("IFERROR(IF(REGEXMATCH(VLOOKUP(A856,Internal_lists_bugs!$A$2:$R$73,18,FALSE()), ""Yes""), VLOOKUP(A856,Internal_lists_bugs!$A$2:$U$73,21,FALSE()), VLOOKUP(A856,Internal_lists_bugs!$A$2:$R$73,18,FALSE())),""please select a BUG ID"")"),"please select a BUG ID")</f>
        <v>please select a BUG ID</v>
      </c>
      <c r="D856" s="43"/>
      <c r="F856" s="62"/>
      <c r="G856" s="63"/>
      <c r="H856" s="43"/>
      <c r="J856" s="62"/>
      <c r="K856" s="63"/>
    </row>
    <row r="857">
      <c r="A857" s="78"/>
      <c r="B857" s="59" t="str">
        <f>IFERROR(HYPERLINK(VLOOKUP(A857,Internal_lists_bugs!$A$2:$C$73,3,FALSE()), VLOOKUP(A857,Internal_lists_bugs!$A$2:$C$73,3,FALSE())&amp;Char(10) &amp; Char(10) &amp; VLOOKUP(A857,Internal_lists_bugs!$A$2:$Z$73,26,FALSE())),"please select a BUG ID")</f>
        <v>please select a BUG ID</v>
      </c>
      <c r="C857" s="51" t="str">
        <f>IFERROR(__xludf.DUMMYFUNCTION("IFERROR(IF(REGEXMATCH(VLOOKUP(A857,Internal_lists_bugs!$A$2:$R$73,18,FALSE()), ""Yes""), VLOOKUP(A857,Internal_lists_bugs!$A$2:$U$73,21,FALSE()), VLOOKUP(A857,Internal_lists_bugs!$A$2:$R$73,18,FALSE())),""please select a BUG ID"")"),"please select a BUG ID")</f>
        <v>please select a BUG ID</v>
      </c>
      <c r="D857" s="43"/>
      <c r="F857" s="62"/>
      <c r="G857" s="63"/>
      <c r="H857" s="43"/>
      <c r="J857" s="62"/>
      <c r="K857" s="63"/>
    </row>
    <row r="858">
      <c r="A858" s="78"/>
      <c r="B858" s="59" t="str">
        <f>IFERROR(HYPERLINK(VLOOKUP(A858,Internal_lists_bugs!$A$2:$C$73,3,FALSE()), VLOOKUP(A858,Internal_lists_bugs!$A$2:$C$73,3,FALSE())&amp;Char(10) &amp; Char(10) &amp; VLOOKUP(A858,Internal_lists_bugs!$A$2:$Z$73,26,FALSE())),"please select a BUG ID")</f>
        <v>please select a BUG ID</v>
      </c>
      <c r="C858" s="51" t="str">
        <f>IFERROR(__xludf.DUMMYFUNCTION("IFERROR(IF(REGEXMATCH(VLOOKUP(A858,Internal_lists_bugs!$A$2:$R$73,18,FALSE()), ""Yes""), VLOOKUP(A858,Internal_lists_bugs!$A$2:$U$73,21,FALSE()), VLOOKUP(A858,Internal_lists_bugs!$A$2:$R$73,18,FALSE())),""please select a BUG ID"")"),"please select a BUG ID")</f>
        <v>please select a BUG ID</v>
      </c>
      <c r="D858" s="43"/>
      <c r="F858" s="62"/>
      <c r="G858" s="63"/>
      <c r="H858" s="43"/>
      <c r="J858" s="62"/>
      <c r="K858" s="63"/>
    </row>
    <row r="859">
      <c r="A859" s="78"/>
      <c r="B859" s="59" t="str">
        <f>IFERROR(HYPERLINK(VLOOKUP(A859,Internal_lists_bugs!$A$2:$C$73,3,FALSE()), VLOOKUP(A859,Internal_lists_bugs!$A$2:$C$73,3,FALSE())&amp;Char(10) &amp; Char(10) &amp; VLOOKUP(A859,Internal_lists_bugs!$A$2:$Z$73,26,FALSE())),"please select a BUG ID")</f>
        <v>please select a BUG ID</v>
      </c>
      <c r="C859" s="51" t="str">
        <f>IFERROR(__xludf.DUMMYFUNCTION("IFERROR(IF(REGEXMATCH(VLOOKUP(A859,Internal_lists_bugs!$A$2:$R$73,18,FALSE()), ""Yes""), VLOOKUP(A859,Internal_lists_bugs!$A$2:$U$73,21,FALSE()), VLOOKUP(A859,Internal_lists_bugs!$A$2:$R$73,18,FALSE())),""please select a BUG ID"")"),"please select a BUG ID")</f>
        <v>please select a BUG ID</v>
      </c>
      <c r="D859" s="43"/>
      <c r="F859" s="62"/>
      <c r="G859" s="63"/>
      <c r="H859" s="43"/>
      <c r="J859" s="62"/>
      <c r="K859" s="63"/>
    </row>
    <row r="860">
      <c r="A860" s="78"/>
      <c r="B860" s="59" t="str">
        <f>IFERROR(HYPERLINK(VLOOKUP(A860,Internal_lists_bugs!$A$2:$C$73,3,FALSE()), VLOOKUP(A860,Internal_lists_bugs!$A$2:$C$73,3,FALSE())&amp;Char(10) &amp; Char(10) &amp; VLOOKUP(A860,Internal_lists_bugs!$A$2:$Z$73,26,FALSE())),"please select a BUG ID")</f>
        <v>please select a BUG ID</v>
      </c>
      <c r="C860" s="51" t="str">
        <f>IFERROR(__xludf.DUMMYFUNCTION("IFERROR(IF(REGEXMATCH(VLOOKUP(A860,Internal_lists_bugs!$A$2:$R$73,18,FALSE()), ""Yes""), VLOOKUP(A860,Internal_lists_bugs!$A$2:$U$73,21,FALSE()), VLOOKUP(A860,Internal_lists_bugs!$A$2:$R$73,18,FALSE())),""please select a BUG ID"")"),"please select a BUG ID")</f>
        <v>please select a BUG ID</v>
      </c>
      <c r="D860" s="43"/>
      <c r="F860" s="62"/>
      <c r="G860" s="63"/>
      <c r="H860" s="43"/>
      <c r="J860" s="62"/>
      <c r="K860" s="63"/>
    </row>
    <row r="861">
      <c r="A861" s="78"/>
      <c r="B861" s="59" t="str">
        <f>IFERROR(HYPERLINK(VLOOKUP(A861,Internal_lists_bugs!$A$2:$C$73,3,FALSE()), VLOOKUP(A861,Internal_lists_bugs!$A$2:$C$73,3,FALSE())&amp;Char(10) &amp; Char(10) &amp; VLOOKUP(A861,Internal_lists_bugs!$A$2:$Z$73,26,FALSE())),"please select a BUG ID")</f>
        <v>please select a BUG ID</v>
      </c>
      <c r="C861" s="51" t="str">
        <f>IFERROR(__xludf.DUMMYFUNCTION("IFERROR(IF(REGEXMATCH(VLOOKUP(A861,Internal_lists_bugs!$A$2:$R$73,18,FALSE()), ""Yes""), VLOOKUP(A861,Internal_lists_bugs!$A$2:$U$73,21,FALSE()), VLOOKUP(A861,Internal_lists_bugs!$A$2:$R$73,18,FALSE())),""please select a BUG ID"")"),"please select a BUG ID")</f>
        <v>please select a BUG ID</v>
      </c>
      <c r="D861" s="43"/>
      <c r="F861" s="62"/>
      <c r="G861" s="63"/>
      <c r="H861" s="43"/>
      <c r="J861" s="62"/>
      <c r="K861" s="63"/>
    </row>
    <row r="862">
      <c r="A862" s="78"/>
      <c r="B862" s="59" t="str">
        <f>IFERROR(HYPERLINK(VLOOKUP(A862,Internal_lists_bugs!$A$2:$C$73,3,FALSE()), VLOOKUP(A862,Internal_lists_bugs!$A$2:$C$73,3,FALSE())&amp;Char(10) &amp; Char(10) &amp; VLOOKUP(A862,Internal_lists_bugs!$A$2:$Z$73,26,FALSE())),"please select a BUG ID")</f>
        <v>please select a BUG ID</v>
      </c>
      <c r="C862" s="51" t="str">
        <f>IFERROR(__xludf.DUMMYFUNCTION("IFERROR(IF(REGEXMATCH(VLOOKUP(A862,Internal_lists_bugs!$A$2:$R$73,18,FALSE()), ""Yes""), VLOOKUP(A862,Internal_lists_bugs!$A$2:$U$73,21,FALSE()), VLOOKUP(A862,Internal_lists_bugs!$A$2:$R$73,18,FALSE())),""please select a BUG ID"")"),"please select a BUG ID")</f>
        <v>please select a BUG ID</v>
      </c>
      <c r="D862" s="43"/>
      <c r="F862" s="62"/>
      <c r="G862" s="63"/>
      <c r="H862" s="43"/>
      <c r="J862" s="62"/>
      <c r="K862" s="63"/>
    </row>
    <row r="863">
      <c r="A863" s="78"/>
      <c r="B863" s="59" t="str">
        <f>IFERROR(HYPERLINK(VLOOKUP(A863,Internal_lists_bugs!$A$2:$C$73,3,FALSE()), VLOOKUP(A863,Internal_lists_bugs!$A$2:$C$73,3,FALSE())&amp;Char(10) &amp; Char(10) &amp; VLOOKUP(A863,Internal_lists_bugs!$A$2:$Z$73,26,FALSE())),"please select a BUG ID")</f>
        <v>please select a BUG ID</v>
      </c>
      <c r="C863" s="51" t="str">
        <f>IFERROR(__xludf.DUMMYFUNCTION("IFERROR(IF(REGEXMATCH(VLOOKUP(A863,Internal_lists_bugs!$A$2:$R$73,18,FALSE()), ""Yes""), VLOOKUP(A863,Internal_lists_bugs!$A$2:$U$73,21,FALSE()), VLOOKUP(A863,Internal_lists_bugs!$A$2:$R$73,18,FALSE())),""please select a BUG ID"")"),"please select a BUG ID")</f>
        <v>please select a BUG ID</v>
      </c>
      <c r="D863" s="43"/>
      <c r="F863" s="62"/>
      <c r="G863" s="63"/>
      <c r="H863" s="43"/>
      <c r="J863" s="62"/>
      <c r="K863" s="63"/>
    </row>
    <row r="864">
      <c r="A864" s="78"/>
      <c r="B864" s="59" t="str">
        <f>IFERROR(HYPERLINK(VLOOKUP(A864,Internal_lists_bugs!$A$2:$C$73,3,FALSE()), VLOOKUP(A864,Internal_lists_bugs!$A$2:$C$73,3,FALSE())&amp;Char(10) &amp; Char(10) &amp; VLOOKUP(A864,Internal_lists_bugs!$A$2:$Z$73,26,FALSE())),"please select a BUG ID")</f>
        <v>please select a BUG ID</v>
      </c>
      <c r="C864" s="51" t="str">
        <f>IFERROR(__xludf.DUMMYFUNCTION("IFERROR(IF(REGEXMATCH(VLOOKUP(A864,Internal_lists_bugs!$A$2:$R$73,18,FALSE()), ""Yes""), VLOOKUP(A864,Internal_lists_bugs!$A$2:$U$73,21,FALSE()), VLOOKUP(A864,Internal_lists_bugs!$A$2:$R$73,18,FALSE())),""please select a BUG ID"")"),"please select a BUG ID")</f>
        <v>please select a BUG ID</v>
      </c>
      <c r="D864" s="43"/>
      <c r="F864" s="62"/>
      <c r="G864" s="63"/>
      <c r="H864" s="43"/>
      <c r="J864" s="62"/>
      <c r="K864" s="63"/>
    </row>
    <row r="865">
      <c r="A865" s="78"/>
      <c r="B865" s="59" t="str">
        <f>IFERROR(HYPERLINK(VLOOKUP(A865,Internal_lists_bugs!$A$2:$C$73,3,FALSE()), VLOOKUP(A865,Internal_lists_bugs!$A$2:$C$73,3,FALSE())&amp;Char(10) &amp; Char(10) &amp; VLOOKUP(A865,Internal_lists_bugs!$A$2:$Z$73,26,FALSE())),"please select a BUG ID")</f>
        <v>please select a BUG ID</v>
      </c>
      <c r="C865" s="51" t="str">
        <f>IFERROR(__xludf.DUMMYFUNCTION("IFERROR(IF(REGEXMATCH(VLOOKUP(A865,Internal_lists_bugs!$A$2:$R$73,18,FALSE()), ""Yes""), VLOOKUP(A865,Internal_lists_bugs!$A$2:$U$73,21,FALSE()), VLOOKUP(A865,Internal_lists_bugs!$A$2:$R$73,18,FALSE())),""please select a BUG ID"")"),"please select a BUG ID")</f>
        <v>please select a BUG ID</v>
      </c>
      <c r="D865" s="43"/>
      <c r="F865" s="62"/>
      <c r="G865" s="63"/>
      <c r="H865" s="43"/>
      <c r="J865" s="62"/>
      <c r="K865" s="63"/>
    </row>
    <row r="866">
      <c r="A866" s="78"/>
      <c r="B866" s="59" t="str">
        <f>IFERROR(HYPERLINK(VLOOKUP(A866,Internal_lists_bugs!$A$2:$C$73,3,FALSE()), VLOOKUP(A866,Internal_lists_bugs!$A$2:$C$73,3,FALSE())&amp;Char(10) &amp; Char(10) &amp; VLOOKUP(A866,Internal_lists_bugs!$A$2:$Z$73,26,FALSE())),"please select a BUG ID")</f>
        <v>please select a BUG ID</v>
      </c>
      <c r="C866" s="51" t="str">
        <f>IFERROR(__xludf.DUMMYFUNCTION("IFERROR(IF(REGEXMATCH(VLOOKUP(A866,Internal_lists_bugs!$A$2:$R$73,18,FALSE()), ""Yes""), VLOOKUP(A866,Internal_lists_bugs!$A$2:$U$73,21,FALSE()), VLOOKUP(A866,Internal_lists_bugs!$A$2:$R$73,18,FALSE())),""please select a BUG ID"")"),"please select a BUG ID")</f>
        <v>please select a BUG ID</v>
      </c>
      <c r="D866" s="43"/>
      <c r="F866" s="62"/>
      <c r="G866" s="63"/>
      <c r="H866" s="43"/>
      <c r="J866" s="62"/>
      <c r="K866" s="63"/>
    </row>
    <row r="867">
      <c r="A867" s="78"/>
      <c r="B867" s="59" t="str">
        <f>IFERROR(HYPERLINK(VLOOKUP(A867,Internal_lists_bugs!$A$2:$C$73,3,FALSE()), VLOOKUP(A867,Internal_lists_bugs!$A$2:$C$73,3,FALSE())&amp;Char(10) &amp; Char(10) &amp; VLOOKUP(A867,Internal_lists_bugs!$A$2:$Z$73,26,FALSE())),"please select a BUG ID")</f>
        <v>please select a BUG ID</v>
      </c>
      <c r="C867" s="51" t="str">
        <f>IFERROR(__xludf.DUMMYFUNCTION("IFERROR(IF(REGEXMATCH(VLOOKUP(A867,Internal_lists_bugs!$A$2:$R$73,18,FALSE()), ""Yes""), VLOOKUP(A867,Internal_lists_bugs!$A$2:$U$73,21,FALSE()), VLOOKUP(A867,Internal_lists_bugs!$A$2:$R$73,18,FALSE())),""please select a BUG ID"")"),"please select a BUG ID")</f>
        <v>please select a BUG ID</v>
      </c>
      <c r="D867" s="43"/>
      <c r="F867" s="62"/>
      <c r="G867" s="63"/>
      <c r="H867" s="43"/>
      <c r="J867" s="62"/>
      <c r="K867" s="63"/>
    </row>
    <row r="868">
      <c r="A868" s="78"/>
      <c r="B868" s="59" t="str">
        <f>IFERROR(HYPERLINK(VLOOKUP(A868,Internal_lists_bugs!$A$2:$C$73,3,FALSE()), VLOOKUP(A868,Internal_lists_bugs!$A$2:$C$73,3,FALSE())&amp;Char(10) &amp; Char(10) &amp; VLOOKUP(A868,Internal_lists_bugs!$A$2:$Z$73,26,FALSE())),"please select a BUG ID")</f>
        <v>please select a BUG ID</v>
      </c>
      <c r="C868" s="51" t="str">
        <f>IFERROR(__xludf.DUMMYFUNCTION("IFERROR(IF(REGEXMATCH(VLOOKUP(A868,Internal_lists_bugs!$A$2:$R$73,18,FALSE()), ""Yes""), VLOOKUP(A868,Internal_lists_bugs!$A$2:$U$73,21,FALSE()), VLOOKUP(A868,Internal_lists_bugs!$A$2:$R$73,18,FALSE())),""please select a BUG ID"")"),"please select a BUG ID")</f>
        <v>please select a BUG ID</v>
      </c>
      <c r="D868" s="43"/>
      <c r="F868" s="62"/>
      <c r="G868" s="63"/>
      <c r="H868" s="43"/>
      <c r="J868" s="62"/>
      <c r="K868" s="63"/>
    </row>
    <row r="869">
      <c r="A869" s="78"/>
      <c r="B869" s="59" t="str">
        <f>IFERROR(HYPERLINK(VLOOKUP(A869,Internal_lists_bugs!$A$2:$C$73,3,FALSE()), VLOOKUP(A869,Internal_lists_bugs!$A$2:$C$73,3,FALSE())&amp;Char(10) &amp; Char(10) &amp; VLOOKUP(A869,Internal_lists_bugs!$A$2:$Z$73,26,FALSE())),"please select a BUG ID")</f>
        <v>please select a BUG ID</v>
      </c>
      <c r="C869" s="51" t="str">
        <f>IFERROR(__xludf.DUMMYFUNCTION("IFERROR(IF(REGEXMATCH(VLOOKUP(A869,Internal_lists_bugs!$A$2:$R$73,18,FALSE()), ""Yes""), VLOOKUP(A869,Internal_lists_bugs!$A$2:$U$73,21,FALSE()), VLOOKUP(A869,Internal_lists_bugs!$A$2:$R$73,18,FALSE())),""please select a BUG ID"")"),"please select a BUG ID")</f>
        <v>please select a BUG ID</v>
      </c>
      <c r="D869" s="43"/>
      <c r="F869" s="62"/>
      <c r="G869" s="63"/>
      <c r="H869" s="43"/>
      <c r="J869" s="62"/>
      <c r="K869" s="63"/>
    </row>
    <row r="870">
      <c r="A870" s="78"/>
      <c r="B870" s="59" t="str">
        <f>IFERROR(HYPERLINK(VLOOKUP(A870,Internal_lists_bugs!$A$2:$C$73,3,FALSE()), VLOOKUP(A870,Internal_lists_bugs!$A$2:$C$73,3,FALSE())&amp;Char(10) &amp; Char(10) &amp; VLOOKUP(A870,Internal_lists_bugs!$A$2:$Z$73,26,FALSE())),"please select a BUG ID")</f>
        <v>please select a BUG ID</v>
      </c>
      <c r="C870" s="51" t="str">
        <f>IFERROR(__xludf.DUMMYFUNCTION("IFERROR(IF(REGEXMATCH(VLOOKUP(A870,Internal_lists_bugs!$A$2:$R$73,18,FALSE()), ""Yes""), VLOOKUP(A870,Internal_lists_bugs!$A$2:$U$73,21,FALSE()), VLOOKUP(A870,Internal_lists_bugs!$A$2:$R$73,18,FALSE())),""please select a BUG ID"")"),"please select a BUG ID")</f>
        <v>please select a BUG ID</v>
      </c>
      <c r="D870" s="43"/>
      <c r="F870" s="62"/>
      <c r="G870" s="63"/>
      <c r="H870" s="43"/>
      <c r="J870" s="62"/>
      <c r="K870" s="63"/>
    </row>
    <row r="871">
      <c r="A871" s="78"/>
      <c r="B871" s="59" t="str">
        <f>IFERROR(HYPERLINK(VLOOKUP(A871,Internal_lists_bugs!$A$2:$C$73,3,FALSE()), VLOOKUP(A871,Internal_lists_bugs!$A$2:$C$73,3,FALSE())&amp;Char(10) &amp; Char(10) &amp; VLOOKUP(A871,Internal_lists_bugs!$A$2:$Z$73,26,FALSE())),"please select a BUG ID")</f>
        <v>please select a BUG ID</v>
      </c>
      <c r="C871" s="51" t="str">
        <f>IFERROR(__xludf.DUMMYFUNCTION("IFERROR(IF(REGEXMATCH(VLOOKUP(A871,Internal_lists_bugs!$A$2:$R$73,18,FALSE()), ""Yes""), VLOOKUP(A871,Internal_lists_bugs!$A$2:$U$73,21,FALSE()), VLOOKUP(A871,Internal_lists_bugs!$A$2:$R$73,18,FALSE())),""please select a BUG ID"")"),"please select a BUG ID")</f>
        <v>please select a BUG ID</v>
      </c>
      <c r="D871" s="43"/>
      <c r="F871" s="62"/>
      <c r="G871" s="63"/>
      <c r="H871" s="43"/>
      <c r="J871" s="62"/>
      <c r="K871" s="63"/>
    </row>
    <row r="872">
      <c r="A872" s="78"/>
      <c r="B872" s="59" t="str">
        <f>IFERROR(HYPERLINK(VLOOKUP(A872,Internal_lists_bugs!$A$2:$C$73,3,FALSE()), VLOOKUP(A872,Internal_lists_bugs!$A$2:$C$73,3,FALSE())&amp;Char(10) &amp; Char(10) &amp; VLOOKUP(A872,Internal_lists_bugs!$A$2:$Z$73,26,FALSE())),"please select a BUG ID")</f>
        <v>please select a BUG ID</v>
      </c>
      <c r="C872" s="51" t="str">
        <f>IFERROR(__xludf.DUMMYFUNCTION("IFERROR(IF(REGEXMATCH(VLOOKUP(A872,Internal_lists_bugs!$A$2:$R$73,18,FALSE()), ""Yes""), VLOOKUP(A872,Internal_lists_bugs!$A$2:$U$73,21,FALSE()), VLOOKUP(A872,Internal_lists_bugs!$A$2:$R$73,18,FALSE())),""please select a BUG ID"")"),"please select a BUG ID")</f>
        <v>please select a BUG ID</v>
      </c>
      <c r="D872" s="43"/>
      <c r="F872" s="62"/>
      <c r="G872" s="63"/>
      <c r="H872" s="43"/>
      <c r="J872" s="62"/>
      <c r="K872" s="63"/>
    </row>
    <row r="873">
      <c r="A873" s="78"/>
      <c r="B873" s="59" t="str">
        <f>IFERROR(HYPERLINK(VLOOKUP(A873,Internal_lists_bugs!$A$2:$C$73,3,FALSE()), VLOOKUP(A873,Internal_lists_bugs!$A$2:$C$73,3,FALSE())&amp;Char(10) &amp; Char(10) &amp; VLOOKUP(A873,Internal_lists_bugs!$A$2:$Z$73,26,FALSE())),"please select a BUG ID")</f>
        <v>please select a BUG ID</v>
      </c>
      <c r="C873" s="51" t="str">
        <f>IFERROR(__xludf.DUMMYFUNCTION("IFERROR(IF(REGEXMATCH(VLOOKUP(A873,Internal_lists_bugs!$A$2:$R$73,18,FALSE()), ""Yes""), VLOOKUP(A873,Internal_lists_bugs!$A$2:$U$73,21,FALSE()), VLOOKUP(A873,Internal_lists_bugs!$A$2:$R$73,18,FALSE())),""please select a BUG ID"")"),"please select a BUG ID")</f>
        <v>please select a BUG ID</v>
      </c>
      <c r="D873" s="43"/>
      <c r="F873" s="62"/>
      <c r="G873" s="63"/>
      <c r="H873" s="43"/>
      <c r="J873" s="62"/>
      <c r="K873" s="63"/>
    </row>
    <row r="874">
      <c r="A874" s="78"/>
      <c r="B874" s="59" t="str">
        <f>IFERROR(HYPERLINK(VLOOKUP(A874,Internal_lists_bugs!$A$2:$C$73,3,FALSE()), VLOOKUP(A874,Internal_lists_bugs!$A$2:$C$73,3,FALSE())&amp;Char(10) &amp; Char(10) &amp; VLOOKUP(A874,Internal_lists_bugs!$A$2:$Z$73,26,FALSE())),"please select a BUG ID")</f>
        <v>please select a BUG ID</v>
      </c>
      <c r="C874" s="51" t="str">
        <f>IFERROR(__xludf.DUMMYFUNCTION("IFERROR(IF(REGEXMATCH(VLOOKUP(A874,Internal_lists_bugs!$A$2:$R$73,18,FALSE()), ""Yes""), VLOOKUP(A874,Internal_lists_bugs!$A$2:$U$73,21,FALSE()), VLOOKUP(A874,Internal_lists_bugs!$A$2:$R$73,18,FALSE())),""please select a BUG ID"")"),"please select a BUG ID")</f>
        <v>please select a BUG ID</v>
      </c>
      <c r="D874" s="43"/>
      <c r="F874" s="62"/>
      <c r="G874" s="63"/>
      <c r="H874" s="43"/>
      <c r="J874" s="62"/>
      <c r="K874" s="63"/>
    </row>
    <row r="875">
      <c r="A875" s="78"/>
      <c r="B875" s="59" t="str">
        <f>IFERROR(HYPERLINK(VLOOKUP(A875,Internal_lists_bugs!$A$2:$C$73,3,FALSE()), VLOOKUP(A875,Internal_lists_bugs!$A$2:$C$73,3,FALSE())&amp;Char(10) &amp; Char(10) &amp; VLOOKUP(A875,Internal_lists_bugs!$A$2:$Z$73,26,FALSE())),"please select a BUG ID")</f>
        <v>please select a BUG ID</v>
      </c>
      <c r="C875" s="51" t="str">
        <f>IFERROR(__xludf.DUMMYFUNCTION("IFERROR(IF(REGEXMATCH(VLOOKUP(A875,Internal_lists_bugs!$A$2:$R$73,18,FALSE()), ""Yes""), VLOOKUP(A875,Internal_lists_bugs!$A$2:$U$73,21,FALSE()), VLOOKUP(A875,Internal_lists_bugs!$A$2:$R$73,18,FALSE())),""please select a BUG ID"")"),"please select a BUG ID")</f>
        <v>please select a BUG ID</v>
      </c>
      <c r="D875" s="43"/>
      <c r="F875" s="62"/>
      <c r="G875" s="63"/>
      <c r="H875" s="43"/>
      <c r="J875" s="62"/>
      <c r="K875" s="63"/>
    </row>
    <row r="876">
      <c r="A876" s="78"/>
      <c r="B876" s="59" t="str">
        <f>IFERROR(HYPERLINK(VLOOKUP(A876,Internal_lists_bugs!$A$2:$C$73,3,FALSE()), VLOOKUP(A876,Internal_lists_bugs!$A$2:$C$73,3,FALSE())&amp;Char(10) &amp; Char(10) &amp; VLOOKUP(A876,Internal_lists_bugs!$A$2:$Z$73,26,FALSE())),"please select a BUG ID")</f>
        <v>please select a BUG ID</v>
      </c>
      <c r="C876" s="51" t="str">
        <f>IFERROR(__xludf.DUMMYFUNCTION("IFERROR(IF(REGEXMATCH(VLOOKUP(A876,Internal_lists_bugs!$A$2:$R$73,18,FALSE()), ""Yes""), VLOOKUP(A876,Internal_lists_bugs!$A$2:$U$73,21,FALSE()), VLOOKUP(A876,Internal_lists_bugs!$A$2:$R$73,18,FALSE())),""please select a BUG ID"")"),"please select a BUG ID")</f>
        <v>please select a BUG ID</v>
      </c>
      <c r="D876" s="43"/>
      <c r="F876" s="62"/>
      <c r="G876" s="63"/>
      <c r="H876" s="43"/>
      <c r="J876" s="62"/>
      <c r="K876" s="63"/>
    </row>
    <row r="877">
      <c r="A877" s="78"/>
      <c r="B877" s="59" t="str">
        <f>IFERROR(HYPERLINK(VLOOKUP(A877,Internal_lists_bugs!$A$2:$C$73,3,FALSE()), VLOOKUP(A877,Internal_lists_bugs!$A$2:$C$73,3,FALSE())&amp;Char(10) &amp; Char(10) &amp; VLOOKUP(A877,Internal_lists_bugs!$A$2:$Z$73,26,FALSE())),"please select a BUG ID")</f>
        <v>please select a BUG ID</v>
      </c>
      <c r="C877" s="51" t="str">
        <f>IFERROR(__xludf.DUMMYFUNCTION("IFERROR(IF(REGEXMATCH(VLOOKUP(A877,Internal_lists_bugs!$A$2:$R$73,18,FALSE()), ""Yes""), VLOOKUP(A877,Internal_lists_bugs!$A$2:$U$73,21,FALSE()), VLOOKUP(A877,Internal_lists_bugs!$A$2:$R$73,18,FALSE())),""please select a BUG ID"")"),"please select a BUG ID")</f>
        <v>please select a BUG ID</v>
      </c>
      <c r="D877" s="43"/>
      <c r="F877" s="62"/>
      <c r="G877" s="63"/>
      <c r="H877" s="43"/>
      <c r="J877" s="62"/>
      <c r="K877" s="63"/>
    </row>
    <row r="878">
      <c r="A878" s="78"/>
      <c r="B878" s="59" t="str">
        <f>IFERROR(HYPERLINK(VLOOKUP(A878,Internal_lists_bugs!$A$2:$C$73,3,FALSE()), VLOOKUP(A878,Internal_lists_bugs!$A$2:$C$73,3,FALSE())&amp;Char(10) &amp; Char(10) &amp; VLOOKUP(A878,Internal_lists_bugs!$A$2:$Z$73,26,FALSE())),"please select a BUG ID")</f>
        <v>please select a BUG ID</v>
      </c>
      <c r="C878" s="51" t="str">
        <f>IFERROR(__xludf.DUMMYFUNCTION("IFERROR(IF(REGEXMATCH(VLOOKUP(A878,Internal_lists_bugs!$A$2:$R$73,18,FALSE()), ""Yes""), VLOOKUP(A878,Internal_lists_bugs!$A$2:$U$73,21,FALSE()), VLOOKUP(A878,Internal_lists_bugs!$A$2:$R$73,18,FALSE())),""please select a BUG ID"")"),"please select a BUG ID")</f>
        <v>please select a BUG ID</v>
      </c>
      <c r="D878" s="43"/>
      <c r="F878" s="62"/>
      <c r="G878" s="63"/>
      <c r="H878" s="43"/>
      <c r="J878" s="62"/>
      <c r="K878" s="63"/>
    </row>
    <row r="879">
      <c r="A879" s="78"/>
      <c r="B879" s="59" t="str">
        <f>IFERROR(HYPERLINK(VLOOKUP(A879,Internal_lists_bugs!$A$2:$C$73,3,FALSE()), VLOOKUP(A879,Internal_lists_bugs!$A$2:$C$73,3,FALSE())&amp;Char(10) &amp; Char(10) &amp; VLOOKUP(A879,Internal_lists_bugs!$A$2:$Z$73,26,FALSE())),"please select a BUG ID")</f>
        <v>please select a BUG ID</v>
      </c>
      <c r="C879" s="51" t="str">
        <f>IFERROR(__xludf.DUMMYFUNCTION("IFERROR(IF(REGEXMATCH(VLOOKUP(A879,Internal_lists_bugs!$A$2:$R$73,18,FALSE()), ""Yes""), VLOOKUP(A879,Internal_lists_bugs!$A$2:$U$73,21,FALSE()), VLOOKUP(A879,Internal_lists_bugs!$A$2:$R$73,18,FALSE())),""please select a BUG ID"")"),"please select a BUG ID")</f>
        <v>please select a BUG ID</v>
      </c>
      <c r="D879" s="43"/>
      <c r="F879" s="62"/>
      <c r="G879" s="63"/>
      <c r="H879" s="43"/>
      <c r="J879" s="62"/>
      <c r="K879" s="63"/>
    </row>
    <row r="880">
      <c r="A880" s="78"/>
      <c r="B880" s="59" t="str">
        <f>IFERROR(HYPERLINK(VLOOKUP(A880,Internal_lists_bugs!$A$2:$C$73,3,FALSE()), VLOOKUP(A880,Internal_lists_bugs!$A$2:$C$73,3,FALSE())&amp;Char(10) &amp; Char(10) &amp; VLOOKUP(A880,Internal_lists_bugs!$A$2:$Z$73,26,FALSE())),"please select a BUG ID")</f>
        <v>please select a BUG ID</v>
      </c>
      <c r="C880" s="51" t="str">
        <f>IFERROR(__xludf.DUMMYFUNCTION("IFERROR(IF(REGEXMATCH(VLOOKUP(A880,Internal_lists_bugs!$A$2:$R$73,18,FALSE()), ""Yes""), VLOOKUP(A880,Internal_lists_bugs!$A$2:$U$73,21,FALSE()), VLOOKUP(A880,Internal_lists_bugs!$A$2:$R$73,18,FALSE())),""please select a BUG ID"")"),"please select a BUG ID")</f>
        <v>please select a BUG ID</v>
      </c>
      <c r="D880" s="43"/>
      <c r="F880" s="62"/>
      <c r="G880" s="63"/>
      <c r="H880" s="43"/>
      <c r="J880" s="62"/>
      <c r="K880" s="63"/>
    </row>
    <row r="881">
      <c r="A881" s="78"/>
      <c r="B881" s="59" t="str">
        <f>IFERROR(HYPERLINK(VLOOKUP(A881,Internal_lists_bugs!$A$2:$C$73,3,FALSE()), VLOOKUP(A881,Internal_lists_bugs!$A$2:$C$73,3,FALSE())&amp;Char(10) &amp; Char(10) &amp; VLOOKUP(A881,Internal_lists_bugs!$A$2:$Z$73,26,FALSE())),"please select a BUG ID")</f>
        <v>please select a BUG ID</v>
      </c>
      <c r="C881" s="51" t="str">
        <f>IFERROR(__xludf.DUMMYFUNCTION("IFERROR(IF(REGEXMATCH(VLOOKUP(A881,Internal_lists_bugs!$A$2:$R$73,18,FALSE()), ""Yes""), VLOOKUP(A881,Internal_lists_bugs!$A$2:$U$73,21,FALSE()), VLOOKUP(A881,Internal_lists_bugs!$A$2:$R$73,18,FALSE())),""please select a BUG ID"")"),"please select a BUG ID")</f>
        <v>please select a BUG ID</v>
      </c>
      <c r="D881" s="43"/>
      <c r="F881" s="62"/>
      <c r="G881" s="63"/>
      <c r="H881" s="43"/>
      <c r="J881" s="62"/>
      <c r="K881" s="63"/>
    </row>
    <row r="882">
      <c r="A882" s="78"/>
      <c r="B882" s="59" t="str">
        <f>IFERROR(HYPERLINK(VLOOKUP(A882,Internal_lists_bugs!$A$2:$C$73,3,FALSE()), VLOOKUP(A882,Internal_lists_bugs!$A$2:$C$73,3,FALSE())&amp;Char(10) &amp; Char(10) &amp; VLOOKUP(A882,Internal_lists_bugs!$A$2:$Z$73,26,FALSE())),"please select a BUG ID")</f>
        <v>please select a BUG ID</v>
      </c>
      <c r="C882" s="51" t="str">
        <f>IFERROR(__xludf.DUMMYFUNCTION("IFERROR(IF(REGEXMATCH(VLOOKUP(A882,Internal_lists_bugs!$A$2:$R$73,18,FALSE()), ""Yes""), VLOOKUP(A882,Internal_lists_bugs!$A$2:$U$73,21,FALSE()), VLOOKUP(A882,Internal_lists_bugs!$A$2:$R$73,18,FALSE())),""please select a BUG ID"")"),"please select a BUG ID")</f>
        <v>please select a BUG ID</v>
      </c>
      <c r="D882" s="43"/>
      <c r="F882" s="62"/>
      <c r="G882" s="63"/>
      <c r="H882" s="43"/>
      <c r="J882" s="62"/>
      <c r="K882" s="63"/>
    </row>
    <row r="883">
      <c r="A883" s="78"/>
      <c r="B883" s="59" t="str">
        <f>IFERROR(HYPERLINK(VLOOKUP(A883,Internal_lists_bugs!$A$2:$C$73,3,FALSE()), VLOOKUP(A883,Internal_lists_bugs!$A$2:$C$73,3,FALSE())&amp;Char(10) &amp; Char(10) &amp; VLOOKUP(A883,Internal_lists_bugs!$A$2:$Z$73,26,FALSE())),"please select a BUG ID")</f>
        <v>please select a BUG ID</v>
      </c>
      <c r="C883" s="51" t="str">
        <f>IFERROR(__xludf.DUMMYFUNCTION("IFERROR(IF(REGEXMATCH(VLOOKUP(A883,Internal_lists_bugs!$A$2:$R$73,18,FALSE()), ""Yes""), VLOOKUP(A883,Internal_lists_bugs!$A$2:$U$73,21,FALSE()), VLOOKUP(A883,Internal_lists_bugs!$A$2:$R$73,18,FALSE())),""please select a BUG ID"")"),"please select a BUG ID")</f>
        <v>please select a BUG ID</v>
      </c>
      <c r="D883" s="43"/>
      <c r="F883" s="62"/>
      <c r="G883" s="63"/>
      <c r="H883" s="43"/>
      <c r="J883" s="62"/>
      <c r="K883" s="63"/>
    </row>
    <row r="884">
      <c r="A884" s="78"/>
      <c r="B884" s="59" t="str">
        <f>IFERROR(HYPERLINK(VLOOKUP(A884,Internal_lists_bugs!$A$2:$C$73,3,FALSE()), VLOOKUP(A884,Internal_lists_bugs!$A$2:$C$73,3,FALSE())&amp;Char(10) &amp; Char(10) &amp; VLOOKUP(A884,Internal_lists_bugs!$A$2:$Z$73,26,FALSE())),"please select a BUG ID")</f>
        <v>please select a BUG ID</v>
      </c>
      <c r="C884" s="51" t="str">
        <f>IFERROR(__xludf.DUMMYFUNCTION("IFERROR(IF(REGEXMATCH(VLOOKUP(A884,Internal_lists_bugs!$A$2:$R$73,18,FALSE()), ""Yes""), VLOOKUP(A884,Internal_lists_bugs!$A$2:$U$73,21,FALSE()), VLOOKUP(A884,Internal_lists_bugs!$A$2:$R$73,18,FALSE())),""please select a BUG ID"")"),"please select a BUG ID")</f>
        <v>please select a BUG ID</v>
      </c>
      <c r="D884" s="43"/>
      <c r="F884" s="62"/>
      <c r="G884" s="63"/>
      <c r="H884" s="43"/>
      <c r="J884" s="62"/>
      <c r="K884" s="63"/>
    </row>
    <row r="885">
      <c r="A885" s="78"/>
      <c r="B885" s="59" t="str">
        <f>IFERROR(HYPERLINK(VLOOKUP(A885,Internal_lists_bugs!$A$2:$C$73,3,FALSE()), VLOOKUP(A885,Internal_lists_bugs!$A$2:$C$73,3,FALSE())&amp;Char(10) &amp; Char(10) &amp; VLOOKUP(A885,Internal_lists_bugs!$A$2:$Z$73,26,FALSE())),"please select a BUG ID")</f>
        <v>please select a BUG ID</v>
      </c>
      <c r="C885" s="51" t="str">
        <f>IFERROR(__xludf.DUMMYFUNCTION("IFERROR(IF(REGEXMATCH(VLOOKUP(A885,Internal_lists_bugs!$A$2:$R$73,18,FALSE()), ""Yes""), VLOOKUP(A885,Internal_lists_bugs!$A$2:$U$73,21,FALSE()), VLOOKUP(A885,Internal_lists_bugs!$A$2:$R$73,18,FALSE())),""please select a BUG ID"")"),"please select a BUG ID")</f>
        <v>please select a BUG ID</v>
      </c>
      <c r="D885" s="43"/>
      <c r="F885" s="62"/>
      <c r="G885" s="63"/>
      <c r="H885" s="43"/>
      <c r="J885" s="62"/>
      <c r="K885" s="63"/>
    </row>
    <row r="886">
      <c r="A886" s="78"/>
      <c r="B886" s="59" t="str">
        <f>IFERROR(HYPERLINK(VLOOKUP(A886,Internal_lists_bugs!$A$2:$C$73,3,FALSE()), VLOOKUP(A886,Internal_lists_bugs!$A$2:$C$73,3,FALSE())&amp;Char(10) &amp; Char(10) &amp; VLOOKUP(A886,Internal_lists_bugs!$A$2:$Z$73,26,FALSE())),"please select a BUG ID")</f>
        <v>please select a BUG ID</v>
      </c>
      <c r="C886" s="51" t="str">
        <f>IFERROR(__xludf.DUMMYFUNCTION("IFERROR(IF(REGEXMATCH(VLOOKUP(A886,Internal_lists_bugs!$A$2:$R$73,18,FALSE()), ""Yes""), VLOOKUP(A886,Internal_lists_bugs!$A$2:$U$73,21,FALSE()), VLOOKUP(A886,Internal_lists_bugs!$A$2:$R$73,18,FALSE())),""please select a BUG ID"")"),"please select a BUG ID")</f>
        <v>please select a BUG ID</v>
      </c>
      <c r="D886" s="43"/>
      <c r="F886" s="62"/>
      <c r="G886" s="63"/>
      <c r="H886" s="43"/>
      <c r="J886" s="62"/>
      <c r="K886" s="63"/>
    </row>
    <row r="887">
      <c r="A887" s="78"/>
      <c r="B887" s="59" t="str">
        <f>IFERROR(HYPERLINK(VLOOKUP(A887,Internal_lists_bugs!$A$2:$C$73,3,FALSE()), VLOOKUP(A887,Internal_lists_bugs!$A$2:$C$73,3,FALSE())&amp;Char(10) &amp; Char(10) &amp; VLOOKUP(A887,Internal_lists_bugs!$A$2:$Z$73,26,FALSE())),"please select a BUG ID")</f>
        <v>please select a BUG ID</v>
      </c>
      <c r="C887" s="51" t="str">
        <f>IFERROR(__xludf.DUMMYFUNCTION("IFERROR(IF(REGEXMATCH(VLOOKUP(A887,Internal_lists_bugs!$A$2:$R$73,18,FALSE()), ""Yes""), VLOOKUP(A887,Internal_lists_bugs!$A$2:$U$73,21,FALSE()), VLOOKUP(A887,Internal_lists_bugs!$A$2:$R$73,18,FALSE())),""please select a BUG ID"")"),"please select a BUG ID")</f>
        <v>please select a BUG ID</v>
      </c>
      <c r="D887" s="43"/>
      <c r="F887" s="62"/>
      <c r="G887" s="63"/>
      <c r="H887" s="43"/>
      <c r="J887" s="62"/>
      <c r="K887" s="63"/>
    </row>
    <row r="888">
      <c r="A888" s="78"/>
      <c r="B888" s="59" t="str">
        <f>IFERROR(HYPERLINK(VLOOKUP(A888,Internal_lists_bugs!$A$2:$C$73,3,FALSE()), VLOOKUP(A888,Internal_lists_bugs!$A$2:$C$73,3,FALSE())&amp;Char(10) &amp; Char(10) &amp; VLOOKUP(A888,Internal_lists_bugs!$A$2:$Z$73,26,FALSE())),"please select a BUG ID")</f>
        <v>please select a BUG ID</v>
      </c>
      <c r="C888" s="51" t="str">
        <f>IFERROR(__xludf.DUMMYFUNCTION("IFERROR(IF(REGEXMATCH(VLOOKUP(A888,Internal_lists_bugs!$A$2:$R$73,18,FALSE()), ""Yes""), VLOOKUP(A888,Internal_lists_bugs!$A$2:$U$73,21,FALSE()), VLOOKUP(A888,Internal_lists_bugs!$A$2:$R$73,18,FALSE())),""please select a BUG ID"")"),"please select a BUG ID")</f>
        <v>please select a BUG ID</v>
      </c>
      <c r="D888" s="43"/>
      <c r="F888" s="62"/>
      <c r="G888" s="63"/>
      <c r="H888" s="43"/>
      <c r="J888" s="62"/>
      <c r="K888" s="63"/>
    </row>
    <row r="889">
      <c r="A889" s="78"/>
      <c r="B889" s="59" t="str">
        <f>IFERROR(HYPERLINK(VLOOKUP(A889,Internal_lists_bugs!$A$2:$C$73,3,FALSE()), VLOOKUP(A889,Internal_lists_bugs!$A$2:$C$73,3,FALSE())&amp;Char(10) &amp; Char(10) &amp; VLOOKUP(A889,Internal_lists_bugs!$A$2:$Z$73,26,FALSE())),"please select a BUG ID")</f>
        <v>please select a BUG ID</v>
      </c>
      <c r="C889" s="51" t="str">
        <f>IFERROR(__xludf.DUMMYFUNCTION("IFERROR(IF(REGEXMATCH(VLOOKUP(A889,Internal_lists_bugs!$A$2:$R$73,18,FALSE()), ""Yes""), VLOOKUP(A889,Internal_lists_bugs!$A$2:$U$73,21,FALSE()), VLOOKUP(A889,Internal_lists_bugs!$A$2:$R$73,18,FALSE())),""please select a BUG ID"")"),"please select a BUG ID")</f>
        <v>please select a BUG ID</v>
      </c>
      <c r="D889" s="43"/>
      <c r="F889" s="62"/>
      <c r="G889" s="63"/>
      <c r="H889" s="43"/>
      <c r="J889" s="62"/>
      <c r="K889" s="63"/>
    </row>
    <row r="890">
      <c r="A890" s="78"/>
      <c r="B890" s="59" t="str">
        <f>IFERROR(HYPERLINK(VLOOKUP(A890,Internal_lists_bugs!$A$2:$C$73,3,FALSE()), VLOOKUP(A890,Internal_lists_bugs!$A$2:$C$73,3,FALSE())&amp;Char(10) &amp; Char(10) &amp; VLOOKUP(A890,Internal_lists_bugs!$A$2:$Z$73,26,FALSE())),"please select a BUG ID")</f>
        <v>please select a BUG ID</v>
      </c>
      <c r="C890" s="51" t="str">
        <f>IFERROR(__xludf.DUMMYFUNCTION("IFERROR(IF(REGEXMATCH(VLOOKUP(A890,Internal_lists_bugs!$A$2:$R$73,18,FALSE()), ""Yes""), VLOOKUP(A890,Internal_lists_bugs!$A$2:$U$73,21,FALSE()), VLOOKUP(A890,Internal_lists_bugs!$A$2:$R$73,18,FALSE())),""please select a BUG ID"")"),"please select a BUG ID")</f>
        <v>please select a BUG ID</v>
      </c>
      <c r="D890" s="43"/>
      <c r="F890" s="62"/>
      <c r="G890" s="63"/>
      <c r="H890" s="43"/>
      <c r="J890" s="62"/>
      <c r="K890" s="63"/>
    </row>
    <row r="891">
      <c r="A891" s="78"/>
      <c r="B891" s="59" t="str">
        <f>IFERROR(HYPERLINK(VLOOKUP(A891,Internal_lists_bugs!$A$2:$C$73,3,FALSE()), VLOOKUP(A891,Internal_lists_bugs!$A$2:$C$73,3,FALSE())&amp;Char(10) &amp; Char(10) &amp; VLOOKUP(A891,Internal_lists_bugs!$A$2:$Z$73,26,FALSE())),"please select a BUG ID")</f>
        <v>please select a BUG ID</v>
      </c>
      <c r="C891" s="51" t="str">
        <f>IFERROR(__xludf.DUMMYFUNCTION("IFERROR(IF(REGEXMATCH(VLOOKUP(A891,Internal_lists_bugs!$A$2:$R$73,18,FALSE()), ""Yes""), VLOOKUP(A891,Internal_lists_bugs!$A$2:$U$73,21,FALSE()), VLOOKUP(A891,Internal_lists_bugs!$A$2:$R$73,18,FALSE())),""please select a BUG ID"")"),"please select a BUG ID")</f>
        <v>please select a BUG ID</v>
      </c>
      <c r="D891" s="43"/>
      <c r="F891" s="62"/>
      <c r="G891" s="63"/>
      <c r="H891" s="43"/>
      <c r="J891" s="62"/>
      <c r="K891" s="63"/>
    </row>
    <row r="892">
      <c r="A892" s="78"/>
      <c r="B892" s="59" t="str">
        <f>IFERROR(HYPERLINK(VLOOKUP(A892,Internal_lists_bugs!$A$2:$C$73,3,FALSE()), VLOOKUP(A892,Internal_lists_bugs!$A$2:$C$73,3,FALSE())&amp;Char(10) &amp; Char(10) &amp; VLOOKUP(A892,Internal_lists_bugs!$A$2:$Z$73,26,FALSE())),"please select a BUG ID")</f>
        <v>please select a BUG ID</v>
      </c>
      <c r="C892" s="51" t="str">
        <f>IFERROR(__xludf.DUMMYFUNCTION("IFERROR(IF(REGEXMATCH(VLOOKUP(A892,Internal_lists_bugs!$A$2:$R$73,18,FALSE()), ""Yes""), VLOOKUP(A892,Internal_lists_bugs!$A$2:$U$73,21,FALSE()), VLOOKUP(A892,Internal_lists_bugs!$A$2:$R$73,18,FALSE())),""please select a BUG ID"")"),"please select a BUG ID")</f>
        <v>please select a BUG ID</v>
      </c>
      <c r="D892" s="43"/>
      <c r="F892" s="62"/>
      <c r="G892" s="63"/>
      <c r="H892" s="43"/>
      <c r="J892" s="62"/>
      <c r="K892" s="63"/>
    </row>
    <row r="893">
      <c r="A893" s="78"/>
      <c r="B893" s="59" t="str">
        <f>IFERROR(HYPERLINK(VLOOKUP(A893,Internal_lists_bugs!$A$2:$C$73,3,FALSE()), VLOOKUP(A893,Internal_lists_bugs!$A$2:$C$73,3,FALSE())&amp;Char(10) &amp; Char(10) &amp; VLOOKUP(A893,Internal_lists_bugs!$A$2:$Z$73,26,FALSE())),"please select a BUG ID")</f>
        <v>please select a BUG ID</v>
      </c>
      <c r="C893" s="51" t="str">
        <f>IFERROR(__xludf.DUMMYFUNCTION("IFERROR(IF(REGEXMATCH(VLOOKUP(A893,Internal_lists_bugs!$A$2:$R$73,18,FALSE()), ""Yes""), VLOOKUP(A893,Internal_lists_bugs!$A$2:$U$73,21,FALSE()), VLOOKUP(A893,Internal_lists_bugs!$A$2:$R$73,18,FALSE())),""please select a BUG ID"")"),"please select a BUG ID")</f>
        <v>please select a BUG ID</v>
      </c>
      <c r="D893" s="43"/>
      <c r="F893" s="62"/>
      <c r="G893" s="63"/>
      <c r="H893" s="43"/>
      <c r="J893" s="62"/>
      <c r="K893" s="63"/>
    </row>
    <row r="894">
      <c r="A894" s="78"/>
      <c r="B894" s="59" t="str">
        <f>IFERROR(HYPERLINK(VLOOKUP(A894,Internal_lists_bugs!$A$2:$C$73,3,FALSE()), VLOOKUP(A894,Internal_lists_bugs!$A$2:$C$73,3,FALSE())&amp;Char(10) &amp; Char(10) &amp; VLOOKUP(A894,Internal_lists_bugs!$A$2:$Z$73,26,FALSE())),"please select a BUG ID")</f>
        <v>please select a BUG ID</v>
      </c>
      <c r="C894" s="51" t="str">
        <f>IFERROR(__xludf.DUMMYFUNCTION("IFERROR(IF(REGEXMATCH(VLOOKUP(A894,Internal_lists_bugs!$A$2:$R$73,18,FALSE()), ""Yes""), VLOOKUP(A894,Internal_lists_bugs!$A$2:$U$73,21,FALSE()), VLOOKUP(A894,Internal_lists_bugs!$A$2:$R$73,18,FALSE())),""please select a BUG ID"")"),"please select a BUG ID")</f>
        <v>please select a BUG ID</v>
      </c>
      <c r="D894" s="43"/>
      <c r="F894" s="62"/>
      <c r="G894" s="63"/>
      <c r="H894" s="43"/>
      <c r="J894" s="62"/>
      <c r="K894" s="63"/>
    </row>
    <row r="895">
      <c r="A895" s="78"/>
      <c r="B895" s="59" t="str">
        <f>IFERROR(HYPERLINK(VLOOKUP(A895,Internal_lists_bugs!$A$2:$C$73,3,FALSE()), VLOOKUP(A895,Internal_lists_bugs!$A$2:$C$73,3,FALSE())&amp;Char(10) &amp; Char(10) &amp; VLOOKUP(A895,Internal_lists_bugs!$A$2:$Z$73,26,FALSE())),"please select a BUG ID")</f>
        <v>please select a BUG ID</v>
      </c>
      <c r="C895" s="51" t="str">
        <f>IFERROR(__xludf.DUMMYFUNCTION("IFERROR(IF(REGEXMATCH(VLOOKUP(A895,Internal_lists_bugs!$A$2:$R$73,18,FALSE()), ""Yes""), VLOOKUP(A895,Internal_lists_bugs!$A$2:$U$73,21,FALSE()), VLOOKUP(A895,Internal_lists_bugs!$A$2:$R$73,18,FALSE())),""please select a BUG ID"")"),"please select a BUG ID")</f>
        <v>please select a BUG ID</v>
      </c>
      <c r="D895" s="43"/>
      <c r="F895" s="62"/>
      <c r="G895" s="63"/>
      <c r="H895" s="43"/>
      <c r="J895" s="62"/>
      <c r="K895" s="63"/>
    </row>
    <row r="896">
      <c r="A896" s="78"/>
      <c r="B896" s="59" t="str">
        <f>IFERROR(HYPERLINK(VLOOKUP(A896,Internal_lists_bugs!$A$2:$C$73,3,FALSE()), VLOOKUP(A896,Internal_lists_bugs!$A$2:$C$73,3,FALSE())&amp;Char(10) &amp; Char(10) &amp; VLOOKUP(A896,Internal_lists_bugs!$A$2:$Z$73,26,FALSE())),"please select a BUG ID")</f>
        <v>please select a BUG ID</v>
      </c>
      <c r="C896" s="51" t="str">
        <f>IFERROR(__xludf.DUMMYFUNCTION("IFERROR(IF(REGEXMATCH(VLOOKUP(A896,Internal_lists_bugs!$A$2:$R$73,18,FALSE()), ""Yes""), VLOOKUP(A896,Internal_lists_bugs!$A$2:$U$73,21,FALSE()), VLOOKUP(A896,Internal_lists_bugs!$A$2:$R$73,18,FALSE())),""please select a BUG ID"")"),"please select a BUG ID")</f>
        <v>please select a BUG ID</v>
      </c>
      <c r="D896" s="43"/>
      <c r="F896" s="62"/>
      <c r="G896" s="63"/>
      <c r="H896" s="43"/>
      <c r="J896" s="62"/>
      <c r="K896" s="63"/>
    </row>
    <row r="897">
      <c r="A897" s="78"/>
      <c r="B897" s="59" t="str">
        <f>IFERROR(HYPERLINK(VLOOKUP(A897,Internal_lists_bugs!$A$2:$C$73,3,FALSE()), VLOOKUP(A897,Internal_lists_bugs!$A$2:$C$73,3,FALSE())&amp;Char(10) &amp; Char(10) &amp; VLOOKUP(A897,Internal_lists_bugs!$A$2:$Z$73,26,FALSE())),"please select a BUG ID")</f>
        <v>please select a BUG ID</v>
      </c>
      <c r="C897" s="51" t="str">
        <f>IFERROR(__xludf.DUMMYFUNCTION("IFERROR(IF(REGEXMATCH(VLOOKUP(A897,Internal_lists_bugs!$A$2:$R$73,18,FALSE()), ""Yes""), VLOOKUP(A897,Internal_lists_bugs!$A$2:$U$73,21,FALSE()), VLOOKUP(A897,Internal_lists_bugs!$A$2:$R$73,18,FALSE())),""please select a BUG ID"")"),"please select a BUG ID")</f>
        <v>please select a BUG ID</v>
      </c>
      <c r="D897" s="43"/>
      <c r="F897" s="62"/>
      <c r="G897" s="63"/>
      <c r="H897" s="43"/>
      <c r="J897" s="62"/>
      <c r="K897" s="63"/>
    </row>
    <row r="898">
      <c r="A898" s="78"/>
      <c r="B898" s="59" t="str">
        <f>IFERROR(HYPERLINK(VLOOKUP(A898,Internal_lists_bugs!$A$2:$C$73,3,FALSE()), VLOOKUP(A898,Internal_lists_bugs!$A$2:$C$73,3,FALSE())&amp;Char(10) &amp; Char(10) &amp; VLOOKUP(A898,Internal_lists_bugs!$A$2:$Z$73,26,FALSE())),"please select a BUG ID")</f>
        <v>please select a BUG ID</v>
      </c>
      <c r="C898" s="51" t="str">
        <f>IFERROR(__xludf.DUMMYFUNCTION("IFERROR(IF(REGEXMATCH(VLOOKUP(A898,Internal_lists_bugs!$A$2:$R$73,18,FALSE()), ""Yes""), VLOOKUP(A898,Internal_lists_bugs!$A$2:$U$73,21,FALSE()), VLOOKUP(A898,Internal_lists_bugs!$A$2:$R$73,18,FALSE())),""please select a BUG ID"")"),"please select a BUG ID")</f>
        <v>please select a BUG ID</v>
      </c>
      <c r="D898" s="43"/>
      <c r="F898" s="62"/>
      <c r="G898" s="63"/>
      <c r="H898" s="43"/>
      <c r="J898" s="62"/>
      <c r="K898" s="63"/>
    </row>
    <row r="899">
      <c r="A899" s="78"/>
      <c r="B899" s="59" t="str">
        <f>IFERROR(HYPERLINK(VLOOKUP(A899,Internal_lists_bugs!$A$2:$C$73,3,FALSE()), VLOOKUP(A899,Internal_lists_bugs!$A$2:$C$73,3,FALSE())&amp;Char(10) &amp; Char(10) &amp; VLOOKUP(A899,Internal_lists_bugs!$A$2:$Z$73,26,FALSE())),"please select a BUG ID")</f>
        <v>please select a BUG ID</v>
      </c>
      <c r="C899" s="51" t="str">
        <f>IFERROR(__xludf.DUMMYFUNCTION("IFERROR(IF(REGEXMATCH(VLOOKUP(A899,Internal_lists_bugs!$A$2:$R$73,18,FALSE()), ""Yes""), VLOOKUP(A899,Internal_lists_bugs!$A$2:$U$73,21,FALSE()), VLOOKUP(A899,Internal_lists_bugs!$A$2:$R$73,18,FALSE())),""please select a BUG ID"")"),"please select a BUG ID")</f>
        <v>please select a BUG ID</v>
      </c>
      <c r="D899" s="43"/>
      <c r="F899" s="62"/>
      <c r="G899" s="63"/>
      <c r="H899" s="43"/>
      <c r="J899" s="62"/>
      <c r="K899" s="63"/>
    </row>
    <row r="900">
      <c r="A900" s="78"/>
      <c r="B900" s="59" t="str">
        <f>IFERROR(HYPERLINK(VLOOKUP(A900,Internal_lists_bugs!$A$2:$C$73,3,FALSE()), VLOOKUP(A900,Internal_lists_bugs!$A$2:$C$73,3,FALSE())&amp;Char(10) &amp; Char(10) &amp; VLOOKUP(A900,Internal_lists_bugs!$A$2:$Z$73,26,FALSE())),"please select a BUG ID")</f>
        <v>please select a BUG ID</v>
      </c>
      <c r="C900" s="51" t="str">
        <f>IFERROR(__xludf.DUMMYFUNCTION("IFERROR(IF(REGEXMATCH(VLOOKUP(A900,Internal_lists_bugs!$A$2:$R$73,18,FALSE()), ""Yes""), VLOOKUP(A900,Internal_lists_bugs!$A$2:$U$73,21,FALSE()), VLOOKUP(A900,Internal_lists_bugs!$A$2:$R$73,18,FALSE())),""please select a BUG ID"")"),"please select a BUG ID")</f>
        <v>please select a BUG ID</v>
      </c>
      <c r="D900" s="43"/>
      <c r="F900" s="62"/>
      <c r="G900" s="63"/>
      <c r="H900" s="43"/>
      <c r="J900" s="62"/>
      <c r="K900" s="63"/>
    </row>
    <row r="901">
      <c r="A901" s="78"/>
      <c r="B901" s="59" t="str">
        <f>IFERROR(HYPERLINK(VLOOKUP(A901,Internal_lists_bugs!$A$2:$C$73,3,FALSE()), VLOOKUP(A901,Internal_lists_bugs!$A$2:$C$73,3,FALSE())&amp;Char(10) &amp; Char(10) &amp; VLOOKUP(A901,Internal_lists_bugs!$A$2:$Z$73,26,FALSE())),"please select a BUG ID")</f>
        <v>please select a BUG ID</v>
      </c>
      <c r="C901" s="51" t="str">
        <f>IFERROR(__xludf.DUMMYFUNCTION("IFERROR(IF(REGEXMATCH(VLOOKUP(A901,Internal_lists_bugs!$A$2:$R$73,18,FALSE()), ""Yes""), VLOOKUP(A901,Internal_lists_bugs!$A$2:$U$73,21,FALSE()), VLOOKUP(A901,Internal_lists_bugs!$A$2:$R$73,18,FALSE())),""please select a BUG ID"")"),"please select a BUG ID")</f>
        <v>please select a BUG ID</v>
      </c>
      <c r="D901" s="43"/>
      <c r="F901" s="62"/>
      <c r="G901" s="63"/>
      <c r="H901" s="43"/>
      <c r="J901" s="62"/>
      <c r="K901" s="63"/>
    </row>
    <row r="902">
      <c r="A902" s="78"/>
      <c r="B902" s="59" t="str">
        <f>IFERROR(HYPERLINK(VLOOKUP(A902,Internal_lists_bugs!$A$2:$C$73,3,FALSE()), VLOOKUP(A902,Internal_lists_bugs!$A$2:$C$73,3,FALSE())&amp;Char(10) &amp; Char(10) &amp; VLOOKUP(A902,Internal_lists_bugs!$A$2:$Z$73,26,FALSE())),"please select a BUG ID")</f>
        <v>please select a BUG ID</v>
      </c>
      <c r="C902" s="51" t="str">
        <f>IFERROR(__xludf.DUMMYFUNCTION("IFERROR(IF(REGEXMATCH(VLOOKUP(A902,Internal_lists_bugs!$A$2:$R$73,18,FALSE()), ""Yes""), VLOOKUP(A902,Internal_lists_bugs!$A$2:$U$73,21,FALSE()), VLOOKUP(A902,Internal_lists_bugs!$A$2:$R$73,18,FALSE())),""please select a BUG ID"")"),"please select a BUG ID")</f>
        <v>please select a BUG ID</v>
      </c>
      <c r="D902" s="43"/>
      <c r="F902" s="62"/>
      <c r="G902" s="63"/>
      <c r="H902" s="43"/>
      <c r="J902" s="62"/>
      <c r="K902" s="63"/>
    </row>
    <row r="903">
      <c r="A903" s="78"/>
      <c r="B903" s="59" t="str">
        <f>IFERROR(HYPERLINK(VLOOKUP(A903,Internal_lists_bugs!$A$2:$C$73,3,FALSE()), VLOOKUP(A903,Internal_lists_bugs!$A$2:$C$73,3,FALSE())&amp;Char(10) &amp; Char(10) &amp; VLOOKUP(A903,Internal_lists_bugs!$A$2:$Z$73,26,FALSE())),"please select a BUG ID")</f>
        <v>please select a BUG ID</v>
      </c>
      <c r="C903" s="51" t="str">
        <f>IFERROR(__xludf.DUMMYFUNCTION("IFERROR(IF(REGEXMATCH(VLOOKUP(A903,Internal_lists_bugs!$A$2:$R$73,18,FALSE()), ""Yes""), VLOOKUP(A903,Internal_lists_bugs!$A$2:$U$73,21,FALSE()), VLOOKUP(A903,Internal_lists_bugs!$A$2:$R$73,18,FALSE())),""please select a BUG ID"")"),"please select a BUG ID")</f>
        <v>please select a BUG ID</v>
      </c>
      <c r="D903" s="43"/>
      <c r="F903" s="62"/>
      <c r="G903" s="63"/>
      <c r="H903" s="43"/>
      <c r="J903" s="62"/>
      <c r="K903" s="63"/>
    </row>
    <row r="904">
      <c r="A904" s="78"/>
      <c r="B904" s="59" t="str">
        <f>IFERROR(HYPERLINK(VLOOKUP(A904,Internal_lists_bugs!$A$2:$C$73,3,FALSE()), VLOOKUP(A904,Internal_lists_bugs!$A$2:$C$73,3,FALSE())&amp;Char(10) &amp; Char(10) &amp; VLOOKUP(A904,Internal_lists_bugs!$A$2:$Z$73,26,FALSE())),"please select a BUG ID")</f>
        <v>please select a BUG ID</v>
      </c>
      <c r="C904" s="51" t="str">
        <f>IFERROR(__xludf.DUMMYFUNCTION("IFERROR(IF(REGEXMATCH(VLOOKUP(A904,Internal_lists_bugs!$A$2:$R$73,18,FALSE()), ""Yes""), VLOOKUP(A904,Internal_lists_bugs!$A$2:$U$73,21,FALSE()), VLOOKUP(A904,Internal_lists_bugs!$A$2:$R$73,18,FALSE())),""please select a BUG ID"")"),"please select a BUG ID")</f>
        <v>please select a BUG ID</v>
      </c>
      <c r="D904" s="43"/>
      <c r="F904" s="62"/>
      <c r="G904" s="63"/>
      <c r="H904" s="43"/>
      <c r="J904" s="62"/>
      <c r="K904" s="63"/>
    </row>
    <row r="905">
      <c r="A905" s="78"/>
      <c r="B905" s="59" t="str">
        <f>IFERROR(HYPERLINK(VLOOKUP(A905,Internal_lists_bugs!$A$2:$C$73,3,FALSE()), VLOOKUP(A905,Internal_lists_bugs!$A$2:$C$73,3,FALSE())&amp;Char(10) &amp; Char(10) &amp; VLOOKUP(A905,Internal_lists_bugs!$A$2:$Z$73,26,FALSE())),"please select a BUG ID")</f>
        <v>please select a BUG ID</v>
      </c>
      <c r="C905" s="51" t="str">
        <f>IFERROR(__xludf.DUMMYFUNCTION("IFERROR(IF(REGEXMATCH(VLOOKUP(A905,Internal_lists_bugs!$A$2:$R$73,18,FALSE()), ""Yes""), VLOOKUP(A905,Internal_lists_bugs!$A$2:$U$73,21,FALSE()), VLOOKUP(A905,Internal_lists_bugs!$A$2:$R$73,18,FALSE())),""please select a BUG ID"")"),"please select a BUG ID")</f>
        <v>please select a BUG ID</v>
      </c>
      <c r="D905" s="43"/>
      <c r="F905" s="62"/>
      <c r="G905" s="63"/>
      <c r="H905" s="43"/>
      <c r="J905" s="62"/>
      <c r="K905" s="63"/>
    </row>
    <row r="906">
      <c r="A906" s="78"/>
      <c r="B906" s="59" t="str">
        <f>IFERROR(HYPERLINK(VLOOKUP(A906,Internal_lists_bugs!$A$2:$C$73,3,FALSE()), VLOOKUP(A906,Internal_lists_bugs!$A$2:$C$73,3,FALSE())&amp;Char(10) &amp; Char(10) &amp; VLOOKUP(A906,Internal_lists_bugs!$A$2:$Z$73,26,FALSE())),"please select a BUG ID")</f>
        <v>please select a BUG ID</v>
      </c>
      <c r="C906" s="51" t="str">
        <f>IFERROR(__xludf.DUMMYFUNCTION("IFERROR(IF(REGEXMATCH(VLOOKUP(A906,Internal_lists_bugs!$A$2:$R$73,18,FALSE()), ""Yes""), VLOOKUP(A906,Internal_lists_bugs!$A$2:$U$73,21,FALSE()), VLOOKUP(A906,Internal_lists_bugs!$A$2:$R$73,18,FALSE())),""please select a BUG ID"")"),"please select a BUG ID")</f>
        <v>please select a BUG ID</v>
      </c>
      <c r="D906" s="43"/>
      <c r="F906" s="62"/>
      <c r="G906" s="63"/>
      <c r="H906" s="43"/>
      <c r="J906" s="62"/>
      <c r="K906" s="63"/>
    </row>
    <row r="907">
      <c r="A907" s="78"/>
      <c r="B907" s="59" t="str">
        <f>IFERROR(HYPERLINK(VLOOKUP(A907,Internal_lists_bugs!$A$2:$C$73,3,FALSE()), VLOOKUP(A907,Internal_lists_bugs!$A$2:$C$73,3,FALSE())&amp;Char(10) &amp; Char(10) &amp; VLOOKUP(A907,Internal_lists_bugs!$A$2:$Z$73,26,FALSE())),"please select a BUG ID")</f>
        <v>please select a BUG ID</v>
      </c>
      <c r="C907" s="51" t="str">
        <f>IFERROR(__xludf.DUMMYFUNCTION("IFERROR(IF(REGEXMATCH(VLOOKUP(A907,Internal_lists_bugs!$A$2:$R$73,18,FALSE()), ""Yes""), VLOOKUP(A907,Internal_lists_bugs!$A$2:$U$73,21,FALSE()), VLOOKUP(A907,Internal_lists_bugs!$A$2:$R$73,18,FALSE())),""please select a BUG ID"")"),"please select a BUG ID")</f>
        <v>please select a BUG ID</v>
      </c>
      <c r="D907" s="43"/>
      <c r="F907" s="62"/>
      <c r="G907" s="63"/>
      <c r="H907" s="43"/>
      <c r="J907" s="62"/>
      <c r="K907" s="63"/>
    </row>
    <row r="908">
      <c r="A908" s="78"/>
      <c r="B908" s="59" t="str">
        <f>IFERROR(HYPERLINK(VLOOKUP(A908,Internal_lists_bugs!$A$2:$C$73,3,FALSE()), VLOOKUP(A908,Internal_lists_bugs!$A$2:$C$73,3,FALSE())&amp;Char(10) &amp; Char(10) &amp; VLOOKUP(A908,Internal_lists_bugs!$A$2:$Z$73,26,FALSE())),"please select a BUG ID")</f>
        <v>please select a BUG ID</v>
      </c>
      <c r="C908" s="51" t="str">
        <f>IFERROR(__xludf.DUMMYFUNCTION("IFERROR(IF(REGEXMATCH(VLOOKUP(A908,Internal_lists_bugs!$A$2:$R$73,18,FALSE()), ""Yes""), VLOOKUP(A908,Internal_lists_bugs!$A$2:$U$73,21,FALSE()), VLOOKUP(A908,Internal_lists_bugs!$A$2:$R$73,18,FALSE())),""please select a BUG ID"")"),"please select a BUG ID")</f>
        <v>please select a BUG ID</v>
      </c>
      <c r="D908" s="43"/>
      <c r="F908" s="62"/>
      <c r="G908" s="63"/>
      <c r="H908" s="43"/>
      <c r="J908" s="62"/>
      <c r="K908" s="63"/>
    </row>
    <row r="909">
      <c r="A909" s="78"/>
      <c r="B909" s="59" t="str">
        <f>IFERROR(HYPERLINK(VLOOKUP(A909,Internal_lists_bugs!$A$2:$C$73,3,FALSE()), VLOOKUP(A909,Internal_lists_bugs!$A$2:$C$73,3,FALSE())&amp;Char(10) &amp; Char(10) &amp; VLOOKUP(A909,Internal_lists_bugs!$A$2:$Z$73,26,FALSE())),"please select a BUG ID")</f>
        <v>please select a BUG ID</v>
      </c>
      <c r="C909" s="51" t="str">
        <f>IFERROR(__xludf.DUMMYFUNCTION("IFERROR(IF(REGEXMATCH(VLOOKUP(A909,Internal_lists_bugs!$A$2:$R$73,18,FALSE()), ""Yes""), VLOOKUP(A909,Internal_lists_bugs!$A$2:$U$73,21,FALSE()), VLOOKUP(A909,Internal_lists_bugs!$A$2:$R$73,18,FALSE())),""please select a BUG ID"")"),"please select a BUG ID")</f>
        <v>please select a BUG ID</v>
      </c>
      <c r="D909" s="43"/>
      <c r="F909" s="62"/>
      <c r="G909" s="63"/>
      <c r="H909" s="43"/>
      <c r="J909" s="62"/>
      <c r="K909" s="63"/>
    </row>
    <row r="910">
      <c r="A910" s="78"/>
      <c r="B910" s="59" t="str">
        <f>IFERROR(HYPERLINK(VLOOKUP(A910,Internal_lists_bugs!$A$2:$C$73,3,FALSE()), VLOOKUP(A910,Internal_lists_bugs!$A$2:$C$73,3,FALSE())&amp;Char(10) &amp; Char(10) &amp; VLOOKUP(A910,Internal_lists_bugs!$A$2:$Z$73,26,FALSE())),"please select a BUG ID")</f>
        <v>please select a BUG ID</v>
      </c>
      <c r="C910" s="51" t="str">
        <f>IFERROR(__xludf.DUMMYFUNCTION("IFERROR(IF(REGEXMATCH(VLOOKUP(A910,Internal_lists_bugs!$A$2:$R$73,18,FALSE()), ""Yes""), VLOOKUP(A910,Internal_lists_bugs!$A$2:$U$73,21,FALSE()), VLOOKUP(A910,Internal_lists_bugs!$A$2:$R$73,18,FALSE())),""please select a BUG ID"")"),"please select a BUG ID")</f>
        <v>please select a BUG ID</v>
      </c>
      <c r="D910" s="43"/>
      <c r="F910" s="62"/>
      <c r="G910" s="63"/>
      <c r="H910" s="43"/>
      <c r="J910" s="62"/>
      <c r="K910" s="63"/>
    </row>
    <row r="911">
      <c r="A911" s="78"/>
      <c r="B911" s="59" t="str">
        <f>IFERROR(HYPERLINK(VLOOKUP(A911,Internal_lists_bugs!$A$2:$C$73,3,FALSE()), VLOOKUP(A911,Internal_lists_bugs!$A$2:$C$73,3,FALSE())&amp;Char(10) &amp; Char(10) &amp; VLOOKUP(A911,Internal_lists_bugs!$A$2:$Z$73,26,FALSE())),"please select a BUG ID")</f>
        <v>please select a BUG ID</v>
      </c>
      <c r="C911" s="51" t="str">
        <f>IFERROR(__xludf.DUMMYFUNCTION("IFERROR(IF(REGEXMATCH(VLOOKUP(A911,Internal_lists_bugs!$A$2:$R$73,18,FALSE()), ""Yes""), VLOOKUP(A911,Internal_lists_bugs!$A$2:$U$73,21,FALSE()), VLOOKUP(A911,Internal_lists_bugs!$A$2:$R$73,18,FALSE())),""please select a BUG ID"")"),"please select a BUG ID")</f>
        <v>please select a BUG ID</v>
      </c>
      <c r="D911" s="43"/>
      <c r="F911" s="62"/>
      <c r="G911" s="63"/>
      <c r="H911" s="43"/>
      <c r="J911" s="62"/>
      <c r="K911" s="63"/>
    </row>
    <row r="912">
      <c r="A912" s="78"/>
      <c r="B912" s="59" t="str">
        <f>IFERROR(HYPERLINK(VLOOKUP(A912,Internal_lists_bugs!$A$2:$C$73,3,FALSE()), VLOOKUP(A912,Internal_lists_bugs!$A$2:$C$73,3,FALSE())&amp;Char(10) &amp; Char(10) &amp; VLOOKUP(A912,Internal_lists_bugs!$A$2:$Z$73,26,FALSE())),"please select a BUG ID")</f>
        <v>please select a BUG ID</v>
      </c>
      <c r="C912" s="51" t="str">
        <f>IFERROR(__xludf.DUMMYFUNCTION("IFERROR(IF(REGEXMATCH(VLOOKUP(A912,Internal_lists_bugs!$A$2:$R$73,18,FALSE()), ""Yes""), VLOOKUP(A912,Internal_lists_bugs!$A$2:$U$73,21,FALSE()), VLOOKUP(A912,Internal_lists_bugs!$A$2:$R$73,18,FALSE())),""please select a BUG ID"")"),"please select a BUG ID")</f>
        <v>please select a BUG ID</v>
      </c>
      <c r="D912" s="43"/>
      <c r="F912" s="62"/>
      <c r="G912" s="63"/>
      <c r="H912" s="43"/>
      <c r="J912" s="62"/>
      <c r="K912" s="63"/>
    </row>
    <row r="913">
      <c r="A913" s="78"/>
      <c r="B913" s="59" t="str">
        <f>IFERROR(HYPERLINK(VLOOKUP(A913,Internal_lists_bugs!$A$2:$C$73,3,FALSE()), VLOOKUP(A913,Internal_lists_bugs!$A$2:$C$73,3,FALSE())&amp;Char(10) &amp; Char(10) &amp; VLOOKUP(A913,Internal_lists_bugs!$A$2:$Z$73,26,FALSE())),"please select a BUG ID")</f>
        <v>please select a BUG ID</v>
      </c>
      <c r="C913" s="51" t="str">
        <f>IFERROR(__xludf.DUMMYFUNCTION("IFERROR(IF(REGEXMATCH(VLOOKUP(A913,Internal_lists_bugs!$A$2:$R$73,18,FALSE()), ""Yes""), VLOOKUP(A913,Internal_lists_bugs!$A$2:$U$73,21,FALSE()), VLOOKUP(A913,Internal_lists_bugs!$A$2:$R$73,18,FALSE())),""please select a BUG ID"")"),"please select a BUG ID")</f>
        <v>please select a BUG ID</v>
      </c>
      <c r="D913" s="43"/>
      <c r="F913" s="62"/>
      <c r="G913" s="63"/>
      <c r="H913" s="43"/>
      <c r="J913" s="62"/>
      <c r="K913" s="63"/>
    </row>
    <row r="914">
      <c r="A914" s="78"/>
      <c r="B914" s="59" t="str">
        <f>IFERROR(HYPERLINK(VLOOKUP(A914,Internal_lists_bugs!$A$2:$C$73,3,FALSE()), VLOOKUP(A914,Internal_lists_bugs!$A$2:$C$73,3,FALSE())&amp;Char(10) &amp; Char(10) &amp; VLOOKUP(A914,Internal_lists_bugs!$A$2:$Z$73,26,FALSE())),"please select a BUG ID")</f>
        <v>please select a BUG ID</v>
      </c>
      <c r="C914" s="51" t="str">
        <f>IFERROR(__xludf.DUMMYFUNCTION("IFERROR(IF(REGEXMATCH(VLOOKUP(A914,Internal_lists_bugs!$A$2:$R$73,18,FALSE()), ""Yes""), VLOOKUP(A914,Internal_lists_bugs!$A$2:$U$73,21,FALSE()), VLOOKUP(A914,Internal_lists_bugs!$A$2:$R$73,18,FALSE())),""please select a BUG ID"")"),"please select a BUG ID")</f>
        <v>please select a BUG ID</v>
      </c>
      <c r="D914" s="43"/>
      <c r="F914" s="62"/>
      <c r="G914" s="63"/>
      <c r="H914" s="43"/>
      <c r="J914" s="62"/>
      <c r="K914" s="63"/>
    </row>
    <row r="915">
      <c r="A915" s="78"/>
      <c r="B915" s="59" t="str">
        <f>IFERROR(HYPERLINK(VLOOKUP(A915,Internal_lists_bugs!$A$2:$C$73,3,FALSE()), VLOOKUP(A915,Internal_lists_bugs!$A$2:$C$73,3,FALSE())&amp;Char(10) &amp; Char(10) &amp; VLOOKUP(A915,Internal_lists_bugs!$A$2:$Z$73,26,FALSE())),"please select a BUG ID")</f>
        <v>please select a BUG ID</v>
      </c>
      <c r="C915" s="51" t="str">
        <f>IFERROR(__xludf.DUMMYFUNCTION("IFERROR(IF(REGEXMATCH(VLOOKUP(A915,Internal_lists_bugs!$A$2:$R$73,18,FALSE()), ""Yes""), VLOOKUP(A915,Internal_lists_bugs!$A$2:$U$73,21,FALSE()), VLOOKUP(A915,Internal_lists_bugs!$A$2:$R$73,18,FALSE())),""please select a BUG ID"")"),"please select a BUG ID")</f>
        <v>please select a BUG ID</v>
      </c>
      <c r="D915" s="43"/>
      <c r="F915" s="62"/>
      <c r="G915" s="63"/>
      <c r="H915" s="43"/>
      <c r="J915" s="62"/>
      <c r="K915" s="63"/>
    </row>
    <row r="916">
      <c r="A916" s="78"/>
      <c r="B916" s="59" t="str">
        <f>IFERROR(HYPERLINK(VLOOKUP(A916,Internal_lists_bugs!$A$2:$C$73,3,FALSE()), VLOOKUP(A916,Internal_lists_bugs!$A$2:$C$73,3,FALSE())&amp;Char(10) &amp; Char(10) &amp; VLOOKUP(A916,Internal_lists_bugs!$A$2:$Z$73,26,FALSE())),"please select a BUG ID")</f>
        <v>please select a BUG ID</v>
      </c>
      <c r="C916" s="51" t="str">
        <f>IFERROR(__xludf.DUMMYFUNCTION("IFERROR(IF(REGEXMATCH(VLOOKUP(A916,Internal_lists_bugs!$A$2:$R$73,18,FALSE()), ""Yes""), VLOOKUP(A916,Internal_lists_bugs!$A$2:$U$73,21,FALSE()), VLOOKUP(A916,Internal_lists_bugs!$A$2:$R$73,18,FALSE())),""please select a BUG ID"")"),"please select a BUG ID")</f>
        <v>please select a BUG ID</v>
      </c>
      <c r="D916" s="43"/>
      <c r="F916" s="62"/>
      <c r="G916" s="63"/>
      <c r="H916" s="43"/>
      <c r="J916" s="62"/>
      <c r="K916" s="63"/>
    </row>
    <row r="917">
      <c r="A917" s="78"/>
      <c r="B917" s="59" t="str">
        <f>IFERROR(HYPERLINK(VLOOKUP(A917,Internal_lists_bugs!$A$2:$C$73,3,FALSE()), VLOOKUP(A917,Internal_lists_bugs!$A$2:$C$73,3,FALSE())&amp;Char(10) &amp; Char(10) &amp; VLOOKUP(A917,Internal_lists_bugs!$A$2:$Z$73,26,FALSE())),"please select a BUG ID")</f>
        <v>please select a BUG ID</v>
      </c>
      <c r="C917" s="51" t="str">
        <f>IFERROR(__xludf.DUMMYFUNCTION("IFERROR(IF(REGEXMATCH(VLOOKUP(A917,Internal_lists_bugs!$A$2:$R$73,18,FALSE()), ""Yes""), VLOOKUP(A917,Internal_lists_bugs!$A$2:$U$73,21,FALSE()), VLOOKUP(A917,Internal_lists_bugs!$A$2:$R$73,18,FALSE())),""please select a BUG ID"")"),"please select a BUG ID")</f>
        <v>please select a BUG ID</v>
      </c>
      <c r="D917" s="43"/>
      <c r="F917" s="62"/>
      <c r="G917" s="63"/>
      <c r="H917" s="43"/>
      <c r="J917" s="62"/>
      <c r="K917" s="63"/>
    </row>
    <row r="918">
      <c r="A918" s="78"/>
      <c r="B918" s="59" t="str">
        <f>IFERROR(HYPERLINK(VLOOKUP(A918,Internal_lists_bugs!$A$2:$C$73,3,FALSE()), VLOOKUP(A918,Internal_lists_bugs!$A$2:$C$73,3,FALSE())&amp;Char(10) &amp; Char(10) &amp; VLOOKUP(A918,Internal_lists_bugs!$A$2:$Z$73,26,FALSE())),"please select a BUG ID")</f>
        <v>please select a BUG ID</v>
      </c>
      <c r="C918" s="51" t="str">
        <f>IFERROR(__xludf.DUMMYFUNCTION("IFERROR(IF(REGEXMATCH(VLOOKUP(A918,Internal_lists_bugs!$A$2:$R$73,18,FALSE()), ""Yes""), VLOOKUP(A918,Internal_lists_bugs!$A$2:$U$73,21,FALSE()), VLOOKUP(A918,Internal_lists_bugs!$A$2:$R$73,18,FALSE())),""please select a BUG ID"")"),"please select a BUG ID")</f>
        <v>please select a BUG ID</v>
      </c>
      <c r="D918" s="43"/>
      <c r="F918" s="62"/>
      <c r="G918" s="63"/>
      <c r="H918" s="43"/>
      <c r="J918" s="62"/>
      <c r="K918" s="63"/>
    </row>
    <row r="919">
      <c r="A919" s="78"/>
      <c r="B919" s="59" t="str">
        <f>IFERROR(HYPERLINK(VLOOKUP(A919,Internal_lists_bugs!$A$2:$C$73,3,FALSE()), VLOOKUP(A919,Internal_lists_bugs!$A$2:$C$73,3,FALSE())&amp;Char(10) &amp; Char(10) &amp; VLOOKUP(A919,Internal_lists_bugs!$A$2:$Z$73,26,FALSE())),"please select a BUG ID")</f>
        <v>please select a BUG ID</v>
      </c>
      <c r="C919" s="51" t="str">
        <f>IFERROR(__xludf.DUMMYFUNCTION("IFERROR(IF(REGEXMATCH(VLOOKUP(A919,Internal_lists_bugs!$A$2:$R$73,18,FALSE()), ""Yes""), VLOOKUP(A919,Internal_lists_bugs!$A$2:$U$73,21,FALSE()), VLOOKUP(A919,Internal_lists_bugs!$A$2:$R$73,18,FALSE())),""please select a BUG ID"")"),"please select a BUG ID")</f>
        <v>please select a BUG ID</v>
      </c>
      <c r="D919" s="43"/>
      <c r="F919" s="62"/>
      <c r="G919" s="63"/>
      <c r="H919" s="43"/>
      <c r="J919" s="62"/>
      <c r="K919" s="63"/>
    </row>
    <row r="920">
      <c r="A920" s="78"/>
      <c r="B920" s="59" t="str">
        <f>IFERROR(HYPERLINK(VLOOKUP(A920,Internal_lists_bugs!$A$2:$C$73,3,FALSE()), VLOOKUP(A920,Internal_lists_bugs!$A$2:$C$73,3,FALSE())&amp;Char(10) &amp; Char(10) &amp; VLOOKUP(A920,Internal_lists_bugs!$A$2:$Z$73,26,FALSE())),"please select a BUG ID")</f>
        <v>please select a BUG ID</v>
      </c>
      <c r="C920" s="51" t="str">
        <f>IFERROR(__xludf.DUMMYFUNCTION("IFERROR(IF(REGEXMATCH(VLOOKUP(A920,Internal_lists_bugs!$A$2:$R$73,18,FALSE()), ""Yes""), VLOOKUP(A920,Internal_lists_bugs!$A$2:$U$73,21,FALSE()), VLOOKUP(A920,Internal_lists_bugs!$A$2:$R$73,18,FALSE())),""please select a BUG ID"")"),"please select a BUG ID")</f>
        <v>please select a BUG ID</v>
      </c>
      <c r="D920" s="43"/>
      <c r="F920" s="62"/>
      <c r="G920" s="63"/>
      <c r="H920" s="43"/>
      <c r="J920" s="62"/>
      <c r="K920" s="63"/>
    </row>
    <row r="921">
      <c r="A921" s="78"/>
      <c r="B921" s="59" t="str">
        <f>IFERROR(HYPERLINK(VLOOKUP(A921,Internal_lists_bugs!$A$2:$C$73,3,FALSE()), VLOOKUP(A921,Internal_lists_bugs!$A$2:$C$73,3,FALSE())&amp;Char(10) &amp; Char(10) &amp; VLOOKUP(A921,Internal_lists_bugs!$A$2:$Z$73,26,FALSE())),"please select a BUG ID")</f>
        <v>please select a BUG ID</v>
      </c>
      <c r="C921" s="51" t="str">
        <f>IFERROR(__xludf.DUMMYFUNCTION("IFERROR(IF(REGEXMATCH(VLOOKUP(A921,Internal_lists_bugs!$A$2:$R$73,18,FALSE()), ""Yes""), VLOOKUP(A921,Internal_lists_bugs!$A$2:$U$73,21,FALSE()), VLOOKUP(A921,Internal_lists_bugs!$A$2:$R$73,18,FALSE())),""please select a BUG ID"")"),"please select a BUG ID")</f>
        <v>please select a BUG ID</v>
      </c>
      <c r="D921" s="43"/>
      <c r="F921" s="62"/>
      <c r="G921" s="63"/>
      <c r="H921" s="43"/>
      <c r="J921" s="62"/>
      <c r="K921" s="63"/>
    </row>
    <row r="922">
      <c r="A922" s="78"/>
      <c r="B922" s="59" t="str">
        <f>IFERROR(HYPERLINK(VLOOKUP(A922,Internal_lists_bugs!$A$2:$C$73,3,FALSE()), VLOOKUP(A922,Internal_lists_bugs!$A$2:$C$73,3,FALSE())&amp;Char(10) &amp; Char(10) &amp; VLOOKUP(A922,Internal_lists_bugs!$A$2:$Z$73,26,FALSE())),"please select a BUG ID")</f>
        <v>please select a BUG ID</v>
      </c>
      <c r="C922" s="51" t="str">
        <f>IFERROR(__xludf.DUMMYFUNCTION("IFERROR(IF(REGEXMATCH(VLOOKUP(A922,Internal_lists_bugs!$A$2:$R$73,18,FALSE()), ""Yes""), VLOOKUP(A922,Internal_lists_bugs!$A$2:$U$73,21,FALSE()), VLOOKUP(A922,Internal_lists_bugs!$A$2:$R$73,18,FALSE())),""please select a BUG ID"")"),"please select a BUG ID")</f>
        <v>please select a BUG ID</v>
      </c>
      <c r="D922" s="43"/>
      <c r="F922" s="62"/>
      <c r="G922" s="63"/>
      <c r="H922" s="43"/>
      <c r="J922" s="62"/>
      <c r="K922" s="63"/>
    </row>
    <row r="923">
      <c r="A923" s="78"/>
      <c r="B923" s="59" t="str">
        <f>IFERROR(HYPERLINK(VLOOKUP(A923,Internal_lists_bugs!$A$2:$C$73,3,FALSE()), VLOOKUP(A923,Internal_lists_bugs!$A$2:$C$73,3,FALSE())&amp;Char(10) &amp; Char(10) &amp; VLOOKUP(A923,Internal_lists_bugs!$A$2:$Z$73,26,FALSE())),"please select a BUG ID")</f>
        <v>please select a BUG ID</v>
      </c>
      <c r="C923" s="51" t="str">
        <f>IFERROR(__xludf.DUMMYFUNCTION("IFERROR(IF(REGEXMATCH(VLOOKUP(A923,Internal_lists_bugs!$A$2:$R$73,18,FALSE()), ""Yes""), VLOOKUP(A923,Internal_lists_bugs!$A$2:$U$73,21,FALSE()), VLOOKUP(A923,Internal_lists_bugs!$A$2:$R$73,18,FALSE())),""please select a BUG ID"")"),"please select a BUG ID")</f>
        <v>please select a BUG ID</v>
      </c>
      <c r="D923" s="43"/>
      <c r="F923" s="62"/>
      <c r="G923" s="63"/>
      <c r="H923" s="43"/>
      <c r="J923" s="62"/>
      <c r="K923" s="63"/>
    </row>
    <row r="924">
      <c r="A924" s="78"/>
      <c r="B924" s="59" t="str">
        <f>IFERROR(HYPERLINK(VLOOKUP(A924,Internal_lists_bugs!$A$2:$C$73,3,FALSE()), VLOOKUP(A924,Internal_lists_bugs!$A$2:$C$73,3,FALSE())&amp;Char(10) &amp; Char(10) &amp; VLOOKUP(A924,Internal_lists_bugs!$A$2:$Z$73,26,FALSE())),"please select a BUG ID")</f>
        <v>please select a BUG ID</v>
      </c>
      <c r="C924" s="51" t="str">
        <f>IFERROR(__xludf.DUMMYFUNCTION("IFERROR(IF(REGEXMATCH(VLOOKUP(A924,Internal_lists_bugs!$A$2:$R$73,18,FALSE()), ""Yes""), VLOOKUP(A924,Internal_lists_bugs!$A$2:$U$73,21,FALSE()), VLOOKUP(A924,Internal_lists_bugs!$A$2:$R$73,18,FALSE())),""please select a BUG ID"")"),"please select a BUG ID")</f>
        <v>please select a BUG ID</v>
      </c>
      <c r="D924" s="43"/>
      <c r="F924" s="62"/>
      <c r="G924" s="63"/>
      <c r="H924" s="43"/>
      <c r="J924" s="62"/>
      <c r="K924" s="63"/>
    </row>
    <row r="925">
      <c r="A925" s="78"/>
      <c r="B925" s="59" t="str">
        <f>IFERROR(HYPERLINK(VLOOKUP(A925,Internal_lists_bugs!$A$2:$C$73,3,FALSE()), VLOOKUP(A925,Internal_lists_bugs!$A$2:$C$73,3,FALSE())&amp;Char(10) &amp; Char(10) &amp; VLOOKUP(A925,Internal_lists_bugs!$A$2:$Z$73,26,FALSE())),"please select a BUG ID")</f>
        <v>please select a BUG ID</v>
      </c>
      <c r="C925" s="51" t="str">
        <f>IFERROR(__xludf.DUMMYFUNCTION("IFERROR(IF(REGEXMATCH(VLOOKUP(A925,Internal_lists_bugs!$A$2:$R$73,18,FALSE()), ""Yes""), VLOOKUP(A925,Internal_lists_bugs!$A$2:$U$73,21,FALSE()), VLOOKUP(A925,Internal_lists_bugs!$A$2:$R$73,18,FALSE())),""please select a BUG ID"")"),"please select a BUG ID")</f>
        <v>please select a BUG ID</v>
      </c>
      <c r="D925" s="43"/>
      <c r="F925" s="62"/>
      <c r="G925" s="63"/>
      <c r="H925" s="43"/>
      <c r="J925" s="62"/>
      <c r="K925" s="63"/>
    </row>
    <row r="926">
      <c r="A926" s="78"/>
      <c r="B926" s="59" t="str">
        <f>IFERROR(HYPERLINK(VLOOKUP(A926,Internal_lists_bugs!$A$2:$C$73,3,FALSE()), VLOOKUP(A926,Internal_lists_bugs!$A$2:$C$73,3,FALSE())&amp;Char(10) &amp; Char(10) &amp; VLOOKUP(A926,Internal_lists_bugs!$A$2:$Z$73,26,FALSE())),"please select a BUG ID")</f>
        <v>please select a BUG ID</v>
      </c>
      <c r="C926" s="51" t="str">
        <f>IFERROR(__xludf.DUMMYFUNCTION("IFERROR(IF(REGEXMATCH(VLOOKUP(A926,Internal_lists_bugs!$A$2:$R$73,18,FALSE()), ""Yes""), VLOOKUP(A926,Internal_lists_bugs!$A$2:$U$73,21,FALSE()), VLOOKUP(A926,Internal_lists_bugs!$A$2:$R$73,18,FALSE())),""please select a BUG ID"")"),"please select a BUG ID")</f>
        <v>please select a BUG ID</v>
      </c>
      <c r="D926" s="43"/>
      <c r="F926" s="62"/>
      <c r="G926" s="63"/>
      <c r="H926" s="43"/>
      <c r="J926" s="62"/>
      <c r="K926" s="63"/>
    </row>
    <row r="927">
      <c r="A927" s="78"/>
      <c r="B927" s="59" t="str">
        <f>IFERROR(HYPERLINK(VLOOKUP(A927,Internal_lists_bugs!$A$2:$C$73,3,FALSE()), VLOOKUP(A927,Internal_lists_bugs!$A$2:$C$73,3,FALSE())&amp;Char(10) &amp; Char(10) &amp; VLOOKUP(A927,Internal_lists_bugs!$A$2:$Z$73,26,FALSE())),"please select a BUG ID")</f>
        <v>please select a BUG ID</v>
      </c>
      <c r="C927" s="51" t="str">
        <f>IFERROR(__xludf.DUMMYFUNCTION("IFERROR(IF(REGEXMATCH(VLOOKUP(A927,Internal_lists_bugs!$A$2:$R$73,18,FALSE()), ""Yes""), VLOOKUP(A927,Internal_lists_bugs!$A$2:$U$73,21,FALSE()), VLOOKUP(A927,Internal_lists_bugs!$A$2:$R$73,18,FALSE())),""please select a BUG ID"")"),"please select a BUG ID")</f>
        <v>please select a BUG ID</v>
      </c>
      <c r="D927" s="43"/>
      <c r="F927" s="62"/>
      <c r="G927" s="63"/>
      <c r="H927" s="43"/>
      <c r="J927" s="62"/>
      <c r="K927" s="63"/>
    </row>
    <row r="928">
      <c r="A928" s="78"/>
      <c r="B928" s="59" t="str">
        <f>IFERROR(HYPERLINK(VLOOKUP(A928,Internal_lists_bugs!$A$2:$C$73,3,FALSE()), VLOOKUP(A928,Internal_lists_bugs!$A$2:$C$73,3,FALSE())&amp;Char(10) &amp; Char(10) &amp; VLOOKUP(A928,Internal_lists_bugs!$A$2:$Z$73,26,FALSE())),"please select a BUG ID")</f>
        <v>please select a BUG ID</v>
      </c>
      <c r="C928" s="51" t="str">
        <f>IFERROR(__xludf.DUMMYFUNCTION("IFERROR(IF(REGEXMATCH(VLOOKUP(A928,Internal_lists_bugs!$A$2:$R$73,18,FALSE()), ""Yes""), VLOOKUP(A928,Internal_lists_bugs!$A$2:$U$73,21,FALSE()), VLOOKUP(A928,Internal_lists_bugs!$A$2:$R$73,18,FALSE())),""please select a BUG ID"")"),"please select a BUG ID")</f>
        <v>please select a BUG ID</v>
      </c>
      <c r="D928" s="43"/>
      <c r="F928" s="62"/>
      <c r="G928" s="63"/>
      <c r="H928" s="43"/>
      <c r="J928" s="62"/>
      <c r="K928" s="63"/>
    </row>
    <row r="929">
      <c r="A929" s="78"/>
      <c r="B929" s="59" t="str">
        <f>IFERROR(HYPERLINK(VLOOKUP(A929,Internal_lists_bugs!$A$2:$C$73,3,FALSE()), VLOOKUP(A929,Internal_lists_bugs!$A$2:$C$73,3,FALSE())&amp;Char(10) &amp; Char(10) &amp; VLOOKUP(A929,Internal_lists_bugs!$A$2:$Z$73,26,FALSE())),"please select a BUG ID")</f>
        <v>please select a BUG ID</v>
      </c>
      <c r="C929" s="51" t="str">
        <f>IFERROR(__xludf.DUMMYFUNCTION("IFERROR(IF(REGEXMATCH(VLOOKUP(A929,Internal_lists_bugs!$A$2:$R$73,18,FALSE()), ""Yes""), VLOOKUP(A929,Internal_lists_bugs!$A$2:$U$73,21,FALSE()), VLOOKUP(A929,Internal_lists_bugs!$A$2:$R$73,18,FALSE())),""please select a BUG ID"")"),"please select a BUG ID")</f>
        <v>please select a BUG ID</v>
      </c>
      <c r="D929" s="43"/>
      <c r="F929" s="62"/>
      <c r="G929" s="63"/>
      <c r="H929" s="43"/>
      <c r="J929" s="62"/>
      <c r="K929" s="63"/>
    </row>
    <row r="930">
      <c r="A930" s="78"/>
      <c r="B930" s="59" t="str">
        <f>IFERROR(HYPERLINK(VLOOKUP(A930,Internal_lists_bugs!$A$2:$C$73,3,FALSE()), VLOOKUP(A930,Internal_lists_bugs!$A$2:$C$73,3,FALSE())&amp;Char(10) &amp; Char(10) &amp; VLOOKUP(A930,Internal_lists_bugs!$A$2:$Z$73,26,FALSE())),"please select a BUG ID")</f>
        <v>please select a BUG ID</v>
      </c>
      <c r="C930" s="51" t="str">
        <f>IFERROR(__xludf.DUMMYFUNCTION("IFERROR(IF(REGEXMATCH(VLOOKUP(A930,Internal_lists_bugs!$A$2:$R$73,18,FALSE()), ""Yes""), VLOOKUP(A930,Internal_lists_bugs!$A$2:$U$73,21,FALSE()), VLOOKUP(A930,Internal_lists_bugs!$A$2:$R$73,18,FALSE())),""please select a BUG ID"")"),"please select a BUG ID")</f>
        <v>please select a BUG ID</v>
      </c>
      <c r="D930" s="43"/>
      <c r="F930" s="62"/>
      <c r="G930" s="63"/>
      <c r="H930" s="43"/>
      <c r="J930" s="62"/>
      <c r="K930" s="63"/>
    </row>
    <row r="931">
      <c r="A931" s="78"/>
      <c r="B931" s="59" t="str">
        <f>IFERROR(HYPERLINK(VLOOKUP(A931,Internal_lists_bugs!$A$2:$C$73,3,FALSE()), VLOOKUP(A931,Internal_lists_bugs!$A$2:$C$73,3,FALSE())&amp;Char(10) &amp; Char(10) &amp; VLOOKUP(A931,Internal_lists_bugs!$A$2:$Z$73,26,FALSE())),"please select a BUG ID")</f>
        <v>please select a BUG ID</v>
      </c>
      <c r="C931" s="51" t="str">
        <f>IFERROR(__xludf.DUMMYFUNCTION("IFERROR(IF(REGEXMATCH(VLOOKUP(A931,Internal_lists_bugs!$A$2:$R$73,18,FALSE()), ""Yes""), VLOOKUP(A931,Internal_lists_bugs!$A$2:$U$73,21,FALSE()), VLOOKUP(A931,Internal_lists_bugs!$A$2:$R$73,18,FALSE())),""please select a BUG ID"")"),"please select a BUG ID")</f>
        <v>please select a BUG ID</v>
      </c>
      <c r="D931" s="43"/>
      <c r="F931" s="62"/>
      <c r="G931" s="63"/>
      <c r="H931" s="43"/>
      <c r="J931" s="62"/>
      <c r="K931" s="63"/>
    </row>
    <row r="932">
      <c r="A932" s="78"/>
      <c r="B932" s="59" t="str">
        <f>IFERROR(HYPERLINK(VLOOKUP(A932,Internal_lists_bugs!$A$2:$C$73,3,FALSE()), VLOOKUP(A932,Internal_lists_bugs!$A$2:$C$73,3,FALSE())&amp;Char(10) &amp; Char(10) &amp; VLOOKUP(A932,Internal_lists_bugs!$A$2:$Z$73,26,FALSE())),"please select a BUG ID")</f>
        <v>please select a BUG ID</v>
      </c>
      <c r="C932" s="51" t="str">
        <f>IFERROR(__xludf.DUMMYFUNCTION("IFERROR(IF(REGEXMATCH(VLOOKUP(A932,Internal_lists_bugs!$A$2:$R$73,18,FALSE()), ""Yes""), VLOOKUP(A932,Internal_lists_bugs!$A$2:$U$73,21,FALSE()), VLOOKUP(A932,Internal_lists_bugs!$A$2:$R$73,18,FALSE())),""please select a BUG ID"")"),"please select a BUG ID")</f>
        <v>please select a BUG ID</v>
      </c>
      <c r="D932" s="43"/>
      <c r="F932" s="62"/>
      <c r="G932" s="63"/>
      <c r="H932" s="43"/>
      <c r="J932" s="62"/>
      <c r="K932" s="63"/>
    </row>
    <row r="933">
      <c r="A933" s="78"/>
      <c r="B933" s="59" t="str">
        <f>IFERROR(HYPERLINK(VLOOKUP(A933,Internal_lists_bugs!$A$2:$C$73,3,FALSE()), VLOOKUP(A933,Internal_lists_bugs!$A$2:$C$73,3,FALSE())&amp;Char(10) &amp; Char(10) &amp; VLOOKUP(A933,Internal_lists_bugs!$A$2:$Z$73,26,FALSE())),"please select a BUG ID")</f>
        <v>please select a BUG ID</v>
      </c>
      <c r="C933" s="51" t="str">
        <f>IFERROR(__xludf.DUMMYFUNCTION("IFERROR(IF(REGEXMATCH(VLOOKUP(A933,Internal_lists_bugs!$A$2:$R$73,18,FALSE()), ""Yes""), VLOOKUP(A933,Internal_lists_bugs!$A$2:$U$73,21,FALSE()), VLOOKUP(A933,Internal_lists_bugs!$A$2:$R$73,18,FALSE())),""please select a BUG ID"")"),"please select a BUG ID")</f>
        <v>please select a BUG ID</v>
      </c>
      <c r="D933" s="43"/>
      <c r="F933" s="62"/>
      <c r="G933" s="63"/>
      <c r="H933" s="43"/>
      <c r="J933" s="62"/>
      <c r="K933" s="63"/>
    </row>
    <row r="934">
      <c r="A934" s="78"/>
      <c r="B934" s="59" t="str">
        <f>IFERROR(HYPERLINK(VLOOKUP(A934,Internal_lists_bugs!$A$2:$C$73,3,FALSE()), VLOOKUP(A934,Internal_lists_bugs!$A$2:$C$73,3,FALSE())&amp;Char(10) &amp; Char(10) &amp; VLOOKUP(A934,Internal_lists_bugs!$A$2:$Z$73,26,FALSE())),"please select a BUG ID")</f>
        <v>please select a BUG ID</v>
      </c>
      <c r="C934" s="51" t="str">
        <f>IFERROR(__xludf.DUMMYFUNCTION("IFERROR(IF(REGEXMATCH(VLOOKUP(A934,Internal_lists_bugs!$A$2:$R$73,18,FALSE()), ""Yes""), VLOOKUP(A934,Internal_lists_bugs!$A$2:$U$73,21,FALSE()), VLOOKUP(A934,Internal_lists_bugs!$A$2:$R$73,18,FALSE())),""please select a BUG ID"")"),"please select a BUG ID")</f>
        <v>please select a BUG ID</v>
      </c>
      <c r="D934" s="43"/>
      <c r="F934" s="62"/>
      <c r="G934" s="63"/>
      <c r="H934" s="43"/>
      <c r="J934" s="62"/>
      <c r="K934" s="63"/>
    </row>
    <row r="935">
      <c r="A935" s="78"/>
      <c r="B935" s="59" t="str">
        <f>IFERROR(HYPERLINK(VLOOKUP(A935,Internal_lists_bugs!$A$2:$C$73,3,FALSE()), VLOOKUP(A935,Internal_lists_bugs!$A$2:$C$73,3,FALSE())&amp;Char(10) &amp; Char(10) &amp; VLOOKUP(A935,Internal_lists_bugs!$A$2:$Z$73,26,FALSE())),"please select a BUG ID")</f>
        <v>please select a BUG ID</v>
      </c>
      <c r="C935" s="51" t="str">
        <f>IFERROR(__xludf.DUMMYFUNCTION("IFERROR(IF(REGEXMATCH(VLOOKUP(A935,Internal_lists_bugs!$A$2:$R$73,18,FALSE()), ""Yes""), VLOOKUP(A935,Internal_lists_bugs!$A$2:$U$73,21,FALSE()), VLOOKUP(A935,Internal_lists_bugs!$A$2:$R$73,18,FALSE())),""please select a BUG ID"")"),"please select a BUG ID")</f>
        <v>please select a BUG ID</v>
      </c>
      <c r="D935" s="43"/>
      <c r="F935" s="62"/>
      <c r="G935" s="63"/>
      <c r="H935" s="43"/>
      <c r="J935" s="62"/>
      <c r="K935" s="63"/>
    </row>
    <row r="936">
      <c r="A936" s="78"/>
      <c r="B936" s="59" t="str">
        <f>IFERROR(HYPERLINK(VLOOKUP(A936,Internal_lists_bugs!$A$2:$C$73,3,FALSE()), VLOOKUP(A936,Internal_lists_bugs!$A$2:$C$73,3,FALSE())&amp;Char(10) &amp; Char(10) &amp; VLOOKUP(A936,Internal_lists_bugs!$A$2:$Z$73,26,FALSE())),"please select a BUG ID")</f>
        <v>please select a BUG ID</v>
      </c>
      <c r="C936" s="51" t="str">
        <f>IFERROR(__xludf.DUMMYFUNCTION("IFERROR(IF(REGEXMATCH(VLOOKUP(A936,Internal_lists_bugs!$A$2:$R$73,18,FALSE()), ""Yes""), VLOOKUP(A936,Internal_lists_bugs!$A$2:$U$73,21,FALSE()), VLOOKUP(A936,Internal_lists_bugs!$A$2:$R$73,18,FALSE())),""please select a BUG ID"")"),"please select a BUG ID")</f>
        <v>please select a BUG ID</v>
      </c>
      <c r="D936" s="43"/>
      <c r="F936" s="62"/>
      <c r="G936" s="63"/>
      <c r="H936" s="43"/>
      <c r="J936" s="62"/>
      <c r="K936" s="63"/>
    </row>
    <row r="937">
      <c r="A937" s="78"/>
      <c r="B937" s="59" t="str">
        <f>IFERROR(HYPERLINK(VLOOKUP(A937,Internal_lists_bugs!$A$2:$C$73,3,FALSE()), VLOOKUP(A937,Internal_lists_bugs!$A$2:$C$73,3,FALSE())&amp;Char(10) &amp; Char(10) &amp; VLOOKUP(A937,Internal_lists_bugs!$A$2:$Z$73,26,FALSE())),"please select a BUG ID")</f>
        <v>please select a BUG ID</v>
      </c>
      <c r="C937" s="51" t="str">
        <f>IFERROR(__xludf.DUMMYFUNCTION("IFERROR(IF(REGEXMATCH(VLOOKUP(A937,Internal_lists_bugs!$A$2:$R$73,18,FALSE()), ""Yes""), VLOOKUP(A937,Internal_lists_bugs!$A$2:$U$73,21,FALSE()), VLOOKUP(A937,Internal_lists_bugs!$A$2:$R$73,18,FALSE())),""please select a BUG ID"")"),"please select a BUG ID")</f>
        <v>please select a BUG ID</v>
      </c>
      <c r="D937" s="43"/>
      <c r="F937" s="62"/>
      <c r="G937" s="63"/>
      <c r="H937" s="43"/>
      <c r="J937" s="62"/>
      <c r="K937" s="63"/>
    </row>
    <row r="938">
      <c r="A938" s="78"/>
      <c r="B938" s="59" t="str">
        <f>IFERROR(HYPERLINK(VLOOKUP(A938,Internal_lists_bugs!$A$2:$C$73,3,FALSE()), VLOOKUP(A938,Internal_lists_bugs!$A$2:$C$73,3,FALSE())&amp;Char(10) &amp; Char(10) &amp; VLOOKUP(A938,Internal_lists_bugs!$A$2:$Z$73,26,FALSE())),"please select a BUG ID")</f>
        <v>please select a BUG ID</v>
      </c>
      <c r="C938" s="51" t="str">
        <f>IFERROR(__xludf.DUMMYFUNCTION("IFERROR(IF(REGEXMATCH(VLOOKUP(A938,Internal_lists_bugs!$A$2:$R$73,18,FALSE()), ""Yes""), VLOOKUP(A938,Internal_lists_bugs!$A$2:$U$73,21,FALSE()), VLOOKUP(A938,Internal_lists_bugs!$A$2:$R$73,18,FALSE())),""please select a BUG ID"")"),"please select a BUG ID")</f>
        <v>please select a BUG ID</v>
      </c>
      <c r="D938" s="43"/>
      <c r="F938" s="62"/>
      <c r="G938" s="63"/>
      <c r="H938" s="43"/>
      <c r="J938" s="62"/>
      <c r="K938" s="63"/>
    </row>
    <row r="939">
      <c r="A939" s="78"/>
      <c r="B939" s="59" t="str">
        <f>IFERROR(HYPERLINK(VLOOKUP(A939,Internal_lists_bugs!$A$2:$C$73,3,FALSE()), VLOOKUP(A939,Internal_lists_bugs!$A$2:$C$73,3,FALSE())&amp;Char(10) &amp; Char(10) &amp; VLOOKUP(A939,Internal_lists_bugs!$A$2:$Z$73,26,FALSE())),"please select a BUG ID")</f>
        <v>please select a BUG ID</v>
      </c>
      <c r="C939" s="51" t="str">
        <f>IFERROR(__xludf.DUMMYFUNCTION("IFERROR(IF(REGEXMATCH(VLOOKUP(A939,Internal_lists_bugs!$A$2:$R$73,18,FALSE()), ""Yes""), VLOOKUP(A939,Internal_lists_bugs!$A$2:$U$73,21,FALSE()), VLOOKUP(A939,Internal_lists_bugs!$A$2:$R$73,18,FALSE())),""please select a BUG ID"")"),"please select a BUG ID")</f>
        <v>please select a BUG ID</v>
      </c>
      <c r="D939" s="43"/>
      <c r="F939" s="62"/>
      <c r="G939" s="63"/>
      <c r="H939" s="43"/>
      <c r="J939" s="62"/>
      <c r="K939" s="63"/>
    </row>
    <row r="940">
      <c r="A940" s="78"/>
      <c r="B940" s="59" t="str">
        <f>IFERROR(HYPERLINK(VLOOKUP(A940,Internal_lists_bugs!$A$2:$C$73,3,FALSE()), VLOOKUP(A940,Internal_lists_bugs!$A$2:$C$73,3,FALSE())&amp;Char(10) &amp; Char(10) &amp; VLOOKUP(A940,Internal_lists_bugs!$A$2:$Z$73,26,FALSE())),"please select a BUG ID")</f>
        <v>please select a BUG ID</v>
      </c>
      <c r="C940" s="51" t="str">
        <f>IFERROR(__xludf.DUMMYFUNCTION("IFERROR(IF(REGEXMATCH(VLOOKUP(A940,Internal_lists_bugs!$A$2:$R$73,18,FALSE()), ""Yes""), VLOOKUP(A940,Internal_lists_bugs!$A$2:$U$73,21,FALSE()), VLOOKUP(A940,Internal_lists_bugs!$A$2:$R$73,18,FALSE())),""please select a BUG ID"")"),"please select a BUG ID")</f>
        <v>please select a BUG ID</v>
      </c>
      <c r="D940" s="43"/>
      <c r="F940" s="62"/>
      <c r="G940" s="63"/>
      <c r="H940" s="43"/>
      <c r="J940" s="62"/>
      <c r="K940" s="63"/>
    </row>
    <row r="941">
      <c r="A941" s="78"/>
      <c r="B941" s="59" t="str">
        <f>IFERROR(HYPERLINK(VLOOKUP(A941,Internal_lists_bugs!$A$2:$C$73,3,FALSE()), VLOOKUP(A941,Internal_lists_bugs!$A$2:$C$73,3,FALSE())&amp;Char(10) &amp; Char(10) &amp; VLOOKUP(A941,Internal_lists_bugs!$A$2:$Z$73,26,FALSE())),"please select a BUG ID")</f>
        <v>please select a BUG ID</v>
      </c>
      <c r="C941" s="51" t="str">
        <f>IFERROR(__xludf.DUMMYFUNCTION("IFERROR(IF(REGEXMATCH(VLOOKUP(A941,Internal_lists_bugs!$A$2:$R$73,18,FALSE()), ""Yes""), VLOOKUP(A941,Internal_lists_bugs!$A$2:$U$73,21,FALSE()), VLOOKUP(A941,Internal_lists_bugs!$A$2:$R$73,18,FALSE())),""please select a BUG ID"")"),"please select a BUG ID")</f>
        <v>please select a BUG ID</v>
      </c>
      <c r="D941" s="43"/>
      <c r="F941" s="62"/>
      <c r="G941" s="63"/>
      <c r="H941" s="43"/>
      <c r="J941" s="62"/>
      <c r="K941" s="63"/>
    </row>
    <row r="942">
      <c r="A942" s="78"/>
      <c r="B942" s="59" t="str">
        <f>IFERROR(HYPERLINK(VLOOKUP(A942,Internal_lists_bugs!$A$2:$C$73,3,FALSE()), VLOOKUP(A942,Internal_lists_bugs!$A$2:$C$73,3,FALSE())&amp;Char(10) &amp; Char(10) &amp; VLOOKUP(A942,Internal_lists_bugs!$A$2:$Z$73,26,FALSE())),"please select a BUG ID")</f>
        <v>please select a BUG ID</v>
      </c>
      <c r="C942" s="51" t="str">
        <f>IFERROR(__xludf.DUMMYFUNCTION("IFERROR(IF(REGEXMATCH(VLOOKUP(A942,Internal_lists_bugs!$A$2:$R$73,18,FALSE()), ""Yes""), VLOOKUP(A942,Internal_lists_bugs!$A$2:$U$73,21,FALSE()), VLOOKUP(A942,Internal_lists_bugs!$A$2:$R$73,18,FALSE())),""please select a BUG ID"")"),"please select a BUG ID")</f>
        <v>please select a BUG ID</v>
      </c>
      <c r="D942" s="43"/>
      <c r="F942" s="62"/>
      <c r="G942" s="63"/>
      <c r="H942" s="43"/>
      <c r="J942" s="62"/>
      <c r="K942" s="63"/>
    </row>
    <row r="943">
      <c r="A943" s="78"/>
      <c r="B943" s="59" t="str">
        <f>IFERROR(HYPERLINK(VLOOKUP(A943,Internal_lists_bugs!$A$2:$C$73,3,FALSE()), VLOOKUP(A943,Internal_lists_bugs!$A$2:$C$73,3,FALSE())&amp;Char(10) &amp; Char(10) &amp; VLOOKUP(A943,Internal_lists_bugs!$A$2:$Z$73,26,FALSE())),"please select a BUG ID")</f>
        <v>please select a BUG ID</v>
      </c>
      <c r="C943" s="51" t="str">
        <f>IFERROR(__xludf.DUMMYFUNCTION("IFERROR(IF(REGEXMATCH(VLOOKUP(A943,Internal_lists_bugs!$A$2:$R$73,18,FALSE()), ""Yes""), VLOOKUP(A943,Internal_lists_bugs!$A$2:$U$73,21,FALSE()), VLOOKUP(A943,Internal_lists_bugs!$A$2:$R$73,18,FALSE())),""please select a BUG ID"")"),"please select a BUG ID")</f>
        <v>please select a BUG ID</v>
      </c>
      <c r="D943" s="43"/>
      <c r="F943" s="62"/>
      <c r="G943" s="63"/>
      <c r="H943" s="43"/>
      <c r="J943" s="62"/>
      <c r="K943" s="63"/>
    </row>
    <row r="944">
      <c r="A944" s="78"/>
      <c r="B944" s="59" t="str">
        <f>IFERROR(HYPERLINK(VLOOKUP(A944,Internal_lists_bugs!$A$2:$C$73,3,FALSE()), VLOOKUP(A944,Internal_lists_bugs!$A$2:$C$73,3,FALSE())&amp;Char(10) &amp; Char(10) &amp; VLOOKUP(A944,Internal_lists_bugs!$A$2:$Z$73,26,FALSE())),"please select a BUG ID")</f>
        <v>please select a BUG ID</v>
      </c>
      <c r="C944" s="51" t="str">
        <f>IFERROR(__xludf.DUMMYFUNCTION("IFERROR(IF(REGEXMATCH(VLOOKUP(A944,Internal_lists_bugs!$A$2:$R$73,18,FALSE()), ""Yes""), VLOOKUP(A944,Internal_lists_bugs!$A$2:$U$73,21,FALSE()), VLOOKUP(A944,Internal_lists_bugs!$A$2:$R$73,18,FALSE())),""please select a BUG ID"")"),"please select a BUG ID")</f>
        <v>please select a BUG ID</v>
      </c>
      <c r="D944" s="43"/>
      <c r="F944" s="62"/>
      <c r="G944" s="63"/>
      <c r="H944" s="43"/>
      <c r="J944" s="62"/>
      <c r="K944" s="63"/>
    </row>
    <row r="945">
      <c r="A945" s="78"/>
      <c r="B945" s="59" t="str">
        <f>IFERROR(HYPERLINK(VLOOKUP(A945,Internal_lists_bugs!$A$2:$C$73,3,FALSE()), VLOOKUP(A945,Internal_lists_bugs!$A$2:$C$73,3,FALSE())&amp;Char(10) &amp; Char(10) &amp; VLOOKUP(A945,Internal_lists_bugs!$A$2:$Z$73,26,FALSE())),"please select a BUG ID")</f>
        <v>please select a BUG ID</v>
      </c>
      <c r="C945" s="51" t="str">
        <f>IFERROR(__xludf.DUMMYFUNCTION("IFERROR(IF(REGEXMATCH(VLOOKUP(A945,Internal_lists_bugs!$A$2:$R$73,18,FALSE()), ""Yes""), VLOOKUP(A945,Internal_lists_bugs!$A$2:$U$73,21,FALSE()), VLOOKUP(A945,Internal_lists_bugs!$A$2:$R$73,18,FALSE())),""please select a BUG ID"")"),"please select a BUG ID")</f>
        <v>please select a BUG ID</v>
      </c>
      <c r="D945" s="43"/>
      <c r="F945" s="62"/>
      <c r="G945" s="63"/>
      <c r="H945" s="43"/>
      <c r="J945" s="62"/>
      <c r="K945" s="63"/>
    </row>
    <row r="946">
      <c r="A946" s="78"/>
      <c r="B946" s="59" t="str">
        <f>IFERROR(HYPERLINK(VLOOKUP(A946,Internal_lists_bugs!$A$2:$C$73,3,FALSE()), VLOOKUP(A946,Internal_lists_bugs!$A$2:$C$73,3,FALSE())&amp;Char(10) &amp; Char(10) &amp; VLOOKUP(A946,Internal_lists_bugs!$A$2:$Z$73,26,FALSE())),"please select a BUG ID")</f>
        <v>please select a BUG ID</v>
      </c>
      <c r="C946" s="51" t="str">
        <f>IFERROR(__xludf.DUMMYFUNCTION("IFERROR(IF(REGEXMATCH(VLOOKUP(A946,Internal_lists_bugs!$A$2:$R$73,18,FALSE()), ""Yes""), VLOOKUP(A946,Internal_lists_bugs!$A$2:$U$73,21,FALSE()), VLOOKUP(A946,Internal_lists_bugs!$A$2:$R$73,18,FALSE())),""please select a BUG ID"")"),"please select a BUG ID")</f>
        <v>please select a BUG ID</v>
      </c>
      <c r="D946" s="43"/>
      <c r="F946" s="62"/>
      <c r="G946" s="63"/>
      <c r="H946" s="43"/>
      <c r="J946" s="62"/>
      <c r="K946" s="63"/>
    </row>
    <row r="947">
      <c r="A947" s="78"/>
      <c r="B947" s="59" t="str">
        <f>IFERROR(HYPERLINK(VLOOKUP(A947,Internal_lists_bugs!$A$2:$C$73,3,FALSE()), VLOOKUP(A947,Internal_lists_bugs!$A$2:$C$73,3,FALSE())&amp;Char(10) &amp; Char(10) &amp; VLOOKUP(A947,Internal_lists_bugs!$A$2:$Z$73,26,FALSE())),"please select a BUG ID")</f>
        <v>please select a BUG ID</v>
      </c>
      <c r="C947" s="51" t="str">
        <f>IFERROR(__xludf.DUMMYFUNCTION("IFERROR(IF(REGEXMATCH(VLOOKUP(A947,Internal_lists_bugs!$A$2:$R$73,18,FALSE()), ""Yes""), VLOOKUP(A947,Internal_lists_bugs!$A$2:$U$73,21,FALSE()), VLOOKUP(A947,Internal_lists_bugs!$A$2:$R$73,18,FALSE())),""please select a BUG ID"")"),"please select a BUG ID")</f>
        <v>please select a BUG ID</v>
      </c>
      <c r="D947" s="43"/>
      <c r="F947" s="62"/>
      <c r="G947" s="63"/>
      <c r="H947" s="43"/>
      <c r="J947" s="62"/>
      <c r="K947" s="63"/>
    </row>
    <row r="948">
      <c r="A948" s="78"/>
      <c r="B948" s="59" t="str">
        <f>IFERROR(HYPERLINK(VLOOKUP(A948,Internal_lists_bugs!$A$2:$C$73,3,FALSE()), VLOOKUP(A948,Internal_lists_bugs!$A$2:$C$73,3,FALSE())&amp;Char(10) &amp; Char(10) &amp; VLOOKUP(A948,Internal_lists_bugs!$A$2:$Z$73,26,FALSE())),"please select a BUG ID")</f>
        <v>please select a BUG ID</v>
      </c>
      <c r="C948" s="51" t="str">
        <f>IFERROR(__xludf.DUMMYFUNCTION("IFERROR(IF(REGEXMATCH(VLOOKUP(A948,Internal_lists_bugs!$A$2:$R$73,18,FALSE()), ""Yes""), VLOOKUP(A948,Internal_lists_bugs!$A$2:$U$73,21,FALSE()), VLOOKUP(A948,Internal_lists_bugs!$A$2:$R$73,18,FALSE())),""please select a BUG ID"")"),"please select a BUG ID")</f>
        <v>please select a BUG ID</v>
      </c>
      <c r="D948" s="43"/>
      <c r="F948" s="62"/>
      <c r="G948" s="63"/>
      <c r="H948" s="43"/>
      <c r="J948" s="62"/>
      <c r="K948" s="63"/>
    </row>
    <row r="949">
      <c r="A949" s="78"/>
      <c r="B949" s="59" t="str">
        <f>IFERROR(HYPERLINK(VLOOKUP(A949,Internal_lists_bugs!$A$2:$C$73,3,FALSE()), VLOOKUP(A949,Internal_lists_bugs!$A$2:$C$73,3,FALSE())&amp;Char(10) &amp; Char(10) &amp; VLOOKUP(A949,Internal_lists_bugs!$A$2:$Z$73,26,FALSE())),"please select a BUG ID")</f>
        <v>please select a BUG ID</v>
      </c>
      <c r="C949" s="51" t="str">
        <f>IFERROR(__xludf.DUMMYFUNCTION("IFERROR(IF(REGEXMATCH(VLOOKUP(A949,Internal_lists_bugs!$A$2:$R$73,18,FALSE()), ""Yes""), VLOOKUP(A949,Internal_lists_bugs!$A$2:$U$73,21,FALSE()), VLOOKUP(A949,Internal_lists_bugs!$A$2:$R$73,18,FALSE())),""please select a BUG ID"")"),"please select a BUG ID")</f>
        <v>please select a BUG ID</v>
      </c>
      <c r="D949" s="43"/>
      <c r="F949" s="62"/>
      <c r="G949" s="63"/>
      <c r="H949" s="43"/>
      <c r="J949" s="62"/>
      <c r="K949" s="63"/>
    </row>
    <row r="950">
      <c r="A950" s="78"/>
      <c r="B950" s="59" t="str">
        <f>IFERROR(HYPERLINK(VLOOKUP(A950,Internal_lists_bugs!$A$2:$C$73,3,FALSE()), VLOOKUP(A950,Internal_lists_bugs!$A$2:$C$73,3,FALSE())&amp;Char(10) &amp; Char(10) &amp; VLOOKUP(A950,Internal_lists_bugs!$A$2:$Z$73,26,FALSE())),"please select a BUG ID")</f>
        <v>please select a BUG ID</v>
      </c>
      <c r="C950" s="51" t="str">
        <f>IFERROR(__xludf.DUMMYFUNCTION("IFERROR(IF(REGEXMATCH(VLOOKUP(A950,Internal_lists_bugs!$A$2:$R$73,18,FALSE()), ""Yes""), VLOOKUP(A950,Internal_lists_bugs!$A$2:$U$73,21,FALSE()), VLOOKUP(A950,Internal_lists_bugs!$A$2:$R$73,18,FALSE())),""please select a BUG ID"")"),"please select a BUG ID")</f>
        <v>please select a BUG ID</v>
      </c>
      <c r="D950" s="43"/>
      <c r="F950" s="62"/>
      <c r="G950" s="63"/>
      <c r="H950" s="43"/>
      <c r="J950" s="62"/>
      <c r="K950" s="63"/>
    </row>
    <row r="951">
      <c r="A951" s="78"/>
      <c r="B951" s="59" t="str">
        <f>IFERROR(HYPERLINK(VLOOKUP(A951,Internal_lists_bugs!$A$2:$C$73,3,FALSE()), VLOOKUP(A951,Internal_lists_bugs!$A$2:$C$73,3,FALSE())&amp;Char(10) &amp; Char(10) &amp; VLOOKUP(A951,Internal_lists_bugs!$A$2:$Z$73,26,FALSE())),"please select a BUG ID")</f>
        <v>please select a BUG ID</v>
      </c>
      <c r="C951" s="51" t="str">
        <f>IFERROR(__xludf.DUMMYFUNCTION("IFERROR(IF(REGEXMATCH(VLOOKUP(A951,Internal_lists_bugs!$A$2:$R$73,18,FALSE()), ""Yes""), VLOOKUP(A951,Internal_lists_bugs!$A$2:$U$73,21,FALSE()), VLOOKUP(A951,Internal_lists_bugs!$A$2:$R$73,18,FALSE())),""please select a BUG ID"")"),"please select a BUG ID")</f>
        <v>please select a BUG ID</v>
      </c>
      <c r="D951" s="43"/>
      <c r="F951" s="62"/>
      <c r="G951" s="63"/>
      <c r="H951" s="43"/>
      <c r="J951" s="62"/>
      <c r="K951" s="63"/>
    </row>
    <row r="952">
      <c r="A952" s="78"/>
      <c r="B952" s="59" t="str">
        <f>IFERROR(HYPERLINK(VLOOKUP(A952,Internal_lists_bugs!$A$2:$C$73,3,FALSE()), VLOOKUP(A952,Internal_lists_bugs!$A$2:$C$73,3,FALSE())&amp;Char(10) &amp; Char(10) &amp; VLOOKUP(A952,Internal_lists_bugs!$A$2:$Z$73,26,FALSE())),"please select a BUG ID")</f>
        <v>please select a BUG ID</v>
      </c>
      <c r="C952" s="51" t="str">
        <f>IFERROR(__xludf.DUMMYFUNCTION("IFERROR(IF(REGEXMATCH(VLOOKUP(A952,Internal_lists_bugs!$A$2:$R$73,18,FALSE()), ""Yes""), VLOOKUP(A952,Internal_lists_bugs!$A$2:$U$73,21,FALSE()), VLOOKUP(A952,Internal_lists_bugs!$A$2:$R$73,18,FALSE())),""please select a BUG ID"")"),"please select a BUG ID")</f>
        <v>please select a BUG ID</v>
      </c>
      <c r="D952" s="43"/>
      <c r="F952" s="62"/>
      <c r="G952" s="63"/>
      <c r="H952" s="43"/>
      <c r="J952" s="62"/>
      <c r="K952" s="63"/>
    </row>
    <row r="953">
      <c r="A953" s="78"/>
      <c r="B953" s="59" t="str">
        <f>IFERROR(HYPERLINK(VLOOKUP(A953,Internal_lists_bugs!$A$2:$C$73,3,FALSE()), VLOOKUP(A953,Internal_lists_bugs!$A$2:$C$73,3,FALSE())&amp;Char(10) &amp; Char(10) &amp; VLOOKUP(A953,Internal_lists_bugs!$A$2:$Z$73,26,FALSE())),"please select a BUG ID")</f>
        <v>please select a BUG ID</v>
      </c>
      <c r="C953" s="51" t="str">
        <f>IFERROR(__xludf.DUMMYFUNCTION("IFERROR(IF(REGEXMATCH(VLOOKUP(A953,Internal_lists_bugs!$A$2:$R$73,18,FALSE()), ""Yes""), VLOOKUP(A953,Internal_lists_bugs!$A$2:$U$73,21,FALSE()), VLOOKUP(A953,Internal_lists_bugs!$A$2:$R$73,18,FALSE())),""please select a BUG ID"")"),"please select a BUG ID")</f>
        <v>please select a BUG ID</v>
      </c>
      <c r="D953" s="43"/>
      <c r="F953" s="62"/>
      <c r="G953" s="63"/>
      <c r="H953" s="43"/>
      <c r="J953" s="62"/>
      <c r="K953" s="63"/>
    </row>
    <row r="954">
      <c r="A954" s="78"/>
      <c r="B954" s="59" t="str">
        <f>IFERROR(HYPERLINK(VLOOKUP(A954,Internal_lists_bugs!$A$2:$C$73,3,FALSE()), VLOOKUP(A954,Internal_lists_bugs!$A$2:$C$73,3,FALSE())&amp;Char(10) &amp; Char(10) &amp; VLOOKUP(A954,Internal_lists_bugs!$A$2:$Z$73,26,FALSE())),"please select a BUG ID")</f>
        <v>please select a BUG ID</v>
      </c>
      <c r="C954" s="51" t="str">
        <f>IFERROR(__xludf.DUMMYFUNCTION("IFERROR(IF(REGEXMATCH(VLOOKUP(A954,Internal_lists_bugs!$A$2:$R$73,18,FALSE()), ""Yes""), VLOOKUP(A954,Internal_lists_bugs!$A$2:$U$73,21,FALSE()), VLOOKUP(A954,Internal_lists_bugs!$A$2:$R$73,18,FALSE())),""please select a BUG ID"")"),"please select a BUG ID")</f>
        <v>please select a BUG ID</v>
      </c>
      <c r="D954" s="43"/>
      <c r="F954" s="62"/>
      <c r="G954" s="63"/>
      <c r="H954" s="43"/>
      <c r="J954" s="62"/>
      <c r="K954" s="63"/>
    </row>
    <row r="955">
      <c r="A955" s="78"/>
      <c r="B955" s="59" t="str">
        <f>IFERROR(HYPERLINK(VLOOKUP(A955,Internal_lists_bugs!$A$2:$C$73,3,FALSE()), VLOOKUP(A955,Internal_lists_bugs!$A$2:$C$73,3,FALSE())&amp;Char(10) &amp; Char(10) &amp; VLOOKUP(A955,Internal_lists_bugs!$A$2:$Z$73,26,FALSE())),"please select a BUG ID")</f>
        <v>please select a BUG ID</v>
      </c>
      <c r="C955" s="51" t="str">
        <f>IFERROR(__xludf.DUMMYFUNCTION("IFERROR(IF(REGEXMATCH(VLOOKUP(A955,Internal_lists_bugs!$A$2:$R$73,18,FALSE()), ""Yes""), VLOOKUP(A955,Internal_lists_bugs!$A$2:$U$73,21,FALSE()), VLOOKUP(A955,Internal_lists_bugs!$A$2:$R$73,18,FALSE())),""please select a BUG ID"")"),"please select a BUG ID")</f>
        <v>please select a BUG ID</v>
      </c>
      <c r="D955" s="43"/>
      <c r="F955" s="62"/>
      <c r="G955" s="63"/>
      <c r="H955" s="43"/>
      <c r="J955" s="62"/>
      <c r="K955" s="63"/>
    </row>
    <row r="956">
      <c r="A956" s="78"/>
      <c r="B956" s="59" t="str">
        <f>IFERROR(HYPERLINK(VLOOKUP(A956,Internal_lists_bugs!$A$2:$C$73,3,FALSE()), VLOOKUP(A956,Internal_lists_bugs!$A$2:$C$73,3,FALSE())&amp;Char(10) &amp; Char(10) &amp; VLOOKUP(A956,Internal_lists_bugs!$A$2:$Z$73,26,FALSE())),"please select a BUG ID")</f>
        <v>please select a BUG ID</v>
      </c>
      <c r="C956" s="51" t="str">
        <f>IFERROR(__xludf.DUMMYFUNCTION("IFERROR(IF(REGEXMATCH(VLOOKUP(A956,Internal_lists_bugs!$A$2:$R$73,18,FALSE()), ""Yes""), VLOOKUP(A956,Internal_lists_bugs!$A$2:$U$73,21,FALSE()), VLOOKUP(A956,Internal_lists_bugs!$A$2:$R$73,18,FALSE())),""please select a BUG ID"")"),"please select a BUG ID")</f>
        <v>please select a BUG ID</v>
      </c>
      <c r="D956" s="43"/>
      <c r="F956" s="62"/>
      <c r="G956" s="63"/>
      <c r="H956" s="43"/>
      <c r="J956" s="62"/>
      <c r="K956" s="63"/>
    </row>
    <row r="957">
      <c r="A957" s="78"/>
      <c r="B957" s="59" t="str">
        <f>IFERROR(HYPERLINK(VLOOKUP(A957,Internal_lists_bugs!$A$2:$C$73,3,FALSE()), VLOOKUP(A957,Internal_lists_bugs!$A$2:$C$73,3,FALSE())&amp;Char(10) &amp; Char(10) &amp; VLOOKUP(A957,Internal_lists_bugs!$A$2:$Z$73,26,FALSE())),"please select a BUG ID")</f>
        <v>please select a BUG ID</v>
      </c>
      <c r="C957" s="51" t="str">
        <f>IFERROR(__xludf.DUMMYFUNCTION("IFERROR(IF(REGEXMATCH(VLOOKUP(A957,Internal_lists_bugs!$A$2:$R$73,18,FALSE()), ""Yes""), VLOOKUP(A957,Internal_lists_bugs!$A$2:$U$73,21,FALSE()), VLOOKUP(A957,Internal_lists_bugs!$A$2:$R$73,18,FALSE())),""please select a BUG ID"")"),"please select a BUG ID")</f>
        <v>please select a BUG ID</v>
      </c>
      <c r="D957" s="43"/>
      <c r="F957" s="62"/>
      <c r="G957" s="63"/>
      <c r="H957" s="43"/>
      <c r="J957" s="62"/>
      <c r="K957" s="63"/>
    </row>
    <row r="958">
      <c r="A958" s="78"/>
      <c r="B958" s="59" t="str">
        <f>IFERROR(HYPERLINK(VLOOKUP(A958,Internal_lists_bugs!$A$2:$C$73,3,FALSE()), VLOOKUP(A958,Internal_lists_bugs!$A$2:$C$73,3,FALSE())&amp;Char(10) &amp; Char(10) &amp; VLOOKUP(A958,Internal_lists_bugs!$A$2:$Z$73,26,FALSE())),"please select a BUG ID")</f>
        <v>please select a BUG ID</v>
      </c>
      <c r="C958" s="51" t="str">
        <f>IFERROR(__xludf.DUMMYFUNCTION("IFERROR(IF(REGEXMATCH(VLOOKUP(A958,Internal_lists_bugs!$A$2:$R$73,18,FALSE()), ""Yes""), VLOOKUP(A958,Internal_lists_bugs!$A$2:$U$73,21,FALSE()), VLOOKUP(A958,Internal_lists_bugs!$A$2:$R$73,18,FALSE())),""please select a BUG ID"")"),"please select a BUG ID")</f>
        <v>please select a BUG ID</v>
      </c>
      <c r="D958" s="43"/>
      <c r="F958" s="62"/>
      <c r="G958" s="63"/>
      <c r="H958" s="43"/>
      <c r="J958" s="62"/>
      <c r="K958" s="63"/>
    </row>
    <row r="959">
      <c r="A959" s="78"/>
      <c r="B959" s="59" t="str">
        <f>IFERROR(HYPERLINK(VLOOKUP(A959,Internal_lists_bugs!$A$2:$C$73,3,FALSE()), VLOOKUP(A959,Internal_lists_bugs!$A$2:$C$73,3,FALSE())&amp;Char(10) &amp; Char(10) &amp; VLOOKUP(A959,Internal_lists_bugs!$A$2:$Z$73,26,FALSE())),"please select a BUG ID")</f>
        <v>please select a BUG ID</v>
      </c>
      <c r="C959" s="51" t="str">
        <f>IFERROR(__xludf.DUMMYFUNCTION("IFERROR(IF(REGEXMATCH(VLOOKUP(A959,Internal_lists_bugs!$A$2:$R$73,18,FALSE()), ""Yes""), VLOOKUP(A959,Internal_lists_bugs!$A$2:$U$73,21,FALSE()), VLOOKUP(A959,Internal_lists_bugs!$A$2:$R$73,18,FALSE())),""please select a BUG ID"")"),"please select a BUG ID")</f>
        <v>please select a BUG ID</v>
      </c>
      <c r="D959" s="43"/>
      <c r="F959" s="62"/>
      <c r="G959" s="63"/>
      <c r="H959" s="43"/>
      <c r="J959" s="62"/>
      <c r="K959" s="63"/>
    </row>
    <row r="960">
      <c r="A960" s="78"/>
      <c r="B960" s="59" t="str">
        <f>IFERROR(HYPERLINK(VLOOKUP(A960,Internal_lists_bugs!$A$2:$C$73,3,FALSE()), VLOOKUP(A960,Internal_lists_bugs!$A$2:$C$73,3,FALSE())&amp;Char(10) &amp; Char(10) &amp; VLOOKUP(A960,Internal_lists_bugs!$A$2:$Z$73,26,FALSE())),"please select a BUG ID")</f>
        <v>please select a BUG ID</v>
      </c>
      <c r="C960" s="51" t="str">
        <f>IFERROR(__xludf.DUMMYFUNCTION("IFERROR(IF(REGEXMATCH(VLOOKUP(A960,Internal_lists_bugs!$A$2:$R$73,18,FALSE()), ""Yes""), VLOOKUP(A960,Internal_lists_bugs!$A$2:$U$73,21,FALSE()), VLOOKUP(A960,Internal_lists_bugs!$A$2:$R$73,18,FALSE())),""please select a BUG ID"")"),"please select a BUG ID")</f>
        <v>please select a BUG ID</v>
      </c>
      <c r="D960" s="43"/>
      <c r="F960" s="62"/>
      <c r="G960" s="63"/>
      <c r="H960" s="43"/>
      <c r="J960" s="62"/>
      <c r="K960" s="63"/>
    </row>
    <row r="961">
      <c r="A961" s="78"/>
      <c r="B961" s="59" t="str">
        <f>IFERROR(HYPERLINK(VLOOKUP(A961,Internal_lists_bugs!$A$2:$C$73,3,FALSE()), VLOOKUP(A961,Internal_lists_bugs!$A$2:$C$73,3,FALSE())&amp;Char(10) &amp; Char(10) &amp; VLOOKUP(A961,Internal_lists_bugs!$A$2:$Z$73,26,FALSE())),"please select a BUG ID")</f>
        <v>please select a BUG ID</v>
      </c>
      <c r="C961" s="51" t="str">
        <f>IFERROR(__xludf.DUMMYFUNCTION("IFERROR(IF(REGEXMATCH(VLOOKUP(A961,Internal_lists_bugs!$A$2:$R$73,18,FALSE()), ""Yes""), VLOOKUP(A961,Internal_lists_bugs!$A$2:$U$73,21,FALSE()), VLOOKUP(A961,Internal_lists_bugs!$A$2:$R$73,18,FALSE())),""please select a BUG ID"")"),"please select a BUG ID")</f>
        <v>please select a BUG ID</v>
      </c>
      <c r="D961" s="43"/>
      <c r="F961" s="62"/>
      <c r="G961" s="63"/>
      <c r="H961" s="43"/>
      <c r="J961" s="62"/>
      <c r="K961" s="63"/>
    </row>
    <row r="962">
      <c r="A962" s="78"/>
      <c r="B962" s="59" t="str">
        <f>IFERROR(HYPERLINK(VLOOKUP(A962,Internal_lists_bugs!$A$2:$C$73,3,FALSE()), VLOOKUP(A962,Internal_lists_bugs!$A$2:$C$73,3,FALSE())&amp;Char(10) &amp; Char(10) &amp; VLOOKUP(A962,Internal_lists_bugs!$A$2:$Z$73,26,FALSE())),"please select a BUG ID")</f>
        <v>please select a BUG ID</v>
      </c>
      <c r="C962" s="51" t="str">
        <f>IFERROR(__xludf.DUMMYFUNCTION("IFERROR(IF(REGEXMATCH(VLOOKUP(A962,Internal_lists_bugs!$A$2:$R$73,18,FALSE()), ""Yes""), VLOOKUP(A962,Internal_lists_bugs!$A$2:$U$73,21,FALSE()), VLOOKUP(A962,Internal_lists_bugs!$A$2:$R$73,18,FALSE())),""please select a BUG ID"")"),"please select a BUG ID")</f>
        <v>please select a BUG ID</v>
      </c>
      <c r="D962" s="43"/>
      <c r="F962" s="62"/>
      <c r="G962" s="63"/>
      <c r="H962" s="43"/>
      <c r="J962" s="62"/>
      <c r="K962" s="63"/>
    </row>
    <row r="963">
      <c r="A963" s="78"/>
      <c r="B963" s="59" t="str">
        <f>IFERROR(HYPERLINK(VLOOKUP(A963,Internal_lists_bugs!$A$2:$C$73,3,FALSE()), VLOOKUP(A963,Internal_lists_bugs!$A$2:$C$73,3,FALSE())&amp;Char(10) &amp; Char(10) &amp; VLOOKUP(A963,Internal_lists_bugs!$A$2:$Z$73,26,FALSE())),"please select a BUG ID")</f>
        <v>please select a BUG ID</v>
      </c>
      <c r="C963" s="51" t="str">
        <f>IFERROR(__xludf.DUMMYFUNCTION("IFERROR(IF(REGEXMATCH(VLOOKUP(A963,Internal_lists_bugs!$A$2:$R$73,18,FALSE()), ""Yes""), VLOOKUP(A963,Internal_lists_bugs!$A$2:$U$73,21,FALSE()), VLOOKUP(A963,Internal_lists_bugs!$A$2:$R$73,18,FALSE())),""please select a BUG ID"")"),"please select a BUG ID")</f>
        <v>please select a BUG ID</v>
      </c>
      <c r="D963" s="43"/>
      <c r="F963" s="62"/>
      <c r="G963" s="63"/>
      <c r="H963" s="43"/>
      <c r="J963" s="62"/>
      <c r="K963" s="63"/>
    </row>
    <row r="964">
      <c r="A964" s="78"/>
      <c r="B964" s="59" t="str">
        <f>IFERROR(HYPERLINK(VLOOKUP(A964,Internal_lists_bugs!$A$2:$C$73,3,FALSE()), VLOOKUP(A964,Internal_lists_bugs!$A$2:$C$73,3,FALSE())&amp;Char(10) &amp; Char(10) &amp; VLOOKUP(A964,Internal_lists_bugs!$A$2:$Z$73,26,FALSE())),"please select a BUG ID")</f>
        <v>please select a BUG ID</v>
      </c>
      <c r="C964" s="51" t="str">
        <f>IFERROR(__xludf.DUMMYFUNCTION("IFERROR(IF(REGEXMATCH(VLOOKUP(A964,Internal_lists_bugs!$A$2:$R$73,18,FALSE()), ""Yes""), VLOOKUP(A964,Internal_lists_bugs!$A$2:$U$73,21,FALSE()), VLOOKUP(A964,Internal_lists_bugs!$A$2:$R$73,18,FALSE())),""please select a BUG ID"")"),"please select a BUG ID")</f>
        <v>please select a BUG ID</v>
      </c>
      <c r="D964" s="43"/>
      <c r="F964" s="62"/>
      <c r="G964" s="63"/>
      <c r="H964" s="43"/>
      <c r="J964" s="62"/>
      <c r="K964" s="63"/>
    </row>
    <row r="965">
      <c r="A965" s="78"/>
      <c r="B965" s="59" t="str">
        <f>IFERROR(HYPERLINK(VLOOKUP(A965,Internal_lists_bugs!$A$2:$C$73,3,FALSE()), VLOOKUP(A965,Internal_lists_bugs!$A$2:$C$73,3,FALSE())&amp;Char(10) &amp; Char(10) &amp; VLOOKUP(A965,Internal_lists_bugs!$A$2:$Z$73,26,FALSE())),"please select a BUG ID")</f>
        <v>please select a BUG ID</v>
      </c>
      <c r="C965" s="51" t="str">
        <f>IFERROR(__xludf.DUMMYFUNCTION("IFERROR(IF(REGEXMATCH(VLOOKUP(A965,Internal_lists_bugs!$A$2:$R$73,18,FALSE()), ""Yes""), VLOOKUP(A965,Internal_lists_bugs!$A$2:$U$73,21,FALSE()), VLOOKUP(A965,Internal_lists_bugs!$A$2:$R$73,18,FALSE())),""please select a BUG ID"")"),"please select a BUG ID")</f>
        <v>please select a BUG ID</v>
      </c>
      <c r="D965" s="43"/>
      <c r="F965" s="62"/>
      <c r="G965" s="63"/>
      <c r="H965" s="43"/>
      <c r="J965" s="62"/>
      <c r="K965" s="63"/>
    </row>
    <row r="966">
      <c r="A966" s="78"/>
      <c r="B966" s="59" t="str">
        <f>IFERROR(HYPERLINK(VLOOKUP(A966,Internal_lists_bugs!$A$2:$C$73,3,FALSE()), VLOOKUP(A966,Internal_lists_bugs!$A$2:$C$73,3,FALSE())&amp;Char(10) &amp; Char(10) &amp; VLOOKUP(A966,Internal_lists_bugs!$A$2:$Z$73,26,FALSE())),"please select a BUG ID")</f>
        <v>please select a BUG ID</v>
      </c>
      <c r="C966" s="51" t="str">
        <f>IFERROR(__xludf.DUMMYFUNCTION("IFERROR(IF(REGEXMATCH(VLOOKUP(A966,Internal_lists_bugs!$A$2:$R$73,18,FALSE()), ""Yes""), VLOOKUP(A966,Internal_lists_bugs!$A$2:$U$73,21,FALSE()), VLOOKUP(A966,Internal_lists_bugs!$A$2:$R$73,18,FALSE())),""please select a BUG ID"")"),"please select a BUG ID")</f>
        <v>please select a BUG ID</v>
      </c>
      <c r="D966" s="43"/>
      <c r="F966" s="62"/>
      <c r="G966" s="63"/>
      <c r="H966" s="43"/>
      <c r="J966" s="62"/>
      <c r="K966" s="63"/>
    </row>
    <row r="967">
      <c r="A967" s="78"/>
      <c r="B967" s="59" t="str">
        <f>IFERROR(HYPERLINK(VLOOKUP(A967,Internal_lists_bugs!$A$2:$C$73,3,FALSE()), VLOOKUP(A967,Internal_lists_bugs!$A$2:$C$73,3,FALSE())&amp;Char(10) &amp; Char(10) &amp; VLOOKUP(A967,Internal_lists_bugs!$A$2:$Z$73,26,FALSE())),"please select a BUG ID")</f>
        <v>please select a BUG ID</v>
      </c>
      <c r="C967" s="51" t="str">
        <f>IFERROR(__xludf.DUMMYFUNCTION("IFERROR(IF(REGEXMATCH(VLOOKUP(A967,Internal_lists_bugs!$A$2:$R$73,18,FALSE()), ""Yes""), VLOOKUP(A967,Internal_lists_bugs!$A$2:$U$73,21,FALSE()), VLOOKUP(A967,Internal_lists_bugs!$A$2:$R$73,18,FALSE())),""please select a BUG ID"")"),"please select a BUG ID")</f>
        <v>please select a BUG ID</v>
      </c>
      <c r="D967" s="43"/>
      <c r="F967" s="62"/>
      <c r="G967" s="63"/>
      <c r="H967" s="43"/>
      <c r="J967" s="62"/>
      <c r="K967" s="63"/>
    </row>
    <row r="968">
      <c r="A968" s="78"/>
      <c r="B968" s="59" t="str">
        <f>IFERROR(HYPERLINK(VLOOKUP(A968,Internal_lists_bugs!$A$2:$C$73,3,FALSE()), VLOOKUP(A968,Internal_lists_bugs!$A$2:$C$73,3,FALSE())&amp;Char(10) &amp; Char(10) &amp; VLOOKUP(A968,Internal_lists_bugs!$A$2:$Z$73,26,FALSE())),"please select a BUG ID")</f>
        <v>please select a BUG ID</v>
      </c>
      <c r="C968" s="51" t="str">
        <f>IFERROR(__xludf.DUMMYFUNCTION("IFERROR(IF(REGEXMATCH(VLOOKUP(A968,Internal_lists_bugs!$A$2:$R$73,18,FALSE()), ""Yes""), VLOOKUP(A968,Internal_lists_bugs!$A$2:$U$73,21,FALSE()), VLOOKUP(A968,Internal_lists_bugs!$A$2:$R$73,18,FALSE())),""please select a BUG ID"")"),"please select a BUG ID")</f>
        <v>please select a BUG ID</v>
      </c>
      <c r="D968" s="43"/>
      <c r="F968" s="62"/>
      <c r="G968" s="63"/>
      <c r="H968" s="43"/>
      <c r="J968" s="62"/>
      <c r="K968" s="63"/>
    </row>
    <row r="969">
      <c r="A969" s="78"/>
      <c r="B969" s="59" t="str">
        <f>IFERROR(HYPERLINK(VLOOKUP(A969,Internal_lists_bugs!$A$2:$C$73,3,FALSE()), VLOOKUP(A969,Internal_lists_bugs!$A$2:$C$73,3,FALSE())&amp;Char(10) &amp; Char(10) &amp; VLOOKUP(A969,Internal_lists_bugs!$A$2:$Z$73,26,FALSE())),"please select a BUG ID")</f>
        <v>please select a BUG ID</v>
      </c>
      <c r="C969" s="51" t="str">
        <f>IFERROR(__xludf.DUMMYFUNCTION("IFERROR(IF(REGEXMATCH(VLOOKUP(A969,Internal_lists_bugs!$A$2:$R$73,18,FALSE()), ""Yes""), VLOOKUP(A969,Internal_lists_bugs!$A$2:$U$73,21,FALSE()), VLOOKUP(A969,Internal_lists_bugs!$A$2:$R$73,18,FALSE())),""please select a BUG ID"")"),"please select a BUG ID")</f>
        <v>please select a BUG ID</v>
      </c>
      <c r="D969" s="43"/>
      <c r="F969" s="62"/>
      <c r="G969" s="63"/>
      <c r="H969" s="43"/>
      <c r="J969" s="62"/>
      <c r="K969" s="63"/>
    </row>
    <row r="970">
      <c r="A970" s="78"/>
      <c r="B970" s="59" t="str">
        <f>IFERROR(HYPERLINK(VLOOKUP(A970,Internal_lists_bugs!$A$2:$C$73,3,FALSE()), VLOOKUP(A970,Internal_lists_bugs!$A$2:$C$73,3,FALSE())&amp;Char(10) &amp; Char(10) &amp; VLOOKUP(A970,Internal_lists_bugs!$A$2:$Z$73,26,FALSE())),"please select a BUG ID")</f>
        <v>please select a BUG ID</v>
      </c>
      <c r="C970" s="51" t="str">
        <f>IFERROR(__xludf.DUMMYFUNCTION("IFERROR(IF(REGEXMATCH(VLOOKUP(A970,Internal_lists_bugs!$A$2:$R$73,18,FALSE()), ""Yes""), VLOOKUP(A970,Internal_lists_bugs!$A$2:$U$73,21,FALSE()), VLOOKUP(A970,Internal_lists_bugs!$A$2:$R$73,18,FALSE())),""please select a BUG ID"")"),"please select a BUG ID")</f>
        <v>please select a BUG ID</v>
      </c>
      <c r="D970" s="43"/>
      <c r="F970" s="62"/>
      <c r="G970" s="63"/>
      <c r="H970" s="43"/>
      <c r="J970" s="62"/>
      <c r="K970" s="63"/>
    </row>
    <row r="971">
      <c r="A971" s="78"/>
      <c r="B971" s="59" t="str">
        <f>IFERROR(HYPERLINK(VLOOKUP(A971,Internal_lists_bugs!$A$2:$C$73,3,FALSE()), VLOOKUP(A971,Internal_lists_bugs!$A$2:$C$73,3,FALSE())&amp;Char(10) &amp; Char(10) &amp; VLOOKUP(A971,Internal_lists_bugs!$A$2:$Z$73,26,FALSE())),"please select a BUG ID")</f>
        <v>please select a BUG ID</v>
      </c>
      <c r="C971" s="51" t="str">
        <f>IFERROR(__xludf.DUMMYFUNCTION("IFERROR(IF(REGEXMATCH(VLOOKUP(A971,Internal_lists_bugs!$A$2:$R$73,18,FALSE()), ""Yes""), VLOOKUP(A971,Internal_lists_bugs!$A$2:$U$73,21,FALSE()), VLOOKUP(A971,Internal_lists_bugs!$A$2:$R$73,18,FALSE())),""please select a BUG ID"")"),"please select a BUG ID")</f>
        <v>please select a BUG ID</v>
      </c>
      <c r="D971" s="43"/>
      <c r="F971" s="62"/>
      <c r="G971" s="63"/>
      <c r="H971" s="43"/>
      <c r="J971" s="62"/>
      <c r="K971" s="63"/>
    </row>
    <row r="972">
      <c r="A972" s="78"/>
      <c r="B972" s="59" t="str">
        <f>IFERROR(HYPERLINK(VLOOKUP(A972,Internal_lists_bugs!$A$2:$C$73,3,FALSE()), VLOOKUP(A972,Internal_lists_bugs!$A$2:$C$73,3,FALSE())&amp;Char(10) &amp; Char(10) &amp; VLOOKUP(A972,Internal_lists_bugs!$A$2:$Z$73,26,FALSE())),"please select a BUG ID")</f>
        <v>please select a BUG ID</v>
      </c>
      <c r="C972" s="51" t="str">
        <f>IFERROR(__xludf.DUMMYFUNCTION("IFERROR(IF(REGEXMATCH(VLOOKUP(A972,Internal_lists_bugs!$A$2:$R$73,18,FALSE()), ""Yes""), VLOOKUP(A972,Internal_lists_bugs!$A$2:$U$73,21,FALSE()), VLOOKUP(A972,Internal_lists_bugs!$A$2:$R$73,18,FALSE())),""please select a BUG ID"")"),"please select a BUG ID")</f>
        <v>please select a BUG ID</v>
      </c>
      <c r="D972" s="43"/>
      <c r="F972" s="62"/>
      <c r="G972" s="63"/>
      <c r="H972" s="43"/>
      <c r="J972" s="62"/>
      <c r="K972" s="63"/>
    </row>
    <row r="973">
      <c r="A973" s="78"/>
      <c r="B973" s="59" t="str">
        <f>IFERROR(HYPERLINK(VLOOKUP(A973,Internal_lists_bugs!$A$2:$C$73,3,FALSE()), VLOOKUP(A973,Internal_lists_bugs!$A$2:$C$73,3,FALSE())&amp;Char(10) &amp; Char(10) &amp; VLOOKUP(A973,Internal_lists_bugs!$A$2:$Z$73,26,FALSE())),"please select a BUG ID")</f>
        <v>please select a BUG ID</v>
      </c>
      <c r="C973" s="51" t="str">
        <f>IFERROR(__xludf.DUMMYFUNCTION("IFERROR(IF(REGEXMATCH(VLOOKUP(A973,Internal_lists_bugs!$A$2:$R$73,18,FALSE()), ""Yes""), VLOOKUP(A973,Internal_lists_bugs!$A$2:$U$73,21,FALSE()), VLOOKUP(A973,Internal_lists_bugs!$A$2:$R$73,18,FALSE())),""please select a BUG ID"")"),"please select a BUG ID")</f>
        <v>please select a BUG ID</v>
      </c>
      <c r="D973" s="43"/>
      <c r="F973" s="62"/>
      <c r="G973" s="63"/>
      <c r="H973" s="43"/>
      <c r="J973" s="62"/>
      <c r="K973" s="63"/>
    </row>
    <row r="974">
      <c r="A974" s="78"/>
      <c r="B974" s="59" t="str">
        <f>IFERROR(HYPERLINK(VLOOKUP(A974,Internal_lists_bugs!$A$2:$C$73,3,FALSE()), VLOOKUP(A974,Internal_lists_bugs!$A$2:$C$73,3,FALSE())&amp;Char(10) &amp; Char(10) &amp; VLOOKUP(A974,Internal_lists_bugs!$A$2:$Z$73,26,FALSE())),"please select a BUG ID")</f>
        <v>please select a BUG ID</v>
      </c>
      <c r="C974" s="51" t="str">
        <f>IFERROR(__xludf.DUMMYFUNCTION("IFERROR(IF(REGEXMATCH(VLOOKUP(A974,Internal_lists_bugs!$A$2:$R$73,18,FALSE()), ""Yes""), VLOOKUP(A974,Internal_lists_bugs!$A$2:$U$73,21,FALSE()), VLOOKUP(A974,Internal_lists_bugs!$A$2:$R$73,18,FALSE())),""please select a BUG ID"")"),"please select a BUG ID")</f>
        <v>please select a BUG ID</v>
      </c>
      <c r="D974" s="43"/>
      <c r="F974" s="62"/>
      <c r="G974" s="63"/>
      <c r="H974" s="43"/>
      <c r="J974" s="62"/>
      <c r="K974" s="63"/>
    </row>
    <row r="975">
      <c r="A975" s="78"/>
      <c r="B975" s="59" t="str">
        <f>IFERROR(HYPERLINK(VLOOKUP(A975,Internal_lists_bugs!$A$2:$C$73,3,FALSE()), VLOOKUP(A975,Internal_lists_bugs!$A$2:$C$73,3,FALSE())&amp;Char(10) &amp; Char(10) &amp; VLOOKUP(A975,Internal_lists_bugs!$A$2:$Z$73,26,FALSE())),"please select a BUG ID")</f>
        <v>please select a BUG ID</v>
      </c>
      <c r="C975" s="51" t="str">
        <f>IFERROR(__xludf.DUMMYFUNCTION("IFERROR(IF(REGEXMATCH(VLOOKUP(A975,Internal_lists_bugs!$A$2:$R$73,18,FALSE()), ""Yes""), VLOOKUP(A975,Internal_lists_bugs!$A$2:$U$73,21,FALSE()), VLOOKUP(A975,Internal_lists_bugs!$A$2:$R$73,18,FALSE())),""please select a BUG ID"")"),"please select a BUG ID")</f>
        <v>please select a BUG ID</v>
      </c>
      <c r="D975" s="43"/>
      <c r="F975" s="62"/>
      <c r="G975" s="63"/>
      <c r="H975" s="43"/>
      <c r="J975" s="62"/>
      <c r="K975" s="63"/>
    </row>
    <row r="976">
      <c r="A976" s="78"/>
      <c r="B976" s="59" t="str">
        <f>IFERROR(HYPERLINK(VLOOKUP(A976,Internal_lists_bugs!$A$2:$C$73,3,FALSE()), VLOOKUP(A976,Internal_lists_bugs!$A$2:$C$73,3,FALSE())&amp;Char(10) &amp; Char(10) &amp; VLOOKUP(A976,Internal_lists_bugs!$A$2:$Z$73,26,FALSE())),"please select a BUG ID")</f>
        <v>please select a BUG ID</v>
      </c>
      <c r="C976" s="51" t="str">
        <f>IFERROR(__xludf.DUMMYFUNCTION("IFERROR(IF(REGEXMATCH(VLOOKUP(A976,Internal_lists_bugs!$A$2:$R$73,18,FALSE()), ""Yes""), VLOOKUP(A976,Internal_lists_bugs!$A$2:$U$73,21,FALSE()), VLOOKUP(A976,Internal_lists_bugs!$A$2:$R$73,18,FALSE())),""please select a BUG ID"")"),"please select a BUG ID")</f>
        <v>please select a BUG ID</v>
      </c>
      <c r="D976" s="43"/>
      <c r="F976" s="62"/>
      <c r="G976" s="63"/>
      <c r="H976" s="43"/>
      <c r="J976" s="62"/>
      <c r="K976" s="63"/>
    </row>
    <row r="977">
      <c r="A977" s="78"/>
      <c r="B977" s="59" t="str">
        <f>IFERROR(HYPERLINK(VLOOKUP(A977,Internal_lists_bugs!$A$2:$C$73,3,FALSE()), VLOOKUP(A977,Internal_lists_bugs!$A$2:$C$73,3,FALSE())&amp;Char(10) &amp; Char(10) &amp; VLOOKUP(A977,Internal_lists_bugs!$A$2:$Z$73,26,FALSE())),"please select a BUG ID")</f>
        <v>please select a BUG ID</v>
      </c>
      <c r="C977" s="51" t="str">
        <f>IFERROR(__xludf.DUMMYFUNCTION("IFERROR(IF(REGEXMATCH(VLOOKUP(A977,Internal_lists_bugs!$A$2:$R$73,18,FALSE()), ""Yes""), VLOOKUP(A977,Internal_lists_bugs!$A$2:$U$73,21,FALSE()), VLOOKUP(A977,Internal_lists_bugs!$A$2:$R$73,18,FALSE())),""please select a BUG ID"")"),"please select a BUG ID")</f>
        <v>please select a BUG ID</v>
      </c>
      <c r="D977" s="43"/>
      <c r="F977" s="62"/>
      <c r="G977" s="63"/>
      <c r="H977" s="43"/>
      <c r="J977" s="62"/>
      <c r="K977" s="63"/>
    </row>
    <row r="978">
      <c r="A978" s="78"/>
      <c r="B978" s="59" t="str">
        <f>IFERROR(HYPERLINK(VLOOKUP(A978,Internal_lists_bugs!$A$2:$C$73,3,FALSE()), VLOOKUP(A978,Internal_lists_bugs!$A$2:$C$73,3,FALSE())&amp;Char(10) &amp; Char(10) &amp; VLOOKUP(A978,Internal_lists_bugs!$A$2:$Z$73,26,FALSE())),"please select a BUG ID")</f>
        <v>please select a BUG ID</v>
      </c>
      <c r="C978" s="51" t="str">
        <f>IFERROR(__xludf.DUMMYFUNCTION("IFERROR(IF(REGEXMATCH(VLOOKUP(A978,Internal_lists_bugs!$A$2:$R$73,18,FALSE()), ""Yes""), VLOOKUP(A978,Internal_lists_bugs!$A$2:$U$73,21,FALSE()), VLOOKUP(A978,Internal_lists_bugs!$A$2:$R$73,18,FALSE())),""please select a BUG ID"")"),"please select a BUG ID")</f>
        <v>please select a BUG ID</v>
      </c>
      <c r="D978" s="43"/>
      <c r="F978" s="62"/>
      <c r="G978" s="63"/>
      <c r="H978" s="43"/>
      <c r="J978" s="62"/>
      <c r="K978" s="63"/>
    </row>
    <row r="979">
      <c r="A979" s="78"/>
      <c r="B979" s="59" t="str">
        <f>IFERROR(HYPERLINK(VLOOKUP(A979,Internal_lists_bugs!$A$2:$C$73,3,FALSE()), VLOOKUP(A979,Internal_lists_bugs!$A$2:$C$73,3,FALSE())&amp;Char(10) &amp; Char(10) &amp; VLOOKUP(A979,Internal_lists_bugs!$A$2:$Z$73,26,FALSE())),"please select a BUG ID")</f>
        <v>please select a BUG ID</v>
      </c>
      <c r="C979" s="51" t="str">
        <f>IFERROR(__xludf.DUMMYFUNCTION("IFERROR(IF(REGEXMATCH(VLOOKUP(A979,Internal_lists_bugs!$A$2:$R$73,18,FALSE()), ""Yes""), VLOOKUP(A979,Internal_lists_bugs!$A$2:$U$73,21,FALSE()), VLOOKUP(A979,Internal_lists_bugs!$A$2:$R$73,18,FALSE())),""please select a BUG ID"")"),"please select a BUG ID")</f>
        <v>please select a BUG ID</v>
      </c>
      <c r="D979" s="43"/>
      <c r="F979" s="62"/>
      <c r="G979" s="63"/>
      <c r="H979" s="43"/>
      <c r="J979" s="62"/>
      <c r="K979" s="63"/>
    </row>
    <row r="980">
      <c r="A980" s="78"/>
      <c r="B980" s="59" t="str">
        <f>IFERROR(HYPERLINK(VLOOKUP(A980,Internal_lists_bugs!$A$2:$C$73,3,FALSE()), VLOOKUP(A980,Internal_lists_bugs!$A$2:$C$73,3,FALSE())&amp;Char(10) &amp; Char(10) &amp; VLOOKUP(A980,Internal_lists_bugs!$A$2:$Z$73,26,FALSE())),"please select a BUG ID")</f>
        <v>please select a BUG ID</v>
      </c>
      <c r="C980" s="51" t="str">
        <f>IFERROR(__xludf.DUMMYFUNCTION("IFERROR(IF(REGEXMATCH(VLOOKUP(A980,Internal_lists_bugs!$A$2:$R$73,18,FALSE()), ""Yes""), VLOOKUP(A980,Internal_lists_bugs!$A$2:$U$73,21,FALSE()), VLOOKUP(A980,Internal_lists_bugs!$A$2:$R$73,18,FALSE())),""please select a BUG ID"")"),"please select a BUG ID")</f>
        <v>please select a BUG ID</v>
      </c>
      <c r="D980" s="43"/>
      <c r="F980" s="62"/>
      <c r="G980" s="63"/>
      <c r="H980" s="43"/>
      <c r="J980" s="62"/>
      <c r="K980" s="63"/>
    </row>
    <row r="981">
      <c r="A981" s="78"/>
      <c r="B981" s="59" t="str">
        <f>IFERROR(HYPERLINK(VLOOKUP(A981,Internal_lists_bugs!$A$2:$C$73,3,FALSE()), VLOOKUP(A981,Internal_lists_bugs!$A$2:$C$73,3,FALSE())&amp;Char(10) &amp; Char(10) &amp; VLOOKUP(A981,Internal_lists_bugs!$A$2:$Z$73,26,FALSE())),"please select a BUG ID")</f>
        <v>please select a BUG ID</v>
      </c>
      <c r="C981" s="51" t="str">
        <f>IFERROR(__xludf.DUMMYFUNCTION("IFERROR(IF(REGEXMATCH(VLOOKUP(A981,Internal_lists_bugs!$A$2:$R$73,18,FALSE()), ""Yes""), VLOOKUP(A981,Internal_lists_bugs!$A$2:$U$73,21,FALSE()), VLOOKUP(A981,Internal_lists_bugs!$A$2:$R$73,18,FALSE())),""please select a BUG ID"")"),"please select a BUG ID")</f>
        <v>please select a BUG ID</v>
      </c>
      <c r="D981" s="43"/>
      <c r="F981" s="62"/>
      <c r="G981" s="63"/>
      <c r="H981" s="43"/>
      <c r="J981" s="62"/>
      <c r="K981" s="63"/>
    </row>
    <row r="982">
      <c r="A982" s="78"/>
      <c r="B982" s="59" t="str">
        <f>IFERROR(HYPERLINK(VLOOKUP(A982,Internal_lists_bugs!$A$2:$C$73,3,FALSE()), VLOOKUP(A982,Internal_lists_bugs!$A$2:$C$73,3,FALSE())&amp;Char(10) &amp; Char(10) &amp; VLOOKUP(A982,Internal_lists_bugs!$A$2:$Z$73,26,FALSE())),"please select a BUG ID")</f>
        <v>please select a BUG ID</v>
      </c>
      <c r="C982" s="51" t="str">
        <f>IFERROR(__xludf.DUMMYFUNCTION("IFERROR(IF(REGEXMATCH(VLOOKUP(A982,Internal_lists_bugs!$A$2:$R$73,18,FALSE()), ""Yes""), VLOOKUP(A982,Internal_lists_bugs!$A$2:$U$73,21,FALSE()), VLOOKUP(A982,Internal_lists_bugs!$A$2:$R$73,18,FALSE())),""please select a BUG ID"")"),"please select a BUG ID")</f>
        <v>please select a BUG ID</v>
      </c>
      <c r="D982" s="43"/>
      <c r="F982" s="62"/>
      <c r="G982" s="63"/>
      <c r="H982" s="43"/>
      <c r="J982" s="62"/>
      <c r="K982" s="63"/>
    </row>
    <row r="983">
      <c r="A983" s="78"/>
      <c r="B983" s="59" t="str">
        <f>IFERROR(HYPERLINK(VLOOKUP(A983,Internal_lists_bugs!$A$2:$C$73,3,FALSE()), VLOOKUP(A983,Internal_lists_bugs!$A$2:$C$73,3,FALSE())&amp;Char(10) &amp; Char(10) &amp; VLOOKUP(A983,Internal_lists_bugs!$A$2:$Z$73,26,FALSE())),"please select a BUG ID")</f>
        <v>please select a BUG ID</v>
      </c>
      <c r="C983" s="51" t="str">
        <f>IFERROR(__xludf.DUMMYFUNCTION("IFERROR(IF(REGEXMATCH(VLOOKUP(A983,Internal_lists_bugs!$A$2:$R$73,18,FALSE()), ""Yes""), VLOOKUP(A983,Internal_lists_bugs!$A$2:$U$73,21,FALSE()), VLOOKUP(A983,Internal_lists_bugs!$A$2:$R$73,18,FALSE())),""please select a BUG ID"")"),"please select a BUG ID")</f>
        <v>please select a BUG ID</v>
      </c>
      <c r="D983" s="43"/>
      <c r="F983" s="62"/>
      <c r="G983" s="63"/>
      <c r="H983" s="43"/>
      <c r="J983" s="62"/>
      <c r="K983" s="63"/>
    </row>
    <row r="984">
      <c r="A984" s="78"/>
      <c r="B984" s="59" t="str">
        <f>IFERROR(HYPERLINK(VLOOKUP(A984,Internal_lists_bugs!$A$2:$C$73,3,FALSE()), VLOOKUP(A984,Internal_lists_bugs!$A$2:$C$73,3,FALSE())&amp;Char(10) &amp; Char(10) &amp; VLOOKUP(A984,Internal_lists_bugs!$A$2:$Z$73,26,FALSE())),"please select a BUG ID")</f>
        <v>please select a BUG ID</v>
      </c>
      <c r="C984" s="51" t="str">
        <f>IFERROR(__xludf.DUMMYFUNCTION("IFERROR(IF(REGEXMATCH(VLOOKUP(A984,Internal_lists_bugs!$A$2:$R$73,18,FALSE()), ""Yes""), VLOOKUP(A984,Internal_lists_bugs!$A$2:$U$73,21,FALSE()), VLOOKUP(A984,Internal_lists_bugs!$A$2:$R$73,18,FALSE())),""please select a BUG ID"")"),"please select a BUG ID")</f>
        <v>please select a BUG ID</v>
      </c>
      <c r="D984" s="43"/>
      <c r="F984" s="62"/>
      <c r="G984" s="63"/>
      <c r="H984" s="43"/>
      <c r="J984" s="62"/>
      <c r="K984" s="63"/>
    </row>
    <row r="985">
      <c r="A985" s="78"/>
      <c r="B985" s="59" t="str">
        <f>IFERROR(HYPERLINK(VLOOKUP(A985,Internal_lists_bugs!$A$2:$C$73,3,FALSE()), VLOOKUP(A985,Internal_lists_bugs!$A$2:$C$73,3,FALSE())&amp;Char(10) &amp; Char(10) &amp; VLOOKUP(A985,Internal_lists_bugs!$A$2:$Z$73,26,FALSE())),"please select a BUG ID")</f>
        <v>please select a BUG ID</v>
      </c>
      <c r="C985" s="51" t="str">
        <f>IFERROR(__xludf.DUMMYFUNCTION("IFERROR(IF(REGEXMATCH(VLOOKUP(A985,Internal_lists_bugs!$A$2:$R$73,18,FALSE()), ""Yes""), VLOOKUP(A985,Internal_lists_bugs!$A$2:$U$73,21,FALSE()), VLOOKUP(A985,Internal_lists_bugs!$A$2:$R$73,18,FALSE())),""please select a BUG ID"")"),"please select a BUG ID")</f>
        <v>please select a BUG ID</v>
      </c>
      <c r="D985" s="43"/>
      <c r="F985" s="62"/>
      <c r="G985" s="63"/>
      <c r="H985" s="43"/>
      <c r="J985" s="62"/>
      <c r="K985" s="63"/>
    </row>
    <row r="986">
      <c r="A986" s="78"/>
      <c r="B986" s="59" t="str">
        <f>IFERROR(HYPERLINK(VLOOKUP(A986,Internal_lists_bugs!$A$2:$C$73,3,FALSE()), VLOOKUP(A986,Internal_lists_bugs!$A$2:$C$73,3,FALSE())&amp;Char(10) &amp; Char(10) &amp; VLOOKUP(A986,Internal_lists_bugs!$A$2:$Z$73,26,FALSE())),"please select a BUG ID")</f>
        <v>please select a BUG ID</v>
      </c>
      <c r="C986" s="51" t="str">
        <f>IFERROR(__xludf.DUMMYFUNCTION("IFERROR(IF(REGEXMATCH(VLOOKUP(A986,Internal_lists_bugs!$A$2:$R$73,18,FALSE()), ""Yes""), VLOOKUP(A986,Internal_lists_bugs!$A$2:$U$73,21,FALSE()), VLOOKUP(A986,Internal_lists_bugs!$A$2:$R$73,18,FALSE())),""please select a BUG ID"")"),"please select a BUG ID")</f>
        <v>please select a BUG ID</v>
      </c>
      <c r="D986" s="43"/>
      <c r="F986" s="62"/>
      <c r="G986" s="63"/>
      <c r="H986" s="43"/>
      <c r="J986" s="62"/>
      <c r="K986" s="63"/>
    </row>
    <row r="987">
      <c r="A987" s="78"/>
      <c r="B987" s="59" t="str">
        <f>IFERROR(HYPERLINK(VLOOKUP(A987,Internal_lists_bugs!$A$2:$C$73,3,FALSE()), VLOOKUP(A987,Internal_lists_bugs!$A$2:$C$73,3,FALSE())&amp;Char(10) &amp; Char(10) &amp; VLOOKUP(A987,Internal_lists_bugs!$A$2:$Z$73,26,FALSE())),"please select a BUG ID")</f>
        <v>please select a BUG ID</v>
      </c>
      <c r="C987" s="51" t="str">
        <f>IFERROR(__xludf.DUMMYFUNCTION("IFERROR(IF(REGEXMATCH(VLOOKUP(A987,Internal_lists_bugs!$A$2:$R$73,18,FALSE()), ""Yes""), VLOOKUP(A987,Internal_lists_bugs!$A$2:$U$73,21,FALSE()), VLOOKUP(A987,Internal_lists_bugs!$A$2:$R$73,18,FALSE())),""please select a BUG ID"")"),"please select a BUG ID")</f>
        <v>please select a BUG ID</v>
      </c>
      <c r="D987" s="43"/>
      <c r="F987" s="62"/>
      <c r="G987" s="63"/>
      <c r="H987" s="43"/>
      <c r="J987" s="62"/>
      <c r="K987" s="63"/>
    </row>
    <row r="988">
      <c r="A988" s="78"/>
      <c r="B988" s="59" t="str">
        <f>IFERROR(HYPERLINK(VLOOKUP(A988,Internal_lists_bugs!$A$2:$C$73,3,FALSE()), VLOOKUP(A988,Internal_lists_bugs!$A$2:$C$73,3,FALSE())&amp;Char(10) &amp; Char(10) &amp; VLOOKUP(A988,Internal_lists_bugs!$A$2:$Z$73,26,FALSE())),"please select a BUG ID")</f>
        <v>please select a BUG ID</v>
      </c>
      <c r="C988" s="51" t="str">
        <f>IFERROR(__xludf.DUMMYFUNCTION("IFERROR(IF(REGEXMATCH(VLOOKUP(A988,Internal_lists_bugs!$A$2:$R$73,18,FALSE()), ""Yes""), VLOOKUP(A988,Internal_lists_bugs!$A$2:$U$73,21,FALSE()), VLOOKUP(A988,Internal_lists_bugs!$A$2:$R$73,18,FALSE())),""please select a BUG ID"")"),"please select a BUG ID")</f>
        <v>please select a BUG ID</v>
      </c>
      <c r="D988" s="43"/>
      <c r="F988" s="62"/>
      <c r="G988" s="63"/>
      <c r="H988" s="43"/>
      <c r="J988" s="62"/>
      <c r="K988" s="63"/>
    </row>
    <row r="989">
      <c r="A989" s="78"/>
      <c r="B989" s="59" t="str">
        <f>IFERROR(HYPERLINK(VLOOKUP(A989,Internal_lists_bugs!$A$2:$C$73,3,FALSE()), VLOOKUP(A989,Internal_lists_bugs!$A$2:$C$73,3,FALSE())&amp;Char(10) &amp; Char(10) &amp; VLOOKUP(A989,Internal_lists_bugs!$A$2:$Z$73,26,FALSE())),"please select a BUG ID")</f>
        <v>please select a BUG ID</v>
      </c>
      <c r="C989" s="51" t="str">
        <f>IFERROR(__xludf.DUMMYFUNCTION("IFERROR(IF(REGEXMATCH(VLOOKUP(A989,Internal_lists_bugs!$A$2:$R$73,18,FALSE()), ""Yes""), VLOOKUP(A989,Internal_lists_bugs!$A$2:$U$73,21,FALSE()), VLOOKUP(A989,Internal_lists_bugs!$A$2:$R$73,18,FALSE())),""please select a BUG ID"")"),"please select a BUG ID")</f>
        <v>please select a BUG ID</v>
      </c>
      <c r="D989" s="43"/>
      <c r="F989" s="62"/>
      <c r="G989" s="63"/>
      <c r="H989" s="43"/>
      <c r="J989" s="62"/>
      <c r="K989" s="63"/>
    </row>
    <row r="990">
      <c r="A990" s="78"/>
      <c r="B990" s="59" t="str">
        <f>IFERROR(HYPERLINK(VLOOKUP(A990,Internal_lists_bugs!$A$2:$C$73,3,FALSE()), VLOOKUP(A990,Internal_lists_bugs!$A$2:$C$73,3,FALSE())&amp;Char(10) &amp; Char(10) &amp; VLOOKUP(A990,Internal_lists_bugs!$A$2:$Z$73,26,FALSE())),"please select a BUG ID")</f>
        <v>please select a BUG ID</v>
      </c>
      <c r="C990" s="51" t="str">
        <f>IFERROR(__xludf.DUMMYFUNCTION("IFERROR(IF(REGEXMATCH(VLOOKUP(A990,Internal_lists_bugs!$A$2:$R$73,18,FALSE()), ""Yes""), VLOOKUP(A990,Internal_lists_bugs!$A$2:$U$73,21,FALSE()), VLOOKUP(A990,Internal_lists_bugs!$A$2:$R$73,18,FALSE())),""please select a BUG ID"")"),"please select a BUG ID")</f>
        <v>please select a BUG ID</v>
      </c>
      <c r="D990" s="43"/>
      <c r="F990" s="62"/>
      <c r="G990" s="63"/>
      <c r="H990" s="43"/>
      <c r="J990" s="62"/>
      <c r="K990" s="63"/>
    </row>
    <row r="991">
      <c r="A991" s="78"/>
      <c r="B991" s="59" t="str">
        <f>IFERROR(HYPERLINK(VLOOKUP(A991,Internal_lists_bugs!$A$2:$C$73,3,FALSE()), VLOOKUP(A991,Internal_lists_bugs!$A$2:$C$73,3,FALSE())&amp;Char(10) &amp; Char(10) &amp; VLOOKUP(A991,Internal_lists_bugs!$A$2:$Z$73,26,FALSE())),"please select a BUG ID")</f>
        <v>please select a BUG ID</v>
      </c>
      <c r="C991" s="51" t="str">
        <f>IFERROR(__xludf.DUMMYFUNCTION("IFERROR(IF(REGEXMATCH(VLOOKUP(A991,Internal_lists_bugs!$A$2:$R$73,18,FALSE()), ""Yes""), VLOOKUP(A991,Internal_lists_bugs!$A$2:$U$73,21,FALSE()), VLOOKUP(A991,Internal_lists_bugs!$A$2:$R$73,18,FALSE())),""please select a BUG ID"")"),"please select a BUG ID")</f>
        <v>please select a BUG ID</v>
      </c>
      <c r="D991" s="43"/>
      <c r="F991" s="62"/>
      <c r="G991" s="63"/>
      <c r="H991" s="43"/>
      <c r="J991" s="62"/>
      <c r="K991" s="63"/>
    </row>
    <row r="992">
      <c r="A992" s="78"/>
      <c r="B992" s="59" t="str">
        <f>IFERROR(HYPERLINK(VLOOKUP(A992,Internal_lists_bugs!$A$2:$C$73,3,FALSE()), VLOOKUP(A992,Internal_lists_bugs!$A$2:$C$73,3,FALSE())&amp;Char(10) &amp; Char(10) &amp; VLOOKUP(A992,Internal_lists_bugs!$A$2:$Z$73,26,FALSE())),"please select a BUG ID")</f>
        <v>please select a BUG ID</v>
      </c>
      <c r="C992" s="51" t="str">
        <f>IFERROR(__xludf.DUMMYFUNCTION("IFERROR(IF(REGEXMATCH(VLOOKUP(A992,Internal_lists_bugs!$A$2:$R$73,18,FALSE()), ""Yes""), VLOOKUP(A992,Internal_lists_bugs!$A$2:$U$73,21,FALSE()), VLOOKUP(A992,Internal_lists_bugs!$A$2:$R$73,18,FALSE())),""please select a BUG ID"")"),"please select a BUG ID")</f>
        <v>please select a BUG ID</v>
      </c>
      <c r="D992" s="43"/>
      <c r="F992" s="62"/>
      <c r="G992" s="63"/>
      <c r="H992" s="43"/>
      <c r="J992" s="62"/>
      <c r="K992" s="63"/>
    </row>
    <row r="993">
      <c r="A993" s="78"/>
      <c r="B993" s="59" t="str">
        <f>IFERROR(HYPERLINK(VLOOKUP(A993,Internal_lists_bugs!$A$2:$C$73,3,FALSE()), VLOOKUP(A993,Internal_lists_bugs!$A$2:$C$73,3,FALSE())&amp;Char(10) &amp; Char(10) &amp; VLOOKUP(A993,Internal_lists_bugs!$A$2:$Z$73,26,FALSE())),"please select a BUG ID")</f>
        <v>please select a BUG ID</v>
      </c>
      <c r="C993" s="51" t="str">
        <f>IFERROR(__xludf.DUMMYFUNCTION("IFERROR(IF(REGEXMATCH(VLOOKUP(A993,Internal_lists_bugs!$A$2:$R$73,18,FALSE()), ""Yes""), VLOOKUP(A993,Internal_lists_bugs!$A$2:$U$73,21,FALSE()), VLOOKUP(A993,Internal_lists_bugs!$A$2:$R$73,18,FALSE())),""please select a BUG ID"")"),"please select a BUG ID")</f>
        <v>please select a BUG ID</v>
      </c>
      <c r="D993" s="43"/>
      <c r="F993" s="62"/>
      <c r="G993" s="63"/>
      <c r="H993" s="43"/>
      <c r="J993" s="62"/>
      <c r="K993" s="63"/>
    </row>
    <row r="994">
      <c r="A994" s="78"/>
      <c r="B994" s="59" t="str">
        <f>IFERROR(HYPERLINK(VLOOKUP(A994,Internal_lists_bugs!$A$2:$C$73,3,FALSE()), VLOOKUP(A994,Internal_lists_bugs!$A$2:$C$73,3,FALSE())&amp;Char(10) &amp; Char(10) &amp; VLOOKUP(A994,Internal_lists_bugs!$A$2:$Z$73,26,FALSE())),"please select a BUG ID")</f>
        <v>please select a BUG ID</v>
      </c>
      <c r="C994" s="51" t="str">
        <f>IFERROR(__xludf.DUMMYFUNCTION("IFERROR(IF(REGEXMATCH(VLOOKUP(A994,Internal_lists_bugs!$A$2:$R$73,18,FALSE()), ""Yes""), VLOOKUP(A994,Internal_lists_bugs!$A$2:$U$73,21,FALSE()), VLOOKUP(A994,Internal_lists_bugs!$A$2:$R$73,18,FALSE())),""please select a BUG ID"")"),"please select a BUG ID")</f>
        <v>please select a BUG ID</v>
      </c>
      <c r="D994" s="43"/>
      <c r="F994" s="62"/>
      <c r="G994" s="63"/>
      <c r="H994" s="43"/>
      <c r="J994" s="62"/>
      <c r="K994" s="63"/>
    </row>
    <row r="995">
      <c r="A995" s="78"/>
      <c r="B995" s="59" t="str">
        <f>IFERROR(HYPERLINK(VLOOKUP(A995,Internal_lists_bugs!$A$2:$C$73,3,FALSE()), VLOOKUP(A995,Internal_lists_bugs!$A$2:$C$73,3,FALSE())&amp;Char(10) &amp; Char(10) &amp; VLOOKUP(A995,Internal_lists_bugs!$A$2:$Z$73,26,FALSE())),"please select a BUG ID")</f>
        <v>please select a BUG ID</v>
      </c>
      <c r="C995" s="51" t="str">
        <f>IFERROR(__xludf.DUMMYFUNCTION("IFERROR(IF(REGEXMATCH(VLOOKUP(A995,Internal_lists_bugs!$A$2:$R$73,18,FALSE()), ""Yes""), VLOOKUP(A995,Internal_lists_bugs!$A$2:$U$73,21,FALSE()), VLOOKUP(A995,Internal_lists_bugs!$A$2:$R$73,18,FALSE())),""please select a BUG ID"")"),"please select a BUG ID")</f>
        <v>please select a BUG ID</v>
      </c>
      <c r="D995" s="43"/>
      <c r="F995" s="62"/>
      <c r="G995" s="63"/>
      <c r="H995" s="43"/>
      <c r="J995" s="62"/>
      <c r="K995" s="63"/>
    </row>
    <row r="996">
      <c r="A996" s="78"/>
      <c r="B996" s="59" t="str">
        <f>IFERROR(HYPERLINK(VLOOKUP(A996,Internal_lists_bugs!$A$2:$C$73,3,FALSE()), VLOOKUP(A996,Internal_lists_bugs!$A$2:$C$73,3,FALSE())&amp;Char(10) &amp; Char(10) &amp; VLOOKUP(A996,Internal_lists_bugs!$A$2:$Z$73,26,FALSE())),"please select a BUG ID")</f>
        <v>please select a BUG ID</v>
      </c>
      <c r="C996" s="51" t="str">
        <f>IFERROR(__xludf.DUMMYFUNCTION("IFERROR(IF(REGEXMATCH(VLOOKUP(A996,Internal_lists_bugs!$A$2:$R$73,18,FALSE()), ""Yes""), VLOOKUP(A996,Internal_lists_bugs!$A$2:$U$73,21,FALSE()), VLOOKUP(A996,Internal_lists_bugs!$A$2:$R$73,18,FALSE())),""please select a BUG ID"")"),"please select a BUG ID")</f>
        <v>please select a BUG ID</v>
      </c>
      <c r="D996" s="43"/>
      <c r="F996" s="62"/>
      <c r="G996" s="63"/>
      <c r="H996" s="43"/>
      <c r="J996" s="62"/>
      <c r="K996" s="63"/>
    </row>
    <row r="997">
      <c r="A997" s="78"/>
      <c r="B997" s="59" t="str">
        <f>IFERROR(HYPERLINK(VLOOKUP(A997,Internal_lists_bugs!$A$2:$C$73,3,FALSE()), VLOOKUP(A997,Internal_lists_bugs!$A$2:$C$73,3,FALSE())&amp;Char(10) &amp; Char(10) &amp; VLOOKUP(A997,Internal_lists_bugs!$A$2:$Z$73,26,FALSE())),"please select a BUG ID")</f>
        <v>please select a BUG ID</v>
      </c>
      <c r="C997" s="51" t="str">
        <f>IFERROR(__xludf.DUMMYFUNCTION("IFERROR(IF(REGEXMATCH(VLOOKUP(A997,Internal_lists_bugs!$A$2:$R$73,18,FALSE()), ""Yes""), VLOOKUP(A997,Internal_lists_bugs!$A$2:$U$73,21,FALSE()), VLOOKUP(A997,Internal_lists_bugs!$A$2:$R$73,18,FALSE())),""please select a BUG ID"")"),"please select a BUG ID")</f>
        <v>please select a BUG ID</v>
      </c>
      <c r="D997" s="43"/>
      <c r="F997" s="62"/>
      <c r="G997" s="63"/>
      <c r="H997" s="43"/>
      <c r="J997" s="62"/>
      <c r="K997" s="63"/>
    </row>
    <row r="998">
      <c r="A998" s="78"/>
      <c r="B998" s="59" t="str">
        <f>IFERROR(HYPERLINK(VLOOKUP(A998,Internal_lists_bugs!$A$2:$C$73,3,FALSE()), VLOOKUP(A998,Internal_lists_bugs!$A$2:$C$73,3,FALSE())&amp;Char(10) &amp; Char(10) &amp; VLOOKUP(A998,Internal_lists_bugs!$A$2:$Z$73,26,FALSE())),"please select a BUG ID")</f>
        <v>please select a BUG ID</v>
      </c>
      <c r="C998" s="51" t="str">
        <f>IFERROR(__xludf.DUMMYFUNCTION("IFERROR(IF(REGEXMATCH(VLOOKUP(A998,Internal_lists_bugs!$A$2:$R$73,18,FALSE()), ""Yes""), VLOOKUP(A998,Internal_lists_bugs!$A$2:$U$73,21,FALSE()), VLOOKUP(A998,Internal_lists_bugs!$A$2:$R$73,18,FALSE())),""please select a BUG ID"")"),"please select a BUG ID")</f>
        <v>please select a BUG ID</v>
      </c>
      <c r="D998" s="43"/>
      <c r="F998" s="62"/>
      <c r="G998" s="63"/>
      <c r="H998" s="43"/>
      <c r="J998" s="62"/>
      <c r="K998" s="63"/>
    </row>
    <row r="999">
      <c r="A999" s="78"/>
      <c r="B999" s="59" t="str">
        <f>IFERROR(HYPERLINK(VLOOKUP(A999,Internal_lists_bugs!$A$2:$C$73,3,FALSE()), VLOOKUP(A999,Internal_lists_bugs!$A$2:$C$73,3,FALSE())&amp;Char(10) &amp; Char(10) &amp; VLOOKUP(A999,Internal_lists_bugs!$A$2:$Z$73,26,FALSE())),"please select a BUG ID")</f>
        <v>please select a BUG ID</v>
      </c>
      <c r="C999" s="51" t="str">
        <f>IFERROR(__xludf.DUMMYFUNCTION("IFERROR(IF(REGEXMATCH(VLOOKUP(A999,Internal_lists_bugs!$A$2:$R$73,18,FALSE()), ""Yes""), VLOOKUP(A999,Internal_lists_bugs!$A$2:$U$73,21,FALSE()), VLOOKUP(A999,Internal_lists_bugs!$A$2:$R$73,18,FALSE())),""please select a BUG ID"")"),"please select a BUG ID")</f>
        <v>please select a BUG ID</v>
      </c>
      <c r="D999" s="43"/>
      <c r="F999" s="62"/>
      <c r="G999" s="63"/>
      <c r="H999" s="43"/>
      <c r="J999" s="62"/>
      <c r="K999" s="63"/>
    </row>
    <row r="1000">
      <c r="A1000" s="78"/>
      <c r="B1000" s="59" t="str">
        <f>IFERROR(HYPERLINK(VLOOKUP(A1000,Internal_lists_bugs!$A$2:$C$73,3,FALSE()), VLOOKUP(A1000,Internal_lists_bugs!$A$2:$C$73,3,FALSE())&amp;Char(10) &amp; Char(10) &amp; VLOOKUP(A1000,Internal_lists_bugs!$A$2:$Z$73,26,FALSE())),"please select a BUG ID")</f>
        <v>please select a BUG ID</v>
      </c>
      <c r="C1000" s="51" t="str">
        <f>IFERROR(__xludf.DUMMYFUNCTION("IFERROR(IF(REGEXMATCH(VLOOKUP(A1000,Internal_lists_bugs!$A$2:$R$73,18,FALSE()), ""Yes""), VLOOKUP(A1000,Internal_lists_bugs!$A$2:$U$73,21,FALSE()), VLOOKUP(A1000,Internal_lists_bugs!$A$2:$R$73,18,FALSE())),""please select a BUG ID"")"),"please select a BUG ID")</f>
        <v>please select a BUG ID</v>
      </c>
      <c r="D1000" s="43"/>
      <c r="F1000" s="62"/>
      <c r="G1000" s="63"/>
      <c r="H1000" s="43"/>
      <c r="J1000" s="62"/>
      <c r="K1000" s="63"/>
    </row>
    <row r="1001">
      <c r="A1001" s="78"/>
      <c r="B1001" s="59" t="str">
        <f>IFERROR(HYPERLINK(VLOOKUP(A1001,Internal_lists_bugs!$A$2:$C$73,3,FALSE()), VLOOKUP(A1001,Internal_lists_bugs!$A$2:$C$73,3,FALSE())&amp;Char(10) &amp; Char(10) &amp; VLOOKUP(A1001,Internal_lists_bugs!$A$2:$Z$73,26,FALSE())),"please select a BUG ID")</f>
        <v>please select a BUG ID</v>
      </c>
      <c r="C1001" s="51" t="str">
        <f>IFERROR(__xludf.DUMMYFUNCTION("IFERROR(IF(REGEXMATCH(VLOOKUP(A1001,Internal_lists_bugs!$A$2:$R$73,18,FALSE()), ""Yes""), VLOOKUP(A1001,Internal_lists_bugs!$A$2:$U$73,21,FALSE()), VLOOKUP(A1001,Internal_lists_bugs!$A$2:$R$73,18,FALSE())),""please select a BUG ID"")"),"please select a BUG ID")</f>
        <v>please select a BUG ID</v>
      </c>
      <c r="D1001" s="43"/>
      <c r="F1001" s="62"/>
      <c r="G1001" s="63"/>
      <c r="H1001" s="43"/>
      <c r="J1001" s="62"/>
      <c r="K1001" s="63"/>
    </row>
    <row r="1002">
      <c r="A1002" s="78"/>
      <c r="B1002" s="59" t="str">
        <f>IFERROR(HYPERLINK(VLOOKUP(A1002,Internal_lists_bugs!$A$2:$C$73,3,FALSE()), VLOOKUP(A1002,Internal_lists_bugs!$A$2:$C$73,3,FALSE())&amp;Char(10) &amp; Char(10) &amp; VLOOKUP(A1002,Internal_lists_bugs!$A$2:$Z$73,26,FALSE())),"please select a BUG ID")</f>
        <v>please select a BUG ID</v>
      </c>
      <c r="C1002" s="51" t="str">
        <f>IFERROR(__xludf.DUMMYFUNCTION("IFERROR(IF(REGEXMATCH(VLOOKUP(A1002,Internal_lists_bugs!$A$2:$R$73,18,FALSE()), ""Yes""), VLOOKUP(A1002,Internal_lists_bugs!$A$2:$U$73,21,FALSE()), VLOOKUP(A1002,Internal_lists_bugs!$A$2:$R$73,18,FALSE())),""please select a BUG ID"")"),"please select a BUG ID")</f>
        <v>please select a BUG ID</v>
      </c>
      <c r="D1002" s="43"/>
      <c r="F1002" s="62"/>
      <c r="G1002" s="63"/>
      <c r="H1002" s="43"/>
      <c r="J1002" s="62"/>
      <c r="K1002" s="63"/>
    </row>
    <row r="1003">
      <c r="A1003" s="78"/>
      <c r="B1003" s="59" t="str">
        <f>IFERROR(HYPERLINK(VLOOKUP(A1003,Internal_lists_bugs!$A$2:$C$73,3,FALSE()), VLOOKUP(A1003,Internal_lists_bugs!$A$2:$C$73,3,FALSE())&amp;Char(10) &amp; Char(10) &amp; VLOOKUP(A1003,Internal_lists_bugs!$A$2:$Z$73,26,FALSE())),"please select a BUG ID")</f>
        <v>please select a BUG ID</v>
      </c>
      <c r="C1003" s="51" t="str">
        <f>IFERROR(__xludf.DUMMYFUNCTION("IFERROR(IF(REGEXMATCH(VLOOKUP(A1003,Internal_lists_bugs!$A$2:$R$73,18,FALSE()), ""Yes""), VLOOKUP(A1003,Internal_lists_bugs!$A$2:$U$73,21,FALSE()), VLOOKUP(A1003,Internal_lists_bugs!$A$2:$R$73,18,FALSE())),""please select a BUG ID"")"),"please select a BUG ID")</f>
        <v>please select a BUG ID</v>
      </c>
      <c r="D1003" s="43"/>
      <c r="F1003" s="62"/>
      <c r="G1003" s="63"/>
      <c r="H1003" s="43"/>
      <c r="J1003" s="62"/>
      <c r="K1003" s="63"/>
    </row>
    <row r="1004">
      <c r="A1004" s="78"/>
      <c r="B1004" s="59" t="str">
        <f>IFERROR(HYPERLINK(VLOOKUP(A1004,Internal_lists_bugs!$A$2:$C$73,3,FALSE()), VLOOKUP(A1004,Internal_lists_bugs!$A$2:$C$73,3,FALSE())&amp;Char(10) &amp; Char(10) &amp; VLOOKUP(A1004,Internal_lists_bugs!$A$2:$Z$73,26,FALSE())),"please select a BUG ID")</f>
        <v>please select a BUG ID</v>
      </c>
      <c r="C1004" s="51" t="str">
        <f>IFERROR(__xludf.DUMMYFUNCTION("IFERROR(IF(REGEXMATCH(VLOOKUP(A1004,Internal_lists_bugs!$A$2:$R$73,18,FALSE()), ""Yes""), VLOOKUP(A1004,Internal_lists_bugs!$A$2:$U$73,21,FALSE()), VLOOKUP(A1004,Internal_lists_bugs!$A$2:$R$73,18,FALSE())),""please select a BUG ID"")"),"please select a BUG ID")</f>
        <v>please select a BUG ID</v>
      </c>
      <c r="D1004" s="43"/>
      <c r="F1004" s="62"/>
      <c r="G1004" s="63"/>
      <c r="H1004" s="43"/>
      <c r="J1004" s="62"/>
      <c r="K1004" s="63"/>
    </row>
    <row r="1005">
      <c r="A1005" s="78"/>
      <c r="B1005" s="59" t="str">
        <f>IFERROR(HYPERLINK(VLOOKUP(A1005,Internal_lists_bugs!$A$2:$C$73,3,FALSE()), VLOOKUP(A1005,Internal_lists_bugs!$A$2:$C$73,3,FALSE())&amp;Char(10) &amp; Char(10) &amp; VLOOKUP(A1005,Internal_lists_bugs!$A$2:$Z$73,26,FALSE())),"please select a BUG ID")</f>
        <v>please select a BUG ID</v>
      </c>
      <c r="C1005" s="51" t="str">
        <f>IFERROR(__xludf.DUMMYFUNCTION("IFERROR(IF(REGEXMATCH(VLOOKUP(A1005,Internal_lists_bugs!$A$2:$R$73,18,FALSE()), ""Yes""), VLOOKUP(A1005,Internal_lists_bugs!$A$2:$U$73,21,FALSE()), VLOOKUP(A1005,Internal_lists_bugs!$A$2:$R$73,18,FALSE())),""please select a BUG ID"")"),"please select a BUG ID")</f>
        <v>please select a BUG ID</v>
      </c>
      <c r="D1005" s="43"/>
      <c r="F1005" s="62"/>
      <c r="G1005" s="63"/>
      <c r="H1005" s="43"/>
      <c r="J1005" s="62"/>
      <c r="K1005" s="63"/>
    </row>
    <row r="1006">
      <c r="A1006" s="78"/>
      <c r="B1006" s="59" t="str">
        <f>IFERROR(HYPERLINK(VLOOKUP(A1006,Internal_lists_bugs!$A$2:$C$73,3,FALSE()), VLOOKUP(A1006,Internal_lists_bugs!$A$2:$C$73,3,FALSE())&amp;Char(10) &amp; Char(10) &amp; VLOOKUP(A1006,Internal_lists_bugs!$A$2:$Z$73,26,FALSE())),"please select a BUG ID")</f>
        <v>please select a BUG ID</v>
      </c>
      <c r="C1006" s="51" t="str">
        <f>IFERROR(__xludf.DUMMYFUNCTION("IFERROR(IF(REGEXMATCH(VLOOKUP(A1006,Internal_lists_bugs!$A$2:$R$73,18,FALSE()), ""Yes""), VLOOKUP(A1006,Internal_lists_bugs!$A$2:$U$73,21,FALSE()), VLOOKUP(A1006,Internal_lists_bugs!$A$2:$R$73,18,FALSE())),""please select a BUG ID"")"),"please select a BUG ID")</f>
        <v>please select a BUG ID</v>
      </c>
      <c r="D1006" s="43"/>
      <c r="F1006" s="62"/>
      <c r="G1006" s="63"/>
      <c r="H1006" s="43"/>
      <c r="J1006" s="62"/>
      <c r="K1006" s="63"/>
    </row>
    <row r="1007">
      <c r="A1007" s="78"/>
      <c r="B1007" s="59" t="str">
        <f>IFERROR(HYPERLINK(VLOOKUP(A1007,Internal_lists_bugs!$A$2:$C$73,3,FALSE()), VLOOKUP(A1007,Internal_lists_bugs!$A$2:$C$73,3,FALSE())&amp;Char(10) &amp; Char(10) &amp; VLOOKUP(A1007,Internal_lists_bugs!$A$2:$Z$73,26,FALSE())),"please select a BUG ID")</f>
        <v>please select a BUG ID</v>
      </c>
      <c r="C1007" s="51" t="str">
        <f>IFERROR(__xludf.DUMMYFUNCTION("IFERROR(IF(REGEXMATCH(VLOOKUP(A1007,Internal_lists_bugs!$A$2:$R$73,18,FALSE()), ""Yes""), VLOOKUP(A1007,Internal_lists_bugs!$A$2:$U$73,21,FALSE()), VLOOKUP(A1007,Internal_lists_bugs!$A$2:$R$73,18,FALSE())),""please select a BUG ID"")"),"please select a BUG ID")</f>
        <v>please select a BUG ID</v>
      </c>
      <c r="D1007" s="43"/>
      <c r="F1007" s="62"/>
      <c r="G1007" s="63"/>
      <c r="H1007" s="43"/>
      <c r="J1007" s="62"/>
      <c r="K1007" s="63"/>
    </row>
    <row r="1008">
      <c r="A1008" s="78"/>
      <c r="B1008" s="59" t="str">
        <f>IFERROR(HYPERLINK(VLOOKUP(A1008,Internal_lists_bugs!$A$2:$C$73,3,FALSE()), VLOOKUP(A1008,Internal_lists_bugs!$A$2:$C$73,3,FALSE())&amp;Char(10) &amp; Char(10) &amp; VLOOKUP(A1008,Internal_lists_bugs!$A$2:$Z$73,26,FALSE())),"please select a BUG ID")</f>
        <v>please select a BUG ID</v>
      </c>
      <c r="C1008" s="51" t="str">
        <f>IFERROR(__xludf.DUMMYFUNCTION("IFERROR(IF(REGEXMATCH(VLOOKUP(A1008,Internal_lists_bugs!$A$2:$R$73,18,FALSE()), ""Yes""), VLOOKUP(A1008,Internal_lists_bugs!$A$2:$U$73,21,FALSE()), VLOOKUP(A1008,Internal_lists_bugs!$A$2:$R$73,18,FALSE())),""please select a BUG ID"")"),"please select a BUG ID")</f>
        <v>please select a BUG ID</v>
      </c>
      <c r="D1008" s="43"/>
      <c r="F1008" s="62"/>
      <c r="G1008" s="63"/>
      <c r="H1008" s="43"/>
      <c r="J1008" s="62"/>
      <c r="K1008" s="63"/>
    </row>
    <row r="1009">
      <c r="A1009" s="78"/>
      <c r="B1009" s="59" t="str">
        <f>IFERROR(HYPERLINK(VLOOKUP(A1009,Internal_lists_bugs!$A$2:$C$73,3,FALSE()), VLOOKUP(A1009,Internal_lists_bugs!$A$2:$C$73,3,FALSE())&amp;Char(10) &amp; Char(10) &amp; VLOOKUP(A1009,Internal_lists_bugs!$A$2:$Z$73,26,FALSE())),"please select a BUG ID")</f>
        <v>please select a BUG ID</v>
      </c>
      <c r="C1009" s="51" t="str">
        <f>IFERROR(__xludf.DUMMYFUNCTION("IFERROR(IF(REGEXMATCH(VLOOKUP(A1009,Internal_lists_bugs!$A$2:$R$73,18,FALSE()), ""Yes""), VLOOKUP(A1009,Internal_lists_bugs!$A$2:$U$73,21,FALSE()), VLOOKUP(A1009,Internal_lists_bugs!$A$2:$R$73,18,FALSE())),""please select a BUG ID"")"),"please select a BUG ID")</f>
        <v>please select a BUG ID</v>
      </c>
      <c r="D1009" s="43"/>
      <c r="F1009" s="62"/>
      <c r="G1009" s="63"/>
      <c r="H1009" s="43"/>
      <c r="J1009" s="62"/>
      <c r="K1009" s="63"/>
    </row>
    <row r="1010">
      <c r="A1010" s="78"/>
      <c r="B1010" s="59" t="str">
        <f>IFERROR(HYPERLINK(VLOOKUP(A1010,Internal_lists_bugs!$A$2:$C$73,3,FALSE()), VLOOKUP(A1010,Internal_lists_bugs!$A$2:$C$73,3,FALSE())&amp;Char(10) &amp; Char(10) &amp; VLOOKUP(A1010,Internal_lists_bugs!$A$2:$Z$73,26,FALSE())),"please select a BUG ID")</f>
        <v>please select a BUG ID</v>
      </c>
      <c r="C1010" s="51" t="str">
        <f>IFERROR(__xludf.DUMMYFUNCTION("IFERROR(IF(REGEXMATCH(VLOOKUP(A1010,Internal_lists_bugs!$A$2:$R$73,18,FALSE()), ""Yes""), VLOOKUP(A1010,Internal_lists_bugs!$A$2:$U$73,21,FALSE()), VLOOKUP(A1010,Internal_lists_bugs!$A$2:$R$73,18,FALSE())),""please select a BUG ID"")"),"please select a BUG ID")</f>
        <v>please select a BUG ID</v>
      </c>
      <c r="D1010" s="43"/>
      <c r="F1010" s="62"/>
      <c r="G1010" s="63"/>
      <c r="H1010" s="43"/>
      <c r="J1010" s="62"/>
      <c r="K1010" s="63"/>
    </row>
    <row r="1011">
      <c r="A1011" s="78"/>
      <c r="B1011" s="59" t="str">
        <f>IFERROR(HYPERLINK(VLOOKUP(A1011,Internal_lists_bugs!$A$2:$C$73,3,FALSE()), VLOOKUP(A1011,Internal_lists_bugs!$A$2:$C$73,3,FALSE())&amp;Char(10) &amp; Char(10) &amp; VLOOKUP(A1011,Internal_lists_bugs!$A$2:$Z$73,26,FALSE())),"please select a BUG ID")</f>
        <v>please select a BUG ID</v>
      </c>
      <c r="C1011" s="51" t="str">
        <f>IFERROR(__xludf.DUMMYFUNCTION("IFERROR(IF(REGEXMATCH(VLOOKUP(A1011,Internal_lists_bugs!$A$2:$R$73,18,FALSE()), ""Yes""), VLOOKUP(A1011,Internal_lists_bugs!$A$2:$U$73,21,FALSE()), VLOOKUP(A1011,Internal_lists_bugs!$A$2:$R$73,18,FALSE())),""please select a BUG ID"")"),"please select a BUG ID")</f>
        <v>please select a BUG ID</v>
      </c>
      <c r="D1011" s="43"/>
      <c r="F1011" s="62"/>
      <c r="G1011" s="63"/>
      <c r="H1011" s="43"/>
      <c r="J1011" s="62"/>
      <c r="K1011" s="63"/>
    </row>
    <row r="1012">
      <c r="A1012" s="78"/>
      <c r="B1012" s="59" t="str">
        <f>IFERROR(HYPERLINK(VLOOKUP(A1012,Internal_lists_bugs!$A$2:$C$73,3,FALSE()), VLOOKUP(A1012,Internal_lists_bugs!$A$2:$C$73,3,FALSE())&amp;Char(10) &amp; Char(10) &amp; VLOOKUP(A1012,Internal_lists_bugs!$A$2:$Z$73,26,FALSE())),"please select a BUG ID")</f>
        <v>please select a BUG ID</v>
      </c>
      <c r="C1012" s="51" t="str">
        <f>IFERROR(__xludf.DUMMYFUNCTION("IFERROR(IF(REGEXMATCH(VLOOKUP(A1012,Internal_lists_bugs!$A$2:$R$73,18,FALSE()), ""Yes""), VLOOKUP(A1012,Internal_lists_bugs!$A$2:$U$73,21,FALSE()), VLOOKUP(A1012,Internal_lists_bugs!$A$2:$R$73,18,FALSE())),""please select a BUG ID"")"),"please select a BUG ID")</f>
        <v>please select a BUG ID</v>
      </c>
      <c r="D1012" s="43"/>
      <c r="F1012" s="62"/>
      <c r="G1012" s="63"/>
      <c r="H1012" s="43"/>
      <c r="J1012" s="62"/>
      <c r="K1012" s="63"/>
    </row>
    <row r="1013">
      <c r="A1013" s="78"/>
      <c r="B1013" s="59" t="str">
        <f>IFERROR(HYPERLINK(VLOOKUP(A1013,Internal_lists_bugs!$A$2:$C$73,3,FALSE()), VLOOKUP(A1013,Internal_lists_bugs!$A$2:$C$73,3,FALSE())&amp;Char(10) &amp; Char(10) &amp; VLOOKUP(A1013,Internal_lists_bugs!$A$2:$Z$73,26,FALSE())),"please select a BUG ID")</f>
        <v>please select a BUG ID</v>
      </c>
      <c r="C1013" s="51" t="str">
        <f>IFERROR(__xludf.DUMMYFUNCTION("IFERROR(IF(REGEXMATCH(VLOOKUP(A1013,Internal_lists_bugs!$A$2:$R$73,18,FALSE()), ""Yes""), VLOOKUP(A1013,Internal_lists_bugs!$A$2:$U$73,21,FALSE()), VLOOKUP(A1013,Internal_lists_bugs!$A$2:$R$73,18,FALSE())),""please select a BUG ID"")"),"please select a BUG ID")</f>
        <v>please select a BUG ID</v>
      </c>
      <c r="D1013" s="43"/>
      <c r="F1013" s="62"/>
      <c r="G1013" s="63"/>
      <c r="H1013" s="43"/>
      <c r="J1013" s="62"/>
      <c r="K1013" s="63"/>
    </row>
    <row r="1014">
      <c r="A1014" s="78"/>
      <c r="B1014" s="59" t="str">
        <f>IFERROR(HYPERLINK(VLOOKUP(A1014,Internal_lists_bugs!$A$2:$C$73,3,FALSE()), VLOOKUP(A1014,Internal_lists_bugs!$A$2:$C$73,3,FALSE())&amp;Char(10) &amp; Char(10) &amp; VLOOKUP(A1014,Internal_lists_bugs!$A$2:$Z$73,26,FALSE())),"please select a BUG ID")</f>
        <v>please select a BUG ID</v>
      </c>
      <c r="C1014" s="51" t="str">
        <f>IFERROR(__xludf.DUMMYFUNCTION("IFERROR(IF(REGEXMATCH(VLOOKUP(A1014,Internal_lists_bugs!$A$2:$R$73,18,FALSE()), ""Yes""), VLOOKUP(A1014,Internal_lists_bugs!$A$2:$U$73,21,FALSE()), VLOOKUP(A1014,Internal_lists_bugs!$A$2:$R$73,18,FALSE())),""please select a BUG ID"")"),"please select a BUG ID")</f>
        <v>please select a BUG ID</v>
      </c>
      <c r="D1014" s="43"/>
      <c r="F1014" s="62"/>
      <c r="G1014" s="63"/>
      <c r="H1014" s="43"/>
      <c r="J1014" s="62"/>
      <c r="K1014" s="63"/>
    </row>
    <row r="1015">
      <c r="A1015" s="78"/>
      <c r="B1015" s="59" t="str">
        <f>IFERROR(HYPERLINK(VLOOKUP(A1015,Internal_lists_bugs!$A$2:$C$73,3,FALSE()), VLOOKUP(A1015,Internal_lists_bugs!$A$2:$C$73,3,FALSE())&amp;Char(10) &amp; Char(10) &amp; VLOOKUP(A1015,Internal_lists_bugs!$A$2:$Z$73,26,FALSE())),"please select a BUG ID")</f>
        <v>please select a BUG ID</v>
      </c>
      <c r="C1015" s="51" t="str">
        <f>IFERROR(__xludf.DUMMYFUNCTION("IFERROR(IF(REGEXMATCH(VLOOKUP(A1015,Internal_lists_bugs!$A$2:$R$73,18,FALSE()), ""Yes""), VLOOKUP(A1015,Internal_lists_bugs!$A$2:$U$73,21,FALSE()), VLOOKUP(A1015,Internal_lists_bugs!$A$2:$R$73,18,FALSE())),""please select a BUG ID"")"),"please select a BUG ID")</f>
        <v>please select a BUG ID</v>
      </c>
      <c r="D1015" s="43"/>
      <c r="F1015" s="62"/>
      <c r="G1015" s="63"/>
      <c r="H1015" s="43"/>
      <c r="J1015" s="62"/>
      <c r="K1015" s="63"/>
    </row>
    <row r="1016">
      <c r="A1016" s="78"/>
      <c r="B1016" s="59" t="str">
        <f>IFERROR(HYPERLINK(VLOOKUP(A1016,Internal_lists_bugs!$A$2:$C$73,3,FALSE()), VLOOKUP(A1016,Internal_lists_bugs!$A$2:$C$73,3,FALSE())&amp;Char(10) &amp; Char(10) &amp; VLOOKUP(A1016,Internal_lists_bugs!$A$2:$Z$73,26,FALSE())),"please select a BUG ID")</f>
        <v>please select a BUG ID</v>
      </c>
      <c r="C1016" s="51" t="str">
        <f>IFERROR(__xludf.DUMMYFUNCTION("IFERROR(IF(REGEXMATCH(VLOOKUP(A1016,Internal_lists_bugs!$A$2:$R$73,18,FALSE()), ""Yes""), VLOOKUP(A1016,Internal_lists_bugs!$A$2:$U$73,21,FALSE()), VLOOKUP(A1016,Internal_lists_bugs!$A$2:$R$73,18,FALSE())),""please select a BUG ID"")"),"please select a BUG ID")</f>
        <v>please select a BUG ID</v>
      </c>
      <c r="D1016" s="43"/>
      <c r="F1016" s="62"/>
      <c r="G1016" s="63"/>
      <c r="H1016" s="43"/>
      <c r="J1016" s="62"/>
      <c r="K1016" s="63"/>
    </row>
    <row r="1017">
      <c r="A1017" s="78"/>
      <c r="B1017" s="59" t="str">
        <f>IFERROR(HYPERLINK(VLOOKUP(A1017,Internal_lists_bugs!$A$2:$C$73,3,FALSE()), VLOOKUP(A1017,Internal_lists_bugs!$A$2:$C$73,3,FALSE())&amp;Char(10) &amp; Char(10) &amp; VLOOKUP(A1017,Internal_lists_bugs!$A$2:$Z$73,26,FALSE())),"please select a BUG ID")</f>
        <v>please select a BUG ID</v>
      </c>
      <c r="C1017" s="51" t="str">
        <f>IFERROR(__xludf.DUMMYFUNCTION("IFERROR(IF(REGEXMATCH(VLOOKUP(A1017,Internal_lists_bugs!$A$2:$R$73,18,FALSE()), ""Yes""), VLOOKUP(A1017,Internal_lists_bugs!$A$2:$U$73,21,FALSE()), VLOOKUP(A1017,Internal_lists_bugs!$A$2:$R$73,18,FALSE())),""please select a BUG ID"")"),"please select a BUG ID")</f>
        <v>please select a BUG ID</v>
      </c>
      <c r="D1017" s="43"/>
      <c r="F1017" s="62"/>
      <c r="G1017" s="63"/>
      <c r="H1017" s="43"/>
      <c r="J1017" s="62"/>
      <c r="K1017" s="63"/>
    </row>
    <row r="1018">
      <c r="A1018" s="78"/>
      <c r="B1018" s="59" t="str">
        <f>IFERROR(HYPERLINK(VLOOKUP(A1018,Internal_lists_bugs!$A$2:$C$73,3,FALSE()), VLOOKUP(A1018,Internal_lists_bugs!$A$2:$C$73,3,FALSE())&amp;Char(10) &amp; Char(10) &amp; VLOOKUP(A1018,Internal_lists_bugs!$A$2:$Z$73,26,FALSE())),"please select a BUG ID")</f>
        <v>please select a BUG ID</v>
      </c>
      <c r="C1018" s="51" t="str">
        <f>IFERROR(__xludf.DUMMYFUNCTION("IFERROR(IF(REGEXMATCH(VLOOKUP(A1018,Internal_lists_bugs!$A$2:$R$73,18,FALSE()), ""Yes""), VLOOKUP(A1018,Internal_lists_bugs!$A$2:$U$73,21,FALSE()), VLOOKUP(A1018,Internal_lists_bugs!$A$2:$R$73,18,FALSE())),""please select a BUG ID"")"),"please select a BUG ID")</f>
        <v>please select a BUG ID</v>
      </c>
      <c r="D1018" s="43"/>
      <c r="F1018" s="62"/>
      <c r="G1018" s="63"/>
      <c r="H1018" s="43"/>
      <c r="J1018" s="62"/>
      <c r="K1018" s="63"/>
    </row>
    <row r="1019">
      <c r="A1019" s="78"/>
      <c r="B1019" s="59" t="str">
        <f>IFERROR(HYPERLINK(VLOOKUP(A1019,Internal_lists_bugs!$A$2:$C$73,3,FALSE()), VLOOKUP(A1019,Internal_lists_bugs!$A$2:$C$73,3,FALSE())&amp;Char(10) &amp; Char(10) &amp; VLOOKUP(A1019,Internal_lists_bugs!$A$2:$Z$73,26,FALSE())),"please select a BUG ID")</f>
        <v>please select a BUG ID</v>
      </c>
      <c r="C1019" s="51" t="str">
        <f>IFERROR(__xludf.DUMMYFUNCTION("IFERROR(IF(REGEXMATCH(VLOOKUP(A1019,Internal_lists_bugs!$A$2:$R$73,18,FALSE()), ""Yes""), VLOOKUP(A1019,Internal_lists_bugs!$A$2:$U$73,21,FALSE()), VLOOKUP(A1019,Internal_lists_bugs!$A$2:$R$73,18,FALSE())),""please select a BUG ID"")"),"please select a BUG ID")</f>
        <v>please select a BUG ID</v>
      </c>
      <c r="D1019" s="43"/>
      <c r="F1019" s="62"/>
      <c r="G1019" s="63"/>
      <c r="H1019" s="43"/>
      <c r="J1019" s="62"/>
      <c r="K1019" s="63"/>
    </row>
    <row r="1020">
      <c r="A1020" s="78"/>
      <c r="B1020" s="59" t="str">
        <f>IFERROR(HYPERLINK(VLOOKUP(A1020,Internal_lists_bugs!$A$2:$C$73,3,FALSE()), VLOOKUP(A1020,Internal_lists_bugs!$A$2:$C$73,3,FALSE())&amp;Char(10) &amp; Char(10) &amp; VLOOKUP(A1020,Internal_lists_bugs!$A$2:$Z$73,26,FALSE())),"please select a BUG ID")</f>
        <v>please select a BUG ID</v>
      </c>
      <c r="C1020" s="51" t="str">
        <f>IFERROR(__xludf.DUMMYFUNCTION("IFERROR(IF(REGEXMATCH(VLOOKUP(A1020,Internal_lists_bugs!$A$2:$R$73,18,FALSE()), ""Yes""), VLOOKUP(A1020,Internal_lists_bugs!$A$2:$U$73,21,FALSE()), VLOOKUP(A1020,Internal_lists_bugs!$A$2:$R$73,18,FALSE())),""please select a BUG ID"")"),"please select a BUG ID")</f>
        <v>please select a BUG ID</v>
      </c>
      <c r="D1020" s="43"/>
      <c r="F1020" s="62"/>
      <c r="G1020" s="63"/>
      <c r="H1020" s="43"/>
      <c r="J1020" s="62"/>
      <c r="K1020" s="63"/>
    </row>
    <row r="1021">
      <c r="A1021" s="78"/>
      <c r="B1021" s="59" t="str">
        <f>IFERROR(HYPERLINK(VLOOKUP(A1021,Internal_lists_bugs!$A$2:$C$73,3,FALSE()), VLOOKUP(A1021,Internal_lists_bugs!$A$2:$C$73,3,FALSE())&amp;Char(10) &amp; Char(10) &amp; VLOOKUP(A1021,Internal_lists_bugs!$A$2:$Z$73,26,FALSE())),"please select a BUG ID")</f>
        <v>please select a BUG ID</v>
      </c>
      <c r="C1021" s="51" t="str">
        <f>IFERROR(__xludf.DUMMYFUNCTION("IFERROR(IF(REGEXMATCH(VLOOKUP(A1021,Internal_lists_bugs!$A$2:$R$73,18,FALSE()), ""Yes""), VLOOKUP(A1021,Internal_lists_bugs!$A$2:$U$73,21,FALSE()), VLOOKUP(A1021,Internal_lists_bugs!$A$2:$R$73,18,FALSE())),""please select a BUG ID"")"),"please select a BUG ID")</f>
        <v>please select a BUG ID</v>
      </c>
      <c r="D1021" s="43"/>
      <c r="F1021" s="62"/>
      <c r="G1021" s="63"/>
      <c r="H1021" s="43"/>
      <c r="J1021" s="62"/>
      <c r="K1021" s="63"/>
    </row>
    <row r="1022">
      <c r="A1022" s="78"/>
      <c r="B1022" s="59" t="str">
        <f>IFERROR(HYPERLINK(VLOOKUP(A1022,Internal_lists_bugs!$A$2:$C$73,3,FALSE()), VLOOKUP(A1022,Internal_lists_bugs!$A$2:$C$73,3,FALSE())&amp;Char(10) &amp; Char(10) &amp; VLOOKUP(A1022,Internal_lists_bugs!$A$2:$Z$73,26,FALSE())),"please select a BUG ID")</f>
        <v>please select a BUG ID</v>
      </c>
      <c r="C1022" s="51" t="str">
        <f>IFERROR(__xludf.DUMMYFUNCTION("IFERROR(IF(REGEXMATCH(VLOOKUP(A1022,Internal_lists_bugs!$A$2:$R$73,18,FALSE()), ""Yes""), VLOOKUP(A1022,Internal_lists_bugs!$A$2:$U$73,21,FALSE()), VLOOKUP(A1022,Internal_lists_bugs!$A$2:$R$73,18,FALSE())),""please select a BUG ID"")"),"please select a BUG ID")</f>
        <v>please select a BUG ID</v>
      </c>
      <c r="D1022" s="43"/>
      <c r="F1022" s="62"/>
      <c r="G1022" s="63"/>
      <c r="H1022" s="43"/>
      <c r="J1022" s="62"/>
      <c r="K1022" s="63"/>
    </row>
    <row r="1023">
      <c r="A1023" s="78"/>
      <c r="B1023" s="59" t="str">
        <f>IFERROR(HYPERLINK(VLOOKUP(A1023,Internal_lists_bugs!$A$2:$C$73,3,FALSE()), VLOOKUP(A1023,Internal_lists_bugs!$A$2:$C$73,3,FALSE())&amp;Char(10) &amp; Char(10) &amp; VLOOKUP(A1023,Internal_lists_bugs!$A$2:$Z$73,26,FALSE())),"please select a BUG ID")</f>
        <v>please select a BUG ID</v>
      </c>
      <c r="C1023" s="51" t="str">
        <f>IFERROR(__xludf.DUMMYFUNCTION("IFERROR(IF(REGEXMATCH(VLOOKUP(A1023,Internal_lists_bugs!$A$2:$R$73,18,FALSE()), ""Yes""), VLOOKUP(A1023,Internal_lists_bugs!$A$2:$U$73,21,FALSE()), VLOOKUP(A1023,Internal_lists_bugs!$A$2:$R$73,18,FALSE())),""please select a BUG ID"")"),"please select a BUG ID")</f>
        <v>please select a BUG ID</v>
      </c>
      <c r="D1023" s="43"/>
      <c r="F1023" s="62"/>
      <c r="G1023" s="63"/>
      <c r="H1023" s="43"/>
      <c r="J1023" s="62"/>
      <c r="K1023" s="63"/>
    </row>
    <row r="1024">
      <c r="A1024" s="78"/>
      <c r="B1024" s="59" t="str">
        <f>IFERROR(HYPERLINK(VLOOKUP(A1024,Internal_lists_bugs!$A$2:$C$73,3,FALSE()), VLOOKUP(A1024,Internal_lists_bugs!$A$2:$C$73,3,FALSE())&amp;Char(10) &amp; Char(10) &amp; VLOOKUP(A1024,Internal_lists_bugs!$A$2:$Z$73,26,FALSE())),"please select a BUG ID")</f>
        <v>please select a BUG ID</v>
      </c>
      <c r="C1024" s="51" t="str">
        <f>IFERROR(__xludf.DUMMYFUNCTION("IFERROR(IF(REGEXMATCH(VLOOKUP(A1024,Internal_lists_bugs!$A$2:$R$73,18,FALSE()), ""Yes""), VLOOKUP(A1024,Internal_lists_bugs!$A$2:$U$73,21,FALSE()), VLOOKUP(A1024,Internal_lists_bugs!$A$2:$R$73,18,FALSE())),""please select a BUG ID"")"),"please select a BUG ID")</f>
        <v>please select a BUG ID</v>
      </c>
      <c r="D1024" s="43"/>
      <c r="F1024" s="62"/>
      <c r="G1024" s="63"/>
      <c r="H1024" s="43"/>
      <c r="J1024" s="62"/>
      <c r="K1024" s="63"/>
    </row>
    <row r="1025">
      <c r="A1025" s="78"/>
      <c r="B1025" s="59" t="str">
        <f>IFERROR(HYPERLINK(VLOOKUP(A1025,Internal_lists_bugs!$A$2:$C$73,3,FALSE()), VLOOKUP(A1025,Internal_lists_bugs!$A$2:$C$73,3,FALSE())&amp;Char(10) &amp; Char(10) &amp; VLOOKUP(A1025,Internal_lists_bugs!$A$2:$Z$73,26,FALSE())),"please select a BUG ID")</f>
        <v>please select a BUG ID</v>
      </c>
      <c r="C1025" s="51" t="str">
        <f>IFERROR(__xludf.DUMMYFUNCTION("IFERROR(IF(REGEXMATCH(VLOOKUP(A1025,Internal_lists_bugs!$A$2:$R$73,18,FALSE()), ""Yes""), VLOOKUP(A1025,Internal_lists_bugs!$A$2:$U$73,21,FALSE()), VLOOKUP(A1025,Internal_lists_bugs!$A$2:$R$73,18,FALSE())),""please select a BUG ID"")"),"please select a BUG ID")</f>
        <v>please select a BUG ID</v>
      </c>
      <c r="D1025" s="43"/>
      <c r="F1025" s="62"/>
      <c r="G1025" s="63"/>
      <c r="H1025" s="43"/>
      <c r="J1025" s="62"/>
      <c r="K1025" s="63"/>
    </row>
    <row r="1026">
      <c r="A1026" s="78"/>
      <c r="B1026" s="59" t="str">
        <f>IFERROR(HYPERLINK(VLOOKUP(A1026,Internal_lists_bugs!$A$2:$C$73,3,FALSE()), VLOOKUP(A1026,Internal_lists_bugs!$A$2:$C$73,3,FALSE())&amp;Char(10) &amp; Char(10) &amp; VLOOKUP(A1026,Internal_lists_bugs!$A$2:$Z$73,26,FALSE())),"please select a BUG ID")</f>
        <v>please select a BUG ID</v>
      </c>
      <c r="C1026" s="51" t="str">
        <f>IFERROR(__xludf.DUMMYFUNCTION("IFERROR(IF(REGEXMATCH(VLOOKUP(A1026,Internal_lists_bugs!$A$2:$R$73,18,FALSE()), ""Yes""), VLOOKUP(A1026,Internal_lists_bugs!$A$2:$U$73,21,FALSE()), VLOOKUP(A1026,Internal_lists_bugs!$A$2:$R$73,18,FALSE())),""please select a BUG ID"")"),"please select a BUG ID")</f>
        <v>please select a BUG ID</v>
      </c>
      <c r="D1026" s="43"/>
      <c r="F1026" s="62"/>
      <c r="G1026" s="63"/>
      <c r="H1026" s="43"/>
      <c r="J1026" s="62"/>
      <c r="K1026" s="63"/>
    </row>
    <row r="1027">
      <c r="A1027" s="78"/>
      <c r="B1027" s="59" t="str">
        <f>IFERROR(HYPERLINK(VLOOKUP(A1027,Internal_lists_bugs!$A$2:$C$73,3,FALSE()), VLOOKUP(A1027,Internal_lists_bugs!$A$2:$C$73,3,FALSE())&amp;Char(10) &amp; Char(10) &amp; VLOOKUP(A1027,Internal_lists_bugs!$A$2:$Z$73,26,FALSE())),"please select a BUG ID")</f>
        <v>please select a BUG ID</v>
      </c>
      <c r="C1027" s="51" t="str">
        <f>IFERROR(__xludf.DUMMYFUNCTION("IFERROR(IF(REGEXMATCH(VLOOKUP(A1027,Internal_lists_bugs!$A$2:$R$73,18,FALSE()), ""Yes""), VLOOKUP(A1027,Internal_lists_bugs!$A$2:$U$73,21,FALSE()), VLOOKUP(A1027,Internal_lists_bugs!$A$2:$R$73,18,FALSE())),""please select a BUG ID"")"),"please select a BUG ID")</f>
        <v>please select a BUG ID</v>
      </c>
      <c r="D1027" s="43"/>
      <c r="F1027" s="62"/>
      <c r="G1027" s="63"/>
      <c r="H1027" s="43"/>
      <c r="J1027" s="62"/>
      <c r="K1027" s="63"/>
    </row>
    <row r="1028">
      <c r="A1028" s="78"/>
      <c r="B1028" s="59" t="str">
        <f>IFERROR(HYPERLINK(VLOOKUP(A1028,Internal_lists_bugs!$A$2:$C$73,3,FALSE()), VLOOKUP(A1028,Internal_lists_bugs!$A$2:$C$73,3,FALSE())&amp;Char(10) &amp; Char(10) &amp; VLOOKUP(A1028,Internal_lists_bugs!$A$2:$Z$73,26,FALSE())),"please select a BUG ID")</f>
        <v>please select a BUG ID</v>
      </c>
      <c r="C1028" s="51" t="str">
        <f>IFERROR(__xludf.DUMMYFUNCTION("IFERROR(IF(REGEXMATCH(VLOOKUP(A1028,Internal_lists_bugs!$A$2:$R$73,18,FALSE()), ""Yes""), VLOOKUP(A1028,Internal_lists_bugs!$A$2:$U$73,21,FALSE()), VLOOKUP(A1028,Internal_lists_bugs!$A$2:$R$73,18,FALSE())),""please select a BUG ID"")"),"please select a BUG ID")</f>
        <v>please select a BUG ID</v>
      </c>
      <c r="D1028" s="43"/>
      <c r="F1028" s="62"/>
      <c r="G1028" s="63"/>
      <c r="H1028" s="43"/>
      <c r="J1028" s="62"/>
      <c r="K1028" s="63"/>
    </row>
    <row r="1029">
      <c r="A1029" s="78"/>
      <c r="B1029" s="59" t="str">
        <f>IFERROR(HYPERLINK(VLOOKUP(A1029,Internal_lists_bugs!$A$2:$C$73,3,FALSE()), VLOOKUP(A1029,Internal_lists_bugs!$A$2:$C$73,3,FALSE())&amp;Char(10) &amp; Char(10) &amp; VLOOKUP(A1029,Internal_lists_bugs!$A$2:$Z$73,26,FALSE())),"please select a BUG ID")</f>
        <v>please select a BUG ID</v>
      </c>
      <c r="C1029" s="51" t="str">
        <f>IFERROR(__xludf.DUMMYFUNCTION("IFERROR(IF(REGEXMATCH(VLOOKUP(A1029,Internal_lists_bugs!$A$2:$R$73,18,FALSE()), ""Yes""), VLOOKUP(A1029,Internal_lists_bugs!$A$2:$U$73,21,FALSE()), VLOOKUP(A1029,Internal_lists_bugs!$A$2:$R$73,18,FALSE())),""please select a BUG ID"")"),"please select a BUG ID")</f>
        <v>please select a BUG ID</v>
      </c>
      <c r="D1029" s="43"/>
      <c r="F1029" s="62"/>
      <c r="G1029" s="63"/>
      <c r="H1029" s="43"/>
      <c r="J1029" s="62"/>
      <c r="K1029" s="63"/>
    </row>
    <row r="1030">
      <c r="A1030" s="78"/>
      <c r="B1030" s="59" t="str">
        <f>IFERROR(HYPERLINK(VLOOKUP(A1030,Internal_lists_bugs!$A$2:$C$73,3,FALSE()), VLOOKUP(A1030,Internal_lists_bugs!$A$2:$C$73,3,FALSE())&amp;Char(10) &amp; Char(10) &amp; VLOOKUP(A1030,Internal_lists_bugs!$A$2:$Z$73,26,FALSE())),"please select a BUG ID")</f>
        <v>please select a BUG ID</v>
      </c>
      <c r="C1030" s="51" t="str">
        <f>IFERROR(__xludf.DUMMYFUNCTION("IFERROR(IF(REGEXMATCH(VLOOKUP(A1030,Internal_lists_bugs!$A$2:$R$73,18,FALSE()), ""Yes""), VLOOKUP(A1030,Internal_lists_bugs!$A$2:$U$73,21,FALSE()), VLOOKUP(A1030,Internal_lists_bugs!$A$2:$R$73,18,FALSE())),""please select a BUG ID"")"),"please select a BUG ID")</f>
        <v>please select a BUG ID</v>
      </c>
      <c r="D1030" s="43"/>
      <c r="F1030" s="62"/>
      <c r="G1030" s="63"/>
      <c r="H1030" s="43"/>
      <c r="J1030" s="62"/>
      <c r="K1030" s="63"/>
    </row>
    <row r="1031">
      <c r="A1031" s="78"/>
      <c r="B1031" s="59" t="str">
        <f>IFERROR(HYPERLINK(VLOOKUP(A1031,Internal_lists_bugs!$A$2:$C$73,3,FALSE()), VLOOKUP(A1031,Internal_lists_bugs!$A$2:$C$73,3,FALSE())&amp;Char(10) &amp; Char(10) &amp; VLOOKUP(A1031,Internal_lists_bugs!$A$2:$Z$73,26,FALSE())),"please select a BUG ID")</f>
        <v>please select a BUG ID</v>
      </c>
      <c r="C1031" s="51" t="str">
        <f>IFERROR(__xludf.DUMMYFUNCTION("IFERROR(IF(REGEXMATCH(VLOOKUP(A1031,Internal_lists_bugs!$A$2:$R$73,18,FALSE()), ""Yes""), VLOOKUP(A1031,Internal_lists_bugs!$A$2:$U$73,21,FALSE()), VLOOKUP(A1031,Internal_lists_bugs!$A$2:$R$73,18,FALSE())),""please select a BUG ID"")"),"please select a BUG ID")</f>
        <v>please select a BUG ID</v>
      </c>
      <c r="D1031" s="43"/>
      <c r="F1031" s="62"/>
      <c r="G1031" s="63"/>
      <c r="H1031" s="43"/>
      <c r="J1031" s="62"/>
      <c r="K1031" s="63"/>
    </row>
    <row r="1032">
      <c r="A1032" s="78"/>
      <c r="B1032" s="59" t="str">
        <f>IFERROR(HYPERLINK(VLOOKUP(A1032,Internal_lists_bugs!$A$2:$C$73,3,FALSE()), VLOOKUP(A1032,Internal_lists_bugs!$A$2:$C$73,3,FALSE())&amp;Char(10) &amp; Char(10) &amp; VLOOKUP(A1032,Internal_lists_bugs!$A$2:$Z$73,26,FALSE())),"please select a BUG ID")</f>
        <v>please select a BUG ID</v>
      </c>
      <c r="C1032" s="51" t="str">
        <f>IFERROR(__xludf.DUMMYFUNCTION("IFERROR(IF(REGEXMATCH(VLOOKUP(A1032,Internal_lists_bugs!$A$2:$R$73,18,FALSE()), ""Yes""), VLOOKUP(A1032,Internal_lists_bugs!$A$2:$U$73,21,FALSE()), VLOOKUP(A1032,Internal_lists_bugs!$A$2:$R$73,18,FALSE())),""please select a BUG ID"")"),"please select a BUG ID")</f>
        <v>please select a BUG ID</v>
      </c>
      <c r="D1032" s="43"/>
      <c r="F1032" s="62"/>
      <c r="G1032" s="63"/>
      <c r="H1032" s="43"/>
      <c r="J1032" s="62"/>
      <c r="K1032" s="63"/>
    </row>
    <row r="1033">
      <c r="A1033" s="78"/>
      <c r="B1033" s="59" t="str">
        <f>IFERROR(HYPERLINK(VLOOKUP(A1033,Internal_lists_bugs!$A$2:$C$73,3,FALSE()), VLOOKUP(A1033,Internal_lists_bugs!$A$2:$C$73,3,FALSE())&amp;Char(10) &amp; Char(10) &amp; VLOOKUP(A1033,Internal_lists_bugs!$A$2:$Z$73,26,FALSE())),"please select a BUG ID")</f>
        <v>please select a BUG ID</v>
      </c>
      <c r="C1033" s="51" t="str">
        <f>IFERROR(__xludf.DUMMYFUNCTION("IFERROR(IF(REGEXMATCH(VLOOKUP(A1033,Internal_lists_bugs!$A$2:$R$73,18,FALSE()), ""Yes""), VLOOKUP(A1033,Internal_lists_bugs!$A$2:$U$73,21,FALSE()), VLOOKUP(A1033,Internal_lists_bugs!$A$2:$R$73,18,FALSE())),""please select a BUG ID"")"),"please select a BUG ID")</f>
        <v>please select a BUG ID</v>
      </c>
      <c r="D1033" s="43"/>
      <c r="F1033" s="62"/>
      <c r="G1033" s="63"/>
      <c r="H1033" s="43"/>
      <c r="J1033" s="62"/>
      <c r="K1033" s="63"/>
    </row>
    <row r="1034">
      <c r="A1034" s="78"/>
      <c r="B1034" s="59" t="str">
        <f>IFERROR(HYPERLINK(VLOOKUP(A1034,Internal_lists_bugs!$A$2:$C$73,3,FALSE()), VLOOKUP(A1034,Internal_lists_bugs!$A$2:$C$73,3,FALSE())&amp;Char(10) &amp; Char(10) &amp; VLOOKUP(A1034,Internal_lists_bugs!$A$2:$Z$73,26,FALSE())),"please select a BUG ID")</f>
        <v>please select a BUG ID</v>
      </c>
      <c r="C1034" s="51" t="str">
        <f>IFERROR(__xludf.DUMMYFUNCTION("IFERROR(IF(REGEXMATCH(VLOOKUP(A1034,Internal_lists_bugs!$A$2:$R$73,18,FALSE()), ""Yes""), VLOOKUP(A1034,Internal_lists_bugs!$A$2:$U$73,21,FALSE()), VLOOKUP(A1034,Internal_lists_bugs!$A$2:$R$73,18,FALSE())),""please select a BUG ID"")"),"please select a BUG ID")</f>
        <v>please select a BUG ID</v>
      </c>
      <c r="D1034" s="43"/>
      <c r="F1034" s="62"/>
      <c r="G1034" s="63"/>
      <c r="H1034" s="43"/>
      <c r="J1034" s="62"/>
      <c r="K1034" s="63"/>
    </row>
    <row r="1035">
      <c r="A1035" s="78"/>
      <c r="B1035" s="59" t="str">
        <f>IFERROR(HYPERLINK(VLOOKUP(A1035,Internal_lists_bugs!$A$2:$C$73,3,FALSE()), VLOOKUP(A1035,Internal_lists_bugs!$A$2:$C$73,3,FALSE())&amp;Char(10) &amp; Char(10) &amp; VLOOKUP(A1035,Internal_lists_bugs!$A$2:$Z$73,26,FALSE())),"please select a BUG ID")</f>
        <v>please select a BUG ID</v>
      </c>
      <c r="C1035" s="51" t="str">
        <f>IFERROR(__xludf.DUMMYFUNCTION("IFERROR(IF(REGEXMATCH(VLOOKUP(A1035,Internal_lists_bugs!$A$2:$R$73,18,FALSE()), ""Yes""), VLOOKUP(A1035,Internal_lists_bugs!$A$2:$U$73,21,FALSE()), VLOOKUP(A1035,Internal_lists_bugs!$A$2:$R$73,18,FALSE())),""please select a BUG ID"")"),"please select a BUG ID")</f>
        <v>please select a BUG ID</v>
      </c>
      <c r="D1035" s="43"/>
      <c r="F1035" s="62"/>
      <c r="G1035" s="63"/>
      <c r="H1035" s="43"/>
      <c r="J1035" s="62"/>
      <c r="K1035" s="63"/>
    </row>
    <row r="1036">
      <c r="A1036" s="78"/>
      <c r="B1036" s="59" t="str">
        <f>IFERROR(HYPERLINK(VLOOKUP(A1036,Internal_lists_bugs!$A$2:$C$73,3,FALSE()), VLOOKUP(A1036,Internal_lists_bugs!$A$2:$C$73,3,FALSE())&amp;Char(10) &amp; Char(10) &amp; VLOOKUP(A1036,Internal_lists_bugs!$A$2:$Z$73,26,FALSE())),"please select a BUG ID")</f>
        <v>please select a BUG ID</v>
      </c>
      <c r="C1036" s="51" t="str">
        <f>IFERROR(__xludf.DUMMYFUNCTION("IFERROR(IF(REGEXMATCH(VLOOKUP(A1036,Internal_lists_bugs!$A$2:$R$73,18,FALSE()), ""Yes""), VLOOKUP(A1036,Internal_lists_bugs!$A$2:$U$73,21,FALSE()), VLOOKUP(A1036,Internal_lists_bugs!$A$2:$R$73,18,FALSE())),""please select a BUG ID"")"),"please select a BUG ID")</f>
        <v>please select a BUG ID</v>
      </c>
      <c r="D1036" s="43"/>
      <c r="F1036" s="62"/>
      <c r="G1036" s="63"/>
      <c r="H1036" s="43"/>
      <c r="J1036" s="62"/>
      <c r="K1036" s="63"/>
    </row>
  </sheetData>
  <mergeCells count="4">
    <mergeCell ref="D1:E1"/>
    <mergeCell ref="F1:G1"/>
    <mergeCell ref="H1:I1"/>
    <mergeCell ref="J1:K1"/>
  </mergeCells>
  <dataValidations>
    <dataValidation type="list" allowBlank="1" showErrorMessage="1" sqref="H3:H1036 J3:J1036">
      <formula1>"YES,NO"</formula1>
    </dataValidation>
    <dataValidation type="list" allowBlank="1" showInputMessage="1" prompt="If code not available, just write it down" sqref="D3:D1036">
      <formula1>Internal_lists_variables!$A$2:$A1036</formula1>
    </dataValidation>
    <dataValidation type="list" allowBlank="1" showInputMessage="1" showErrorMessage="1" prompt="The different types are joined in an alphabetically way" sqref="F3:F1036">
      <formula1>Internal_lists_variables!$B$2:$B1036</formula1>
    </dataValidation>
    <dataValidation type="list" allowBlank="1" showInputMessage="1" prompt="Project BugID" sqref="A3:A1036">
      <formula1>Internal_lists_bugs!$A$2:$A1036</formula1>
    </dataValidation>
  </dataValidations>
  <hyperlinks>
    <hyperlink r:id="rId2" ref="A1"/>
    <hyperlink r:id="rId3" location="gid=405816964" ref="B1"/>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outlineLevelCol="1"/>
  <cols>
    <col customWidth="1" min="1" max="1" width="24.63"/>
    <col customWidth="1" min="2" max="2" width="13.88"/>
    <col customWidth="1" min="3" max="3" width="46.88"/>
    <col customWidth="1" min="4" max="4" width="20.25" outlineLevel="1"/>
    <col customWidth="1" min="5" max="5" width="22.25" outlineLevel="1"/>
    <col customWidth="1" min="6" max="6" width="38.5" outlineLevel="1"/>
    <col customWidth="1" min="7" max="7" width="19.63" outlineLevel="1"/>
    <col customWidth="1" min="8" max="8" width="33.5"/>
    <col customWidth="1" min="9" max="9" width="46.88"/>
  </cols>
  <sheetData>
    <row r="1">
      <c r="A1" s="21" t="s">
        <v>101</v>
      </c>
      <c r="B1" s="21" t="s">
        <v>102</v>
      </c>
      <c r="C1" s="22" t="s">
        <v>103</v>
      </c>
      <c r="D1" s="79" t="s">
        <v>237</v>
      </c>
      <c r="E1" s="55" t="s">
        <v>238</v>
      </c>
      <c r="F1" s="54" t="s">
        <v>239</v>
      </c>
      <c r="G1" s="26"/>
      <c r="H1" s="55"/>
      <c r="I1" s="22" t="s">
        <v>240</v>
      </c>
      <c r="J1" s="80"/>
      <c r="K1" s="80"/>
    </row>
    <row r="2">
      <c r="A2" s="28" t="s">
        <v>109</v>
      </c>
      <c r="B2" s="81"/>
      <c r="C2" s="30" t="s">
        <v>241</v>
      </c>
      <c r="D2" s="82" t="s">
        <v>242</v>
      </c>
      <c r="E2" s="32" t="s">
        <v>243</v>
      </c>
      <c r="F2" s="33" t="s">
        <v>114</v>
      </c>
      <c r="G2" s="34" t="s">
        <v>115</v>
      </c>
      <c r="H2" s="32"/>
      <c r="I2" s="83" t="s">
        <v>244</v>
      </c>
      <c r="J2" s="37"/>
      <c r="K2" s="37"/>
    </row>
    <row r="3">
      <c r="A3" s="80" t="s">
        <v>32</v>
      </c>
      <c r="B3" s="59"/>
      <c r="C3" s="51" t="str">
        <f>IFERROR(VLOOKUP(A3,Internal_lists_bugs!$A$2:$T1058,20,FALSE()),"please select a BUG ID")</f>
        <v/>
      </c>
      <c r="D3" s="84" t="s">
        <v>245</v>
      </c>
      <c r="E3" s="80" t="s">
        <v>246</v>
      </c>
      <c r="F3" s="60" t="s">
        <v>247</v>
      </c>
      <c r="G3" s="63"/>
      <c r="H3" s="85"/>
      <c r="I3" s="39" t="str">
        <f>IFERROR(VLOOKUP(A3,Internal_lists_bugs!$A$2:$G1058,7,FALSE()),"please select a BUG ID")</f>
        <v>https://opendev.org/openstack/nova/commit/990561227d1cdadc1ae91fdcc74286a47f0ddf2c</v>
      </c>
      <c r="J3" s="85"/>
      <c r="K3" s="85"/>
    </row>
    <row r="4">
      <c r="A4" s="80" t="s">
        <v>32</v>
      </c>
      <c r="B4" s="59"/>
      <c r="C4" s="51" t="str">
        <f>IFERROR(VLOOKUP(A4,Internal_lists_bugs!$A$2:$T1058,20,FALSE()),"please select a BUG ID")</f>
        <v/>
      </c>
      <c r="D4" s="84" t="s">
        <v>245</v>
      </c>
      <c r="E4" s="85"/>
      <c r="F4" s="60" t="s">
        <v>248</v>
      </c>
      <c r="G4" s="63"/>
      <c r="H4" s="85"/>
      <c r="I4" s="39" t="str">
        <f>IFERROR(VLOOKUP(A4,Internal_lists_bugs!$A$2:$G1058,7,FALSE()),"please select a BUG ID")</f>
        <v>https://opendev.org/openstack/nova/commit/990561227d1cdadc1ae91fdcc74286a47f0ddf2c</v>
      </c>
      <c r="J4" s="85"/>
      <c r="K4" s="85"/>
    </row>
    <row r="5">
      <c r="A5" s="80" t="s">
        <v>32</v>
      </c>
      <c r="B5" s="59"/>
      <c r="C5" s="51" t="str">
        <f>IFERROR(VLOOKUP(A5,Internal_lists_bugs!$A$2:$T1058,20,FALSE()),"please select a BUG ID")</f>
        <v/>
      </c>
      <c r="D5" s="84" t="s">
        <v>245</v>
      </c>
      <c r="E5" s="85"/>
      <c r="F5" s="60" t="s">
        <v>249</v>
      </c>
      <c r="G5" s="63"/>
      <c r="H5" s="85"/>
      <c r="I5" s="39" t="str">
        <f>IFERROR(VLOOKUP(A5,Internal_lists_bugs!$A$2:$G1058,7,FALSE()),"please select a BUG ID")</f>
        <v>https://opendev.org/openstack/nova/commit/990561227d1cdadc1ae91fdcc74286a47f0ddf2c</v>
      </c>
      <c r="J5" s="86"/>
      <c r="K5" s="85"/>
    </row>
    <row r="6">
      <c r="A6" s="80" t="s">
        <v>32</v>
      </c>
      <c r="B6" s="59"/>
      <c r="C6" s="51" t="str">
        <f>IFERROR(VLOOKUP(A6,Internal_lists_bugs!$A$2:$T1058,20,FALSE()),"please select a BUG ID")</f>
        <v/>
      </c>
      <c r="D6" s="84" t="s">
        <v>245</v>
      </c>
      <c r="E6" s="85"/>
      <c r="F6" s="60" t="s">
        <v>250</v>
      </c>
      <c r="G6" s="63"/>
      <c r="H6" s="85"/>
      <c r="I6" s="39" t="str">
        <f>IFERROR(VLOOKUP(A6,Internal_lists_bugs!$A$2:$G1058,7,FALSE()),"please select a BUG ID")</f>
        <v>https://opendev.org/openstack/nova/commit/990561227d1cdadc1ae91fdcc74286a47f0ddf2c</v>
      </c>
      <c r="J6" s="85"/>
      <c r="K6" s="85"/>
    </row>
    <row r="7">
      <c r="A7" s="80" t="s">
        <v>32</v>
      </c>
      <c r="B7" s="59"/>
      <c r="C7" s="51" t="str">
        <f>IFERROR(VLOOKUP(A7,Internal_lists_bugs!$A$2:$T1058,20,FALSE()),"please select a BUG ID")</f>
        <v/>
      </c>
      <c r="D7" s="84" t="s">
        <v>245</v>
      </c>
      <c r="E7" s="85"/>
      <c r="F7" s="60" t="s">
        <v>251</v>
      </c>
      <c r="G7" s="63"/>
      <c r="H7" s="85"/>
      <c r="I7" s="39" t="str">
        <f>IFERROR(VLOOKUP(A7,Internal_lists_bugs!$A$2:$G1058,7,FALSE()),"please select a BUG ID")</f>
        <v>https://opendev.org/openstack/nova/commit/990561227d1cdadc1ae91fdcc74286a47f0ddf2c</v>
      </c>
      <c r="J7" s="85"/>
      <c r="K7" s="85"/>
    </row>
    <row r="8">
      <c r="A8" s="80" t="s">
        <v>50</v>
      </c>
      <c r="B8" s="59"/>
      <c r="C8" s="51" t="str">
        <f>IFERROR(VLOOKUP(A8,Internal_lists_bugs!$A$2:$T1058,20,FALSE()),"please select a BUG ID")</f>
        <v/>
      </c>
      <c r="D8" s="84" t="s">
        <v>252</v>
      </c>
      <c r="E8" s="80" t="s">
        <v>253</v>
      </c>
      <c r="F8" s="60" t="s">
        <v>134</v>
      </c>
      <c r="G8" s="61" t="s">
        <v>120</v>
      </c>
      <c r="H8" s="85"/>
      <c r="I8" s="39" t="str">
        <f>IFERROR(VLOOKUP(A8,Internal_lists_bugs!$A$2:$G1058,7,FALSE()),"please select a BUG ID")</f>
        <v>https://opendev.org/openstack/nova/commit/73515209cf09821a2fc922e1ae2c97650802fab4</v>
      </c>
      <c r="J8" s="86"/>
      <c r="K8" s="85"/>
    </row>
    <row r="9">
      <c r="A9" s="80" t="s">
        <v>50</v>
      </c>
      <c r="B9" s="59"/>
      <c r="C9" s="51" t="str">
        <f>IFERROR(VLOOKUP(A9,Internal_lists_bugs!$A$2:$T1058,20,FALSE()),"please select a BUG ID")</f>
        <v/>
      </c>
      <c r="D9" s="84" t="s">
        <v>252</v>
      </c>
      <c r="E9" s="85"/>
      <c r="F9" s="60" t="s">
        <v>254</v>
      </c>
      <c r="G9" s="61"/>
      <c r="H9" s="85"/>
      <c r="I9" s="39" t="str">
        <f>IFERROR(VLOOKUP(A9,Internal_lists_bugs!$A$2:$G1058,7,FALSE()),"please select a BUG ID")</f>
        <v>https://opendev.org/openstack/nova/commit/73515209cf09821a2fc922e1ae2c97650802fab4</v>
      </c>
      <c r="J9" s="86"/>
      <c r="K9" s="85"/>
    </row>
    <row r="10">
      <c r="A10" s="80" t="s">
        <v>50</v>
      </c>
      <c r="B10" s="59"/>
      <c r="C10" s="51" t="str">
        <f>IFERROR(VLOOKUP(A10,Internal_lists_bugs!$A$2:$T1058,20,FALSE()),"please select a BUG ID")</f>
        <v/>
      </c>
      <c r="D10" s="84" t="s">
        <v>252</v>
      </c>
      <c r="E10" s="85"/>
      <c r="F10" s="60" t="s">
        <v>255</v>
      </c>
      <c r="G10" s="61"/>
      <c r="H10" s="85"/>
      <c r="I10" s="39" t="str">
        <f>IFERROR(VLOOKUP(A10,Internal_lists_bugs!$A$2:$G1058,7,FALSE()),"please select a BUG ID")</f>
        <v>https://opendev.org/openstack/nova/commit/73515209cf09821a2fc922e1ae2c97650802fab4</v>
      </c>
      <c r="J10" s="85"/>
      <c r="K10" s="85"/>
    </row>
    <row r="11">
      <c r="A11" s="80" t="s">
        <v>50</v>
      </c>
      <c r="B11" s="59"/>
      <c r="C11" s="51" t="str">
        <f>IFERROR(VLOOKUP(A11,Internal_lists_bugs!$A$2:$T1058,20,FALSE()),"please select a BUG ID")</f>
        <v/>
      </c>
      <c r="D11" s="84" t="s">
        <v>252</v>
      </c>
      <c r="E11" s="85"/>
      <c r="F11" s="60" t="s">
        <v>248</v>
      </c>
      <c r="G11" s="61"/>
      <c r="H11" s="85"/>
      <c r="I11" s="39" t="str">
        <f>IFERROR(VLOOKUP(A11,Internal_lists_bugs!$A$2:$G1058,7,FALSE()),"please select a BUG ID")</f>
        <v>https://opendev.org/openstack/nova/commit/73515209cf09821a2fc922e1ae2c97650802fab4</v>
      </c>
      <c r="J11" s="85"/>
      <c r="K11" s="85"/>
    </row>
    <row r="12">
      <c r="A12" s="80" t="s">
        <v>50</v>
      </c>
      <c r="B12" s="59"/>
      <c r="C12" s="51" t="str">
        <f>IFERROR(VLOOKUP(A12,Internal_lists_bugs!$A$2:$T1058,20,FALSE()),"please select a BUG ID")</f>
        <v/>
      </c>
      <c r="D12" s="84" t="s">
        <v>252</v>
      </c>
      <c r="E12" s="85"/>
      <c r="F12" s="60" t="s">
        <v>256</v>
      </c>
      <c r="G12" s="61"/>
      <c r="H12" s="85"/>
      <c r="I12" s="39" t="str">
        <f>IFERROR(VLOOKUP(A12,Internal_lists_bugs!$A$2:$G1058,7,FALSE()),"please select a BUG ID")</f>
        <v>https://opendev.org/openstack/nova/commit/73515209cf09821a2fc922e1ae2c97650802fab4</v>
      </c>
      <c r="J12" s="85"/>
      <c r="K12" s="85"/>
    </row>
    <row r="13">
      <c r="A13" s="80" t="s">
        <v>50</v>
      </c>
      <c r="B13" s="59"/>
      <c r="C13" s="51" t="str">
        <f>IFERROR(VLOOKUP(A13,Internal_lists_bugs!$A$2:$T1058,20,FALSE()),"please select a BUG ID")</f>
        <v/>
      </c>
      <c r="D13" s="84" t="s">
        <v>252</v>
      </c>
      <c r="E13" s="85"/>
      <c r="F13" s="60" t="s">
        <v>257</v>
      </c>
      <c r="G13" s="61"/>
      <c r="H13" s="85"/>
      <c r="I13" s="39" t="str">
        <f>IFERROR(VLOOKUP(A13,Internal_lists_bugs!$A$2:$G1058,7,FALSE()),"please select a BUG ID")</f>
        <v>https://opendev.org/openstack/nova/commit/73515209cf09821a2fc922e1ae2c97650802fab4</v>
      </c>
      <c r="J13" s="85"/>
      <c r="K13" s="85"/>
    </row>
    <row r="14">
      <c r="A14" s="80" t="s">
        <v>50</v>
      </c>
      <c r="B14" s="59"/>
      <c r="C14" s="51" t="str">
        <f>IFERROR(VLOOKUP(A14,Internal_lists_bugs!$A$2:$T1058,20,FALSE()),"please select a BUG ID")</f>
        <v/>
      </c>
      <c r="D14" s="84" t="s">
        <v>252</v>
      </c>
      <c r="E14" s="85"/>
      <c r="F14" s="60" t="s">
        <v>258</v>
      </c>
      <c r="G14" s="61"/>
      <c r="H14" s="85"/>
      <c r="I14" s="39" t="str">
        <f>IFERROR(VLOOKUP(A14,Internal_lists_bugs!$A$2:$G1058,7,FALSE()),"please select a BUG ID")</f>
        <v>https://opendev.org/openstack/nova/commit/73515209cf09821a2fc922e1ae2c97650802fab4</v>
      </c>
      <c r="J14" s="85"/>
      <c r="K14" s="85"/>
    </row>
    <row r="15">
      <c r="A15" s="80" t="s">
        <v>50</v>
      </c>
      <c r="B15" s="59"/>
      <c r="C15" s="51" t="str">
        <f>IFERROR(VLOOKUP(A15,Internal_lists_bugs!$A$2:$T1058,20,FALSE()),"please select a BUG ID")</f>
        <v/>
      </c>
      <c r="D15" s="84" t="s">
        <v>252</v>
      </c>
      <c r="E15" s="85"/>
      <c r="F15" s="60" t="s">
        <v>249</v>
      </c>
      <c r="G15" s="61"/>
      <c r="H15" s="85"/>
      <c r="I15" s="39" t="str">
        <f>IFERROR(VLOOKUP(A15,Internal_lists_bugs!$A$2:$G1058,7,FALSE()),"please select a BUG ID")</f>
        <v>https://opendev.org/openstack/nova/commit/73515209cf09821a2fc922e1ae2c97650802fab4</v>
      </c>
      <c r="J15" s="85"/>
      <c r="K15" s="85"/>
    </row>
    <row r="16">
      <c r="A16" s="80" t="s">
        <v>50</v>
      </c>
      <c r="B16" s="59"/>
      <c r="C16" s="51" t="str">
        <f>IFERROR(VLOOKUP(A16,Internal_lists_bugs!$A$2:$T1058,20,FALSE()),"please select a BUG ID")</f>
        <v/>
      </c>
      <c r="D16" s="84" t="s">
        <v>252</v>
      </c>
      <c r="E16" s="85"/>
      <c r="F16" s="60" t="s">
        <v>259</v>
      </c>
      <c r="G16" s="63"/>
      <c r="H16" s="85"/>
      <c r="I16" s="39" t="str">
        <f>IFERROR(VLOOKUP(A16,Internal_lists_bugs!$A$2:$G1058,7,FALSE()),"please select a BUG ID")</f>
        <v>https://opendev.org/openstack/nova/commit/73515209cf09821a2fc922e1ae2c97650802fab4</v>
      </c>
      <c r="J16" s="85"/>
      <c r="K16" s="85"/>
    </row>
    <row r="17">
      <c r="A17" s="80" t="s">
        <v>50</v>
      </c>
      <c r="B17" s="59"/>
      <c r="C17" s="51" t="str">
        <f>IFERROR(VLOOKUP(A17,Internal_lists_bugs!$A$2:$T1058,20,FALSE()),"please select a BUG ID")</f>
        <v/>
      </c>
      <c r="D17" s="84" t="s">
        <v>252</v>
      </c>
      <c r="E17" s="85"/>
      <c r="F17" s="60" t="s">
        <v>260</v>
      </c>
      <c r="G17" s="63"/>
      <c r="H17" s="85"/>
      <c r="I17" s="39" t="str">
        <f>IFERROR(VLOOKUP(A17,Internal_lists_bugs!$A$2:$G1058,7,FALSE()),"please select a BUG ID")</f>
        <v>https://opendev.org/openstack/nova/commit/73515209cf09821a2fc922e1ae2c97650802fab4</v>
      </c>
      <c r="J17" s="85"/>
      <c r="K17" s="85"/>
    </row>
    <row r="18">
      <c r="A18" s="80" t="s">
        <v>50</v>
      </c>
      <c r="B18" s="59"/>
      <c r="C18" s="51" t="str">
        <f>IFERROR(VLOOKUP(A18,Internal_lists_bugs!$A$2:$T1058,20,FALSE()),"please select a BUG ID")</f>
        <v/>
      </c>
      <c r="D18" s="84" t="s">
        <v>252</v>
      </c>
      <c r="E18" s="85"/>
      <c r="F18" s="60" t="s">
        <v>261</v>
      </c>
      <c r="G18" s="63"/>
      <c r="H18" s="85"/>
      <c r="I18" s="39" t="str">
        <f>IFERROR(VLOOKUP(A18,Internal_lists_bugs!$A$2:$G1058,7,FALSE()),"please select a BUG ID")</f>
        <v>https://opendev.org/openstack/nova/commit/73515209cf09821a2fc922e1ae2c97650802fab4</v>
      </c>
      <c r="J18" s="85"/>
      <c r="K18" s="85"/>
    </row>
    <row r="19">
      <c r="A19" s="80" t="s">
        <v>50</v>
      </c>
      <c r="B19" s="59"/>
      <c r="C19" s="51" t="str">
        <f>IFERROR(VLOOKUP(A19,Internal_lists_bugs!$A$2:$T1058,20,FALSE()),"please select a BUG ID")</f>
        <v/>
      </c>
      <c r="D19" s="84" t="s">
        <v>252</v>
      </c>
      <c r="E19" s="85"/>
      <c r="F19" s="60" t="s">
        <v>262</v>
      </c>
      <c r="G19" s="61"/>
      <c r="H19" s="85"/>
      <c r="I19" s="39" t="str">
        <f>IFERROR(VLOOKUP(A19,Internal_lists_bugs!$A$2:$G1058,7,FALSE()),"please select a BUG ID")</f>
        <v>https://opendev.org/openstack/nova/commit/73515209cf09821a2fc922e1ae2c97650802fab4</v>
      </c>
      <c r="J19" s="85"/>
      <c r="K19" s="85"/>
    </row>
    <row r="20">
      <c r="A20" s="80" t="s">
        <v>50</v>
      </c>
      <c r="B20" s="59"/>
      <c r="C20" s="51" t="str">
        <f>IFERROR(VLOOKUP(A20,Internal_lists_bugs!$A$2:$T1058,20,FALSE()),"please select a BUG ID")</f>
        <v/>
      </c>
      <c r="D20" s="84" t="s">
        <v>252</v>
      </c>
      <c r="E20" s="85"/>
      <c r="F20" s="60" t="s">
        <v>263</v>
      </c>
      <c r="G20" s="61"/>
      <c r="H20" s="85"/>
      <c r="I20" s="39" t="str">
        <f>IFERROR(VLOOKUP(A20,Internal_lists_bugs!$A$2:$G1058,7,FALSE()),"please select a BUG ID")</f>
        <v>https://opendev.org/openstack/nova/commit/73515209cf09821a2fc922e1ae2c97650802fab4</v>
      </c>
      <c r="J20" s="85"/>
      <c r="K20" s="85"/>
    </row>
    <row r="21">
      <c r="A21" s="80" t="s">
        <v>50</v>
      </c>
      <c r="B21" s="59"/>
      <c r="C21" s="51" t="str">
        <f>IFERROR(VLOOKUP(A21,Internal_lists_bugs!$A$2:$T1058,20,FALSE()),"please select a BUG ID")</f>
        <v/>
      </c>
      <c r="D21" s="84" t="s">
        <v>252</v>
      </c>
      <c r="E21" s="85"/>
      <c r="F21" s="60" t="s">
        <v>264</v>
      </c>
      <c r="G21" s="61"/>
      <c r="H21" s="85"/>
      <c r="I21" s="39" t="str">
        <f>IFERROR(VLOOKUP(A21,Internal_lists_bugs!$A$2:$G1058,7,FALSE()),"please select a BUG ID")</f>
        <v>https://opendev.org/openstack/nova/commit/73515209cf09821a2fc922e1ae2c97650802fab4</v>
      </c>
      <c r="J21" s="85"/>
      <c r="K21" s="85"/>
    </row>
    <row r="22">
      <c r="A22" s="80" t="s">
        <v>50</v>
      </c>
      <c r="B22" s="59"/>
      <c r="C22" s="51" t="str">
        <f>IFERROR(VLOOKUP(A22,Internal_lists_bugs!$A$2:$T1058,20,FALSE()),"please select a BUG ID")</f>
        <v/>
      </c>
      <c r="D22" s="84" t="s">
        <v>252</v>
      </c>
      <c r="E22" s="85"/>
      <c r="F22" s="60" t="s">
        <v>265</v>
      </c>
      <c r="G22" s="61"/>
      <c r="H22" s="85"/>
      <c r="I22" s="39" t="str">
        <f>IFERROR(VLOOKUP(A22,Internal_lists_bugs!$A$2:$G1058,7,FALSE()),"please select a BUG ID")</f>
        <v>https://opendev.org/openstack/nova/commit/73515209cf09821a2fc922e1ae2c97650802fab4</v>
      </c>
      <c r="J22" s="85"/>
      <c r="K22" s="85"/>
    </row>
    <row r="23">
      <c r="A23" s="80" t="s">
        <v>50</v>
      </c>
      <c r="B23" s="59"/>
      <c r="C23" s="51" t="str">
        <f>IFERROR(VLOOKUP(A23,Internal_lists_bugs!$A$2:$T1058,20,FALSE()),"please select a BUG ID")</f>
        <v/>
      </c>
      <c r="D23" s="84" t="s">
        <v>252</v>
      </c>
      <c r="E23" s="85"/>
      <c r="F23" s="60" t="s">
        <v>266</v>
      </c>
      <c r="G23" s="61"/>
      <c r="H23" s="85"/>
      <c r="I23" s="39" t="str">
        <f>IFERROR(VLOOKUP(A23,Internal_lists_bugs!$A$2:$G1058,7,FALSE()),"please select a BUG ID")</f>
        <v>https://opendev.org/openstack/nova/commit/73515209cf09821a2fc922e1ae2c97650802fab4</v>
      </c>
      <c r="J23" s="85"/>
      <c r="K23" s="85"/>
    </row>
    <row r="24">
      <c r="A24" s="80" t="s">
        <v>50</v>
      </c>
      <c r="B24" s="59"/>
      <c r="C24" s="51" t="str">
        <f>IFERROR(VLOOKUP(A24,Internal_lists_bugs!$A$2:$T1058,20,FALSE()),"please select a BUG ID")</f>
        <v/>
      </c>
      <c r="D24" s="84" t="s">
        <v>252</v>
      </c>
      <c r="E24" s="85"/>
      <c r="F24" s="60" t="s">
        <v>267</v>
      </c>
      <c r="G24" s="61"/>
      <c r="H24" s="85"/>
      <c r="I24" s="39" t="str">
        <f>IFERROR(VLOOKUP(A24,Internal_lists_bugs!$A$2:$G1058,7,FALSE()),"please select a BUG ID")</f>
        <v>https://opendev.org/openstack/nova/commit/73515209cf09821a2fc922e1ae2c97650802fab4</v>
      </c>
      <c r="J24" s="85"/>
      <c r="K24" s="85"/>
    </row>
    <row r="25">
      <c r="A25" s="80" t="s">
        <v>50</v>
      </c>
      <c r="B25" s="59"/>
      <c r="C25" s="51" t="str">
        <f>IFERROR(VLOOKUP(A25,Internal_lists_bugs!$A$2:$T1058,20,FALSE()),"please select a BUG ID")</f>
        <v/>
      </c>
      <c r="D25" s="84" t="s">
        <v>252</v>
      </c>
      <c r="E25" s="85"/>
      <c r="F25" s="60" t="s">
        <v>268</v>
      </c>
      <c r="G25" s="61"/>
      <c r="H25" s="85"/>
      <c r="I25" s="39" t="str">
        <f>IFERROR(VLOOKUP(A25,Internal_lists_bugs!$A$2:$G1058,7,FALSE()),"please select a BUG ID")</f>
        <v>https://opendev.org/openstack/nova/commit/73515209cf09821a2fc922e1ae2c97650802fab4</v>
      </c>
      <c r="J25" s="85"/>
      <c r="K25" s="85"/>
    </row>
    <row r="26">
      <c r="A26" s="80" t="s">
        <v>50</v>
      </c>
      <c r="B26" s="59"/>
      <c r="C26" s="51" t="str">
        <f>IFERROR(VLOOKUP(A26,Internal_lists_bugs!$A$2:$T1058,20,FALSE()),"please select a BUG ID")</f>
        <v/>
      </c>
      <c r="D26" s="84" t="s">
        <v>252</v>
      </c>
      <c r="E26" s="85"/>
      <c r="F26" s="60" t="s">
        <v>269</v>
      </c>
      <c r="G26" s="61"/>
      <c r="H26" s="85"/>
      <c r="I26" s="39" t="str">
        <f>IFERROR(VLOOKUP(A26,Internal_lists_bugs!$A$2:$G1058,7,FALSE()),"please select a BUG ID")</f>
        <v>https://opendev.org/openstack/nova/commit/73515209cf09821a2fc922e1ae2c97650802fab4</v>
      </c>
      <c r="J26" s="85"/>
      <c r="K26" s="85"/>
    </row>
    <row r="27">
      <c r="A27" s="80" t="s">
        <v>50</v>
      </c>
      <c r="B27" s="59"/>
      <c r="C27" s="51" t="str">
        <f>IFERROR(VLOOKUP(A27,Internal_lists_bugs!$A$2:$T1058,20,FALSE()),"please select a BUG ID")</f>
        <v/>
      </c>
      <c r="D27" s="84" t="s">
        <v>252</v>
      </c>
      <c r="E27" s="85"/>
      <c r="F27" s="60" t="s">
        <v>270</v>
      </c>
      <c r="G27" s="61"/>
      <c r="H27" s="85"/>
      <c r="I27" s="39" t="str">
        <f>IFERROR(VLOOKUP(A27,Internal_lists_bugs!$A$2:$G1058,7,FALSE()),"please select a BUG ID")</f>
        <v>https://opendev.org/openstack/nova/commit/73515209cf09821a2fc922e1ae2c97650802fab4</v>
      </c>
      <c r="J27" s="85"/>
      <c r="K27" s="85"/>
    </row>
    <row r="28">
      <c r="A28" s="80" t="s">
        <v>50</v>
      </c>
      <c r="B28" s="59"/>
      <c r="C28" s="51" t="str">
        <f>IFERROR(VLOOKUP(A28,Internal_lists_bugs!$A$2:$T1058,20,FALSE()),"please select a BUG ID")</f>
        <v/>
      </c>
      <c r="D28" s="84" t="s">
        <v>252</v>
      </c>
      <c r="E28" s="85"/>
      <c r="F28" s="60" t="s">
        <v>271</v>
      </c>
      <c r="G28" s="61"/>
      <c r="H28" s="85"/>
      <c r="I28" s="39" t="str">
        <f>IFERROR(VLOOKUP(A28,Internal_lists_bugs!$A$2:$G1058,7,FALSE()),"please select a BUG ID")</f>
        <v>https://opendev.org/openstack/nova/commit/73515209cf09821a2fc922e1ae2c97650802fab4</v>
      </c>
      <c r="J28" s="85"/>
      <c r="K28" s="85"/>
    </row>
    <row r="29">
      <c r="A29" s="80" t="s">
        <v>50</v>
      </c>
      <c r="B29" s="59"/>
      <c r="C29" s="51" t="str">
        <f>IFERROR(VLOOKUP(A29,Internal_lists_bugs!$A$2:$T1058,20,FALSE()),"please select a BUG ID")</f>
        <v/>
      </c>
      <c r="D29" s="84" t="s">
        <v>252</v>
      </c>
      <c r="E29" s="85"/>
      <c r="F29" s="60" t="s">
        <v>272</v>
      </c>
      <c r="G29" s="61"/>
      <c r="H29" s="85"/>
      <c r="I29" s="39" t="str">
        <f>IFERROR(VLOOKUP(A29,Internal_lists_bugs!$A$2:$G1058,7,FALSE()),"please select a BUG ID")</f>
        <v>https://opendev.org/openstack/nova/commit/73515209cf09821a2fc922e1ae2c97650802fab4</v>
      </c>
      <c r="J29" s="85"/>
      <c r="K29" s="85"/>
    </row>
    <row r="30">
      <c r="A30" s="80" t="s">
        <v>50</v>
      </c>
      <c r="B30" s="59"/>
      <c r="C30" s="51" t="str">
        <f>IFERROR(VLOOKUP(A30,Internal_lists_bugs!$A$2:$T1058,20,FALSE()),"please select a BUG ID")</f>
        <v/>
      </c>
      <c r="D30" s="84" t="s">
        <v>252</v>
      </c>
      <c r="E30" s="85"/>
      <c r="F30" s="60" t="s">
        <v>273</v>
      </c>
      <c r="G30" s="61"/>
      <c r="H30" s="85"/>
      <c r="I30" s="39" t="str">
        <f>IFERROR(VLOOKUP(A30,Internal_lists_bugs!$A$2:$G1058,7,FALSE()),"please select a BUG ID")</f>
        <v>https://opendev.org/openstack/nova/commit/73515209cf09821a2fc922e1ae2c97650802fab4</v>
      </c>
      <c r="J30" s="85"/>
      <c r="K30" s="85"/>
    </row>
    <row r="31">
      <c r="A31" s="80" t="s">
        <v>51</v>
      </c>
      <c r="B31" s="59"/>
      <c r="C31" s="51" t="str">
        <f>IFERROR(VLOOKUP(A31,Internal_lists_bugs!$A$2:$T1058,20,FALSE()),"please select a BUG ID")</f>
        <v/>
      </c>
      <c r="D31" s="84" t="s">
        <v>252</v>
      </c>
      <c r="E31" s="80" t="s">
        <v>253</v>
      </c>
      <c r="F31" s="60" t="s">
        <v>134</v>
      </c>
      <c r="G31" s="61" t="s">
        <v>120</v>
      </c>
      <c r="H31" s="85"/>
      <c r="I31" s="39" t="str">
        <f>IFERROR(VLOOKUP(A31,Internal_lists_bugs!$A$2:$G1058,7,FALSE()),"please select a BUG ID")</f>
        <v>https://opendev.org/openstack/nova/commit/98dcd0dc6fe19ab243556874e4f0910e78484e02</v>
      </c>
      <c r="J31" s="85"/>
      <c r="K31" s="85"/>
    </row>
    <row r="32">
      <c r="A32" s="80" t="s">
        <v>51</v>
      </c>
      <c r="B32" s="59"/>
      <c r="C32" s="51" t="str">
        <f>IFERROR(VLOOKUP(A32,Internal_lists_bugs!$A$2:$T1058,20,FALSE()),"please select a BUG ID")</f>
        <v/>
      </c>
      <c r="D32" s="84" t="s">
        <v>252</v>
      </c>
      <c r="E32" s="85"/>
      <c r="F32" s="60" t="s">
        <v>254</v>
      </c>
      <c r="G32" s="61"/>
      <c r="H32" s="85"/>
      <c r="I32" s="39" t="str">
        <f>IFERROR(VLOOKUP(A32,Internal_lists_bugs!$A$2:$G1058,7,FALSE()),"please select a BUG ID")</f>
        <v>https://opendev.org/openstack/nova/commit/98dcd0dc6fe19ab243556874e4f0910e78484e02</v>
      </c>
      <c r="J32" s="85"/>
      <c r="K32" s="85"/>
    </row>
    <row r="33">
      <c r="A33" s="80" t="s">
        <v>51</v>
      </c>
      <c r="B33" s="59"/>
      <c r="C33" s="51" t="str">
        <f>IFERROR(VLOOKUP(A33,Internal_lists_bugs!$A$2:$T1058,20,FALSE()),"please select a BUG ID")</f>
        <v/>
      </c>
      <c r="D33" s="84" t="s">
        <v>252</v>
      </c>
      <c r="E33" s="85"/>
      <c r="F33" s="60" t="s">
        <v>255</v>
      </c>
      <c r="G33" s="61"/>
      <c r="H33" s="85"/>
      <c r="I33" s="39" t="str">
        <f>IFERROR(VLOOKUP(A33,Internal_lists_bugs!$A$2:$G1058,7,FALSE()),"please select a BUG ID")</f>
        <v>https://opendev.org/openstack/nova/commit/98dcd0dc6fe19ab243556874e4f0910e78484e02</v>
      </c>
      <c r="J33" s="85"/>
      <c r="K33" s="85"/>
    </row>
    <row r="34">
      <c r="A34" s="80" t="s">
        <v>51</v>
      </c>
      <c r="B34" s="59"/>
      <c r="C34" s="51" t="str">
        <f>IFERROR(VLOOKUP(A34,Internal_lists_bugs!$A$2:$T1058,20,FALSE()),"please select a BUG ID")</f>
        <v/>
      </c>
      <c r="D34" s="84" t="s">
        <v>252</v>
      </c>
      <c r="E34" s="85"/>
      <c r="F34" s="60" t="s">
        <v>248</v>
      </c>
      <c r="G34" s="61"/>
      <c r="H34" s="85"/>
      <c r="I34" s="39" t="str">
        <f>IFERROR(VLOOKUP(A34,Internal_lists_bugs!$A$2:$G1058,7,FALSE()),"please select a BUG ID")</f>
        <v>https://opendev.org/openstack/nova/commit/98dcd0dc6fe19ab243556874e4f0910e78484e02</v>
      </c>
      <c r="J34" s="85"/>
      <c r="K34" s="85"/>
    </row>
    <row r="35">
      <c r="A35" s="80" t="s">
        <v>51</v>
      </c>
      <c r="B35" s="59"/>
      <c r="C35" s="51" t="str">
        <f>IFERROR(VLOOKUP(A35,Internal_lists_bugs!$A$2:$T1058,20,FALSE()),"please select a BUG ID")</f>
        <v/>
      </c>
      <c r="D35" s="84" t="s">
        <v>252</v>
      </c>
      <c r="E35" s="85"/>
      <c r="F35" s="60" t="s">
        <v>256</v>
      </c>
      <c r="G35" s="61"/>
      <c r="H35" s="85"/>
      <c r="I35" s="39" t="str">
        <f>IFERROR(VLOOKUP(A35,Internal_lists_bugs!$A$2:$G1058,7,FALSE()),"please select a BUG ID")</f>
        <v>https://opendev.org/openstack/nova/commit/98dcd0dc6fe19ab243556874e4f0910e78484e02</v>
      </c>
      <c r="J35" s="85"/>
      <c r="K35" s="85"/>
    </row>
    <row r="36">
      <c r="A36" s="80" t="s">
        <v>51</v>
      </c>
      <c r="B36" s="59"/>
      <c r="C36" s="51" t="str">
        <f>IFERROR(VLOOKUP(A36,Internal_lists_bugs!$A$2:$T1058,20,FALSE()),"please select a BUG ID")</f>
        <v/>
      </c>
      <c r="D36" s="84" t="s">
        <v>252</v>
      </c>
      <c r="E36" s="85"/>
      <c r="F36" s="60" t="s">
        <v>257</v>
      </c>
      <c r="G36" s="61"/>
      <c r="H36" s="85"/>
      <c r="I36" s="39" t="str">
        <f>IFERROR(VLOOKUP(A36,Internal_lists_bugs!$A$2:$G1058,7,FALSE()),"please select a BUG ID")</f>
        <v>https://opendev.org/openstack/nova/commit/98dcd0dc6fe19ab243556874e4f0910e78484e02</v>
      </c>
      <c r="J36" s="85"/>
      <c r="K36" s="85"/>
    </row>
    <row r="37">
      <c r="A37" s="80" t="s">
        <v>51</v>
      </c>
      <c r="B37" s="59"/>
      <c r="C37" s="51" t="str">
        <f>IFERROR(VLOOKUP(A37,Internal_lists_bugs!$A$2:$T1058,20,FALSE()),"please select a BUG ID")</f>
        <v/>
      </c>
      <c r="D37" s="84" t="s">
        <v>252</v>
      </c>
      <c r="E37" s="85"/>
      <c r="F37" s="60" t="s">
        <v>258</v>
      </c>
      <c r="G37" s="61"/>
      <c r="H37" s="85"/>
      <c r="I37" s="39" t="str">
        <f>IFERROR(VLOOKUP(A37,Internal_lists_bugs!$A$2:$G1058,7,FALSE()),"please select a BUG ID")</f>
        <v>https://opendev.org/openstack/nova/commit/98dcd0dc6fe19ab243556874e4f0910e78484e02</v>
      </c>
      <c r="J37" s="85"/>
      <c r="K37" s="85"/>
    </row>
    <row r="38">
      <c r="A38" s="80" t="s">
        <v>51</v>
      </c>
      <c r="B38" s="59"/>
      <c r="C38" s="51" t="str">
        <f>IFERROR(VLOOKUP(A38,Internal_lists_bugs!$A$2:$T1058,20,FALSE()),"please select a BUG ID")</f>
        <v/>
      </c>
      <c r="D38" s="84" t="s">
        <v>252</v>
      </c>
      <c r="E38" s="85"/>
      <c r="F38" s="60" t="s">
        <v>249</v>
      </c>
      <c r="G38" s="61"/>
      <c r="H38" s="85"/>
      <c r="I38" s="39" t="str">
        <f>IFERROR(VLOOKUP(A38,Internal_lists_bugs!$A$2:$G1058,7,FALSE()),"please select a BUG ID")</f>
        <v>https://opendev.org/openstack/nova/commit/98dcd0dc6fe19ab243556874e4f0910e78484e02</v>
      </c>
      <c r="J38" s="85"/>
      <c r="K38" s="85"/>
    </row>
    <row r="39">
      <c r="A39" s="80" t="s">
        <v>51</v>
      </c>
      <c r="B39" s="59"/>
      <c r="C39" s="51" t="str">
        <f>IFERROR(VLOOKUP(A39,Internal_lists_bugs!$A$2:$T1058,20,FALSE()),"please select a BUG ID")</f>
        <v/>
      </c>
      <c r="D39" s="84" t="s">
        <v>252</v>
      </c>
      <c r="E39" s="85"/>
      <c r="F39" s="60" t="s">
        <v>259</v>
      </c>
      <c r="G39" s="63"/>
      <c r="H39" s="85"/>
      <c r="I39" s="39" t="str">
        <f>IFERROR(VLOOKUP(A39,Internal_lists_bugs!$A$2:$G1058,7,FALSE()),"please select a BUG ID")</f>
        <v>https://opendev.org/openstack/nova/commit/98dcd0dc6fe19ab243556874e4f0910e78484e02</v>
      </c>
      <c r="J39" s="85"/>
      <c r="K39" s="85"/>
    </row>
    <row r="40">
      <c r="A40" s="80" t="s">
        <v>51</v>
      </c>
      <c r="B40" s="59"/>
      <c r="C40" s="51" t="str">
        <f>IFERROR(VLOOKUP(A40,Internal_lists_bugs!$A$2:$T1058,20,FALSE()),"please select a BUG ID")</f>
        <v/>
      </c>
      <c r="D40" s="84" t="s">
        <v>252</v>
      </c>
      <c r="E40" s="85"/>
      <c r="F40" s="60" t="s">
        <v>260</v>
      </c>
      <c r="G40" s="63"/>
      <c r="H40" s="85"/>
      <c r="I40" s="39" t="str">
        <f>IFERROR(VLOOKUP(A40,Internal_lists_bugs!$A$2:$G1058,7,FALSE()),"please select a BUG ID")</f>
        <v>https://opendev.org/openstack/nova/commit/98dcd0dc6fe19ab243556874e4f0910e78484e02</v>
      </c>
      <c r="J40" s="85"/>
      <c r="K40" s="85"/>
    </row>
    <row r="41">
      <c r="A41" s="80" t="s">
        <v>51</v>
      </c>
      <c r="B41" s="59"/>
      <c r="C41" s="51" t="str">
        <f>IFERROR(VLOOKUP(A41,Internal_lists_bugs!$A$2:$T1058,20,FALSE()),"please select a BUG ID")</f>
        <v/>
      </c>
      <c r="D41" s="84" t="s">
        <v>252</v>
      </c>
      <c r="E41" s="85"/>
      <c r="F41" s="60" t="s">
        <v>261</v>
      </c>
      <c r="G41" s="63"/>
      <c r="H41" s="85"/>
      <c r="I41" s="39" t="str">
        <f>IFERROR(VLOOKUP(A41,Internal_lists_bugs!$A$2:$G1058,7,FALSE()),"please select a BUG ID")</f>
        <v>https://opendev.org/openstack/nova/commit/98dcd0dc6fe19ab243556874e4f0910e78484e02</v>
      </c>
      <c r="J41" s="85"/>
      <c r="K41" s="85"/>
    </row>
    <row r="42">
      <c r="A42" s="80" t="s">
        <v>51</v>
      </c>
      <c r="B42" s="59"/>
      <c r="C42" s="51" t="str">
        <f>IFERROR(VLOOKUP(A42,Internal_lists_bugs!$A$2:$T1058,20,FALSE()),"please select a BUG ID")</f>
        <v/>
      </c>
      <c r="D42" s="84" t="s">
        <v>252</v>
      </c>
      <c r="E42" s="85"/>
      <c r="F42" s="60" t="s">
        <v>262</v>
      </c>
      <c r="G42" s="61"/>
      <c r="H42" s="85"/>
      <c r="I42" s="39" t="str">
        <f>IFERROR(VLOOKUP(A42,Internal_lists_bugs!$A$2:$G1058,7,FALSE()),"please select a BUG ID")</f>
        <v>https://opendev.org/openstack/nova/commit/98dcd0dc6fe19ab243556874e4f0910e78484e02</v>
      </c>
      <c r="J42" s="85"/>
      <c r="K42" s="85"/>
    </row>
    <row r="43">
      <c r="A43" s="80" t="s">
        <v>51</v>
      </c>
      <c r="B43" s="59"/>
      <c r="C43" s="51" t="str">
        <f>IFERROR(VLOOKUP(A43,Internal_lists_bugs!$A$2:$T1058,20,FALSE()),"please select a BUG ID")</f>
        <v/>
      </c>
      <c r="D43" s="84" t="s">
        <v>252</v>
      </c>
      <c r="E43" s="85"/>
      <c r="F43" s="60" t="s">
        <v>263</v>
      </c>
      <c r="G43" s="61"/>
      <c r="H43" s="85"/>
      <c r="I43" s="39" t="str">
        <f>IFERROR(VLOOKUP(A43,Internal_lists_bugs!$A$2:$G1058,7,FALSE()),"please select a BUG ID")</f>
        <v>https://opendev.org/openstack/nova/commit/98dcd0dc6fe19ab243556874e4f0910e78484e02</v>
      </c>
      <c r="J43" s="85"/>
      <c r="K43" s="85"/>
    </row>
    <row r="44">
      <c r="A44" s="80" t="s">
        <v>51</v>
      </c>
      <c r="B44" s="59"/>
      <c r="C44" s="51" t="str">
        <f>IFERROR(VLOOKUP(A44,Internal_lists_bugs!$A$2:$T1058,20,FALSE()),"please select a BUG ID")</f>
        <v/>
      </c>
      <c r="D44" s="84" t="s">
        <v>252</v>
      </c>
      <c r="E44" s="85"/>
      <c r="F44" s="60" t="s">
        <v>264</v>
      </c>
      <c r="G44" s="61"/>
      <c r="H44" s="85"/>
      <c r="I44" s="39" t="str">
        <f>IFERROR(VLOOKUP(A44,Internal_lists_bugs!$A$2:$G1058,7,FALSE()),"please select a BUG ID")</f>
        <v>https://opendev.org/openstack/nova/commit/98dcd0dc6fe19ab243556874e4f0910e78484e02</v>
      </c>
      <c r="J44" s="85"/>
      <c r="K44" s="85"/>
    </row>
    <row r="45">
      <c r="A45" s="80" t="s">
        <v>51</v>
      </c>
      <c r="B45" s="59"/>
      <c r="C45" s="51" t="str">
        <f>IFERROR(VLOOKUP(A45,Internal_lists_bugs!$A$2:$T1058,20,FALSE()),"please select a BUG ID")</f>
        <v/>
      </c>
      <c r="D45" s="84" t="s">
        <v>252</v>
      </c>
      <c r="E45" s="85"/>
      <c r="F45" s="60" t="s">
        <v>265</v>
      </c>
      <c r="G45" s="61"/>
      <c r="H45" s="85"/>
      <c r="I45" s="39" t="str">
        <f>IFERROR(VLOOKUP(A45,Internal_lists_bugs!$A$2:$G1058,7,FALSE()),"please select a BUG ID")</f>
        <v>https://opendev.org/openstack/nova/commit/98dcd0dc6fe19ab243556874e4f0910e78484e02</v>
      </c>
      <c r="J45" s="85"/>
      <c r="K45" s="85"/>
    </row>
    <row r="46">
      <c r="A46" s="80" t="s">
        <v>51</v>
      </c>
      <c r="B46" s="59"/>
      <c r="C46" s="51" t="str">
        <f>IFERROR(VLOOKUP(A46,Internal_lists_bugs!$A$2:$T1058,20,FALSE()),"please select a BUG ID")</f>
        <v/>
      </c>
      <c r="D46" s="84" t="s">
        <v>252</v>
      </c>
      <c r="E46" s="85"/>
      <c r="F46" s="60" t="s">
        <v>266</v>
      </c>
      <c r="G46" s="61"/>
      <c r="H46" s="85"/>
      <c r="I46" s="39" t="str">
        <f>IFERROR(VLOOKUP(A46,Internal_lists_bugs!$A$2:$G1058,7,FALSE()),"please select a BUG ID")</f>
        <v>https://opendev.org/openstack/nova/commit/98dcd0dc6fe19ab243556874e4f0910e78484e02</v>
      </c>
      <c r="J46" s="85"/>
      <c r="K46" s="85"/>
    </row>
    <row r="47">
      <c r="A47" s="80" t="s">
        <v>51</v>
      </c>
      <c r="B47" s="59"/>
      <c r="C47" s="51" t="str">
        <f>IFERROR(VLOOKUP(A47,Internal_lists_bugs!$A$2:$T1058,20,FALSE()),"please select a BUG ID")</f>
        <v/>
      </c>
      <c r="D47" s="84" t="s">
        <v>252</v>
      </c>
      <c r="E47" s="85"/>
      <c r="F47" s="60" t="s">
        <v>267</v>
      </c>
      <c r="G47" s="61"/>
      <c r="H47" s="85"/>
      <c r="I47" s="39" t="str">
        <f>IFERROR(VLOOKUP(A47,Internal_lists_bugs!$A$2:$G1058,7,FALSE()),"please select a BUG ID")</f>
        <v>https://opendev.org/openstack/nova/commit/98dcd0dc6fe19ab243556874e4f0910e78484e02</v>
      </c>
      <c r="J47" s="85"/>
      <c r="K47" s="85"/>
    </row>
    <row r="48">
      <c r="A48" s="80" t="s">
        <v>51</v>
      </c>
      <c r="B48" s="59"/>
      <c r="C48" s="51" t="str">
        <f>IFERROR(VLOOKUP(A48,Internal_lists_bugs!$A$2:$T1058,20,FALSE()),"please select a BUG ID")</f>
        <v/>
      </c>
      <c r="D48" s="84" t="s">
        <v>252</v>
      </c>
      <c r="E48" s="85"/>
      <c r="F48" s="60" t="s">
        <v>268</v>
      </c>
      <c r="G48" s="61"/>
      <c r="H48" s="85"/>
      <c r="I48" s="39" t="str">
        <f>IFERROR(VLOOKUP(A48,Internal_lists_bugs!$A$2:$G1058,7,FALSE()),"please select a BUG ID")</f>
        <v>https://opendev.org/openstack/nova/commit/98dcd0dc6fe19ab243556874e4f0910e78484e02</v>
      </c>
      <c r="J48" s="85"/>
      <c r="K48" s="85"/>
    </row>
    <row r="49">
      <c r="A49" s="80" t="s">
        <v>51</v>
      </c>
      <c r="B49" s="59"/>
      <c r="C49" s="51" t="str">
        <f>IFERROR(VLOOKUP(A49,Internal_lists_bugs!$A$2:$T1058,20,FALSE()),"please select a BUG ID")</f>
        <v/>
      </c>
      <c r="D49" s="84" t="s">
        <v>252</v>
      </c>
      <c r="E49" s="85"/>
      <c r="F49" s="60" t="s">
        <v>269</v>
      </c>
      <c r="G49" s="61"/>
      <c r="H49" s="85"/>
      <c r="I49" s="39" t="str">
        <f>IFERROR(VLOOKUP(A49,Internal_lists_bugs!$A$2:$G1058,7,FALSE()),"please select a BUG ID")</f>
        <v>https://opendev.org/openstack/nova/commit/98dcd0dc6fe19ab243556874e4f0910e78484e02</v>
      </c>
      <c r="J49" s="85"/>
      <c r="K49" s="85"/>
    </row>
    <row r="50">
      <c r="A50" s="80" t="s">
        <v>51</v>
      </c>
      <c r="B50" s="59"/>
      <c r="C50" s="51" t="str">
        <f>IFERROR(VLOOKUP(A50,Internal_lists_bugs!$A$2:$T1058,20,FALSE()),"please select a BUG ID")</f>
        <v/>
      </c>
      <c r="D50" s="84" t="s">
        <v>252</v>
      </c>
      <c r="E50" s="85"/>
      <c r="F50" s="60" t="s">
        <v>270</v>
      </c>
      <c r="G50" s="61"/>
      <c r="H50" s="85"/>
      <c r="I50" s="39" t="str">
        <f>IFERROR(VLOOKUP(A50,Internal_lists_bugs!$A$2:$G1058,7,FALSE()),"please select a BUG ID")</f>
        <v>https://opendev.org/openstack/nova/commit/98dcd0dc6fe19ab243556874e4f0910e78484e02</v>
      </c>
      <c r="J50" s="85"/>
      <c r="K50" s="85"/>
    </row>
    <row r="51">
      <c r="A51" s="80" t="s">
        <v>51</v>
      </c>
      <c r="B51" s="59"/>
      <c r="C51" s="51" t="str">
        <f>IFERROR(VLOOKUP(A51,Internal_lists_bugs!$A$2:$T1058,20,FALSE()),"please select a BUG ID")</f>
        <v/>
      </c>
      <c r="D51" s="84" t="s">
        <v>252</v>
      </c>
      <c r="E51" s="85"/>
      <c r="F51" s="60" t="s">
        <v>271</v>
      </c>
      <c r="G51" s="61"/>
      <c r="H51" s="85"/>
      <c r="I51" s="39" t="str">
        <f>IFERROR(VLOOKUP(A51,Internal_lists_bugs!$A$2:$G1058,7,FALSE()),"please select a BUG ID")</f>
        <v>https://opendev.org/openstack/nova/commit/98dcd0dc6fe19ab243556874e4f0910e78484e02</v>
      </c>
      <c r="J51" s="85"/>
      <c r="K51" s="85"/>
    </row>
    <row r="52">
      <c r="A52" s="80" t="s">
        <v>51</v>
      </c>
      <c r="B52" s="59"/>
      <c r="C52" s="51" t="str">
        <f>IFERROR(VLOOKUP(A52,Internal_lists_bugs!$A$2:$T1058,20,FALSE()),"please select a BUG ID")</f>
        <v/>
      </c>
      <c r="D52" s="84" t="s">
        <v>252</v>
      </c>
      <c r="E52" s="85"/>
      <c r="F52" s="60" t="s">
        <v>272</v>
      </c>
      <c r="G52" s="61"/>
      <c r="H52" s="85"/>
      <c r="I52" s="39" t="str">
        <f>IFERROR(VLOOKUP(A52,Internal_lists_bugs!$A$2:$G1058,7,FALSE()),"please select a BUG ID")</f>
        <v>https://opendev.org/openstack/nova/commit/98dcd0dc6fe19ab243556874e4f0910e78484e02</v>
      </c>
      <c r="J52" s="85"/>
      <c r="K52" s="85"/>
    </row>
    <row r="53">
      <c r="A53" s="80" t="s">
        <v>51</v>
      </c>
      <c r="B53" s="59"/>
      <c r="C53" s="51" t="str">
        <f>IFERROR(VLOOKUP(A53,Internal_lists_bugs!$A$2:$T1058,20,FALSE()),"please select a BUG ID")</f>
        <v/>
      </c>
      <c r="D53" s="84" t="s">
        <v>252</v>
      </c>
      <c r="E53" s="85"/>
      <c r="F53" s="60" t="s">
        <v>273</v>
      </c>
      <c r="G53" s="61"/>
      <c r="H53" s="85"/>
      <c r="I53" s="39" t="str">
        <f>IFERROR(VLOOKUP(A53,Internal_lists_bugs!$A$2:$G1058,7,FALSE()),"please select a BUG ID")</f>
        <v>https://opendev.org/openstack/nova/commit/98dcd0dc6fe19ab243556874e4f0910e78484e02</v>
      </c>
      <c r="J53" s="85"/>
      <c r="K53" s="85"/>
    </row>
    <row r="54">
      <c r="A54" s="80" t="s">
        <v>32</v>
      </c>
      <c r="B54" s="59"/>
      <c r="C54" s="51" t="str">
        <f>IFERROR(VLOOKUP(A54,Internal_lists_bugs!$A$2:$T1058,20,FALSE()),"please select a BUG ID")</f>
        <v/>
      </c>
      <c r="D54" s="84" t="s">
        <v>274</v>
      </c>
      <c r="E54" s="80" t="s">
        <v>253</v>
      </c>
      <c r="F54" s="60" t="s">
        <v>134</v>
      </c>
      <c r="G54" s="63"/>
      <c r="H54" s="85"/>
      <c r="I54" s="39" t="str">
        <f>IFERROR(VLOOKUP(A54,Internal_lists_bugs!$A$2:$G1058,7,FALSE()),"please select a BUG ID")</f>
        <v>https://opendev.org/openstack/nova/commit/990561227d1cdadc1ae91fdcc74286a47f0ddf2c</v>
      </c>
      <c r="J54" s="85"/>
      <c r="K54" s="85"/>
    </row>
    <row r="55">
      <c r="A55" s="80" t="s">
        <v>32</v>
      </c>
      <c r="B55" s="59"/>
      <c r="C55" s="51" t="str">
        <f>IFERROR(VLOOKUP(A55,Internal_lists_bugs!$A$2:$T1058,20,FALSE()),"please select a BUG ID")</f>
        <v/>
      </c>
      <c r="D55" s="84" t="s">
        <v>274</v>
      </c>
      <c r="E55" s="85"/>
      <c r="F55" s="60" t="s">
        <v>275</v>
      </c>
      <c r="G55" s="61"/>
      <c r="H55" s="85"/>
      <c r="I55" s="39" t="str">
        <f>IFERROR(VLOOKUP(A55,Internal_lists_bugs!$A$2:$G1058,7,FALSE()),"please select a BUG ID")</f>
        <v>https://opendev.org/openstack/nova/commit/990561227d1cdadc1ae91fdcc74286a47f0ddf2c</v>
      </c>
      <c r="J55" s="85"/>
      <c r="K55" s="85"/>
    </row>
    <row r="56">
      <c r="A56" s="80" t="s">
        <v>32</v>
      </c>
      <c r="B56" s="59"/>
      <c r="C56" s="51" t="str">
        <f>IFERROR(VLOOKUP(A56,Internal_lists_bugs!$A$2:$T1058,20,FALSE()),"please select a BUG ID")</f>
        <v/>
      </c>
      <c r="D56" s="84" t="s">
        <v>274</v>
      </c>
      <c r="E56" s="85"/>
      <c r="F56" s="60" t="s">
        <v>248</v>
      </c>
      <c r="G56" s="61"/>
      <c r="H56" s="85"/>
      <c r="I56" s="39" t="str">
        <f>IFERROR(VLOOKUP(A56,Internal_lists_bugs!$A$2:$G1058,7,FALSE()),"please select a BUG ID")</f>
        <v>https://opendev.org/openstack/nova/commit/990561227d1cdadc1ae91fdcc74286a47f0ddf2c</v>
      </c>
      <c r="J56" s="85"/>
      <c r="K56" s="85"/>
    </row>
    <row r="57">
      <c r="A57" s="80" t="s">
        <v>32</v>
      </c>
      <c r="B57" s="59"/>
      <c r="C57" s="51" t="str">
        <f>IFERROR(VLOOKUP(A57,Internal_lists_bugs!$A$2:$T1058,20,FALSE()),"please select a BUG ID")</f>
        <v/>
      </c>
      <c r="D57" s="84" t="s">
        <v>274</v>
      </c>
      <c r="E57" s="85"/>
      <c r="F57" s="60" t="s">
        <v>249</v>
      </c>
      <c r="G57" s="61"/>
      <c r="H57" s="85"/>
      <c r="I57" s="39" t="str">
        <f>IFERROR(VLOOKUP(A57,Internal_lists_bugs!$A$2:$G1058,7,FALSE()),"please select a BUG ID")</f>
        <v>https://opendev.org/openstack/nova/commit/990561227d1cdadc1ae91fdcc74286a47f0ddf2c</v>
      </c>
      <c r="J57" s="85"/>
      <c r="K57" s="85"/>
    </row>
    <row r="58">
      <c r="A58" s="80" t="s">
        <v>32</v>
      </c>
      <c r="B58" s="59"/>
      <c r="C58" s="51" t="str">
        <f>IFERROR(VLOOKUP(A58,Internal_lists_bugs!$A$2:$T1058,20,FALSE()),"please select a BUG ID")</f>
        <v/>
      </c>
      <c r="D58" s="84" t="s">
        <v>274</v>
      </c>
      <c r="E58" s="85"/>
      <c r="F58" s="60" t="s">
        <v>276</v>
      </c>
      <c r="G58" s="61"/>
      <c r="H58" s="85"/>
      <c r="I58" s="39" t="str">
        <f>IFERROR(VLOOKUP(A58,Internal_lists_bugs!$A$2:$G1058,7,FALSE()),"please select a BUG ID")</f>
        <v>https://opendev.org/openstack/nova/commit/990561227d1cdadc1ae91fdcc74286a47f0ddf2c</v>
      </c>
      <c r="J58" s="85"/>
      <c r="K58" s="85"/>
    </row>
    <row r="59">
      <c r="A59" s="80" t="s">
        <v>32</v>
      </c>
      <c r="B59" s="59"/>
      <c r="C59" s="51" t="str">
        <f>IFERROR(VLOOKUP(A59,Internal_lists_bugs!$A$2:$T1058,20,FALSE()),"please select a BUG ID")</f>
        <v/>
      </c>
      <c r="D59" s="84" t="s">
        <v>274</v>
      </c>
      <c r="E59" s="85"/>
      <c r="F59" s="60" t="s">
        <v>261</v>
      </c>
      <c r="G59" s="61"/>
      <c r="H59" s="85"/>
      <c r="I59" s="39" t="str">
        <f>IFERROR(VLOOKUP(A59,Internal_lists_bugs!$A$2:$G1058,7,FALSE()),"please select a BUG ID")</f>
        <v>https://opendev.org/openstack/nova/commit/990561227d1cdadc1ae91fdcc74286a47f0ddf2c</v>
      </c>
      <c r="J59" s="85"/>
      <c r="K59" s="85"/>
    </row>
    <row r="60">
      <c r="A60" s="80" t="s">
        <v>32</v>
      </c>
      <c r="B60" s="59"/>
      <c r="C60" s="51" t="str">
        <f>IFERROR(VLOOKUP(A60,Internal_lists_bugs!$A$2:$T1058,20,FALSE()),"please select a BUG ID")</f>
        <v/>
      </c>
      <c r="D60" s="84" t="s">
        <v>274</v>
      </c>
      <c r="E60" s="85"/>
      <c r="F60" s="60" t="s">
        <v>277</v>
      </c>
      <c r="G60" s="61"/>
      <c r="H60" s="85"/>
      <c r="I60" s="39" t="str">
        <f>IFERROR(VLOOKUP(A60,Internal_lists_bugs!$A$2:$G1058,7,FALSE()),"please select a BUG ID")</f>
        <v>https://opendev.org/openstack/nova/commit/990561227d1cdadc1ae91fdcc74286a47f0ddf2c</v>
      </c>
      <c r="J60" s="85"/>
      <c r="K60" s="85"/>
    </row>
    <row r="61">
      <c r="A61" s="80" t="s">
        <v>32</v>
      </c>
      <c r="B61" s="59"/>
      <c r="C61" s="51" t="str">
        <f>IFERROR(VLOOKUP(A61,Internal_lists_bugs!$A$2:$T1058,20,FALSE()),"please select a BUG ID")</f>
        <v/>
      </c>
      <c r="D61" s="84" t="s">
        <v>274</v>
      </c>
      <c r="E61" s="85"/>
      <c r="F61" s="60" t="s">
        <v>263</v>
      </c>
      <c r="G61" s="61"/>
      <c r="H61" s="85"/>
      <c r="I61" s="39" t="str">
        <f>IFERROR(VLOOKUP(A61,Internal_lists_bugs!$A$2:$G1058,7,FALSE()),"please select a BUG ID")</f>
        <v>https://opendev.org/openstack/nova/commit/990561227d1cdadc1ae91fdcc74286a47f0ddf2c</v>
      </c>
      <c r="J61" s="85"/>
      <c r="K61" s="85"/>
    </row>
    <row r="62">
      <c r="A62" s="80" t="s">
        <v>32</v>
      </c>
      <c r="B62" s="59"/>
      <c r="C62" s="51" t="str">
        <f>IFERROR(VLOOKUP(A62,Internal_lists_bugs!$A$2:$T1058,20,FALSE()),"please select a BUG ID")</f>
        <v/>
      </c>
      <c r="D62" s="84" t="s">
        <v>274</v>
      </c>
      <c r="E62" s="85"/>
      <c r="F62" s="60" t="s">
        <v>264</v>
      </c>
      <c r="G62" s="61"/>
      <c r="H62" s="85"/>
      <c r="I62" s="39" t="str">
        <f>IFERROR(VLOOKUP(A62,Internal_lists_bugs!$A$2:$G1058,7,FALSE()),"please select a BUG ID")</f>
        <v>https://opendev.org/openstack/nova/commit/990561227d1cdadc1ae91fdcc74286a47f0ddf2c</v>
      </c>
      <c r="J62" s="85"/>
      <c r="K62" s="85"/>
    </row>
    <row r="63">
      <c r="A63" s="80" t="s">
        <v>32</v>
      </c>
      <c r="B63" s="59"/>
      <c r="C63" s="51" t="str">
        <f>IFERROR(VLOOKUP(A63,Internal_lists_bugs!$A$2:$T1058,20,FALSE()),"please select a BUG ID")</f>
        <v/>
      </c>
      <c r="D63" s="84" t="s">
        <v>274</v>
      </c>
      <c r="E63" s="85"/>
      <c r="F63" s="60" t="s">
        <v>265</v>
      </c>
      <c r="G63" s="61"/>
      <c r="H63" s="85"/>
      <c r="I63" s="39" t="str">
        <f>IFERROR(VLOOKUP(A63,Internal_lists_bugs!$A$2:$G1058,7,FALSE()),"please select a BUG ID")</f>
        <v>https://opendev.org/openstack/nova/commit/990561227d1cdadc1ae91fdcc74286a47f0ddf2c</v>
      </c>
      <c r="J63" s="85"/>
      <c r="K63" s="85"/>
    </row>
    <row r="64">
      <c r="A64" s="80" t="s">
        <v>32</v>
      </c>
      <c r="B64" s="59"/>
      <c r="C64" s="51" t="str">
        <f>IFERROR(VLOOKUP(A64,Internal_lists_bugs!$A$2:$T1058,20,FALSE()),"please select a BUG ID")</f>
        <v/>
      </c>
      <c r="D64" s="84" t="s">
        <v>274</v>
      </c>
      <c r="E64" s="85"/>
      <c r="F64" s="60" t="s">
        <v>278</v>
      </c>
      <c r="G64" s="61"/>
      <c r="H64" s="85"/>
      <c r="I64" s="39" t="str">
        <f>IFERROR(VLOOKUP(A64,Internal_lists_bugs!$A$2:$G1058,7,FALSE()),"please select a BUG ID")</f>
        <v>https://opendev.org/openstack/nova/commit/990561227d1cdadc1ae91fdcc74286a47f0ddf2c</v>
      </c>
      <c r="J64" s="85"/>
      <c r="K64" s="85"/>
    </row>
    <row r="65">
      <c r="A65" s="80" t="s">
        <v>32</v>
      </c>
      <c r="B65" s="59"/>
      <c r="C65" s="51" t="str">
        <f>IFERROR(VLOOKUP(A65,Internal_lists_bugs!$A$2:$T1058,20,FALSE()),"please select a BUG ID")</f>
        <v/>
      </c>
      <c r="D65" s="84" t="s">
        <v>274</v>
      </c>
      <c r="E65" s="85"/>
      <c r="F65" s="60" t="s">
        <v>279</v>
      </c>
      <c r="G65" s="61"/>
      <c r="H65" s="85"/>
      <c r="I65" s="39" t="str">
        <f>IFERROR(VLOOKUP(A65,Internal_lists_bugs!$A$2:$G1058,7,FALSE()),"please select a BUG ID")</f>
        <v>https://opendev.org/openstack/nova/commit/990561227d1cdadc1ae91fdcc74286a47f0ddf2c</v>
      </c>
      <c r="J65" s="85"/>
      <c r="K65" s="85"/>
    </row>
    <row r="66">
      <c r="A66" s="80" t="s">
        <v>32</v>
      </c>
      <c r="B66" s="59"/>
      <c r="C66" s="51" t="str">
        <f>IFERROR(VLOOKUP(A66,Internal_lists_bugs!$A$2:$T1058,20,FALSE()),"please select a BUG ID")</f>
        <v/>
      </c>
      <c r="D66" s="84" t="s">
        <v>274</v>
      </c>
      <c r="E66" s="85"/>
      <c r="F66" s="60" t="s">
        <v>268</v>
      </c>
      <c r="G66" s="61"/>
      <c r="H66" s="85"/>
      <c r="I66" s="39" t="str">
        <f>IFERROR(VLOOKUP(A66,Internal_lists_bugs!$A$2:$G1058,7,FALSE()),"please select a BUG ID")</f>
        <v>https://opendev.org/openstack/nova/commit/990561227d1cdadc1ae91fdcc74286a47f0ddf2c</v>
      </c>
      <c r="J66" s="85"/>
      <c r="K66" s="85"/>
    </row>
    <row r="67">
      <c r="A67" s="80" t="s">
        <v>32</v>
      </c>
      <c r="B67" s="59"/>
      <c r="C67" s="51" t="str">
        <f>IFERROR(VLOOKUP(A67,Internal_lists_bugs!$A$2:$T1058,20,FALSE()),"please select a BUG ID")</f>
        <v/>
      </c>
      <c r="D67" s="84" t="s">
        <v>274</v>
      </c>
      <c r="E67" s="85"/>
      <c r="F67" s="60" t="s">
        <v>269</v>
      </c>
      <c r="G67" s="61"/>
      <c r="H67" s="85"/>
      <c r="I67" s="39" t="str">
        <f>IFERROR(VLOOKUP(A67,Internal_lists_bugs!$A$2:$G1058,7,FALSE()),"please select a BUG ID")</f>
        <v>https://opendev.org/openstack/nova/commit/990561227d1cdadc1ae91fdcc74286a47f0ddf2c</v>
      </c>
      <c r="J67" s="85"/>
      <c r="K67" s="85"/>
    </row>
    <row r="68">
      <c r="A68" s="80" t="s">
        <v>32</v>
      </c>
      <c r="B68" s="59"/>
      <c r="C68" s="51" t="str">
        <f>IFERROR(VLOOKUP(A68,Internal_lists_bugs!$A$2:$T1058,20,FALSE()),"please select a BUG ID")</f>
        <v/>
      </c>
      <c r="D68" s="84" t="s">
        <v>274</v>
      </c>
      <c r="E68" s="85"/>
      <c r="F68" s="60" t="s">
        <v>270</v>
      </c>
      <c r="G68" s="61"/>
      <c r="H68" s="85"/>
      <c r="I68" s="39" t="str">
        <f>IFERROR(VLOOKUP(A68,Internal_lists_bugs!$A$2:$G1058,7,FALSE()),"please select a BUG ID")</f>
        <v>https://opendev.org/openstack/nova/commit/990561227d1cdadc1ae91fdcc74286a47f0ddf2c</v>
      </c>
      <c r="J68" s="85"/>
      <c r="K68" s="85"/>
    </row>
    <row r="69">
      <c r="A69" s="80" t="s">
        <v>32</v>
      </c>
      <c r="B69" s="59"/>
      <c r="C69" s="51" t="str">
        <f>IFERROR(VLOOKUP(A69,Internal_lists_bugs!$A$2:$T1058,20,FALSE()),"please select a BUG ID")</f>
        <v/>
      </c>
      <c r="D69" s="84" t="s">
        <v>274</v>
      </c>
      <c r="E69" s="85"/>
      <c r="F69" s="60" t="s">
        <v>280</v>
      </c>
      <c r="G69" s="61"/>
      <c r="H69" s="85"/>
      <c r="I69" s="39" t="str">
        <f>IFERROR(VLOOKUP(A69,Internal_lists_bugs!$A$2:$G1058,7,FALSE()),"please select a BUG ID")</f>
        <v>https://opendev.org/openstack/nova/commit/990561227d1cdadc1ae91fdcc74286a47f0ddf2c</v>
      </c>
      <c r="J69" s="85"/>
      <c r="K69" s="85"/>
    </row>
    <row r="70">
      <c r="A70" s="80" t="s">
        <v>32</v>
      </c>
      <c r="B70" s="59"/>
      <c r="C70" s="51" t="str">
        <f>IFERROR(VLOOKUP(A70,Internal_lists_bugs!$A$2:$T1058,20,FALSE()),"please select a BUG ID")</f>
        <v/>
      </c>
      <c r="D70" s="84" t="s">
        <v>274</v>
      </c>
      <c r="E70" s="85"/>
      <c r="F70" s="60" t="s">
        <v>281</v>
      </c>
      <c r="G70" s="61"/>
      <c r="H70" s="85"/>
      <c r="I70" s="39" t="str">
        <f>IFERROR(VLOOKUP(A70,Internal_lists_bugs!$A$2:$G1058,7,FALSE()),"please select a BUG ID")</f>
        <v>https://opendev.org/openstack/nova/commit/990561227d1cdadc1ae91fdcc74286a47f0ddf2c</v>
      </c>
      <c r="J70" s="85"/>
      <c r="K70" s="85"/>
    </row>
    <row r="71">
      <c r="A71" s="80" t="s">
        <v>32</v>
      </c>
      <c r="B71" s="59"/>
      <c r="C71" s="51" t="str">
        <f>IFERROR(VLOOKUP(A71,Internal_lists_bugs!$A$2:$T1058,20,FALSE()),"please select a BUG ID")</f>
        <v/>
      </c>
      <c r="D71" s="84" t="s">
        <v>274</v>
      </c>
      <c r="E71" s="85"/>
      <c r="F71" s="60" t="s">
        <v>271</v>
      </c>
      <c r="G71" s="61"/>
      <c r="H71" s="85"/>
      <c r="I71" s="39" t="str">
        <f>IFERROR(VLOOKUP(A71,Internal_lists_bugs!$A$2:$G1058,7,FALSE()),"please select a BUG ID")</f>
        <v>https://opendev.org/openstack/nova/commit/990561227d1cdadc1ae91fdcc74286a47f0ddf2c</v>
      </c>
      <c r="J71" s="85"/>
      <c r="K71" s="85"/>
    </row>
    <row r="72">
      <c r="A72" s="80" t="s">
        <v>32</v>
      </c>
      <c r="B72" s="59"/>
      <c r="C72" s="51" t="str">
        <f>IFERROR(VLOOKUP(A72,Internal_lists_bugs!$A$2:$T1058,20,FALSE()),"please select a BUG ID")</f>
        <v/>
      </c>
      <c r="D72" s="84" t="s">
        <v>274</v>
      </c>
      <c r="E72" s="85"/>
      <c r="F72" s="60" t="s">
        <v>272</v>
      </c>
      <c r="G72" s="61"/>
      <c r="H72" s="85"/>
      <c r="I72" s="39" t="str">
        <f>IFERROR(VLOOKUP(A72,Internal_lists_bugs!$A$2:$G1058,7,FALSE()),"please select a BUG ID")</f>
        <v>https://opendev.org/openstack/nova/commit/990561227d1cdadc1ae91fdcc74286a47f0ddf2c</v>
      </c>
      <c r="J72" s="85"/>
      <c r="K72" s="85"/>
    </row>
    <row r="73">
      <c r="A73" s="80" t="s">
        <v>32</v>
      </c>
      <c r="B73" s="59"/>
      <c r="C73" s="51" t="str">
        <f>IFERROR(VLOOKUP(A73,Internal_lists_bugs!$A$2:$T1058,20,FALSE()),"please select a BUG ID")</f>
        <v/>
      </c>
      <c r="D73" s="84" t="s">
        <v>274</v>
      </c>
      <c r="E73" s="85"/>
      <c r="F73" s="60" t="s">
        <v>282</v>
      </c>
      <c r="G73" s="61"/>
      <c r="H73" s="85"/>
      <c r="I73" s="39" t="str">
        <f>IFERROR(VLOOKUP(A73,Internal_lists_bugs!$A$2:$G1058,7,FALSE()),"please select a BUG ID")</f>
        <v>https://opendev.org/openstack/nova/commit/990561227d1cdadc1ae91fdcc74286a47f0ddf2c</v>
      </c>
      <c r="J73" s="85"/>
      <c r="K73" s="85"/>
    </row>
    <row r="74">
      <c r="A74" s="80" t="s">
        <v>31</v>
      </c>
      <c r="B74" s="59"/>
      <c r="C74" s="51" t="str">
        <f>IFERROR(VLOOKUP(A74,Internal_lists_bugs!$A$2:$T1058,20,FALSE()),"please select a BUG ID")</f>
        <v/>
      </c>
      <c r="D74" s="84" t="s">
        <v>283</v>
      </c>
      <c r="E74" s="80" t="s">
        <v>253</v>
      </c>
      <c r="F74" s="60" t="s">
        <v>134</v>
      </c>
      <c r="G74" s="61"/>
      <c r="H74" s="85"/>
      <c r="I74" s="39" t="str">
        <f>IFERROR(VLOOKUP(A74,Internal_lists_bugs!$A$2:$G1058,7,FALSE()),"please select a BUG ID")</f>
        <v>https://opendev.org/openstack/nova/commit/5876827d92bad3c408651184d9fea835639d8db8</v>
      </c>
      <c r="J74" s="85"/>
      <c r="K74" s="85"/>
    </row>
    <row r="75">
      <c r="A75" s="80" t="s">
        <v>31</v>
      </c>
      <c r="B75" s="59"/>
      <c r="C75" s="51" t="str">
        <f>IFERROR(VLOOKUP(A75,Internal_lists_bugs!$A$2:$T1058,20,FALSE()),"please select a BUG ID")</f>
        <v/>
      </c>
      <c r="D75" s="84" t="s">
        <v>283</v>
      </c>
      <c r="E75" s="85"/>
      <c r="F75" s="60" t="s">
        <v>275</v>
      </c>
      <c r="G75" s="61"/>
      <c r="H75" s="85"/>
      <c r="I75" s="39" t="str">
        <f>IFERROR(VLOOKUP(A75,Internal_lists_bugs!$A$2:$G1058,7,FALSE()),"please select a BUG ID")</f>
        <v>https://opendev.org/openstack/nova/commit/5876827d92bad3c408651184d9fea835639d8db8</v>
      </c>
      <c r="J75" s="85"/>
      <c r="K75" s="85"/>
    </row>
    <row r="76">
      <c r="A76" s="80" t="s">
        <v>31</v>
      </c>
      <c r="B76" s="59"/>
      <c r="C76" s="51" t="str">
        <f>IFERROR(VLOOKUP(A76,Internal_lists_bugs!$A$2:$T1058,20,FALSE()),"please select a BUG ID")</f>
        <v/>
      </c>
      <c r="D76" s="84" t="s">
        <v>283</v>
      </c>
      <c r="E76" s="85"/>
      <c r="F76" s="60" t="s">
        <v>248</v>
      </c>
      <c r="G76" s="61"/>
      <c r="H76" s="85"/>
      <c r="I76" s="39" t="str">
        <f>IFERROR(VLOOKUP(A76,Internal_lists_bugs!$A$2:$G1058,7,FALSE()),"please select a BUG ID")</f>
        <v>https://opendev.org/openstack/nova/commit/5876827d92bad3c408651184d9fea835639d8db8</v>
      </c>
      <c r="J76" s="85"/>
      <c r="K76" s="85"/>
    </row>
    <row r="77">
      <c r="A77" s="80" t="s">
        <v>31</v>
      </c>
      <c r="B77" s="59"/>
      <c r="C77" s="51" t="str">
        <f>IFERROR(VLOOKUP(A77,Internal_lists_bugs!$A$2:$T1058,20,FALSE()),"please select a BUG ID")</f>
        <v/>
      </c>
      <c r="D77" s="84" t="s">
        <v>283</v>
      </c>
      <c r="E77" s="85"/>
      <c r="F77" s="60" t="s">
        <v>249</v>
      </c>
      <c r="G77" s="61"/>
      <c r="H77" s="85"/>
      <c r="I77" s="39" t="str">
        <f>IFERROR(VLOOKUP(A77,Internal_lists_bugs!$A$2:$G1058,7,FALSE()),"please select a BUG ID")</f>
        <v>https://opendev.org/openstack/nova/commit/5876827d92bad3c408651184d9fea835639d8db8</v>
      </c>
      <c r="J77" s="85"/>
      <c r="K77" s="85"/>
    </row>
    <row r="78">
      <c r="A78" s="80" t="s">
        <v>31</v>
      </c>
      <c r="B78" s="59"/>
      <c r="C78" s="51" t="str">
        <f>IFERROR(VLOOKUP(A78,Internal_lists_bugs!$A$2:$T1058,20,FALSE()),"please select a BUG ID")</f>
        <v/>
      </c>
      <c r="D78" s="84" t="s">
        <v>283</v>
      </c>
      <c r="E78" s="85"/>
      <c r="F78" s="60" t="s">
        <v>259</v>
      </c>
      <c r="G78" s="61"/>
      <c r="H78" s="85"/>
      <c r="I78" s="39" t="str">
        <f>IFERROR(VLOOKUP(A78,Internal_lists_bugs!$A$2:$G1058,7,FALSE()),"please select a BUG ID")</f>
        <v>https://opendev.org/openstack/nova/commit/5876827d92bad3c408651184d9fea835639d8db8</v>
      </c>
      <c r="J78" s="85"/>
      <c r="K78" s="85"/>
    </row>
    <row r="79">
      <c r="A79" s="80" t="s">
        <v>31</v>
      </c>
      <c r="B79" s="59"/>
      <c r="C79" s="51" t="str">
        <f>IFERROR(VLOOKUP(A79,Internal_lists_bugs!$A$2:$T1058,20,FALSE()),"please select a BUG ID")</f>
        <v/>
      </c>
      <c r="D79" s="84" t="s">
        <v>283</v>
      </c>
      <c r="E79" s="85"/>
      <c r="F79" s="60" t="s">
        <v>276</v>
      </c>
      <c r="G79" s="61"/>
      <c r="H79" s="85"/>
      <c r="I79" s="39" t="str">
        <f>IFERROR(VLOOKUP(A79,Internal_lists_bugs!$A$2:$G1058,7,FALSE()),"please select a BUG ID")</f>
        <v>https://opendev.org/openstack/nova/commit/5876827d92bad3c408651184d9fea835639d8db8</v>
      </c>
      <c r="J79" s="85"/>
      <c r="K79" s="85"/>
    </row>
    <row r="80">
      <c r="A80" s="80" t="s">
        <v>31</v>
      </c>
      <c r="B80" s="59"/>
      <c r="C80" s="51" t="str">
        <f>IFERROR(VLOOKUP(A80,Internal_lists_bugs!$A$2:$T1058,20,FALSE()),"please select a BUG ID")</f>
        <v/>
      </c>
      <c r="D80" s="84" t="s">
        <v>283</v>
      </c>
      <c r="E80" s="85"/>
      <c r="F80" s="60" t="s">
        <v>261</v>
      </c>
      <c r="G80" s="61"/>
      <c r="H80" s="85"/>
      <c r="I80" s="39" t="str">
        <f>IFERROR(VLOOKUP(A80,Internal_lists_bugs!$A$2:$G1058,7,FALSE()),"please select a BUG ID")</f>
        <v>https://opendev.org/openstack/nova/commit/5876827d92bad3c408651184d9fea835639d8db8</v>
      </c>
      <c r="J80" s="85"/>
      <c r="K80" s="85"/>
    </row>
    <row r="81">
      <c r="A81" s="80" t="s">
        <v>31</v>
      </c>
      <c r="B81" s="59"/>
      <c r="C81" s="51" t="str">
        <f>IFERROR(VLOOKUP(A81,Internal_lists_bugs!$A$2:$T1058,20,FALSE()),"please select a BUG ID")</f>
        <v/>
      </c>
      <c r="D81" s="84" t="s">
        <v>283</v>
      </c>
      <c r="E81" s="85"/>
      <c r="F81" s="60" t="s">
        <v>277</v>
      </c>
      <c r="G81" s="61"/>
      <c r="H81" s="85"/>
      <c r="I81" s="39" t="str">
        <f>IFERROR(VLOOKUP(A81,Internal_lists_bugs!$A$2:$G1058,7,FALSE()),"please select a BUG ID")</f>
        <v>https://opendev.org/openstack/nova/commit/5876827d92bad3c408651184d9fea835639d8db8</v>
      </c>
      <c r="J81" s="85"/>
      <c r="K81" s="85"/>
    </row>
    <row r="82">
      <c r="A82" s="80" t="s">
        <v>31</v>
      </c>
      <c r="B82" s="59"/>
      <c r="C82" s="51" t="str">
        <f>IFERROR(VLOOKUP(A82,Internal_lists_bugs!$A$2:$T1058,20,FALSE()),"please select a BUG ID")</f>
        <v/>
      </c>
      <c r="D82" s="84" t="s">
        <v>283</v>
      </c>
      <c r="E82" s="85"/>
      <c r="F82" s="60" t="s">
        <v>284</v>
      </c>
      <c r="G82" s="61"/>
      <c r="H82" s="85"/>
      <c r="I82" s="39" t="str">
        <f>IFERROR(VLOOKUP(A82,Internal_lists_bugs!$A$2:$G1058,7,FALSE()),"please select a BUG ID")</f>
        <v>https://opendev.org/openstack/nova/commit/5876827d92bad3c408651184d9fea835639d8db8</v>
      </c>
      <c r="J82" s="85"/>
      <c r="K82" s="85"/>
    </row>
    <row r="83">
      <c r="A83" s="80" t="s">
        <v>31</v>
      </c>
      <c r="B83" s="59"/>
      <c r="C83" s="51" t="str">
        <f>IFERROR(VLOOKUP(A83,Internal_lists_bugs!$A$2:$T1058,20,FALSE()),"please select a BUG ID")</f>
        <v/>
      </c>
      <c r="D83" s="84" t="s">
        <v>283</v>
      </c>
      <c r="E83" s="85"/>
      <c r="F83" s="60" t="s">
        <v>264</v>
      </c>
      <c r="G83" s="61"/>
      <c r="H83" s="85"/>
      <c r="I83" s="39" t="str">
        <f>IFERROR(VLOOKUP(A83,Internal_lists_bugs!$A$2:$G1058,7,FALSE()),"please select a BUG ID")</f>
        <v>https://opendev.org/openstack/nova/commit/5876827d92bad3c408651184d9fea835639d8db8</v>
      </c>
      <c r="J83" s="85"/>
      <c r="K83" s="85"/>
    </row>
    <row r="84">
      <c r="A84" s="80" t="s">
        <v>31</v>
      </c>
      <c r="B84" s="59"/>
      <c r="C84" s="51" t="str">
        <f>IFERROR(VLOOKUP(A84,Internal_lists_bugs!$A$2:$T1058,20,FALSE()),"please select a BUG ID")</f>
        <v/>
      </c>
      <c r="D84" s="84" t="s">
        <v>283</v>
      </c>
      <c r="E84" s="85"/>
      <c r="F84" s="60" t="s">
        <v>285</v>
      </c>
      <c r="G84" s="61"/>
      <c r="H84" s="85"/>
      <c r="I84" s="39" t="str">
        <f>IFERROR(VLOOKUP(A84,Internal_lists_bugs!$A$2:$G1058,7,FALSE()),"please select a BUG ID")</f>
        <v>https://opendev.org/openstack/nova/commit/5876827d92bad3c408651184d9fea835639d8db8</v>
      </c>
      <c r="J84" s="85"/>
      <c r="K84" s="85"/>
    </row>
    <row r="85">
      <c r="A85" s="80" t="s">
        <v>31</v>
      </c>
      <c r="B85" s="59"/>
      <c r="C85" s="51" t="str">
        <f>IFERROR(VLOOKUP(A85,Internal_lists_bugs!$A$2:$T1058,20,FALSE()),"please select a BUG ID")</f>
        <v/>
      </c>
      <c r="D85" s="84" t="s">
        <v>283</v>
      </c>
      <c r="E85" s="85"/>
      <c r="F85" s="60" t="s">
        <v>267</v>
      </c>
      <c r="G85" s="61"/>
      <c r="H85" s="85"/>
      <c r="I85" s="39" t="str">
        <f>IFERROR(VLOOKUP(A85,Internal_lists_bugs!$A$2:$G1058,7,FALSE()),"please select a BUG ID")</f>
        <v>https://opendev.org/openstack/nova/commit/5876827d92bad3c408651184d9fea835639d8db8</v>
      </c>
      <c r="J85" s="85"/>
      <c r="K85" s="85"/>
    </row>
    <row r="86">
      <c r="A86" s="80" t="s">
        <v>31</v>
      </c>
      <c r="B86" s="59"/>
      <c r="C86" s="51" t="str">
        <f>IFERROR(VLOOKUP(A86,Internal_lists_bugs!$A$2:$T1058,20,FALSE()),"please select a BUG ID")</f>
        <v/>
      </c>
      <c r="D86" s="84" t="s">
        <v>283</v>
      </c>
      <c r="E86" s="85"/>
      <c r="F86" s="60" t="s">
        <v>266</v>
      </c>
      <c r="G86" s="61"/>
      <c r="H86" s="85"/>
      <c r="I86" s="39" t="str">
        <f>IFERROR(VLOOKUP(A86,Internal_lists_bugs!$A$2:$G1058,7,FALSE()),"please select a BUG ID")</f>
        <v>https://opendev.org/openstack/nova/commit/5876827d92bad3c408651184d9fea835639d8db8</v>
      </c>
      <c r="J86" s="85"/>
      <c r="K86" s="85"/>
    </row>
    <row r="87">
      <c r="A87" s="80" t="s">
        <v>31</v>
      </c>
      <c r="B87" s="59"/>
      <c r="C87" s="51" t="str">
        <f>IFERROR(VLOOKUP(A87,Internal_lists_bugs!$A$2:$T1058,20,FALSE()),"please select a BUG ID")</f>
        <v/>
      </c>
      <c r="D87" s="84" t="s">
        <v>283</v>
      </c>
      <c r="E87" s="85"/>
      <c r="F87" s="60" t="s">
        <v>268</v>
      </c>
      <c r="G87" s="61"/>
      <c r="H87" s="85"/>
      <c r="I87" s="39" t="str">
        <f>IFERROR(VLOOKUP(A87,Internal_lists_bugs!$A$2:$G1058,7,FALSE()),"please select a BUG ID")</f>
        <v>https://opendev.org/openstack/nova/commit/5876827d92bad3c408651184d9fea835639d8db8</v>
      </c>
      <c r="J87" s="85"/>
      <c r="K87" s="85"/>
    </row>
    <row r="88">
      <c r="A88" s="80" t="s">
        <v>31</v>
      </c>
      <c r="B88" s="59"/>
      <c r="C88" s="51" t="str">
        <f>IFERROR(VLOOKUP(A88,Internal_lists_bugs!$A$2:$T1058,20,FALSE()),"please select a BUG ID")</f>
        <v/>
      </c>
      <c r="D88" s="84" t="s">
        <v>283</v>
      </c>
      <c r="E88" s="85"/>
      <c r="F88" s="60" t="s">
        <v>269</v>
      </c>
      <c r="G88" s="61"/>
      <c r="H88" s="85"/>
      <c r="I88" s="39" t="str">
        <f>IFERROR(VLOOKUP(A88,Internal_lists_bugs!$A$2:$G1058,7,FALSE()),"please select a BUG ID")</f>
        <v>https://opendev.org/openstack/nova/commit/5876827d92bad3c408651184d9fea835639d8db8</v>
      </c>
      <c r="J88" s="85"/>
      <c r="K88" s="85"/>
    </row>
    <row r="89">
      <c r="A89" s="80" t="s">
        <v>31</v>
      </c>
      <c r="B89" s="59"/>
      <c r="C89" s="51" t="str">
        <f>IFERROR(VLOOKUP(A89,Internal_lists_bugs!$A$2:$T1058,20,FALSE()),"please select a BUG ID")</f>
        <v/>
      </c>
      <c r="D89" s="84" t="s">
        <v>283</v>
      </c>
      <c r="E89" s="85"/>
      <c r="F89" s="60" t="s">
        <v>286</v>
      </c>
      <c r="G89" s="61"/>
      <c r="H89" s="85"/>
      <c r="I89" s="39" t="str">
        <f>IFERROR(VLOOKUP(A89,Internal_lists_bugs!$A$2:$G1058,7,FALSE()),"please select a BUG ID")</f>
        <v>https://opendev.org/openstack/nova/commit/5876827d92bad3c408651184d9fea835639d8db8</v>
      </c>
      <c r="J89" s="85"/>
      <c r="K89" s="85"/>
    </row>
    <row r="90">
      <c r="A90" s="80" t="s">
        <v>31</v>
      </c>
      <c r="B90" s="59"/>
      <c r="C90" s="51" t="str">
        <f>IFERROR(VLOOKUP(A90,Internal_lists_bugs!$A$2:$T1058,20,FALSE()),"please select a BUG ID")</f>
        <v/>
      </c>
      <c r="D90" s="84" t="s">
        <v>283</v>
      </c>
      <c r="E90" s="85"/>
      <c r="F90" s="60" t="s">
        <v>287</v>
      </c>
      <c r="G90" s="61"/>
      <c r="H90" s="85"/>
      <c r="I90" s="39" t="str">
        <f>IFERROR(VLOOKUP(A90,Internal_lists_bugs!$A$2:$G1058,7,FALSE()),"please select a BUG ID")</f>
        <v>https://opendev.org/openstack/nova/commit/5876827d92bad3c408651184d9fea835639d8db8</v>
      </c>
      <c r="J90" s="85"/>
      <c r="K90" s="85"/>
    </row>
    <row r="91">
      <c r="A91" s="80" t="s">
        <v>31</v>
      </c>
      <c r="B91" s="59"/>
      <c r="C91" s="51" t="str">
        <f>IFERROR(VLOOKUP(A91,Internal_lists_bugs!$A$2:$T1058,20,FALSE()),"please select a BUG ID")</f>
        <v/>
      </c>
      <c r="D91" s="84" t="s">
        <v>283</v>
      </c>
      <c r="E91" s="85"/>
      <c r="F91" s="60" t="s">
        <v>271</v>
      </c>
      <c r="G91" s="61"/>
      <c r="H91" s="85"/>
      <c r="I91" s="39" t="str">
        <f>IFERROR(VLOOKUP(A91,Internal_lists_bugs!$A$2:$G1058,7,FALSE()),"please select a BUG ID")</f>
        <v>https://opendev.org/openstack/nova/commit/5876827d92bad3c408651184d9fea835639d8db8</v>
      </c>
      <c r="J91" s="85"/>
      <c r="K91" s="85"/>
    </row>
    <row r="92">
      <c r="A92" s="80" t="s">
        <v>31</v>
      </c>
      <c r="B92" s="59"/>
      <c r="C92" s="51" t="str">
        <f>IFERROR(VLOOKUP(A92,Internal_lists_bugs!$A$2:$T1058,20,FALSE()),"please select a BUG ID")</f>
        <v/>
      </c>
      <c r="D92" s="84" t="s">
        <v>283</v>
      </c>
      <c r="E92" s="85"/>
      <c r="F92" s="60" t="s">
        <v>288</v>
      </c>
      <c r="G92" s="61"/>
      <c r="H92" s="85"/>
      <c r="I92" s="39" t="str">
        <f>IFERROR(VLOOKUP(A92,Internal_lists_bugs!$A$2:$G1058,7,FALSE()),"please select a BUG ID")</f>
        <v>https://opendev.org/openstack/nova/commit/5876827d92bad3c408651184d9fea835639d8db8</v>
      </c>
      <c r="J92" s="85"/>
      <c r="K92" s="85"/>
    </row>
    <row r="93">
      <c r="A93" s="80" t="s">
        <v>31</v>
      </c>
      <c r="B93" s="59"/>
      <c r="C93" s="51" t="str">
        <f>IFERROR(VLOOKUP(A93,Internal_lists_bugs!$A$2:$T1058,20,FALSE()),"please select a BUG ID")</f>
        <v/>
      </c>
      <c r="D93" s="84" t="s">
        <v>283</v>
      </c>
      <c r="E93" s="85"/>
      <c r="F93" s="60" t="s">
        <v>282</v>
      </c>
      <c r="G93" s="87"/>
      <c r="H93" s="85"/>
      <c r="I93" s="39" t="str">
        <f>IFERROR(VLOOKUP(A93,Internal_lists_bugs!$A$2:$G1058,7,FALSE()),"please select a BUG ID")</f>
        <v>https://opendev.org/openstack/nova/commit/5876827d92bad3c408651184d9fea835639d8db8</v>
      </c>
      <c r="J93" s="85"/>
      <c r="K93" s="85"/>
    </row>
    <row r="94">
      <c r="A94" s="88"/>
      <c r="B94" s="59"/>
      <c r="C94" s="51" t="str">
        <f>IFERROR(VLOOKUP(A94,Internal_lists_bugs!$A$2:$T1058,20,FALSE()),"please select a BUG ID")</f>
        <v>please select a BUG ID</v>
      </c>
      <c r="D94" s="89"/>
      <c r="E94" s="85"/>
      <c r="F94" s="90"/>
      <c r="G94" s="91"/>
      <c r="H94" s="85"/>
      <c r="I94" s="51"/>
      <c r="J94" s="85"/>
      <c r="K94" s="85"/>
    </row>
    <row r="95">
      <c r="A95" s="88"/>
      <c r="B95" s="59"/>
      <c r="C95" s="51" t="str">
        <f>IFERROR(VLOOKUP(A95,Internal_lists_bugs!$A$2:$T1058,20,FALSE()),"please select a BUG ID")</f>
        <v>please select a BUG ID</v>
      </c>
      <c r="D95" s="89"/>
      <c r="E95" s="85"/>
      <c r="F95" s="90"/>
      <c r="G95" s="91"/>
      <c r="H95" s="85"/>
      <c r="I95" s="51"/>
      <c r="J95" s="85"/>
      <c r="K95" s="85"/>
    </row>
    <row r="96">
      <c r="A96" s="88"/>
      <c r="B96" s="59"/>
      <c r="C96" s="51" t="str">
        <f>IFERROR(VLOOKUP(A96,Internal_lists_bugs!$A$2:$T1058,20,FALSE()),"please select a BUG ID")</f>
        <v>please select a BUG ID</v>
      </c>
      <c r="D96" s="89"/>
      <c r="E96" s="85"/>
      <c r="F96" s="90"/>
      <c r="G96" s="91"/>
      <c r="H96" s="85"/>
      <c r="I96" s="51"/>
      <c r="J96" s="85"/>
      <c r="K96" s="85"/>
    </row>
    <row r="97">
      <c r="A97" s="88"/>
      <c r="B97" s="59"/>
      <c r="C97" s="51" t="str">
        <f>IFERROR(VLOOKUP(A97,Internal_lists_bugs!$A$2:$T1058,20,FALSE()),"please select a BUG ID")</f>
        <v>please select a BUG ID</v>
      </c>
      <c r="D97" s="89"/>
      <c r="E97" s="85"/>
      <c r="F97" s="90"/>
      <c r="G97" s="91"/>
      <c r="H97" s="85"/>
      <c r="I97" s="51"/>
      <c r="J97" s="85"/>
      <c r="K97" s="85"/>
    </row>
    <row r="98">
      <c r="A98" s="88"/>
      <c r="B98" s="59"/>
      <c r="C98" s="51" t="str">
        <f>IFERROR(VLOOKUP(A98,Internal_lists_bugs!$A$2:$T1058,20,FALSE()),"please select a BUG ID")</f>
        <v>please select a BUG ID</v>
      </c>
      <c r="D98" s="89"/>
      <c r="E98" s="85"/>
      <c r="F98" s="90"/>
      <c r="G98" s="91"/>
      <c r="H98" s="85"/>
      <c r="I98" s="51"/>
      <c r="J98" s="85"/>
      <c r="K98" s="85"/>
    </row>
    <row r="99">
      <c r="A99" s="88"/>
      <c r="B99" s="59"/>
      <c r="C99" s="51" t="str">
        <f>IFERROR(VLOOKUP(A99,Internal_lists_bugs!$A$2:$T1058,20,FALSE()),"please select a BUG ID")</f>
        <v>please select a BUG ID</v>
      </c>
      <c r="D99" s="89"/>
      <c r="E99" s="85"/>
      <c r="F99" s="90"/>
      <c r="G99" s="91"/>
      <c r="H99" s="85"/>
      <c r="I99" s="51"/>
      <c r="J99" s="85"/>
      <c r="K99" s="85"/>
    </row>
    <row r="100">
      <c r="A100" s="88"/>
      <c r="B100" s="59"/>
      <c r="C100" s="51" t="str">
        <f>IFERROR(VLOOKUP(A100,Internal_lists_bugs!$A$2:$T1058,20,FALSE()),"please select a BUG ID")</f>
        <v>please select a BUG ID</v>
      </c>
      <c r="D100" s="89"/>
      <c r="E100" s="85"/>
      <c r="F100" s="90"/>
      <c r="G100" s="91"/>
      <c r="H100" s="85"/>
      <c r="I100" s="51"/>
      <c r="J100" s="85"/>
      <c r="K100" s="85"/>
    </row>
    <row r="101">
      <c r="A101" s="88"/>
      <c r="B101" s="59"/>
      <c r="C101" s="51" t="str">
        <f>IFERROR(VLOOKUP(A101,Internal_lists_bugs!$A$2:$T1058,20,FALSE()),"please select a BUG ID")</f>
        <v>please select a BUG ID</v>
      </c>
      <c r="D101" s="89"/>
      <c r="E101" s="85"/>
      <c r="F101" s="90"/>
      <c r="G101" s="91"/>
      <c r="H101" s="85"/>
      <c r="I101" s="51"/>
      <c r="J101" s="85"/>
      <c r="K101" s="85"/>
    </row>
    <row r="102">
      <c r="A102" s="85"/>
      <c r="B102" s="59"/>
      <c r="C102" s="51" t="str">
        <f>IFERROR(VLOOKUP(A102,Internal_lists_bugs!$A$2:$T1058,20,FALSE()),"please select a BUG ID")</f>
        <v>please select a BUG ID</v>
      </c>
      <c r="D102" s="92"/>
      <c r="E102" s="85"/>
      <c r="F102" s="60"/>
      <c r="G102" s="61"/>
      <c r="H102" s="85"/>
      <c r="I102" s="51" t="str">
        <f>IFERROR(VLOOKUP(A102,Internal_lists_bugs!$A$2:$G1058,7,FALSE()),"please select a BUG ID")</f>
        <v>please select a BUG ID</v>
      </c>
      <c r="J102" s="85"/>
      <c r="K102" s="85"/>
    </row>
    <row r="103">
      <c r="A103" s="85"/>
      <c r="B103" s="59"/>
      <c r="C103" s="51" t="str">
        <f>IFERROR(VLOOKUP(A103,Internal_lists_bugs!$A$2:$T1058,20,FALSE()),"please select a BUG ID")</f>
        <v>please select a BUG ID</v>
      </c>
      <c r="D103" s="92"/>
      <c r="E103" s="85"/>
      <c r="F103" s="60"/>
      <c r="G103" s="61"/>
      <c r="H103" s="85"/>
      <c r="I103" s="51" t="str">
        <f>IFERROR(VLOOKUP(A103,Internal_lists_bugs!$A$2:$G1058,7,FALSE()),"please select a BUG ID")</f>
        <v>please select a BUG ID</v>
      </c>
      <c r="J103" s="85"/>
      <c r="K103" s="85"/>
    </row>
    <row r="104">
      <c r="A104" s="85"/>
      <c r="B104" s="59"/>
      <c r="C104" s="51" t="str">
        <f>IFERROR(VLOOKUP(A104,Internal_lists_bugs!$A$2:$T1058,20,FALSE()),"please select a BUG ID")</f>
        <v>please select a BUG ID</v>
      </c>
      <c r="D104" s="92"/>
      <c r="E104" s="85"/>
      <c r="F104" s="60"/>
      <c r="G104" s="61"/>
      <c r="H104" s="85"/>
      <c r="I104" s="51" t="str">
        <f>IFERROR(VLOOKUP(A104,Internal_lists_bugs!$A$2:$G1058,7,FALSE()),"please select a BUG ID")</f>
        <v>please select a BUG ID</v>
      </c>
      <c r="J104" s="85"/>
      <c r="K104" s="85"/>
    </row>
    <row r="105">
      <c r="A105" s="85"/>
      <c r="B105" s="59"/>
      <c r="C105" s="51" t="str">
        <f>IFERROR(VLOOKUP(A105,Internal_lists_bugs!$A$2:$T1058,20,FALSE()),"please select a BUG ID")</f>
        <v>please select a BUG ID</v>
      </c>
      <c r="D105" s="92"/>
      <c r="E105" s="85"/>
      <c r="F105" s="60"/>
      <c r="G105" s="61"/>
      <c r="H105" s="85"/>
      <c r="I105" s="51" t="str">
        <f>IFERROR(VLOOKUP(A105,Internal_lists_bugs!$A$2:$G1058,7,FALSE()),"please select a BUG ID")</f>
        <v>please select a BUG ID</v>
      </c>
      <c r="J105" s="85"/>
      <c r="K105" s="85"/>
    </row>
    <row r="106">
      <c r="A106" s="85"/>
      <c r="B106" s="59"/>
      <c r="C106" s="51" t="str">
        <f>IFERROR(VLOOKUP(A106,Internal_lists_bugs!$A$2:$T1058,20,FALSE()),"please select a BUG ID")</f>
        <v>please select a BUG ID</v>
      </c>
      <c r="D106" s="92"/>
      <c r="E106" s="85"/>
      <c r="F106" s="60"/>
      <c r="G106" s="61"/>
      <c r="H106" s="85"/>
      <c r="I106" s="51" t="str">
        <f>IFERROR(VLOOKUP(A106,Internal_lists_bugs!$A$2:$G1058,7,FALSE()),"please select a BUG ID")</f>
        <v>please select a BUG ID</v>
      </c>
      <c r="J106" s="85"/>
      <c r="K106" s="85"/>
    </row>
    <row r="107">
      <c r="A107" s="85"/>
      <c r="B107" s="59"/>
      <c r="C107" s="51" t="str">
        <f>IFERROR(VLOOKUP(A107,Internal_lists_bugs!$A$2:$T1058,20,FALSE()),"please select a BUG ID")</f>
        <v>please select a BUG ID</v>
      </c>
      <c r="D107" s="92"/>
      <c r="E107" s="85"/>
      <c r="F107" s="60"/>
      <c r="G107" s="61"/>
      <c r="H107" s="85"/>
      <c r="I107" s="51" t="str">
        <f>IFERROR(VLOOKUP(A107,Internal_lists_bugs!$A$2:$G1058,7,FALSE()),"please select a BUG ID")</f>
        <v>please select a BUG ID</v>
      </c>
      <c r="J107" s="85"/>
      <c r="K107" s="85"/>
    </row>
    <row r="108">
      <c r="A108" s="85"/>
      <c r="B108" s="59"/>
      <c r="C108" s="51" t="str">
        <f>IFERROR(VLOOKUP(A108,Internal_lists_bugs!$A$2:$T1058,20,FALSE()),"please select a BUG ID")</f>
        <v>please select a BUG ID</v>
      </c>
      <c r="D108" s="92"/>
      <c r="E108" s="85"/>
      <c r="F108" s="60"/>
      <c r="G108" s="61"/>
      <c r="H108" s="85"/>
      <c r="I108" s="51" t="str">
        <f>IFERROR(VLOOKUP(A108,Internal_lists_bugs!$A$2:$G1058,7,FALSE()),"please select a BUG ID")</f>
        <v>please select a BUG ID</v>
      </c>
      <c r="J108" s="85"/>
      <c r="K108" s="85"/>
    </row>
    <row r="109">
      <c r="A109" s="85"/>
      <c r="B109" s="59"/>
      <c r="C109" s="51" t="str">
        <f>IFERROR(VLOOKUP(A109,Internal_lists_bugs!$A$2:$T1058,20,FALSE()),"please select a BUG ID")</f>
        <v>please select a BUG ID</v>
      </c>
      <c r="D109" s="92"/>
      <c r="E109" s="85"/>
      <c r="F109" s="60"/>
      <c r="G109" s="61"/>
      <c r="H109" s="85"/>
      <c r="I109" s="51" t="str">
        <f>IFERROR(VLOOKUP(A109,Internal_lists_bugs!$A$2:$G1058,7,FALSE()),"please select a BUG ID")</f>
        <v>please select a BUG ID</v>
      </c>
      <c r="J109" s="85"/>
      <c r="K109" s="85"/>
    </row>
    <row r="110">
      <c r="A110" s="85"/>
      <c r="B110" s="59"/>
      <c r="C110" s="51" t="str">
        <f>IFERROR(VLOOKUP(A110,Internal_lists_bugs!$A$2:$T1058,20,FALSE()),"please select a BUG ID")</f>
        <v>please select a BUG ID</v>
      </c>
      <c r="D110" s="92"/>
      <c r="E110" s="85"/>
      <c r="F110" s="60"/>
      <c r="G110" s="61"/>
      <c r="H110" s="85"/>
      <c r="I110" s="51" t="str">
        <f>IFERROR(VLOOKUP(A110,Internal_lists_bugs!$A$2:$G1058,7,FALSE()),"please select a BUG ID")</f>
        <v>please select a BUG ID</v>
      </c>
      <c r="J110" s="85"/>
      <c r="K110" s="85"/>
    </row>
    <row r="111">
      <c r="A111" s="85"/>
      <c r="B111" s="59"/>
      <c r="C111" s="51" t="str">
        <f>IFERROR(VLOOKUP(A111,Internal_lists_bugs!$A$2:$T1058,20,FALSE()),"please select a BUG ID")</f>
        <v>please select a BUG ID</v>
      </c>
      <c r="D111" s="92"/>
      <c r="E111" s="85"/>
      <c r="F111" s="60"/>
      <c r="G111" s="61"/>
      <c r="H111" s="85"/>
      <c r="I111" s="51" t="str">
        <f>IFERROR(VLOOKUP(A111,Internal_lists_bugs!$A$2:$G1058,7,FALSE()),"please select a BUG ID")</f>
        <v>please select a BUG ID</v>
      </c>
      <c r="J111" s="85"/>
      <c r="K111" s="85"/>
    </row>
    <row r="112">
      <c r="A112" s="85"/>
      <c r="B112" s="59"/>
      <c r="C112" s="51" t="str">
        <f>IFERROR(VLOOKUP(A112,Internal_lists_bugs!$A$2:$T1058,20,FALSE()),"please select a BUG ID")</f>
        <v>please select a BUG ID</v>
      </c>
      <c r="D112" s="92"/>
      <c r="E112" s="85"/>
      <c r="F112" s="60"/>
      <c r="G112" s="61"/>
      <c r="H112" s="85"/>
      <c r="I112" s="51"/>
      <c r="J112" s="85"/>
      <c r="K112" s="85"/>
    </row>
    <row r="113">
      <c r="A113" s="85"/>
      <c r="B113" s="59"/>
      <c r="C113" s="51" t="str">
        <f>IFERROR(VLOOKUP(A113,Internal_lists_bugs!$A$2:$T1058,20,FALSE()),"please select a BUG ID")</f>
        <v>please select a BUG ID</v>
      </c>
      <c r="D113" s="92"/>
      <c r="E113" s="85"/>
      <c r="F113" s="60"/>
      <c r="G113" s="61"/>
      <c r="H113" s="85"/>
      <c r="I113" s="51"/>
      <c r="J113" s="85"/>
      <c r="K113" s="85"/>
    </row>
    <row r="114">
      <c r="A114" s="85"/>
      <c r="B114" s="59"/>
      <c r="C114" s="51" t="str">
        <f>IFERROR(VLOOKUP(A114,Internal_lists_bugs!$A$2:$T1058,20,FALSE()),"please select a BUG ID")</f>
        <v>please select a BUG ID</v>
      </c>
      <c r="D114" s="92"/>
      <c r="E114" s="85"/>
      <c r="F114" s="60"/>
      <c r="G114" s="61"/>
      <c r="H114" s="85"/>
      <c r="I114" s="51" t="str">
        <f>IFERROR(VLOOKUP(A114,Internal_lists_bugs!$A$2:$G1058,7,FALSE()),"please select a BUG ID")</f>
        <v>please select a BUG ID</v>
      </c>
      <c r="J114" s="85"/>
      <c r="K114" s="85"/>
    </row>
    <row r="115">
      <c r="A115" s="85"/>
      <c r="B115" s="59"/>
      <c r="C115" s="51" t="str">
        <f>IFERROR(VLOOKUP(A115,Internal_lists_bugs!$A$2:$T1058,20,FALSE()),"please select a BUG ID")</f>
        <v>please select a BUG ID</v>
      </c>
      <c r="D115" s="92"/>
      <c r="E115" s="85"/>
      <c r="F115" s="60"/>
      <c r="G115" s="61"/>
      <c r="H115" s="85"/>
      <c r="I115" s="51" t="str">
        <f>IFERROR(VLOOKUP(A115,Internal_lists_bugs!$A$2:$G1058,7,FALSE()),"please select a BUG ID")</f>
        <v>please select a BUG ID</v>
      </c>
      <c r="J115" s="85"/>
      <c r="K115" s="85"/>
    </row>
    <row r="116">
      <c r="A116" s="85"/>
      <c r="B116" s="59"/>
      <c r="C116" s="51" t="str">
        <f>IFERROR(VLOOKUP(A116,Internal_lists_bugs!$A$2:$T1058,20,FALSE()),"please select a BUG ID")</f>
        <v>please select a BUG ID</v>
      </c>
      <c r="D116" s="92"/>
      <c r="E116" s="85"/>
      <c r="F116" s="60"/>
      <c r="G116" s="61"/>
      <c r="H116" s="85"/>
      <c r="I116" s="51" t="str">
        <f>IFERROR(VLOOKUP(A116,Internal_lists_bugs!$A$2:$G1058,7,FALSE()),"please select a BUG ID")</f>
        <v>please select a BUG ID</v>
      </c>
      <c r="J116" s="85"/>
      <c r="K116" s="85"/>
    </row>
    <row r="117">
      <c r="A117" s="85"/>
      <c r="B117" s="59"/>
      <c r="C117" s="51" t="str">
        <f>IFERROR(VLOOKUP(A117,Internal_lists_bugs!$A$2:$T1058,20,FALSE()),"please select a BUG ID")</f>
        <v>please select a BUG ID</v>
      </c>
      <c r="D117" s="92"/>
      <c r="E117" s="85"/>
      <c r="F117" s="60"/>
      <c r="G117" s="61"/>
      <c r="H117" s="85"/>
      <c r="I117" s="51" t="str">
        <f>IFERROR(VLOOKUP(A117,Internal_lists_bugs!$A$2:$G1058,7,FALSE()),"please select a BUG ID")</f>
        <v>please select a BUG ID</v>
      </c>
      <c r="J117" s="85"/>
      <c r="K117" s="85"/>
    </row>
    <row r="118">
      <c r="A118" s="85"/>
      <c r="B118" s="59"/>
      <c r="C118" s="51" t="str">
        <f>IFERROR(VLOOKUP(A118,Internal_lists_bugs!$A$2:$T1058,20,FALSE()),"please select a BUG ID")</f>
        <v>please select a BUG ID</v>
      </c>
      <c r="D118" s="92"/>
      <c r="E118" s="85"/>
      <c r="F118" s="60"/>
      <c r="G118" s="61"/>
      <c r="H118" s="85"/>
      <c r="I118" s="51" t="str">
        <f>IFERROR(VLOOKUP(A118,Internal_lists_bugs!$A$2:$G1058,7,FALSE()),"please select a BUG ID")</f>
        <v>please select a BUG ID</v>
      </c>
      <c r="J118" s="85"/>
      <c r="K118" s="85"/>
    </row>
    <row r="119">
      <c r="A119" s="85"/>
      <c r="B119" s="59"/>
      <c r="C119" s="51" t="str">
        <f>IFERROR(VLOOKUP(A119,Internal_lists_bugs!$A$2:$T1058,20,FALSE()),"please select a BUG ID")</f>
        <v>please select a BUG ID</v>
      </c>
      <c r="D119" s="92"/>
      <c r="E119" s="85"/>
      <c r="F119" s="60"/>
      <c r="G119" s="61"/>
      <c r="H119" s="85"/>
      <c r="I119" s="51" t="str">
        <f>IFERROR(VLOOKUP(A119,Internal_lists_bugs!$A$2:$G1058,7,FALSE()),"please select a BUG ID")</f>
        <v>please select a BUG ID</v>
      </c>
      <c r="J119" s="85"/>
      <c r="K119" s="85"/>
    </row>
    <row r="120">
      <c r="A120" s="85"/>
      <c r="B120" s="59"/>
      <c r="C120" s="51" t="str">
        <f>IFERROR(VLOOKUP(A120,Internal_lists_bugs!$A$2:$T1058,20,FALSE()),"please select a BUG ID")</f>
        <v>please select a BUG ID</v>
      </c>
      <c r="D120" s="93"/>
      <c r="E120" s="85"/>
      <c r="F120" s="62"/>
      <c r="G120" s="63"/>
      <c r="H120" s="85"/>
      <c r="I120" s="51" t="str">
        <f>IFERROR(VLOOKUP(A120,Internal_lists_bugs!$A$2:$G1058,7,FALSE()),"please select a BUG ID")</f>
        <v>please select a BUG ID</v>
      </c>
      <c r="J120" s="85"/>
      <c r="K120" s="85"/>
    </row>
    <row r="121">
      <c r="A121" s="85"/>
      <c r="B121" s="59"/>
      <c r="C121" s="51" t="str">
        <f>IFERROR(VLOOKUP(A121,Internal_lists_bugs!$A$2:$T1058,20,FALSE()),"please select a BUG ID")</f>
        <v>please select a BUG ID</v>
      </c>
      <c r="D121" s="93"/>
      <c r="E121" s="85"/>
      <c r="F121" s="62"/>
      <c r="G121" s="63"/>
      <c r="H121" s="85"/>
      <c r="I121" s="51" t="str">
        <f>IFERROR(VLOOKUP(A121,Internal_lists_bugs!$A$2:$G1058,7,FALSE()),"please select a BUG ID")</f>
        <v>please select a BUG ID</v>
      </c>
      <c r="J121" s="85"/>
      <c r="K121" s="85"/>
    </row>
    <row r="122">
      <c r="A122" s="85"/>
      <c r="B122" s="59"/>
      <c r="C122" s="51" t="str">
        <f>IFERROR(VLOOKUP(A122,Internal_lists_bugs!$A$2:$T1058,20,FALSE()),"please select a BUG ID")</f>
        <v>please select a BUG ID</v>
      </c>
      <c r="D122" s="92"/>
      <c r="E122" s="85"/>
      <c r="F122" s="60"/>
      <c r="G122" s="61"/>
      <c r="H122" s="85"/>
      <c r="I122" s="51" t="str">
        <f>IFERROR(VLOOKUP(A122,Internal_lists_bugs!$A$2:$G1058,7,FALSE()),"please select a BUG ID")</f>
        <v>please select a BUG ID</v>
      </c>
      <c r="J122" s="85"/>
      <c r="K122" s="85"/>
    </row>
    <row r="123">
      <c r="A123" s="85"/>
      <c r="B123" s="59"/>
      <c r="C123" s="51" t="str">
        <f>IFERROR(VLOOKUP(A123,Internal_lists_bugs!$A$2:$T1058,20,FALSE()),"please select a BUG ID")</f>
        <v>please select a BUG ID</v>
      </c>
      <c r="D123" s="92"/>
      <c r="E123" s="85"/>
      <c r="F123" s="60"/>
      <c r="G123" s="61"/>
      <c r="H123" s="85"/>
      <c r="I123" s="51" t="str">
        <f>IFERROR(VLOOKUP(A123,Internal_lists_bugs!$A$2:$G1058,7,FALSE()),"please select a BUG ID")</f>
        <v>please select a BUG ID</v>
      </c>
      <c r="J123" s="85"/>
      <c r="K123" s="85"/>
    </row>
    <row r="124">
      <c r="A124" s="85"/>
      <c r="B124" s="59"/>
      <c r="C124" s="51" t="str">
        <f>IFERROR(VLOOKUP(A124,Internal_lists_bugs!$A$2:$T1058,20,FALSE()),"please select a BUG ID")</f>
        <v>please select a BUG ID</v>
      </c>
      <c r="D124" s="92"/>
      <c r="E124" s="85"/>
      <c r="F124" s="60"/>
      <c r="G124" s="61"/>
      <c r="H124" s="85"/>
      <c r="I124" s="51" t="str">
        <f>IFERROR(VLOOKUP(A124,Internal_lists_bugs!$A$2:$G1058,7,FALSE()),"please select a BUG ID")</f>
        <v>please select a BUG ID</v>
      </c>
      <c r="J124" s="85"/>
      <c r="K124" s="85"/>
    </row>
    <row r="125">
      <c r="A125" s="85"/>
      <c r="B125" s="59"/>
      <c r="C125" s="51" t="str">
        <f>IFERROR(VLOOKUP(A125,Internal_lists_bugs!$A$2:$T1058,20,FALSE()),"please select a BUG ID")</f>
        <v>please select a BUG ID</v>
      </c>
      <c r="D125" s="92"/>
      <c r="E125" s="85"/>
      <c r="F125" s="60"/>
      <c r="G125" s="61"/>
      <c r="H125" s="85"/>
      <c r="I125" s="51" t="str">
        <f>IFERROR(VLOOKUP(A125,Internal_lists_bugs!$A$2:$G1058,7,FALSE()),"please select a BUG ID")</f>
        <v>please select a BUG ID</v>
      </c>
      <c r="J125" s="85"/>
      <c r="K125" s="85"/>
    </row>
    <row r="126">
      <c r="A126" s="85"/>
      <c r="B126" s="59"/>
      <c r="C126" s="51" t="str">
        <f>IFERROR(VLOOKUP(A126,Internal_lists_bugs!$A$2:$T1058,20,FALSE()),"please select a BUG ID")</f>
        <v>please select a BUG ID</v>
      </c>
      <c r="D126" s="92"/>
      <c r="E126" s="85"/>
      <c r="F126" s="60"/>
      <c r="G126" s="61"/>
      <c r="H126" s="85"/>
      <c r="I126" s="51" t="str">
        <f>IFERROR(VLOOKUP(A126,Internal_lists_bugs!$A$2:$G1058,7,FALSE()),"please select a BUG ID")</f>
        <v>please select a BUG ID</v>
      </c>
      <c r="J126" s="85"/>
      <c r="K126" s="85"/>
    </row>
    <row r="127">
      <c r="A127" s="85"/>
      <c r="B127" s="59"/>
      <c r="C127" s="51" t="str">
        <f>IFERROR(VLOOKUP(A127,Internal_lists_bugs!$A$2:$T1058,20,FALSE()),"please select a BUG ID")</f>
        <v>please select a BUG ID</v>
      </c>
      <c r="D127" s="92"/>
      <c r="E127" s="85"/>
      <c r="F127" s="60"/>
      <c r="G127" s="61"/>
      <c r="H127" s="85"/>
      <c r="I127" s="51" t="str">
        <f>IFERROR(VLOOKUP(A127,Internal_lists_bugs!$A$2:$G1058,7,FALSE()),"please select a BUG ID")</f>
        <v>please select a BUG ID</v>
      </c>
      <c r="J127" s="85"/>
      <c r="K127" s="85"/>
    </row>
    <row r="128">
      <c r="A128" s="85"/>
      <c r="B128" s="59"/>
      <c r="C128" s="51" t="str">
        <f>IFERROR(VLOOKUP(A128,Internal_lists_bugs!$A$2:$T1058,20,FALSE()),"please select a BUG ID")</f>
        <v>please select a BUG ID</v>
      </c>
      <c r="D128" s="92"/>
      <c r="E128" s="85"/>
      <c r="F128" s="60"/>
      <c r="G128" s="61"/>
      <c r="H128" s="85"/>
      <c r="I128" s="51" t="str">
        <f>IFERROR(VLOOKUP(A128,Internal_lists_bugs!$A$2:$G1058,7,FALSE()),"please select a BUG ID")</f>
        <v>please select a BUG ID</v>
      </c>
      <c r="J128" s="85"/>
      <c r="K128" s="85"/>
    </row>
    <row r="129">
      <c r="A129" s="85"/>
      <c r="B129" s="59"/>
      <c r="C129" s="51" t="str">
        <f>IFERROR(VLOOKUP(A129,Internal_lists_bugs!$A$2:$T1058,20,FALSE()),"please select a BUG ID")</f>
        <v>please select a BUG ID</v>
      </c>
      <c r="D129" s="92"/>
      <c r="E129" s="85"/>
      <c r="F129" s="60"/>
      <c r="G129" s="61"/>
      <c r="H129" s="85"/>
      <c r="I129" s="51" t="str">
        <f>IFERROR(VLOOKUP(A129,Internal_lists_bugs!$A$2:$G1058,7,FALSE()),"please select a BUG ID")</f>
        <v>please select a BUG ID</v>
      </c>
      <c r="J129" s="85"/>
      <c r="K129" s="85"/>
    </row>
    <row r="130">
      <c r="A130" s="85"/>
      <c r="B130" s="59"/>
      <c r="C130" s="51" t="str">
        <f>IFERROR(VLOOKUP(A130,Internal_lists_bugs!$A$2:$T1058,20,FALSE()),"please select a BUG ID")</f>
        <v>please select a BUG ID</v>
      </c>
      <c r="D130" s="92"/>
      <c r="E130" s="85"/>
      <c r="F130" s="60"/>
      <c r="G130" s="61"/>
      <c r="H130" s="85"/>
      <c r="I130" s="51" t="str">
        <f>IFERROR(VLOOKUP(A130,Internal_lists_bugs!$A$2:$G1058,7,FALSE()),"please select a BUG ID")</f>
        <v>please select a BUG ID</v>
      </c>
      <c r="J130" s="85"/>
      <c r="K130" s="85"/>
    </row>
    <row r="131">
      <c r="A131" s="85"/>
      <c r="B131" s="59"/>
      <c r="C131" s="51" t="str">
        <f>IFERROR(VLOOKUP(A131,Internal_lists_bugs!$A$2:$T1058,20,FALSE()),"please select a BUG ID")</f>
        <v>please select a BUG ID</v>
      </c>
      <c r="D131" s="92"/>
      <c r="E131" s="85"/>
      <c r="F131" s="60"/>
      <c r="G131" s="61"/>
      <c r="H131" s="85"/>
      <c r="I131" s="51" t="str">
        <f>IFERROR(VLOOKUP(A131,Internal_lists_bugs!$A$2:$G1058,7,FALSE()),"please select a BUG ID")</f>
        <v>please select a BUG ID</v>
      </c>
      <c r="J131" s="85"/>
      <c r="K131" s="85"/>
    </row>
    <row r="132">
      <c r="A132" s="85"/>
      <c r="B132" s="59"/>
      <c r="C132" s="51" t="str">
        <f>IFERROR(VLOOKUP(A132,Internal_lists_bugs!$A$2:$T1058,20,FALSE()),"please select a BUG ID")</f>
        <v>please select a BUG ID</v>
      </c>
      <c r="D132" s="92"/>
      <c r="E132" s="85"/>
      <c r="F132" s="60"/>
      <c r="G132" s="61"/>
      <c r="H132" s="85"/>
      <c r="I132" s="51" t="str">
        <f>IFERROR(VLOOKUP(A132,Internal_lists_bugs!$A$2:$G1058,7,FALSE()),"please select a BUG ID")</f>
        <v>please select a BUG ID</v>
      </c>
      <c r="J132" s="85"/>
      <c r="K132" s="85"/>
    </row>
    <row r="133">
      <c r="A133" s="85"/>
      <c r="B133" s="59"/>
      <c r="C133" s="51" t="str">
        <f>IFERROR(VLOOKUP(A133,Internal_lists_bugs!$A$2:$T1058,20,FALSE()),"please select a BUG ID")</f>
        <v>please select a BUG ID</v>
      </c>
      <c r="D133" s="92"/>
      <c r="E133" s="85"/>
      <c r="F133" s="60"/>
      <c r="G133" s="61"/>
      <c r="H133" s="85"/>
      <c r="I133" s="51" t="str">
        <f>IFERROR(VLOOKUP(A133,Internal_lists_bugs!$A$2:$G1058,7,FALSE()),"please select a BUG ID")</f>
        <v>please select a BUG ID</v>
      </c>
      <c r="J133" s="85"/>
      <c r="K133" s="85"/>
    </row>
    <row r="134">
      <c r="A134" s="85"/>
      <c r="B134" s="59"/>
      <c r="C134" s="51" t="str">
        <f>IFERROR(VLOOKUP(A134,Internal_lists_bugs!$A$2:$T1058,20,FALSE()),"please select a BUG ID")</f>
        <v>please select a BUG ID</v>
      </c>
      <c r="D134" s="92"/>
      <c r="E134" s="85"/>
      <c r="F134" s="60"/>
      <c r="G134" s="61"/>
      <c r="H134" s="85"/>
      <c r="I134" s="51" t="str">
        <f>IFERROR(VLOOKUP(A134,Internal_lists_bugs!$A$2:$G1058,7,FALSE()),"please select a BUG ID")</f>
        <v>please select a BUG ID</v>
      </c>
      <c r="J134" s="85"/>
      <c r="K134" s="85"/>
    </row>
    <row r="135">
      <c r="A135" s="85"/>
      <c r="B135" s="59"/>
      <c r="C135" s="51" t="str">
        <f>IFERROR(VLOOKUP(A135,Internal_lists_bugs!$A$2:$T1058,20,FALSE()),"please select a BUG ID")</f>
        <v>please select a BUG ID</v>
      </c>
      <c r="D135" s="92"/>
      <c r="E135" s="85"/>
      <c r="F135" s="60"/>
      <c r="G135" s="61"/>
      <c r="H135" s="85"/>
      <c r="I135" s="51" t="str">
        <f>IFERROR(VLOOKUP(A135,Internal_lists_bugs!$A$2:$G1058,7,FALSE()),"please select a BUG ID")</f>
        <v>please select a BUG ID</v>
      </c>
      <c r="J135" s="85"/>
      <c r="K135" s="85"/>
    </row>
    <row r="136">
      <c r="A136" s="85"/>
      <c r="B136" s="59"/>
      <c r="C136" s="51" t="str">
        <f>IFERROR(VLOOKUP(A136,Internal_lists_bugs!$A$2:$T1058,20,FALSE()),"please select a BUG ID")</f>
        <v>please select a BUG ID</v>
      </c>
      <c r="D136" s="92"/>
      <c r="E136" s="85"/>
      <c r="F136" s="60"/>
      <c r="G136" s="61"/>
      <c r="H136" s="85"/>
      <c r="I136" s="51" t="str">
        <f>IFERROR(VLOOKUP(A136,Internal_lists_bugs!$A$2:$G1058,7,FALSE()),"please select a BUG ID")</f>
        <v>please select a BUG ID</v>
      </c>
      <c r="J136" s="85"/>
      <c r="K136" s="85"/>
    </row>
    <row r="137">
      <c r="A137" s="85"/>
      <c r="B137" s="59"/>
      <c r="C137" s="51" t="str">
        <f>IFERROR(VLOOKUP(A137,Internal_lists_bugs!$A$2:$T1058,20,FALSE()),"please select a BUG ID")</f>
        <v>please select a BUG ID</v>
      </c>
      <c r="D137" s="92"/>
      <c r="E137" s="85"/>
      <c r="F137" s="60"/>
      <c r="G137" s="61"/>
      <c r="H137" s="85"/>
      <c r="I137" s="51" t="str">
        <f>IFERROR(VLOOKUP(A137,Internal_lists_bugs!$A$2:$G1058,7,FALSE()),"please select a BUG ID")</f>
        <v>please select a BUG ID</v>
      </c>
      <c r="J137" s="85"/>
      <c r="K137" s="85"/>
    </row>
    <row r="138">
      <c r="A138" s="85"/>
      <c r="B138" s="59"/>
      <c r="C138" s="51" t="str">
        <f>IFERROR(VLOOKUP(A138,Internal_lists_bugs!$A$2:$T1058,20,FALSE()),"please select a BUG ID")</f>
        <v>please select a BUG ID</v>
      </c>
      <c r="D138" s="92"/>
      <c r="E138" s="85"/>
      <c r="F138" s="60"/>
      <c r="G138" s="87"/>
      <c r="H138" s="85"/>
      <c r="I138" s="51" t="str">
        <f>IFERROR(VLOOKUP(A138,Internal_lists_bugs!$A$2:$G1058,7,FALSE()),"please select a BUG ID")</f>
        <v>please select a BUG ID</v>
      </c>
      <c r="J138" s="85"/>
      <c r="K138" s="85"/>
    </row>
    <row r="139">
      <c r="A139" s="85"/>
      <c r="B139" s="59"/>
      <c r="C139" s="51" t="str">
        <f>IFERROR(VLOOKUP(A139,Internal_lists_bugs!$A$2:$T1058,20,FALSE()),"please select a BUG ID")</f>
        <v>please select a BUG ID</v>
      </c>
      <c r="D139" s="92"/>
      <c r="E139" s="85"/>
      <c r="F139" s="60"/>
      <c r="G139" s="87"/>
      <c r="H139" s="85"/>
      <c r="I139" s="51" t="str">
        <f>IFERROR(VLOOKUP(A139,Internal_lists_bugs!$A$2:$G1058,7,FALSE()),"please select a BUG ID")</f>
        <v>please select a BUG ID</v>
      </c>
      <c r="J139" s="85"/>
      <c r="K139" s="85"/>
    </row>
    <row r="140">
      <c r="A140" s="85"/>
      <c r="B140" s="59"/>
      <c r="C140" s="51" t="str">
        <f>IFERROR(VLOOKUP(A140,Internal_lists_bugs!$A$2:$T1058,20,FALSE()),"please select a BUG ID")</f>
        <v>please select a BUG ID</v>
      </c>
      <c r="D140" s="92"/>
      <c r="E140" s="85"/>
      <c r="F140" s="60"/>
      <c r="G140" s="87"/>
      <c r="H140" s="85"/>
      <c r="I140" s="51" t="str">
        <f>IFERROR(VLOOKUP(A140,Internal_lists_bugs!$A$2:$G1058,7,FALSE()),"please select a BUG ID")</f>
        <v>please select a BUG ID</v>
      </c>
      <c r="J140" s="85"/>
      <c r="K140" s="85"/>
    </row>
    <row r="141">
      <c r="A141" s="85"/>
      <c r="B141" s="59"/>
      <c r="C141" s="51" t="str">
        <f>IFERROR(VLOOKUP(A141,Internal_lists_bugs!$A$2:$T1058,20,FALSE()),"please select a BUG ID")</f>
        <v>please select a BUG ID</v>
      </c>
      <c r="D141" s="92"/>
      <c r="E141" s="85"/>
      <c r="F141" s="60"/>
      <c r="G141" s="87"/>
      <c r="H141" s="85"/>
      <c r="I141" s="51" t="str">
        <f>IFERROR(VLOOKUP(A141,Internal_lists_bugs!$A$2:$G1058,7,FALSE()),"please select a BUG ID")</f>
        <v>please select a BUG ID</v>
      </c>
      <c r="J141" s="85"/>
      <c r="K141" s="85"/>
    </row>
    <row r="142">
      <c r="A142" s="85"/>
      <c r="B142" s="59"/>
      <c r="C142" s="51" t="str">
        <f>IFERROR(VLOOKUP(A142,Internal_lists_bugs!$A$2:$T1058,20,FALSE()),"please select a BUG ID")</f>
        <v>please select a BUG ID</v>
      </c>
      <c r="D142" s="92"/>
      <c r="E142" s="85"/>
      <c r="F142" s="60"/>
      <c r="G142" s="63"/>
      <c r="H142" s="85"/>
      <c r="I142" s="51" t="str">
        <f>IFERROR(VLOOKUP(A142,Internal_lists_bugs!$A$2:$G1058,7,FALSE()),"please select a BUG ID")</f>
        <v>please select a BUG ID</v>
      </c>
      <c r="J142" s="85"/>
      <c r="K142" s="85"/>
    </row>
    <row r="143">
      <c r="A143" s="85"/>
      <c r="B143" s="59"/>
      <c r="C143" s="51" t="str">
        <f>IFERROR(VLOOKUP(A143,Internal_lists_bugs!$A$2:$T1058,20,FALSE()),"please select a BUG ID")</f>
        <v>please select a BUG ID</v>
      </c>
      <c r="D143" s="92"/>
      <c r="E143" s="85"/>
      <c r="F143" s="60"/>
      <c r="G143" s="61"/>
      <c r="H143" s="85"/>
      <c r="I143" s="51" t="str">
        <f>IFERROR(VLOOKUP(A143,Internal_lists_bugs!$A$2:$G1058,7,FALSE()),"please select a BUG ID")</f>
        <v>please select a BUG ID</v>
      </c>
      <c r="J143" s="85"/>
      <c r="K143" s="85"/>
    </row>
    <row r="144">
      <c r="A144" s="85"/>
      <c r="B144" s="59"/>
      <c r="C144" s="51" t="str">
        <f>IFERROR(VLOOKUP(A144,Internal_lists_bugs!$A$2:$T1058,20,FALSE()),"please select a BUG ID")</f>
        <v>please select a BUG ID</v>
      </c>
      <c r="D144" s="92"/>
      <c r="E144" s="85"/>
      <c r="F144" s="60"/>
      <c r="G144" s="61"/>
      <c r="H144" s="85"/>
      <c r="I144" s="51" t="str">
        <f>IFERROR(VLOOKUP(A144,Internal_lists_bugs!$A$2:$G1058,7,FALSE()),"please select a BUG ID")</f>
        <v>please select a BUG ID</v>
      </c>
      <c r="J144" s="85"/>
      <c r="K144" s="85"/>
    </row>
    <row r="145">
      <c r="A145" s="85"/>
      <c r="B145" s="59"/>
      <c r="C145" s="51" t="str">
        <f>IFERROR(VLOOKUP(A145,Internal_lists_bugs!$A$2:$T1058,20,FALSE()),"please select a BUG ID")</f>
        <v>please select a BUG ID</v>
      </c>
      <c r="D145" s="92"/>
      <c r="E145" s="85"/>
      <c r="F145" s="60"/>
      <c r="G145" s="61"/>
      <c r="H145" s="85"/>
      <c r="I145" s="51" t="str">
        <f>IFERROR(VLOOKUP(A145,Internal_lists_bugs!$A$2:$G1058,7,FALSE()),"please select a BUG ID")</f>
        <v>please select a BUG ID</v>
      </c>
      <c r="J145" s="85"/>
      <c r="K145" s="85"/>
    </row>
    <row r="146">
      <c r="A146" s="85"/>
      <c r="B146" s="59"/>
      <c r="C146" s="51" t="str">
        <f>IFERROR(VLOOKUP(A146,Internal_lists_bugs!$A$2:$T1058,20,FALSE()),"please select a BUG ID")</f>
        <v>please select a BUG ID</v>
      </c>
      <c r="D146" s="92"/>
      <c r="E146" s="85"/>
      <c r="F146" s="60"/>
      <c r="G146" s="61"/>
      <c r="H146" s="85"/>
      <c r="I146" s="51" t="str">
        <f>IFERROR(VLOOKUP(A146,Internal_lists_bugs!$A$2:$G1058,7,FALSE()),"please select a BUG ID")</f>
        <v>please select a BUG ID</v>
      </c>
      <c r="J146" s="85"/>
      <c r="K146" s="85"/>
    </row>
    <row r="147">
      <c r="A147" s="85"/>
      <c r="B147" s="59"/>
      <c r="C147" s="51" t="str">
        <f>IFERROR(VLOOKUP(A147,Internal_lists_bugs!$A$2:$T1058,20,FALSE()),"please select a BUG ID")</f>
        <v>please select a BUG ID</v>
      </c>
      <c r="D147" s="92"/>
      <c r="E147" s="85"/>
      <c r="F147" s="60"/>
      <c r="G147" s="61"/>
      <c r="H147" s="85"/>
      <c r="I147" s="51" t="str">
        <f>IFERROR(VLOOKUP(A147,Internal_lists_bugs!$A$2:$G1058,7,FALSE()),"please select a BUG ID")</f>
        <v>please select a BUG ID</v>
      </c>
      <c r="J147" s="85"/>
      <c r="K147" s="85"/>
    </row>
    <row r="148">
      <c r="A148" s="85"/>
      <c r="B148" s="59"/>
      <c r="C148" s="51" t="str">
        <f>IFERROR(VLOOKUP(A148,Internal_lists_bugs!$A$2:$T1058,20,FALSE()),"please select a BUG ID")</f>
        <v>please select a BUG ID</v>
      </c>
      <c r="D148" s="92"/>
      <c r="E148" s="85"/>
      <c r="F148" s="60"/>
      <c r="G148" s="61"/>
      <c r="H148" s="85"/>
      <c r="I148" s="51" t="str">
        <f>IFERROR(VLOOKUP(A148,Internal_lists_bugs!$A$2:$G1058,7,FALSE()),"please select a BUG ID")</f>
        <v>please select a BUG ID</v>
      </c>
      <c r="J148" s="85"/>
      <c r="K148" s="85"/>
    </row>
    <row r="149">
      <c r="A149" s="85"/>
      <c r="B149" s="59"/>
      <c r="C149" s="51" t="str">
        <f>IFERROR(VLOOKUP(A149,Internal_lists_bugs!$A$2:$T1058,20,FALSE()),"please select a BUG ID")</f>
        <v>please select a BUG ID</v>
      </c>
      <c r="D149" s="92"/>
      <c r="E149" s="85"/>
      <c r="F149" s="60"/>
      <c r="G149" s="61"/>
      <c r="H149" s="85"/>
      <c r="I149" s="51" t="str">
        <f>IFERROR(VLOOKUP(A149,Internal_lists_bugs!$A$2:$G1058,7,FALSE()),"please select a BUG ID")</f>
        <v>please select a BUG ID</v>
      </c>
      <c r="J149" s="85"/>
      <c r="K149" s="85"/>
    </row>
    <row r="150">
      <c r="A150" s="85"/>
      <c r="B150" s="59"/>
      <c r="C150" s="51" t="str">
        <f>IFERROR(VLOOKUP(A150,Internal_lists_bugs!$A$2:$T1058,20,FALSE()),"please select a BUG ID")</f>
        <v>please select a BUG ID</v>
      </c>
      <c r="D150" s="92"/>
      <c r="E150" s="85"/>
      <c r="F150" s="60"/>
      <c r="G150" s="61"/>
      <c r="H150" s="85"/>
      <c r="I150" s="51" t="str">
        <f>IFERROR(VLOOKUP(A150,Internal_lists_bugs!$A$2:$G1058,7,FALSE()),"please select a BUG ID")</f>
        <v>please select a BUG ID</v>
      </c>
      <c r="J150" s="85"/>
      <c r="K150" s="85"/>
    </row>
    <row r="151">
      <c r="A151" s="85"/>
      <c r="B151" s="59"/>
      <c r="C151" s="51" t="str">
        <f>IFERROR(VLOOKUP(A151,Internal_lists_bugs!$A$2:$T1058,20,FALSE()),"please select a BUG ID")</f>
        <v>please select a BUG ID</v>
      </c>
      <c r="D151" s="92"/>
      <c r="E151" s="85"/>
      <c r="F151" s="60"/>
      <c r="G151" s="61"/>
      <c r="H151" s="85"/>
      <c r="I151" s="51" t="str">
        <f>IFERROR(VLOOKUP(A151,Internal_lists_bugs!$A$2:$G1058,7,FALSE()),"please select a BUG ID")</f>
        <v>please select a BUG ID</v>
      </c>
      <c r="J151" s="85"/>
      <c r="K151" s="85"/>
    </row>
    <row r="152">
      <c r="A152" s="85"/>
      <c r="B152" s="59"/>
      <c r="C152" s="51" t="str">
        <f>IFERROR(VLOOKUP(A152,Internal_lists_bugs!$A$2:$T1058,20,FALSE()),"please select a BUG ID")</f>
        <v>please select a BUG ID</v>
      </c>
      <c r="D152" s="92"/>
      <c r="E152" s="85"/>
      <c r="F152" s="60"/>
      <c r="G152" s="61"/>
      <c r="H152" s="85"/>
      <c r="I152" s="51" t="str">
        <f>IFERROR(VLOOKUP(A152,Internal_lists_bugs!$A$2:$G1058,7,FALSE()),"please select a BUG ID")</f>
        <v>please select a BUG ID</v>
      </c>
      <c r="J152" s="85"/>
      <c r="K152" s="85"/>
    </row>
    <row r="153">
      <c r="A153" s="85"/>
      <c r="B153" s="59"/>
      <c r="C153" s="51" t="str">
        <f>IFERROR(VLOOKUP(A153,Internal_lists_bugs!$A$2:$T1058,20,FALSE()),"please select a BUG ID")</f>
        <v>please select a BUG ID</v>
      </c>
      <c r="D153" s="92"/>
      <c r="E153" s="85"/>
      <c r="F153" s="60"/>
      <c r="G153" s="61"/>
      <c r="H153" s="85"/>
      <c r="I153" s="51" t="str">
        <f>IFERROR(VLOOKUP(A153,Internal_lists_bugs!$A$2:$G1058,7,FALSE()),"please select a BUG ID")</f>
        <v>please select a BUG ID</v>
      </c>
      <c r="J153" s="85"/>
      <c r="K153" s="85"/>
    </row>
    <row r="154">
      <c r="A154" s="85"/>
      <c r="B154" s="59"/>
      <c r="C154" s="51" t="str">
        <f>IFERROR(VLOOKUP(A154,Internal_lists_bugs!$A$2:$T1058,20,FALSE()),"please select a BUG ID")</f>
        <v>please select a BUG ID</v>
      </c>
      <c r="D154" s="92"/>
      <c r="E154" s="85"/>
      <c r="F154" s="60"/>
      <c r="G154" s="61"/>
      <c r="H154" s="85"/>
      <c r="I154" s="51" t="str">
        <f>IFERROR(VLOOKUP(A154,Internal_lists_bugs!$A$2:$G1058,7,FALSE()),"please select a BUG ID")</f>
        <v>please select a BUG ID</v>
      </c>
      <c r="J154" s="85"/>
      <c r="K154" s="85"/>
    </row>
    <row r="155">
      <c r="A155" s="85"/>
      <c r="B155" s="59"/>
      <c r="C155" s="51" t="str">
        <f>IFERROR(VLOOKUP(A155,Internal_lists_bugs!$A$2:$T1058,20,FALSE()),"please select a BUG ID")</f>
        <v>please select a BUG ID</v>
      </c>
      <c r="D155" s="92"/>
      <c r="E155" s="85"/>
      <c r="F155" s="60"/>
      <c r="G155" s="61"/>
      <c r="H155" s="85"/>
      <c r="I155" s="51" t="str">
        <f>IFERROR(VLOOKUP(A155,Internal_lists_bugs!$A$2:$G1058,7,FALSE()),"please select a BUG ID")</f>
        <v>please select a BUG ID</v>
      </c>
      <c r="J155" s="85"/>
      <c r="K155" s="85"/>
    </row>
    <row r="156">
      <c r="A156" s="85"/>
      <c r="B156" s="59"/>
      <c r="C156" s="51" t="str">
        <f>IFERROR(VLOOKUP(A156,Internal_lists_bugs!$A$2:$T1058,20,FALSE()),"please select a BUG ID")</f>
        <v>please select a BUG ID</v>
      </c>
      <c r="D156" s="92"/>
      <c r="E156" s="85"/>
      <c r="F156" s="60"/>
      <c r="G156" s="61"/>
      <c r="H156" s="85"/>
      <c r="I156" s="51" t="str">
        <f>IFERROR(VLOOKUP(A156,Internal_lists_bugs!$A$2:$G1058,7,FALSE()),"please select a BUG ID")</f>
        <v>please select a BUG ID</v>
      </c>
      <c r="J156" s="85"/>
      <c r="K156" s="85"/>
    </row>
    <row r="157">
      <c r="A157" s="85"/>
      <c r="B157" s="59"/>
      <c r="C157" s="51" t="str">
        <f>IFERROR(VLOOKUP(A157,Internal_lists_bugs!$A$2:$T1058,20,FALSE()),"please select a BUG ID")</f>
        <v>please select a BUG ID</v>
      </c>
      <c r="D157" s="92"/>
      <c r="E157" s="85"/>
      <c r="F157" s="60"/>
      <c r="G157" s="61"/>
      <c r="H157" s="85"/>
      <c r="I157" s="51" t="str">
        <f>IFERROR(VLOOKUP(A157,Internal_lists_bugs!$A$2:$G1058,7,FALSE()),"please select a BUG ID")</f>
        <v>please select a BUG ID</v>
      </c>
      <c r="J157" s="85"/>
      <c r="K157" s="85"/>
    </row>
    <row r="158">
      <c r="A158" s="85"/>
      <c r="B158" s="59"/>
      <c r="C158" s="51" t="str">
        <f>IFERROR(VLOOKUP(A158,Internal_lists_bugs!$A$2:$T1058,20,FALSE()),"please select a BUG ID")</f>
        <v>please select a BUG ID</v>
      </c>
      <c r="D158" s="92"/>
      <c r="E158" s="85"/>
      <c r="F158" s="60"/>
      <c r="G158" s="61"/>
      <c r="H158" s="85"/>
      <c r="I158" s="51" t="str">
        <f>IFERROR(VLOOKUP(A158,Internal_lists_bugs!$A$2:$G1058,7,FALSE()),"please select a BUG ID")</f>
        <v>please select a BUG ID</v>
      </c>
      <c r="J158" s="85"/>
      <c r="K158" s="85"/>
    </row>
    <row r="159">
      <c r="A159" s="85"/>
      <c r="B159" s="59"/>
      <c r="C159" s="51" t="str">
        <f>IFERROR(VLOOKUP(A159,Internal_lists_bugs!$A$2:$T1058,20,FALSE()),"please select a BUG ID")</f>
        <v>please select a BUG ID</v>
      </c>
      <c r="D159" s="92"/>
      <c r="E159" s="85"/>
      <c r="F159" s="60"/>
      <c r="G159" s="61"/>
      <c r="H159" s="85"/>
      <c r="I159" s="51" t="str">
        <f>IFERROR(VLOOKUP(A159,Internal_lists_bugs!$A$2:$G1058,7,FALSE()),"please select a BUG ID")</f>
        <v>please select a BUG ID</v>
      </c>
      <c r="J159" s="85"/>
      <c r="K159" s="85"/>
    </row>
    <row r="160">
      <c r="A160" s="85"/>
      <c r="B160" s="59"/>
      <c r="C160" s="51" t="str">
        <f>IFERROR(VLOOKUP(A160,Internal_lists_bugs!$A$2:$T1058,20,FALSE()),"please select a BUG ID")</f>
        <v>please select a BUG ID</v>
      </c>
      <c r="D160" s="92"/>
      <c r="E160" s="85"/>
      <c r="F160" s="60"/>
      <c r="G160" s="61"/>
      <c r="H160" s="85"/>
      <c r="I160" s="51" t="str">
        <f>IFERROR(VLOOKUP(A160,Internal_lists_bugs!$A$2:$G1058,7,FALSE()),"please select a BUG ID")</f>
        <v>please select a BUG ID</v>
      </c>
      <c r="J160" s="85"/>
      <c r="K160" s="85"/>
    </row>
    <row r="161">
      <c r="A161" s="85"/>
      <c r="B161" s="59"/>
      <c r="C161" s="51" t="str">
        <f>IFERROR(VLOOKUP(A161,Internal_lists_bugs!$A$2:$T1058,20,FALSE()),"please select a BUG ID")</f>
        <v>please select a BUG ID</v>
      </c>
      <c r="D161" s="92"/>
      <c r="E161" s="85"/>
      <c r="F161" s="60"/>
      <c r="G161" s="63"/>
      <c r="H161" s="85"/>
      <c r="I161" s="51" t="str">
        <f>IFERROR(VLOOKUP(A161,Internal_lists_bugs!$A$2:$G1058,7,FALSE()),"please select a BUG ID")</f>
        <v>please select a BUG ID</v>
      </c>
      <c r="J161" s="85"/>
      <c r="K161" s="85"/>
    </row>
    <row r="162">
      <c r="A162" s="85"/>
      <c r="B162" s="59"/>
      <c r="C162" s="51" t="str">
        <f>IFERROR(VLOOKUP(A162,Internal_lists_bugs!$A$2:$T1058,20,FALSE()),"please select a BUG ID")</f>
        <v>please select a BUG ID</v>
      </c>
      <c r="D162" s="93"/>
      <c r="E162" s="85"/>
      <c r="F162" s="60"/>
      <c r="G162" s="63"/>
      <c r="H162" s="85"/>
      <c r="I162" s="51" t="str">
        <f>IFERROR(VLOOKUP(A162,Internal_lists_bugs!$A$2:$G1058,7,FALSE()),"please select a BUG ID")</f>
        <v>please select a BUG ID</v>
      </c>
      <c r="J162" s="85"/>
      <c r="K162" s="85"/>
    </row>
    <row r="163">
      <c r="A163" s="85"/>
      <c r="B163" s="59"/>
      <c r="C163" s="51" t="str">
        <f>IFERROR(VLOOKUP(A163,Internal_lists_bugs!$A$2:$T1058,20,FALSE()),"please select a BUG ID")</f>
        <v>please select a BUG ID</v>
      </c>
      <c r="D163" s="92"/>
      <c r="E163" s="85"/>
      <c r="F163" s="60"/>
      <c r="G163" s="61"/>
      <c r="H163" s="85"/>
      <c r="I163" s="51" t="str">
        <f>IFERROR(VLOOKUP(A163,Internal_lists_bugs!$A$2:$G1058,7,FALSE()),"please select a BUG ID")</f>
        <v>please select a BUG ID</v>
      </c>
      <c r="J163" s="85"/>
      <c r="K163" s="85"/>
    </row>
    <row r="164">
      <c r="A164" s="85"/>
      <c r="B164" s="59"/>
      <c r="C164" s="51" t="str">
        <f>IFERROR(VLOOKUP(A164,Internal_lists_bugs!$A$2:$T1058,20,FALSE()),"please select a BUG ID")</f>
        <v>please select a BUG ID</v>
      </c>
      <c r="D164" s="92"/>
      <c r="E164" s="85"/>
      <c r="F164" s="60"/>
      <c r="G164" s="61"/>
      <c r="H164" s="85"/>
      <c r="I164" s="51" t="str">
        <f>IFERROR(VLOOKUP(A164,Internal_lists_bugs!$A$2:$G1058,7,FALSE()),"please select a BUG ID")</f>
        <v>please select a BUG ID</v>
      </c>
      <c r="J164" s="85"/>
      <c r="K164" s="85"/>
    </row>
    <row r="165">
      <c r="A165" s="85"/>
      <c r="B165" s="59"/>
      <c r="C165" s="51" t="str">
        <f>IFERROR(VLOOKUP(A165,Internal_lists_bugs!$A$2:$T1058,20,FALSE()),"please select a BUG ID")</f>
        <v>please select a BUG ID</v>
      </c>
      <c r="D165" s="92"/>
      <c r="E165" s="85"/>
      <c r="F165" s="60"/>
      <c r="G165" s="61"/>
      <c r="H165" s="85"/>
      <c r="I165" s="51" t="str">
        <f>IFERROR(VLOOKUP(A165,Internal_lists_bugs!$A$2:$G1058,7,FALSE()),"please select a BUG ID")</f>
        <v>please select a BUG ID</v>
      </c>
      <c r="J165" s="85"/>
      <c r="K165" s="85"/>
    </row>
    <row r="166">
      <c r="A166" s="85"/>
      <c r="B166" s="59"/>
      <c r="C166" s="51" t="str">
        <f>IFERROR(VLOOKUP(A166,Internal_lists_bugs!$A$2:$T1058,20,FALSE()),"please select a BUG ID")</f>
        <v>please select a BUG ID</v>
      </c>
      <c r="D166" s="92"/>
      <c r="E166" s="85"/>
      <c r="F166" s="60"/>
      <c r="G166" s="61"/>
      <c r="H166" s="85"/>
      <c r="I166" s="51" t="str">
        <f>IFERROR(VLOOKUP(A166,Internal_lists_bugs!$A$2:$G1058,7,FALSE()),"please select a BUG ID")</f>
        <v>please select a BUG ID</v>
      </c>
      <c r="J166" s="85"/>
      <c r="K166" s="85"/>
    </row>
    <row r="167">
      <c r="A167" s="85"/>
      <c r="B167" s="59"/>
      <c r="C167" s="51" t="str">
        <f>IFERROR(VLOOKUP(A167,Internal_lists_bugs!$A$2:$T1058,20,FALSE()),"please select a BUG ID")</f>
        <v>please select a BUG ID</v>
      </c>
      <c r="D167" s="92"/>
      <c r="E167" s="85"/>
      <c r="F167" s="60"/>
      <c r="G167" s="61"/>
      <c r="H167" s="85"/>
      <c r="I167" s="51" t="str">
        <f>IFERROR(VLOOKUP(A167,Internal_lists_bugs!$A$2:$G1058,7,FALSE()),"please select a BUG ID")</f>
        <v>please select a BUG ID</v>
      </c>
      <c r="J167" s="85"/>
      <c r="K167" s="85"/>
    </row>
    <row r="168">
      <c r="A168" s="85"/>
      <c r="B168" s="59"/>
      <c r="C168" s="51" t="str">
        <f>IFERROR(VLOOKUP(A168,Internal_lists_bugs!$A$2:$T1058,20,FALSE()),"please select a BUG ID")</f>
        <v>please select a BUG ID</v>
      </c>
      <c r="D168" s="92"/>
      <c r="E168" s="85"/>
      <c r="F168" s="60"/>
      <c r="G168" s="61"/>
      <c r="H168" s="85"/>
      <c r="I168" s="51" t="str">
        <f>IFERROR(VLOOKUP(A168,Internal_lists_bugs!$A$2:$G1058,7,FALSE()),"please select a BUG ID")</f>
        <v>please select a BUG ID</v>
      </c>
      <c r="J168" s="85"/>
      <c r="K168" s="85"/>
    </row>
    <row r="169">
      <c r="A169" s="85"/>
      <c r="B169" s="59"/>
      <c r="C169" s="51" t="str">
        <f>IFERROR(VLOOKUP(A169,Internal_lists_bugs!$A$2:$T1058,20,FALSE()),"please select a BUG ID")</f>
        <v>please select a BUG ID</v>
      </c>
      <c r="D169" s="92"/>
      <c r="E169" s="85"/>
      <c r="F169" s="60"/>
      <c r="G169" s="61"/>
      <c r="H169" s="85"/>
      <c r="I169" s="51" t="str">
        <f>IFERROR(VLOOKUP(A169,Internal_lists_bugs!$A$2:$G1058,7,FALSE()),"please select a BUG ID")</f>
        <v>please select a BUG ID</v>
      </c>
      <c r="J169" s="85"/>
      <c r="K169" s="85"/>
    </row>
    <row r="170">
      <c r="A170" s="85"/>
      <c r="B170" s="59"/>
      <c r="C170" s="51" t="str">
        <f>IFERROR(VLOOKUP(A170,Internal_lists_bugs!$A$2:$T1058,20,FALSE()),"please select a BUG ID")</f>
        <v>please select a BUG ID</v>
      </c>
      <c r="D170" s="92"/>
      <c r="E170" s="85"/>
      <c r="F170" s="60"/>
      <c r="G170" s="61"/>
      <c r="H170" s="85"/>
      <c r="I170" s="51" t="str">
        <f>IFERROR(VLOOKUP(A170,Internal_lists_bugs!$A$2:$G1058,7,FALSE()),"please select a BUG ID")</f>
        <v>please select a BUG ID</v>
      </c>
      <c r="J170" s="85"/>
      <c r="K170" s="85"/>
    </row>
    <row r="171">
      <c r="A171" s="85"/>
      <c r="B171" s="59"/>
      <c r="C171" s="51" t="str">
        <f>IFERROR(VLOOKUP(A171,Internal_lists_bugs!$A$2:$T1058,20,FALSE()),"please select a BUG ID")</f>
        <v>please select a BUG ID</v>
      </c>
      <c r="D171" s="92"/>
      <c r="E171" s="85"/>
      <c r="F171" s="60"/>
      <c r="G171" s="61"/>
      <c r="H171" s="85"/>
      <c r="I171" s="51" t="str">
        <f>IFERROR(VLOOKUP(A171,Internal_lists_bugs!$A$2:$G1058,7,FALSE()),"please select a BUG ID")</f>
        <v>please select a BUG ID</v>
      </c>
      <c r="J171" s="85"/>
      <c r="K171" s="85"/>
    </row>
    <row r="172">
      <c r="A172" s="85"/>
      <c r="B172" s="59"/>
      <c r="C172" s="51" t="str">
        <f>IFERROR(VLOOKUP(A172,Internal_lists_bugs!$A$2:$T1058,20,FALSE()),"please select a BUG ID")</f>
        <v>please select a BUG ID</v>
      </c>
      <c r="D172" s="92"/>
      <c r="E172" s="85"/>
      <c r="F172" s="60"/>
      <c r="G172" s="61"/>
      <c r="H172" s="85"/>
      <c r="I172" s="51" t="str">
        <f>IFERROR(VLOOKUP(A172,Internal_lists_bugs!$A$2:$G1058,7,FALSE()),"please select a BUG ID")</f>
        <v>please select a BUG ID</v>
      </c>
      <c r="J172" s="85"/>
      <c r="K172" s="85"/>
    </row>
    <row r="173">
      <c r="A173" s="85"/>
      <c r="B173" s="59"/>
      <c r="C173" s="51" t="str">
        <f>IFERROR(VLOOKUP(A173,Internal_lists_bugs!$A$2:$T1058,20,FALSE()),"please select a BUG ID")</f>
        <v>please select a BUG ID</v>
      </c>
      <c r="D173" s="92"/>
      <c r="E173" s="85"/>
      <c r="F173" s="60"/>
      <c r="G173" s="61"/>
      <c r="H173" s="85"/>
      <c r="I173" s="51" t="str">
        <f>IFERROR(VLOOKUP(A173,Internal_lists_bugs!$A$2:$G1058,7,FALSE()),"please select a BUG ID")</f>
        <v>please select a BUG ID</v>
      </c>
      <c r="J173" s="85"/>
      <c r="K173" s="85"/>
    </row>
    <row r="174">
      <c r="A174" s="85"/>
      <c r="B174" s="59"/>
      <c r="C174" s="51" t="str">
        <f>IFERROR(VLOOKUP(A174,Internal_lists_bugs!$A$2:$T1058,20,FALSE()),"please select a BUG ID")</f>
        <v>please select a BUG ID</v>
      </c>
      <c r="D174" s="92"/>
      <c r="E174" s="85"/>
      <c r="F174" s="60"/>
      <c r="G174" s="61"/>
      <c r="H174" s="85"/>
      <c r="I174" s="51" t="str">
        <f>IFERROR(VLOOKUP(A174,Internal_lists_bugs!$A$2:$G1058,7,FALSE()),"please select a BUG ID")</f>
        <v>please select a BUG ID</v>
      </c>
      <c r="J174" s="85"/>
      <c r="K174" s="85"/>
    </row>
    <row r="175">
      <c r="A175" s="85"/>
      <c r="B175" s="59"/>
      <c r="C175" s="51" t="str">
        <f>IFERROR(VLOOKUP(A175,Internal_lists_bugs!$A$2:$T1058,20,FALSE()),"please select a BUG ID")</f>
        <v>please select a BUG ID</v>
      </c>
      <c r="D175" s="92"/>
      <c r="E175" s="85"/>
      <c r="F175" s="60"/>
      <c r="G175" s="61"/>
      <c r="H175" s="85"/>
      <c r="I175" s="51" t="str">
        <f>IFERROR(VLOOKUP(A175,Internal_lists_bugs!$A$2:$G1058,7,FALSE()),"please select a BUG ID")</f>
        <v>please select a BUG ID</v>
      </c>
      <c r="J175" s="85"/>
      <c r="K175" s="85"/>
    </row>
    <row r="176">
      <c r="A176" s="85"/>
      <c r="B176" s="59"/>
      <c r="C176" s="51" t="str">
        <f>IFERROR(VLOOKUP(A176,Internal_lists_bugs!$A$2:$T1058,20,FALSE()),"please select a BUG ID")</f>
        <v>please select a BUG ID</v>
      </c>
      <c r="D176" s="92"/>
      <c r="E176" s="85"/>
      <c r="F176" s="60"/>
      <c r="G176" s="61"/>
      <c r="H176" s="85"/>
      <c r="I176" s="51" t="str">
        <f>IFERROR(VLOOKUP(A176,Internal_lists_bugs!$A$2:$G1058,7,FALSE()),"please select a BUG ID")</f>
        <v>please select a BUG ID</v>
      </c>
      <c r="J176" s="85"/>
      <c r="K176" s="85"/>
    </row>
    <row r="177">
      <c r="A177" s="85"/>
      <c r="B177" s="59"/>
      <c r="C177" s="51" t="str">
        <f>IFERROR(VLOOKUP(A177,Internal_lists_bugs!$A$2:$T1058,20,FALSE()),"please select a BUG ID")</f>
        <v>please select a BUG ID</v>
      </c>
      <c r="D177" s="92"/>
      <c r="E177" s="85"/>
      <c r="F177" s="60"/>
      <c r="G177" s="61"/>
      <c r="H177" s="85"/>
      <c r="I177" s="51" t="str">
        <f>IFERROR(VLOOKUP(A177,Internal_lists_bugs!$A$2:$G1058,7,FALSE()),"please select a BUG ID")</f>
        <v>please select a BUG ID</v>
      </c>
      <c r="J177" s="85"/>
      <c r="K177" s="85"/>
    </row>
    <row r="178">
      <c r="A178" s="85"/>
      <c r="B178" s="59"/>
      <c r="C178" s="51" t="str">
        <f>IFERROR(VLOOKUP(A178,Internal_lists_bugs!$A$2:$T1058,20,FALSE()),"please select a BUG ID")</f>
        <v>please select a BUG ID</v>
      </c>
      <c r="D178" s="92"/>
      <c r="E178" s="85"/>
      <c r="F178" s="60"/>
      <c r="G178" s="61"/>
      <c r="H178" s="85"/>
      <c r="I178" s="51" t="str">
        <f>IFERROR(VLOOKUP(A178,Internal_lists_bugs!$A$2:$G1058,7,FALSE()),"please select a BUG ID")</f>
        <v>please select a BUG ID</v>
      </c>
      <c r="J178" s="85"/>
      <c r="K178" s="85"/>
    </row>
    <row r="179">
      <c r="A179" s="85"/>
      <c r="B179" s="59"/>
      <c r="C179" s="51" t="str">
        <f>IFERROR(VLOOKUP(A179,Internal_lists_bugs!$A$2:$T1058,20,FALSE()),"please select a BUG ID")</f>
        <v>please select a BUG ID</v>
      </c>
      <c r="D179" s="92"/>
      <c r="E179" s="85"/>
      <c r="F179" s="60"/>
      <c r="G179" s="61"/>
      <c r="H179" s="85"/>
      <c r="I179" s="51" t="str">
        <f>IFERROR(VLOOKUP(A179,Internal_lists_bugs!$A$2:$G1058,7,FALSE()),"please select a BUG ID")</f>
        <v>please select a BUG ID</v>
      </c>
      <c r="J179" s="85"/>
      <c r="K179" s="85"/>
    </row>
    <row r="180">
      <c r="A180" s="85"/>
      <c r="B180" s="59"/>
      <c r="C180" s="51" t="str">
        <f>IFERROR(VLOOKUP(A180,Internal_lists_bugs!$A$2:$T1058,20,FALSE()),"please select a BUG ID")</f>
        <v>please select a BUG ID</v>
      </c>
      <c r="D180" s="92"/>
      <c r="E180" s="85"/>
      <c r="F180" s="60"/>
      <c r="G180" s="61"/>
      <c r="H180" s="85"/>
      <c r="I180" s="51" t="str">
        <f>IFERROR(VLOOKUP(A180,Internal_lists_bugs!$A$2:$G1058,7,FALSE()),"please select a BUG ID")</f>
        <v>please select a BUG ID</v>
      </c>
      <c r="J180" s="85"/>
      <c r="K180" s="85"/>
    </row>
    <row r="181">
      <c r="A181" s="85"/>
      <c r="B181" s="59"/>
      <c r="C181" s="51" t="str">
        <f>IFERROR(VLOOKUP(A181,Internal_lists_bugs!$A$2:$T1058,20,FALSE()),"please select a BUG ID")</f>
        <v>please select a BUG ID</v>
      </c>
      <c r="D181" s="93"/>
      <c r="E181" s="85"/>
      <c r="F181" s="60"/>
      <c r="G181" s="63"/>
      <c r="H181" s="85"/>
      <c r="I181" s="51" t="str">
        <f>IFERROR(VLOOKUP(A181,Internal_lists_bugs!$A$2:$G1058,7,FALSE()),"please select a BUG ID")</f>
        <v>please select a BUG ID</v>
      </c>
      <c r="J181" s="85"/>
      <c r="K181" s="85"/>
    </row>
    <row r="182">
      <c r="A182" s="85"/>
      <c r="B182" s="59"/>
      <c r="C182" s="51" t="str">
        <f>IFERROR(VLOOKUP(A182,Internal_lists_bugs!$A$2:$T1058,20,FALSE()),"please select a BUG ID")</f>
        <v>please select a BUG ID</v>
      </c>
      <c r="D182" s="93"/>
      <c r="E182" s="85"/>
      <c r="F182" s="62"/>
      <c r="G182" s="63"/>
      <c r="H182" s="85"/>
      <c r="I182" s="51" t="str">
        <f>IFERROR(VLOOKUP(A182,Internal_lists_bugs!$A$2:$G1058,7,FALSE()),"please select a BUG ID")</f>
        <v>please select a BUG ID</v>
      </c>
      <c r="J182" s="85"/>
      <c r="K182" s="85"/>
    </row>
    <row r="183">
      <c r="A183" s="85"/>
      <c r="B183" s="59"/>
      <c r="C183" s="51" t="str">
        <f>IFERROR(VLOOKUP(A183,Internal_lists_bugs!$A$2:$T1058,20,FALSE()),"please select a BUG ID")</f>
        <v>please select a BUG ID</v>
      </c>
      <c r="D183" s="93"/>
      <c r="E183" s="85"/>
      <c r="F183" s="62"/>
      <c r="G183" s="63"/>
      <c r="H183" s="85"/>
      <c r="I183" s="51" t="str">
        <f>IFERROR(VLOOKUP(A183,Internal_lists_bugs!$A$2:$G1058,7,FALSE()),"please select a BUG ID")</f>
        <v>please select a BUG ID</v>
      </c>
      <c r="J183" s="85"/>
      <c r="K183" s="85"/>
    </row>
    <row r="184" ht="41.25" customHeight="1">
      <c r="A184" s="85"/>
      <c r="B184" s="59"/>
      <c r="C184" s="51" t="str">
        <f>IFERROR(VLOOKUP(A184,Internal_lists_bugs!$A$2:$T1058,20,FALSE()),"please select a BUG ID")</f>
        <v>please select a BUG ID</v>
      </c>
      <c r="D184" s="93"/>
      <c r="E184" s="85"/>
      <c r="F184" s="62"/>
      <c r="G184" s="63"/>
      <c r="H184" s="88"/>
      <c r="I184" s="51" t="str">
        <f>IFERROR(VLOOKUP(A184,Internal_lists_bugs!$A$2:$G1058,7,FALSE()),"please select a BUG ID")</f>
        <v>please select a BUG ID</v>
      </c>
      <c r="J184" s="86"/>
      <c r="K184" s="85"/>
    </row>
    <row r="185">
      <c r="A185" s="85"/>
      <c r="B185" s="59"/>
      <c r="C185" s="51" t="str">
        <f>IFERROR(VLOOKUP(A185,Internal_lists_bugs!$A$2:$T1058,20,FALSE()),"please select a BUG ID")</f>
        <v>please select a BUG ID</v>
      </c>
      <c r="D185" s="93"/>
      <c r="E185" s="85"/>
      <c r="F185" s="60"/>
      <c r="G185" s="61"/>
      <c r="H185" s="85"/>
      <c r="I185" s="51" t="str">
        <f>IFERROR(VLOOKUP(A185,Internal_lists_bugs!$A$2:$G1058,7,FALSE()),"please select a BUG ID")</f>
        <v>please select a BUG ID</v>
      </c>
      <c r="J185" s="85"/>
      <c r="K185" s="85"/>
    </row>
    <row r="186">
      <c r="A186" s="85"/>
      <c r="B186" s="59"/>
      <c r="C186" s="51" t="str">
        <f>IFERROR(VLOOKUP(A186,Internal_lists_bugs!$A$2:$T1058,20,FALSE()),"please select a BUG ID")</f>
        <v>please select a BUG ID</v>
      </c>
      <c r="D186" s="93"/>
      <c r="E186" s="85"/>
      <c r="F186" s="60"/>
      <c r="G186" s="61"/>
      <c r="H186" s="85"/>
      <c r="I186" s="51" t="str">
        <f>IFERROR(VLOOKUP(A186,Internal_lists_bugs!$A$2:$G1058,7,FALSE()),"please select a BUG ID")</f>
        <v>please select a BUG ID</v>
      </c>
      <c r="J186" s="85"/>
      <c r="K186" s="85"/>
    </row>
    <row r="187">
      <c r="A187" s="85"/>
      <c r="B187" s="59"/>
      <c r="C187" s="51" t="str">
        <f>IFERROR(VLOOKUP(A187,Internal_lists_bugs!$A$2:$T1058,20,FALSE()),"please select a BUG ID")</f>
        <v>please select a BUG ID</v>
      </c>
      <c r="D187" s="93"/>
      <c r="E187" s="85"/>
      <c r="F187" s="60"/>
      <c r="G187" s="87"/>
      <c r="H187" s="85"/>
      <c r="I187" s="51" t="str">
        <f>IFERROR(VLOOKUP(A187,Internal_lists_bugs!$A$2:$G1058,7,FALSE()),"please select a BUG ID")</f>
        <v>please select a BUG ID</v>
      </c>
      <c r="J187" s="85"/>
      <c r="K187" s="85"/>
    </row>
    <row r="188">
      <c r="A188" s="85"/>
      <c r="B188" s="59"/>
      <c r="C188" s="51" t="str">
        <f>IFERROR(VLOOKUP(A188,Internal_lists_bugs!$A$2:$T1058,20,FALSE()),"please select a BUG ID")</f>
        <v>please select a BUG ID</v>
      </c>
      <c r="D188" s="93"/>
      <c r="E188" s="85"/>
      <c r="F188" s="60"/>
      <c r="G188" s="61"/>
      <c r="H188" s="85"/>
      <c r="I188" s="51" t="str">
        <f>IFERROR(VLOOKUP(A188,Internal_lists_bugs!$A$2:$G1058,7,FALSE()),"please select a BUG ID")</f>
        <v>please select a BUG ID</v>
      </c>
      <c r="J188" s="85"/>
      <c r="K188" s="85"/>
    </row>
    <row r="189">
      <c r="A189" s="85"/>
      <c r="B189" s="59"/>
      <c r="C189" s="51" t="str">
        <f>IFERROR(VLOOKUP(A189,Internal_lists_bugs!$A$2:$T1058,20,FALSE()),"please select a BUG ID")</f>
        <v>please select a BUG ID</v>
      </c>
      <c r="D189" s="93"/>
      <c r="E189" s="85"/>
      <c r="F189" s="60"/>
      <c r="G189" s="61"/>
      <c r="H189" s="85"/>
      <c r="I189" s="51" t="str">
        <f>IFERROR(VLOOKUP(A189,Internal_lists_bugs!$A$2:$G1058,7,FALSE()),"please select a BUG ID")</f>
        <v>please select a BUG ID</v>
      </c>
      <c r="J189" s="85"/>
      <c r="K189" s="85"/>
    </row>
    <row r="190">
      <c r="A190" s="85"/>
      <c r="B190" s="59"/>
      <c r="C190" s="51" t="str">
        <f>IFERROR(VLOOKUP(A190,Internal_lists_bugs!$A$2:$T1058,20,FALSE()),"please select a BUG ID")</f>
        <v>please select a BUG ID</v>
      </c>
      <c r="D190" s="93"/>
      <c r="E190" s="85"/>
      <c r="F190" s="60"/>
      <c r="G190" s="61"/>
      <c r="H190" s="85"/>
      <c r="I190" s="51" t="str">
        <f>IFERROR(VLOOKUP(A190,Internal_lists_bugs!$A$2:$G1058,7,FALSE()),"please select a BUG ID")</f>
        <v>please select a BUG ID</v>
      </c>
      <c r="J190" s="85"/>
      <c r="K190" s="85"/>
    </row>
    <row r="191">
      <c r="A191" s="85"/>
      <c r="B191" s="59"/>
      <c r="C191" s="51" t="str">
        <f>IFERROR(VLOOKUP(A191,Internal_lists_bugs!$A$2:$T1058,20,FALSE()),"please select a BUG ID")</f>
        <v>please select a BUG ID</v>
      </c>
      <c r="D191" s="93"/>
      <c r="E191" s="85"/>
      <c r="F191" s="60"/>
      <c r="G191" s="61"/>
      <c r="H191" s="85"/>
      <c r="I191" s="51" t="str">
        <f>IFERROR(VLOOKUP(A191,Internal_lists_bugs!$A$2:$G1058,7,FALSE()),"please select a BUG ID")</f>
        <v>please select a BUG ID</v>
      </c>
      <c r="J191" s="85"/>
      <c r="K191" s="85"/>
    </row>
    <row r="192">
      <c r="A192" s="85"/>
      <c r="B192" s="59"/>
      <c r="C192" s="51" t="str">
        <f>IFERROR(VLOOKUP(A192,Internal_lists_bugs!$A$2:$T1058,20,FALSE()),"please select a BUG ID")</f>
        <v>please select a BUG ID</v>
      </c>
      <c r="D192" s="93"/>
      <c r="E192" s="85"/>
      <c r="F192" s="60"/>
      <c r="G192" s="61"/>
      <c r="H192" s="85"/>
      <c r="I192" s="51" t="str">
        <f>IFERROR(VLOOKUP(A192,Internal_lists_bugs!$A$2:$G1058,7,FALSE()),"please select a BUG ID")</f>
        <v>please select a BUG ID</v>
      </c>
      <c r="J192" s="85"/>
      <c r="K192" s="85"/>
    </row>
    <row r="193">
      <c r="A193" s="85"/>
      <c r="B193" s="59"/>
      <c r="C193" s="51" t="str">
        <f>IFERROR(VLOOKUP(A193,Internal_lists_bugs!$A$2:$T1058,20,FALSE()),"please select a BUG ID")</f>
        <v>please select a BUG ID</v>
      </c>
      <c r="D193" s="93"/>
      <c r="E193" s="85"/>
      <c r="F193" s="62"/>
      <c r="G193" s="61"/>
      <c r="H193" s="85"/>
      <c r="I193" s="51" t="str">
        <f>IFERROR(VLOOKUP(A193,Internal_lists_bugs!$A$2:$G1058,7,FALSE()),"please select a BUG ID")</f>
        <v>please select a BUG ID</v>
      </c>
      <c r="J193" s="85"/>
      <c r="K193" s="85"/>
    </row>
    <row r="194">
      <c r="A194" s="85"/>
      <c r="B194" s="59"/>
      <c r="C194" s="51" t="str">
        <f>IFERROR(VLOOKUP(A194,Internal_lists_bugs!$A$2:$T1058,20,FALSE()),"please select a BUG ID")</f>
        <v>please select a BUG ID</v>
      </c>
      <c r="D194" s="92"/>
      <c r="E194" s="85"/>
      <c r="F194" s="60"/>
      <c r="G194" s="61"/>
      <c r="H194" s="85"/>
      <c r="I194" s="51" t="str">
        <f>IFERROR(VLOOKUP(A194,Internal_lists_bugs!$A$2:$G1058,7,FALSE()),"please select a BUG ID")</f>
        <v>please select a BUG ID</v>
      </c>
      <c r="J194" s="85"/>
      <c r="K194" s="85"/>
    </row>
    <row r="195">
      <c r="A195" s="85"/>
      <c r="B195" s="59"/>
      <c r="C195" s="51" t="str">
        <f>IFERROR(VLOOKUP(A195,Internal_lists_bugs!$A$2:$T1058,20,FALSE()),"please select a BUG ID")</f>
        <v>please select a BUG ID</v>
      </c>
      <c r="D195" s="92"/>
      <c r="E195" s="85"/>
      <c r="F195" s="60"/>
      <c r="G195" s="61"/>
      <c r="H195" s="85"/>
      <c r="I195" s="51" t="str">
        <f>IFERROR(VLOOKUP(A195,Internal_lists_bugs!$A$2:$G1058,7,FALSE()),"please select a BUG ID")</f>
        <v>please select a BUG ID</v>
      </c>
      <c r="J195" s="85"/>
      <c r="K195" s="85"/>
    </row>
    <row r="196">
      <c r="A196" s="85"/>
      <c r="B196" s="59"/>
      <c r="C196" s="51" t="str">
        <f>IFERROR(VLOOKUP(A196,Internal_lists_bugs!$A$2:$T1058,20,FALSE()),"please select a BUG ID")</f>
        <v>please select a BUG ID</v>
      </c>
      <c r="D196" s="92"/>
      <c r="E196" s="85"/>
      <c r="F196" s="60"/>
      <c r="G196" s="61"/>
      <c r="H196" s="85"/>
      <c r="I196" s="51" t="str">
        <f>IFERROR(VLOOKUP(A196,Internal_lists_bugs!$A$2:$G1058,7,FALSE()),"please select a BUG ID")</f>
        <v>please select a BUG ID</v>
      </c>
      <c r="J196" s="85"/>
      <c r="K196" s="85"/>
    </row>
    <row r="197">
      <c r="A197" s="85"/>
      <c r="B197" s="59"/>
      <c r="C197" s="51" t="str">
        <f>IFERROR(VLOOKUP(A197,Internal_lists_bugs!$A$2:$T1058,20,FALSE()),"please select a BUG ID")</f>
        <v>please select a BUG ID</v>
      </c>
      <c r="D197" s="92"/>
      <c r="E197" s="85"/>
      <c r="F197" s="60"/>
      <c r="G197" s="61"/>
      <c r="H197" s="85"/>
      <c r="I197" s="51" t="str">
        <f>IFERROR(VLOOKUP(A197,Internal_lists_bugs!$A$2:$G1058,7,FALSE()),"please select a BUG ID")</f>
        <v>please select a BUG ID</v>
      </c>
      <c r="J197" s="85"/>
      <c r="K197" s="85"/>
    </row>
    <row r="198">
      <c r="A198" s="85"/>
      <c r="B198" s="59"/>
      <c r="C198" s="51" t="str">
        <f>IFERROR(VLOOKUP(A198,Internal_lists_bugs!$A$2:$T1058,20,FALSE()),"please select a BUG ID")</f>
        <v>please select a BUG ID</v>
      </c>
      <c r="D198" s="92"/>
      <c r="E198" s="85"/>
      <c r="F198" s="60"/>
      <c r="G198" s="61"/>
      <c r="H198" s="85"/>
      <c r="I198" s="51" t="str">
        <f>IFERROR(VLOOKUP(A198,Internal_lists_bugs!$A$2:$G1058,7,FALSE()),"please select a BUG ID")</f>
        <v>please select a BUG ID</v>
      </c>
      <c r="J198" s="85"/>
      <c r="K198" s="85"/>
    </row>
    <row r="199">
      <c r="A199" s="85"/>
      <c r="B199" s="59"/>
      <c r="C199" s="51" t="str">
        <f>IFERROR(VLOOKUP(A199,Internal_lists_bugs!$A$2:$T1058,20,FALSE()),"please select a BUG ID")</f>
        <v>please select a BUG ID</v>
      </c>
      <c r="D199" s="92"/>
      <c r="E199" s="85"/>
      <c r="F199" s="60"/>
      <c r="G199" s="61"/>
      <c r="H199" s="85"/>
      <c r="I199" s="51" t="str">
        <f>IFERROR(VLOOKUP(A199,Internal_lists_bugs!$A$2:$G1058,7,FALSE()),"please select a BUG ID")</f>
        <v>please select a BUG ID</v>
      </c>
      <c r="J199" s="85"/>
      <c r="K199" s="85"/>
    </row>
    <row r="200">
      <c r="A200" s="85"/>
      <c r="B200" s="59"/>
      <c r="C200" s="51" t="str">
        <f>IFERROR(VLOOKUP(A200,Internal_lists_bugs!$A$2:$T1058,20,FALSE()),"please select a BUG ID")</f>
        <v>please select a BUG ID</v>
      </c>
      <c r="D200" s="92"/>
      <c r="E200" s="85"/>
      <c r="F200" s="60"/>
      <c r="G200" s="61"/>
      <c r="H200" s="85"/>
      <c r="I200" s="51" t="str">
        <f>IFERROR(VLOOKUP(A200,Internal_lists_bugs!$A$2:$G1058,7,FALSE()),"please select a BUG ID")</f>
        <v>please select a BUG ID</v>
      </c>
      <c r="J200" s="85"/>
      <c r="K200" s="85"/>
    </row>
    <row r="201">
      <c r="A201" s="85"/>
      <c r="B201" s="59"/>
      <c r="C201" s="51" t="str">
        <f>IFERROR(VLOOKUP(A201,Internal_lists_bugs!$A$2:$T1058,20,FALSE()),"please select a BUG ID")</f>
        <v>please select a BUG ID</v>
      </c>
      <c r="D201" s="92"/>
      <c r="E201" s="85"/>
      <c r="F201" s="60"/>
      <c r="G201" s="61"/>
      <c r="H201" s="85"/>
      <c r="I201" s="51" t="str">
        <f>IFERROR(VLOOKUP(A201,Internal_lists_bugs!$A$2:$G1058,7,FALSE()),"please select a BUG ID")</f>
        <v>please select a BUG ID</v>
      </c>
      <c r="J201" s="85"/>
      <c r="K201" s="85"/>
    </row>
    <row r="202">
      <c r="A202" s="85"/>
      <c r="B202" s="59"/>
      <c r="C202" s="51" t="str">
        <f>IFERROR(VLOOKUP(A202,Internal_lists_bugs!$A$2:$T1058,20,FALSE()),"please select a BUG ID")</f>
        <v>please select a BUG ID</v>
      </c>
      <c r="D202" s="92"/>
      <c r="E202" s="85"/>
      <c r="F202" s="60"/>
      <c r="G202" s="61"/>
      <c r="H202" s="85"/>
      <c r="I202" s="51" t="str">
        <f>IFERROR(VLOOKUP(A202,Internal_lists_bugs!$A$2:$G1058,7,FALSE()),"please select a BUG ID")</f>
        <v>please select a BUG ID</v>
      </c>
      <c r="J202" s="85"/>
      <c r="K202" s="85"/>
    </row>
    <row r="203">
      <c r="A203" s="85"/>
      <c r="B203" s="59"/>
      <c r="C203" s="51" t="str">
        <f>IFERROR(VLOOKUP(A203,Internal_lists_bugs!$A$2:$T1058,20,FALSE()),"please select a BUG ID")</f>
        <v>please select a BUG ID</v>
      </c>
      <c r="D203" s="92"/>
      <c r="E203" s="85"/>
      <c r="F203" s="60"/>
      <c r="G203" s="61"/>
      <c r="H203" s="85"/>
      <c r="I203" s="51" t="str">
        <f>IFERROR(VLOOKUP(A203,Internal_lists_bugs!$A$2:$G1058,7,FALSE()),"please select a BUG ID")</f>
        <v>please select a BUG ID</v>
      </c>
      <c r="J203" s="85"/>
      <c r="K203" s="85"/>
    </row>
    <row r="204">
      <c r="A204" s="85"/>
      <c r="B204" s="59"/>
      <c r="C204" s="51" t="str">
        <f>IFERROR(VLOOKUP(A204,Internal_lists_bugs!$A$2:$T1058,20,FALSE()),"please select a BUG ID")</f>
        <v>please select a BUG ID</v>
      </c>
      <c r="D204" s="92"/>
      <c r="E204" s="85"/>
      <c r="F204" s="60"/>
      <c r="G204" s="61"/>
      <c r="H204" s="85"/>
      <c r="I204" s="51" t="str">
        <f>IFERROR(VLOOKUP(A204,Internal_lists_bugs!$A$2:$G1058,7,FALSE()),"please select a BUG ID")</f>
        <v>please select a BUG ID</v>
      </c>
      <c r="J204" s="85"/>
      <c r="K204" s="85"/>
    </row>
    <row r="205">
      <c r="A205" s="85"/>
      <c r="B205" s="59"/>
      <c r="C205" s="51" t="str">
        <f>IFERROR(VLOOKUP(A205,Internal_lists_bugs!$A$2:$T1058,20,FALSE()),"please select a BUG ID")</f>
        <v>please select a BUG ID</v>
      </c>
      <c r="D205" s="92"/>
      <c r="E205" s="85"/>
      <c r="F205" s="60"/>
      <c r="G205" s="61"/>
      <c r="H205" s="85"/>
      <c r="I205" s="51" t="str">
        <f>IFERROR(VLOOKUP(A205,Internal_lists_bugs!$A$2:$G1058,7,FALSE()),"please select a BUG ID")</f>
        <v>please select a BUG ID</v>
      </c>
      <c r="J205" s="85"/>
      <c r="K205" s="85"/>
    </row>
    <row r="206">
      <c r="A206" s="85"/>
      <c r="B206" s="59"/>
      <c r="C206" s="51" t="str">
        <f>IFERROR(VLOOKUP(A206,Internal_lists_bugs!$A$2:$T1058,20,FALSE()),"please select a BUG ID")</f>
        <v>please select a BUG ID</v>
      </c>
      <c r="D206" s="92"/>
      <c r="E206" s="85"/>
      <c r="F206" s="60"/>
      <c r="G206" s="61"/>
      <c r="H206" s="85"/>
      <c r="I206" s="51" t="str">
        <f>IFERROR(VLOOKUP(A206,Internal_lists_bugs!$A$2:$G1058,7,FALSE()),"please select a BUG ID")</f>
        <v>please select a BUG ID</v>
      </c>
      <c r="J206" s="85"/>
      <c r="K206" s="85"/>
    </row>
    <row r="207">
      <c r="A207" s="85"/>
      <c r="B207" s="59"/>
      <c r="C207" s="51" t="str">
        <f>IFERROR(VLOOKUP(A207,Internal_lists_bugs!$A$2:$T1058,20,FALSE()),"please select a BUG ID")</f>
        <v>please select a BUG ID</v>
      </c>
      <c r="D207" s="92"/>
      <c r="E207" s="85"/>
      <c r="F207" s="60"/>
      <c r="G207" s="61"/>
      <c r="H207" s="85"/>
      <c r="I207" s="51" t="str">
        <f>IFERROR(VLOOKUP(A207,Internal_lists_bugs!$A$2:$G1058,7,FALSE()),"please select a BUG ID")</f>
        <v>please select a BUG ID</v>
      </c>
      <c r="J207" s="85"/>
      <c r="K207" s="85"/>
    </row>
    <row r="208">
      <c r="A208" s="85"/>
      <c r="B208" s="59"/>
      <c r="C208" s="51" t="str">
        <f>IFERROR(VLOOKUP(A208,Internal_lists_bugs!$A$2:$T1058,20,FALSE()),"please select a BUG ID")</f>
        <v>please select a BUG ID</v>
      </c>
      <c r="D208" s="92"/>
      <c r="E208" s="85"/>
      <c r="F208" s="60"/>
      <c r="G208" s="61"/>
      <c r="H208" s="85"/>
      <c r="I208" s="51" t="str">
        <f>IFERROR(VLOOKUP(A208,Internal_lists_bugs!$A$2:$G1058,7,FALSE()),"please select a BUG ID")</f>
        <v>please select a BUG ID</v>
      </c>
      <c r="J208" s="85"/>
      <c r="K208" s="85"/>
    </row>
    <row r="209">
      <c r="A209" s="85"/>
      <c r="B209" s="59"/>
      <c r="C209" s="51" t="str">
        <f>IFERROR(VLOOKUP(A209,Internal_lists_bugs!$A$2:$T1058,20,FALSE()),"please select a BUG ID")</f>
        <v>please select a BUG ID</v>
      </c>
      <c r="D209" s="92"/>
      <c r="E209" s="85"/>
      <c r="F209" s="60"/>
      <c r="G209" s="61"/>
      <c r="H209" s="85"/>
      <c r="I209" s="51" t="str">
        <f>IFERROR(VLOOKUP(A209,Internal_lists_bugs!$A$2:$G1058,7,FALSE()),"please select a BUG ID")</f>
        <v>please select a BUG ID</v>
      </c>
      <c r="J209" s="85"/>
      <c r="K209" s="85"/>
    </row>
    <row r="210">
      <c r="A210" s="85"/>
      <c r="B210" s="59"/>
      <c r="C210" s="51" t="str">
        <f>IFERROR(VLOOKUP(A210,Internal_lists_bugs!$A$2:$T1058,20,FALSE()),"please select a BUG ID")</f>
        <v>please select a BUG ID</v>
      </c>
      <c r="D210" s="92"/>
      <c r="E210" s="85"/>
      <c r="F210" s="60"/>
      <c r="G210" s="61"/>
      <c r="H210" s="85"/>
      <c r="I210" s="51" t="str">
        <f>IFERROR(VLOOKUP(A210,Internal_lists_bugs!$A$2:$G1058,7,FALSE()),"please select a BUG ID")</f>
        <v>please select a BUG ID</v>
      </c>
      <c r="J210" s="85"/>
      <c r="K210" s="85"/>
    </row>
    <row r="211">
      <c r="A211" s="85"/>
      <c r="B211" s="59"/>
      <c r="C211" s="51" t="str">
        <f>IFERROR(VLOOKUP(A211,Internal_lists_bugs!$A$2:$T1058,20,FALSE()),"please select a BUG ID")</f>
        <v>please select a BUG ID</v>
      </c>
      <c r="D211" s="92"/>
      <c r="E211" s="85"/>
      <c r="F211" s="60"/>
      <c r="G211" s="61"/>
      <c r="H211" s="85"/>
      <c r="I211" s="51" t="str">
        <f>IFERROR(VLOOKUP(A211,Internal_lists_bugs!$A$2:$G1058,7,FALSE()),"please select a BUG ID")</f>
        <v>please select a BUG ID</v>
      </c>
      <c r="J211" s="85"/>
      <c r="K211" s="85"/>
    </row>
    <row r="212">
      <c r="A212" s="85"/>
      <c r="B212" s="59"/>
      <c r="C212" s="51" t="str">
        <f>IFERROR(VLOOKUP(A212,Internal_lists_bugs!$A$2:$T1058,20,FALSE()),"please select a BUG ID")</f>
        <v>please select a BUG ID</v>
      </c>
      <c r="D212" s="92"/>
      <c r="E212" s="85"/>
      <c r="F212" s="60"/>
      <c r="G212" s="61"/>
      <c r="H212" s="85"/>
      <c r="I212" s="51" t="str">
        <f>IFERROR(VLOOKUP(A212,Internal_lists_bugs!$A$2:$G1058,7,FALSE()),"please select a BUG ID")</f>
        <v>please select a BUG ID</v>
      </c>
      <c r="J212" s="85"/>
      <c r="K212" s="85"/>
    </row>
    <row r="213">
      <c r="A213" s="85"/>
      <c r="B213" s="59"/>
      <c r="C213" s="51" t="str">
        <f>IFERROR(VLOOKUP(A213,Internal_lists_bugs!$A$2:$T1058,20,FALSE()),"please select a BUG ID")</f>
        <v>please select a BUG ID</v>
      </c>
      <c r="D213" s="92"/>
      <c r="E213" s="85"/>
      <c r="F213" s="62"/>
      <c r="G213" s="63"/>
      <c r="H213" s="85"/>
      <c r="I213" s="51" t="str">
        <f>IFERROR(VLOOKUP(A213,Internal_lists_bugs!$A$2:$G1058,7,FALSE()),"please select a BUG ID")</f>
        <v>please select a BUG ID</v>
      </c>
      <c r="J213" s="85"/>
      <c r="K213" s="85"/>
    </row>
    <row r="214">
      <c r="A214" s="85"/>
      <c r="B214" s="59"/>
      <c r="C214" s="51" t="str">
        <f>IFERROR(VLOOKUP(A214,Internal_lists_bugs!$A$2:$T1058,20,FALSE()),"please select a BUG ID")</f>
        <v>please select a BUG ID</v>
      </c>
      <c r="D214" s="92"/>
      <c r="E214" s="85"/>
      <c r="F214" s="62"/>
      <c r="G214" s="63"/>
      <c r="H214" s="85"/>
      <c r="I214" s="51" t="str">
        <f>IFERROR(VLOOKUP(A214,Internal_lists_bugs!$A$2:$G1058,7,FALSE()),"please select a BUG ID")</f>
        <v>please select a BUG ID</v>
      </c>
      <c r="J214" s="85"/>
      <c r="K214" s="85"/>
    </row>
    <row r="215">
      <c r="A215" s="85"/>
      <c r="B215" s="59"/>
      <c r="C215" s="51" t="str">
        <f>IFERROR(VLOOKUP(A215,Internal_lists_bugs!$A$2:$T1058,20,FALSE()),"please select a BUG ID")</f>
        <v>please select a BUG ID</v>
      </c>
      <c r="D215" s="92"/>
      <c r="E215" s="85"/>
      <c r="F215" s="62"/>
      <c r="G215" s="63"/>
      <c r="H215" s="85"/>
      <c r="I215" s="51" t="str">
        <f>IFERROR(VLOOKUP(A215,Internal_lists_bugs!$A$2:$G1058,7,FALSE()),"please select a BUG ID")</f>
        <v>please select a BUG ID</v>
      </c>
      <c r="J215" s="85"/>
      <c r="K215" s="85"/>
    </row>
    <row r="216">
      <c r="A216" s="85"/>
      <c r="B216" s="59"/>
      <c r="C216" s="51" t="str">
        <f>IFERROR(VLOOKUP(A216,Internal_lists_bugs!$A$2:$T1058,20,FALSE()),"please select a BUG ID")</f>
        <v>please select a BUG ID</v>
      </c>
      <c r="D216" s="92"/>
      <c r="E216" s="85"/>
      <c r="F216" s="62"/>
      <c r="G216" s="63"/>
      <c r="H216" s="85"/>
      <c r="I216" s="51" t="str">
        <f>IFERROR(VLOOKUP(A216,Internal_lists_bugs!$A$2:$G1058,7,FALSE()),"please select a BUG ID")</f>
        <v>please select a BUG ID</v>
      </c>
      <c r="J216" s="85"/>
      <c r="K216" s="85"/>
    </row>
    <row r="217">
      <c r="A217" s="85"/>
      <c r="B217" s="59"/>
      <c r="C217" s="51" t="str">
        <f>IFERROR(VLOOKUP(A217,Internal_lists_bugs!$A$2:$T1058,20,FALSE()),"please select a BUG ID")</f>
        <v>please select a BUG ID</v>
      </c>
      <c r="D217" s="92"/>
      <c r="E217" s="85"/>
      <c r="F217" s="62"/>
      <c r="G217" s="63"/>
      <c r="H217" s="85"/>
      <c r="I217" s="51" t="str">
        <f>IFERROR(VLOOKUP(A217,Internal_lists_bugs!$A$2:$G1058,7,FALSE()),"please select a BUG ID")</f>
        <v>please select a BUG ID</v>
      </c>
      <c r="J217" s="85"/>
      <c r="K217" s="85"/>
    </row>
    <row r="218">
      <c r="A218" s="85"/>
      <c r="B218" s="59"/>
      <c r="C218" s="51" t="str">
        <f>IFERROR(VLOOKUP(A218,Internal_lists_bugs!$A$2:$T1058,20,FALSE()),"please select a BUG ID")</f>
        <v>please select a BUG ID</v>
      </c>
      <c r="D218" s="92"/>
      <c r="E218" s="85"/>
      <c r="F218" s="62"/>
      <c r="G218" s="63"/>
      <c r="H218" s="85"/>
      <c r="I218" s="51" t="str">
        <f>IFERROR(VLOOKUP(A218,Internal_lists_bugs!$A$2:$G1058,7,FALSE()),"please select a BUG ID")</f>
        <v>please select a BUG ID</v>
      </c>
      <c r="J218" s="85"/>
      <c r="K218" s="85"/>
    </row>
    <row r="219">
      <c r="A219" s="85"/>
      <c r="B219" s="59"/>
      <c r="C219" s="51" t="str">
        <f>IFERROR(VLOOKUP(A219,Internal_lists_bugs!$A$2:$T1058,20,FALSE()),"please select a BUG ID")</f>
        <v>please select a BUG ID</v>
      </c>
      <c r="D219" s="92"/>
      <c r="E219" s="85"/>
      <c r="F219" s="62"/>
      <c r="G219" s="63"/>
      <c r="H219" s="85"/>
      <c r="I219" s="51" t="str">
        <f>IFERROR(VLOOKUP(A219,Internal_lists_bugs!$A$2:$G1058,7,FALSE()),"please select a BUG ID")</f>
        <v>please select a BUG ID</v>
      </c>
      <c r="J219" s="85"/>
      <c r="K219" s="85"/>
    </row>
    <row r="220">
      <c r="A220" s="85"/>
      <c r="B220" s="59"/>
      <c r="C220" s="51" t="str">
        <f>IFERROR(VLOOKUP(A220,Internal_lists_bugs!$A$2:$T1058,20,FALSE()),"please select a BUG ID")</f>
        <v>please select a BUG ID</v>
      </c>
      <c r="D220" s="92"/>
      <c r="E220" s="85"/>
      <c r="F220" s="62"/>
      <c r="G220" s="63"/>
      <c r="H220" s="85"/>
      <c r="I220" s="51" t="str">
        <f>IFERROR(VLOOKUP(A220,Internal_lists_bugs!$A$2:$G1058,7,FALSE()),"please select a BUG ID")</f>
        <v>please select a BUG ID</v>
      </c>
      <c r="J220" s="85"/>
      <c r="K220" s="85"/>
    </row>
    <row r="221">
      <c r="A221" s="85"/>
      <c r="B221" s="59"/>
      <c r="C221" s="51" t="str">
        <f>IFERROR(VLOOKUP(A221,Internal_lists_bugs!$A$2:$T1058,20,FALSE()),"please select a BUG ID")</f>
        <v>please select a BUG ID</v>
      </c>
      <c r="D221" s="92"/>
      <c r="E221" s="85"/>
      <c r="F221" s="62"/>
      <c r="G221" s="63"/>
      <c r="H221" s="85"/>
      <c r="I221" s="51" t="str">
        <f>IFERROR(VLOOKUP(A221,Internal_lists_bugs!$A$2:$G1058,7,FALSE()),"please select a BUG ID")</f>
        <v>please select a BUG ID</v>
      </c>
      <c r="J221" s="85"/>
      <c r="K221" s="85"/>
    </row>
    <row r="222">
      <c r="A222" s="85"/>
      <c r="B222" s="59"/>
      <c r="C222" s="51" t="str">
        <f>IFERROR(VLOOKUP(A222,Internal_lists_bugs!$A$2:$T1058,20,FALSE()),"please select a BUG ID")</f>
        <v>please select a BUG ID</v>
      </c>
      <c r="D222" s="92"/>
      <c r="E222" s="85"/>
      <c r="F222" s="62"/>
      <c r="G222" s="63"/>
      <c r="H222" s="85"/>
      <c r="I222" s="51" t="str">
        <f>IFERROR(VLOOKUP(A222,Internal_lists_bugs!$A$2:$G1058,7,FALSE()),"please select a BUG ID")</f>
        <v>please select a BUG ID</v>
      </c>
      <c r="J222" s="85"/>
      <c r="K222" s="85"/>
    </row>
    <row r="223">
      <c r="A223" s="85"/>
      <c r="B223" s="59"/>
      <c r="C223" s="51" t="str">
        <f>IFERROR(VLOOKUP(A223,Internal_lists_bugs!$A$2:$T1058,20,FALSE()),"please select a BUG ID")</f>
        <v>please select a BUG ID</v>
      </c>
      <c r="D223" s="92"/>
      <c r="E223" s="85"/>
      <c r="F223" s="62"/>
      <c r="G223" s="63"/>
      <c r="H223" s="85"/>
      <c r="I223" s="51" t="str">
        <f>IFERROR(VLOOKUP(A223,Internal_lists_bugs!$A$2:$G1058,7,FALSE()),"please select a BUG ID")</f>
        <v>please select a BUG ID</v>
      </c>
      <c r="J223" s="85"/>
      <c r="K223" s="85"/>
    </row>
    <row r="224">
      <c r="A224" s="85"/>
      <c r="B224" s="59"/>
      <c r="C224" s="51" t="str">
        <f>IFERROR(VLOOKUP(A224,Internal_lists_bugs!$A$2:$T1058,20,FALSE()),"please select a BUG ID")</f>
        <v>please select a BUG ID</v>
      </c>
      <c r="D224" s="92"/>
      <c r="E224" s="85"/>
      <c r="F224" s="62"/>
      <c r="G224" s="63"/>
      <c r="H224" s="85"/>
      <c r="I224" s="51" t="str">
        <f>IFERROR(VLOOKUP(A224,Internal_lists_bugs!$A$2:$G1058,7,FALSE()),"please select a BUG ID")</f>
        <v>please select a BUG ID</v>
      </c>
      <c r="J224" s="85"/>
      <c r="K224" s="85"/>
    </row>
    <row r="225">
      <c r="A225" s="85"/>
      <c r="B225" s="59"/>
      <c r="C225" s="51" t="str">
        <f>IFERROR(VLOOKUP(A225,Internal_lists_bugs!$A$2:$T1058,20,FALSE()),"please select a BUG ID")</f>
        <v>please select a BUG ID</v>
      </c>
      <c r="D225" s="92"/>
      <c r="E225" s="85"/>
      <c r="F225" s="62"/>
      <c r="G225" s="63"/>
      <c r="H225" s="85"/>
      <c r="I225" s="51" t="str">
        <f>IFERROR(VLOOKUP(A225,Internal_lists_bugs!$A$2:$G1058,7,FALSE()),"please select a BUG ID")</f>
        <v>please select a BUG ID</v>
      </c>
      <c r="J225" s="85"/>
      <c r="K225" s="85"/>
    </row>
    <row r="226">
      <c r="A226" s="85"/>
      <c r="B226" s="59"/>
      <c r="C226" s="51" t="str">
        <f>IFERROR(VLOOKUP(A226,Internal_lists_bugs!$A$2:$T1058,20,FALSE()),"please select a BUG ID")</f>
        <v>please select a BUG ID</v>
      </c>
      <c r="D226" s="92"/>
      <c r="E226" s="85"/>
      <c r="F226" s="62"/>
      <c r="G226" s="63"/>
      <c r="H226" s="85"/>
      <c r="I226" s="51" t="str">
        <f>IFERROR(VLOOKUP(A226,Internal_lists_bugs!$A$2:$G1058,7,FALSE()),"please select a BUG ID")</f>
        <v>please select a BUG ID</v>
      </c>
      <c r="J226" s="85"/>
      <c r="K226" s="85"/>
    </row>
    <row r="227">
      <c r="A227" s="85"/>
      <c r="B227" s="59"/>
      <c r="C227" s="51" t="str">
        <f>IFERROR(VLOOKUP(A227,Internal_lists_bugs!$A$2:$T1058,20,FALSE()),"please select a BUG ID")</f>
        <v>please select a BUG ID</v>
      </c>
      <c r="D227" s="92"/>
      <c r="E227" s="85"/>
      <c r="F227" s="62"/>
      <c r="G227" s="63"/>
      <c r="H227" s="85"/>
      <c r="I227" s="51" t="str">
        <f>IFERROR(VLOOKUP(A227,Internal_lists_bugs!$A$2:$G1058,7,FALSE()),"please select a BUG ID")</f>
        <v>please select a BUG ID</v>
      </c>
      <c r="J227" s="85"/>
      <c r="K227" s="85"/>
    </row>
    <row r="228">
      <c r="A228" s="85"/>
      <c r="B228" s="59"/>
      <c r="C228" s="51" t="str">
        <f>IFERROR(VLOOKUP(A228,Internal_lists_bugs!$A$2:$T1058,20,FALSE()),"please select a BUG ID")</f>
        <v>please select a BUG ID</v>
      </c>
      <c r="D228" s="92"/>
      <c r="E228" s="85"/>
      <c r="F228" s="62"/>
      <c r="G228" s="63"/>
      <c r="H228" s="85"/>
      <c r="I228" s="51" t="str">
        <f>IFERROR(VLOOKUP(A228,Internal_lists_bugs!$A$2:$G1058,7,FALSE()),"please select a BUG ID")</f>
        <v>please select a BUG ID</v>
      </c>
      <c r="J228" s="85"/>
      <c r="K228" s="85"/>
    </row>
    <row r="229">
      <c r="A229" s="85"/>
      <c r="B229" s="59"/>
      <c r="C229" s="51" t="str">
        <f>IFERROR(VLOOKUP(A229,Internal_lists_bugs!$A$2:$T1058,20,FALSE()),"please select a BUG ID")</f>
        <v>please select a BUG ID</v>
      </c>
      <c r="D229" s="92"/>
      <c r="E229" s="85"/>
      <c r="F229" s="62"/>
      <c r="G229" s="63"/>
      <c r="H229" s="85"/>
      <c r="I229" s="51" t="str">
        <f>IFERROR(VLOOKUP(A229,Internal_lists_bugs!$A$2:$G1058,7,FALSE()),"please select a BUG ID")</f>
        <v>please select a BUG ID</v>
      </c>
      <c r="J229" s="85"/>
      <c r="K229" s="85"/>
    </row>
    <row r="230">
      <c r="A230" s="85"/>
      <c r="B230" s="59"/>
      <c r="C230" s="51" t="str">
        <f>IFERROR(VLOOKUP(A230,Internal_lists_bugs!$A$2:$T1058,20,FALSE()),"please select a BUG ID")</f>
        <v>please select a BUG ID</v>
      </c>
      <c r="D230" s="92"/>
      <c r="E230" s="85"/>
      <c r="F230" s="62"/>
      <c r="G230" s="63"/>
      <c r="H230" s="85"/>
      <c r="I230" s="51" t="str">
        <f>IFERROR(VLOOKUP(A230,Internal_lists_bugs!$A$2:$G1058,7,FALSE()),"please select a BUG ID")</f>
        <v>please select a BUG ID</v>
      </c>
      <c r="J230" s="85"/>
      <c r="K230" s="85"/>
    </row>
    <row r="231">
      <c r="A231" s="85"/>
      <c r="B231" s="59"/>
      <c r="C231" s="51" t="str">
        <f>IFERROR(VLOOKUP(A231,Internal_lists_bugs!$A$2:$T1058,20,FALSE()),"please select a BUG ID")</f>
        <v>please select a BUG ID</v>
      </c>
      <c r="D231" s="93"/>
      <c r="E231" s="85"/>
      <c r="F231" s="62"/>
      <c r="G231" s="63"/>
      <c r="H231" s="85"/>
      <c r="I231" s="51" t="str">
        <f>IFERROR(VLOOKUP(A231,Internal_lists_bugs!$A$2:$G1058,7,FALSE()),"please select a BUG ID")</f>
        <v>please select a BUG ID</v>
      </c>
      <c r="J231" s="85"/>
      <c r="K231" s="85"/>
    </row>
    <row r="232">
      <c r="A232" s="85"/>
      <c r="B232" s="59"/>
      <c r="C232" s="51" t="str">
        <f>IFERROR(VLOOKUP(A232,Internal_lists_bugs!$A$2:$T1058,20,FALSE()),"please select a BUG ID")</f>
        <v>please select a BUG ID</v>
      </c>
      <c r="D232" s="93"/>
      <c r="E232" s="85"/>
      <c r="F232" s="62"/>
      <c r="G232" s="63"/>
      <c r="H232" s="85"/>
      <c r="I232" s="51" t="str">
        <f>IFERROR(VLOOKUP(A232,Internal_lists_bugs!$A$2:$G1058,7,FALSE()),"please select a BUG ID")</f>
        <v>please select a BUG ID</v>
      </c>
      <c r="J232" s="85"/>
      <c r="K232" s="85"/>
    </row>
    <row r="233">
      <c r="A233" s="85"/>
      <c r="B233" s="59"/>
      <c r="C233" s="51" t="str">
        <f>IFERROR(VLOOKUP(A233,Internal_lists_bugs!$A$2:$T1058,20,FALSE()),"please select a BUG ID")</f>
        <v>please select a BUG ID</v>
      </c>
      <c r="D233" s="93"/>
      <c r="E233" s="85"/>
      <c r="F233" s="62"/>
      <c r="G233" s="63"/>
      <c r="H233" s="85"/>
      <c r="I233" s="51" t="str">
        <f>IFERROR(VLOOKUP(A233,Internal_lists_bugs!$A$2:$G1058,7,FALSE()),"please select a BUG ID")</f>
        <v>please select a BUG ID</v>
      </c>
      <c r="J233" s="85"/>
      <c r="K233" s="85"/>
    </row>
    <row r="234">
      <c r="A234" s="85"/>
      <c r="B234" s="59"/>
      <c r="C234" s="51" t="str">
        <f>IFERROR(VLOOKUP(A234,Internal_lists_bugs!$A$2:$T1058,20,FALSE()),"please select a BUG ID")</f>
        <v>please select a BUG ID</v>
      </c>
      <c r="D234" s="93"/>
      <c r="E234" s="85"/>
      <c r="F234" s="62"/>
      <c r="G234" s="63"/>
      <c r="H234" s="85"/>
      <c r="I234" s="51" t="str">
        <f>IFERROR(VLOOKUP(A234,Internal_lists_bugs!$A$2:$G1058,7,FALSE()),"please select a BUG ID")</f>
        <v>please select a BUG ID</v>
      </c>
      <c r="J234" s="85"/>
      <c r="K234" s="85"/>
    </row>
    <row r="235">
      <c r="A235" s="85"/>
      <c r="B235" s="59"/>
      <c r="C235" s="51" t="str">
        <f>IFERROR(VLOOKUP(A235,Internal_lists_bugs!$A$2:$T1058,20,FALSE()),"please select a BUG ID")</f>
        <v>please select a BUG ID</v>
      </c>
      <c r="D235" s="93"/>
      <c r="E235" s="85"/>
      <c r="F235" s="62"/>
      <c r="G235" s="63"/>
      <c r="H235" s="85"/>
      <c r="I235" s="51" t="str">
        <f>IFERROR(VLOOKUP(A235,Internal_lists_bugs!$A$2:$G1058,7,FALSE()),"please select a BUG ID")</f>
        <v>please select a BUG ID</v>
      </c>
      <c r="J235" s="85"/>
      <c r="K235" s="85"/>
    </row>
    <row r="236">
      <c r="A236" s="85"/>
      <c r="B236" s="59"/>
      <c r="C236" s="51" t="str">
        <f>IFERROR(VLOOKUP(A236,Internal_lists_bugs!$A$2:$T1058,20,FALSE()),"please select a BUG ID")</f>
        <v>please select a BUG ID</v>
      </c>
      <c r="D236" s="93"/>
      <c r="E236" s="85"/>
      <c r="F236" s="62"/>
      <c r="G236" s="63"/>
      <c r="H236" s="85"/>
      <c r="I236" s="51" t="str">
        <f>IFERROR(VLOOKUP(A236,Internal_lists_bugs!$A$2:$G1058,7,FALSE()),"please select a BUG ID")</f>
        <v>please select a BUG ID</v>
      </c>
      <c r="J236" s="85"/>
      <c r="K236" s="85"/>
    </row>
    <row r="237">
      <c r="A237" s="85"/>
      <c r="B237" s="59"/>
      <c r="C237" s="51" t="str">
        <f>IFERROR(VLOOKUP(A237,Internal_lists_bugs!$A$2:$T1058,20,FALSE()),"please select a BUG ID")</f>
        <v>please select a BUG ID</v>
      </c>
      <c r="D237" s="93"/>
      <c r="E237" s="85"/>
      <c r="F237" s="62"/>
      <c r="G237" s="63"/>
      <c r="H237" s="85"/>
      <c r="I237" s="51" t="str">
        <f>IFERROR(VLOOKUP(A237,Internal_lists_bugs!$A$2:$G1058,7,FALSE()),"please select a BUG ID")</f>
        <v>please select a BUG ID</v>
      </c>
      <c r="J237" s="85"/>
      <c r="K237" s="85"/>
    </row>
    <row r="238">
      <c r="A238" s="85"/>
      <c r="B238" s="59"/>
      <c r="C238" s="51" t="str">
        <f>IFERROR(VLOOKUP(A238,Internal_lists_bugs!$A$2:$T1058,20,FALSE()),"please select a BUG ID")</f>
        <v>please select a BUG ID</v>
      </c>
      <c r="D238" s="93"/>
      <c r="E238" s="85"/>
      <c r="F238" s="62"/>
      <c r="G238" s="63"/>
      <c r="H238" s="85"/>
      <c r="I238" s="51" t="str">
        <f>IFERROR(VLOOKUP(A238,Internal_lists_bugs!$A$2:$G1058,7,FALSE()),"please select a BUG ID")</f>
        <v>please select a BUG ID</v>
      </c>
      <c r="J238" s="85"/>
      <c r="K238" s="85"/>
    </row>
    <row r="239">
      <c r="A239" s="85"/>
      <c r="B239" s="59"/>
      <c r="C239" s="51" t="str">
        <f>IFERROR(VLOOKUP(A239,Internal_lists_bugs!$A$2:$T1058,20,FALSE()),"please select a BUG ID")</f>
        <v>please select a BUG ID</v>
      </c>
      <c r="D239" s="93"/>
      <c r="E239" s="85"/>
      <c r="F239" s="62"/>
      <c r="G239" s="63"/>
      <c r="H239" s="85"/>
      <c r="I239" s="51" t="str">
        <f>IFERROR(VLOOKUP(A239,Internal_lists_bugs!$A$2:$G1058,7,FALSE()),"please select a BUG ID")</f>
        <v>please select a BUG ID</v>
      </c>
      <c r="J239" s="85"/>
      <c r="K239" s="85"/>
    </row>
    <row r="240">
      <c r="A240" s="85"/>
      <c r="B240" s="59"/>
      <c r="C240" s="51" t="str">
        <f>IFERROR(VLOOKUP(A240,Internal_lists_bugs!$A$2:$T1058,20,FALSE()),"please select a BUG ID")</f>
        <v>please select a BUG ID</v>
      </c>
      <c r="D240" s="93"/>
      <c r="E240" s="85"/>
      <c r="F240" s="62"/>
      <c r="G240" s="63"/>
      <c r="H240" s="85"/>
      <c r="I240" s="51" t="str">
        <f>IFERROR(VLOOKUP(A240,Internal_lists_bugs!$A$2:$G1058,7,FALSE()),"please select a BUG ID")</f>
        <v>please select a BUG ID</v>
      </c>
      <c r="J240" s="85"/>
      <c r="K240" s="85"/>
    </row>
    <row r="241">
      <c r="A241" s="85"/>
      <c r="B241" s="59"/>
      <c r="C241" s="51" t="str">
        <f>IFERROR(VLOOKUP(A241,Internal_lists_bugs!$A$2:$T1058,20,FALSE()),"please select a BUG ID")</f>
        <v>please select a BUG ID</v>
      </c>
      <c r="D241" s="93"/>
      <c r="E241" s="85"/>
      <c r="F241" s="62"/>
      <c r="G241" s="63"/>
      <c r="H241" s="85"/>
      <c r="I241" s="51" t="str">
        <f>IFERROR(VLOOKUP(A241,Internal_lists_bugs!$A$2:$G1058,7,FALSE()),"please select a BUG ID")</f>
        <v>please select a BUG ID</v>
      </c>
      <c r="J241" s="85"/>
      <c r="K241" s="85"/>
    </row>
    <row r="242">
      <c r="A242" s="85"/>
      <c r="B242" s="59"/>
      <c r="C242" s="51" t="str">
        <f>IFERROR(VLOOKUP(A242,Internal_lists_bugs!$A$2:$T1058,20,FALSE()),"please select a BUG ID")</f>
        <v>please select a BUG ID</v>
      </c>
      <c r="D242" s="93"/>
      <c r="E242" s="85"/>
      <c r="F242" s="62"/>
      <c r="G242" s="63"/>
      <c r="H242" s="85"/>
      <c r="I242" s="51" t="str">
        <f>IFERROR(VLOOKUP(A242,Internal_lists_bugs!$A$2:$G1058,7,FALSE()),"please select a BUG ID")</f>
        <v>please select a BUG ID</v>
      </c>
      <c r="J242" s="85"/>
      <c r="K242" s="85"/>
    </row>
    <row r="243">
      <c r="A243" s="85"/>
      <c r="B243" s="59"/>
      <c r="C243" s="51" t="str">
        <f>IFERROR(VLOOKUP(A243,Internal_lists_bugs!$A$2:$T1058,20,FALSE()),"please select a BUG ID")</f>
        <v>please select a BUG ID</v>
      </c>
      <c r="D243" s="93"/>
      <c r="E243" s="85"/>
      <c r="F243" s="62"/>
      <c r="G243" s="63"/>
      <c r="H243" s="85"/>
      <c r="I243" s="51" t="str">
        <f>IFERROR(VLOOKUP(A243,Internal_lists_bugs!$A$2:$G1058,7,FALSE()),"please select a BUG ID")</f>
        <v>please select a BUG ID</v>
      </c>
      <c r="J243" s="85"/>
      <c r="K243" s="85"/>
    </row>
    <row r="244">
      <c r="A244" s="85"/>
      <c r="B244" s="59"/>
      <c r="C244" s="51" t="str">
        <f>IFERROR(VLOOKUP(A244,Internal_lists_bugs!$A$2:$T1058,20,FALSE()),"please select a BUG ID")</f>
        <v>please select a BUG ID</v>
      </c>
      <c r="D244" s="93"/>
      <c r="E244" s="85"/>
      <c r="F244" s="62"/>
      <c r="G244" s="63"/>
      <c r="H244" s="85"/>
      <c r="I244" s="51" t="str">
        <f>IFERROR(VLOOKUP(A244,Internal_lists_bugs!$A$2:$G1058,7,FALSE()),"please select a BUG ID")</f>
        <v>please select a BUG ID</v>
      </c>
      <c r="J244" s="85"/>
      <c r="K244" s="85"/>
    </row>
    <row r="245">
      <c r="A245" s="85"/>
      <c r="B245" s="59"/>
      <c r="C245" s="51" t="str">
        <f>IFERROR(VLOOKUP(A245,Internal_lists_bugs!$A$2:$T1058,20,FALSE()),"please select a BUG ID")</f>
        <v>please select a BUG ID</v>
      </c>
      <c r="D245" s="93"/>
      <c r="E245" s="85"/>
      <c r="F245" s="62"/>
      <c r="G245" s="63"/>
      <c r="H245" s="85"/>
      <c r="I245" s="51" t="str">
        <f>IFERROR(VLOOKUP(A245,Internal_lists_bugs!$A$2:$G1058,7,FALSE()),"please select a BUG ID")</f>
        <v>please select a BUG ID</v>
      </c>
      <c r="J245" s="85"/>
      <c r="K245" s="85"/>
    </row>
    <row r="246">
      <c r="A246" s="85"/>
      <c r="B246" s="59"/>
      <c r="C246" s="51" t="str">
        <f>IFERROR(VLOOKUP(A246,Internal_lists_bugs!$A$2:$T1058,20,FALSE()),"please select a BUG ID")</f>
        <v>please select a BUG ID</v>
      </c>
      <c r="D246" s="93"/>
      <c r="E246" s="85"/>
      <c r="F246" s="62"/>
      <c r="G246" s="63"/>
      <c r="H246" s="85"/>
      <c r="I246" s="51" t="str">
        <f>IFERROR(VLOOKUP(A246,Internal_lists_bugs!$A$2:$G1058,7,FALSE()),"please select a BUG ID")</f>
        <v>please select a BUG ID</v>
      </c>
      <c r="J246" s="85"/>
      <c r="K246" s="85"/>
    </row>
    <row r="247">
      <c r="A247" s="85"/>
      <c r="B247" s="59"/>
      <c r="C247" s="51" t="str">
        <f>IFERROR(VLOOKUP(A247,Internal_lists_bugs!$A$2:$T1058,20,FALSE()),"please select a BUG ID")</f>
        <v>please select a BUG ID</v>
      </c>
      <c r="D247" s="93"/>
      <c r="E247" s="85"/>
      <c r="F247" s="62"/>
      <c r="G247" s="63"/>
      <c r="H247" s="85"/>
      <c r="I247" s="51" t="str">
        <f>IFERROR(VLOOKUP(A247,Internal_lists_bugs!$A$2:$G1058,7,FALSE()),"please select a BUG ID")</f>
        <v>please select a BUG ID</v>
      </c>
      <c r="J247" s="85"/>
      <c r="K247" s="85"/>
    </row>
    <row r="248">
      <c r="A248" s="85"/>
      <c r="B248" s="59"/>
      <c r="C248" s="51" t="str">
        <f>IFERROR(VLOOKUP(A248,Internal_lists_bugs!$A$2:$T1058,20,FALSE()),"please select a BUG ID")</f>
        <v>please select a BUG ID</v>
      </c>
      <c r="D248" s="93"/>
      <c r="E248" s="85"/>
      <c r="F248" s="62"/>
      <c r="G248" s="63"/>
      <c r="H248" s="85"/>
      <c r="I248" s="51" t="str">
        <f>IFERROR(VLOOKUP(A248,Internal_lists_bugs!$A$2:$G1058,7,FALSE()),"please select a BUG ID")</f>
        <v>please select a BUG ID</v>
      </c>
      <c r="J248" s="85"/>
      <c r="K248" s="85"/>
    </row>
    <row r="249">
      <c r="A249" s="85"/>
      <c r="B249" s="59"/>
      <c r="C249" s="51" t="str">
        <f>IFERROR(VLOOKUP(A249,Internal_lists_bugs!$A$2:$T1058,20,FALSE()),"please select a BUG ID")</f>
        <v>please select a BUG ID</v>
      </c>
      <c r="D249" s="93"/>
      <c r="E249" s="85"/>
      <c r="F249" s="62"/>
      <c r="G249" s="63"/>
      <c r="H249" s="85"/>
      <c r="I249" s="51" t="str">
        <f>IFERROR(VLOOKUP(A249,Internal_lists_bugs!$A$2:$G1058,7,FALSE()),"please select a BUG ID")</f>
        <v>please select a BUG ID</v>
      </c>
      <c r="J249" s="85"/>
      <c r="K249" s="85"/>
    </row>
    <row r="250">
      <c r="A250" s="85"/>
      <c r="B250" s="59"/>
      <c r="C250" s="51" t="str">
        <f>IFERROR(VLOOKUP(A250,Internal_lists_bugs!$A$2:$T1058,20,FALSE()),"please select a BUG ID")</f>
        <v>please select a BUG ID</v>
      </c>
      <c r="D250" s="93"/>
      <c r="E250" s="85"/>
      <c r="F250" s="62"/>
      <c r="G250" s="63"/>
      <c r="H250" s="85"/>
      <c r="I250" s="51" t="str">
        <f>IFERROR(VLOOKUP(A250,Internal_lists_bugs!$A$2:$G1058,7,FALSE()),"please select a BUG ID")</f>
        <v>please select a BUG ID</v>
      </c>
      <c r="J250" s="85"/>
      <c r="K250" s="85"/>
    </row>
    <row r="251">
      <c r="A251" s="85"/>
      <c r="B251" s="59"/>
      <c r="C251" s="51" t="str">
        <f>IFERROR(VLOOKUP(A251,Internal_lists_bugs!$A$2:$T1058,20,FALSE()),"please select a BUG ID")</f>
        <v>please select a BUG ID</v>
      </c>
      <c r="D251" s="93"/>
      <c r="E251" s="85"/>
      <c r="F251" s="62"/>
      <c r="G251" s="63"/>
      <c r="H251" s="85"/>
      <c r="I251" s="51" t="str">
        <f>IFERROR(VLOOKUP(A251,Internal_lists_bugs!$A$2:$G1058,7,FALSE()),"please select a BUG ID")</f>
        <v>please select a BUG ID</v>
      </c>
      <c r="J251" s="85"/>
      <c r="K251" s="85"/>
    </row>
    <row r="252">
      <c r="A252" s="85"/>
      <c r="B252" s="59"/>
      <c r="C252" s="51" t="str">
        <f>IFERROR(VLOOKUP(A252,Internal_lists_bugs!$A$2:$T1058,20,FALSE()),"please select a BUG ID")</f>
        <v>please select a BUG ID</v>
      </c>
      <c r="D252" s="93"/>
      <c r="E252" s="85"/>
      <c r="F252" s="62"/>
      <c r="G252" s="63"/>
      <c r="H252" s="85"/>
      <c r="I252" s="51" t="str">
        <f>IFERROR(VLOOKUP(A252,Internal_lists_bugs!$A$2:$G1058,7,FALSE()),"please select a BUG ID")</f>
        <v>please select a BUG ID</v>
      </c>
      <c r="J252" s="85"/>
      <c r="K252" s="85"/>
    </row>
    <row r="253">
      <c r="A253" s="85"/>
      <c r="B253" s="59"/>
      <c r="C253" s="51" t="str">
        <f>IFERROR(VLOOKUP(A253,Internal_lists_bugs!$A$2:$T1058,20,FALSE()),"please select a BUG ID")</f>
        <v>please select a BUG ID</v>
      </c>
      <c r="D253" s="93"/>
      <c r="E253" s="85"/>
      <c r="F253" s="62"/>
      <c r="G253" s="63"/>
      <c r="H253" s="85"/>
      <c r="I253" s="51" t="str">
        <f>IFERROR(VLOOKUP(A253,Internal_lists_bugs!$A$2:$G1058,7,FALSE()),"please select a BUG ID")</f>
        <v>please select a BUG ID</v>
      </c>
      <c r="J253" s="85"/>
      <c r="K253" s="85"/>
    </row>
    <row r="254">
      <c r="A254" s="85"/>
      <c r="B254" s="59"/>
      <c r="C254" s="51" t="str">
        <f>IFERROR(VLOOKUP(A254,Internal_lists_bugs!$A$2:$T1058,20,FALSE()),"please select a BUG ID")</f>
        <v>please select a BUG ID</v>
      </c>
      <c r="D254" s="93"/>
      <c r="E254" s="85"/>
      <c r="F254" s="62"/>
      <c r="G254" s="63"/>
      <c r="H254" s="85"/>
      <c r="I254" s="51" t="str">
        <f>IFERROR(VLOOKUP(A254,Internal_lists_bugs!$A$2:$G1058,7,FALSE()),"please select a BUG ID")</f>
        <v>please select a BUG ID</v>
      </c>
      <c r="J254" s="85"/>
      <c r="K254" s="85"/>
    </row>
    <row r="255">
      <c r="A255" s="85"/>
      <c r="B255" s="59"/>
      <c r="C255" s="51" t="str">
        <f>IFERROR(VLOOKUP(A255,Internal_lists_bugs!$A$2:$T1058,20,FALSE()),"please select a BUG ID")</f>
        <v>please select a BUG ID</v>
      </c>
      <c r="D255" s="93"/>
      <c r="E255" s="85"/>
      <c r="F255" s="62"/>
      <c r="G255" s="63"/>
      <c r="H255" s="85"/>
      <c r="I255" s="51" t="str">
        <f>IFERROR(VLOOKUP(A255,Internal_lists_bugs!$A$2:$G1058,7,FALSE()),"please select a BUG ID")</f>
        <v>please select a BUG ID</v>
      </c>
      <c r="J255" s="85"/>
      <c r="K255" s="85"/>
    </row>
    <row r="256">
      <c r="A256" s="85"/>
      <c r="B256" s="59"/>
      <c r="C256" s="51" t="str">
        <f>IFERROR(VLOOKUP(A256,Internal_lists_bugs!$A$2:$T1058,20,FALSE()),"please select a BUG ID")</f>
        <v>please select a BUG ID</v>
      </c>
      <c r="D256" s="93"/>
      <c r="E256" s="85"/>
      <c r="F256" s="62"/>
      <c r="G256" s="63"/>
      <c r="H256" s="85"/>
      <c r="I256" s="51" t="str">
        <f>IFERROR(VLOOKUP(A256,Internal_lists_bugs!$A$2:$G1058,7,FALSE()),"please select a BUG ID")</f>
        <v>please select a BUG ID</v>
      </c>
      <c r="J256" s="85"/>
      <c r="K256" s="85"/>
    </row>
    <row r="257">
      <c r="A257" s="85"/>
      <c r="B257" s="59"/>
      <c r="C257" s="51" t="str">
        <f>IFERROR(VLOOKUP(A257,Internal_lists_bugs!$A$2:$T1058,20,FALSE()),"please select a BUG ID")</f>
        <v>please select a BUG ID</v>
      </c>
      <c r="D257" s="93"/>
      <c r="E257" s="85"/>
      <c r="F257" s="62"/>
      <c r="G257" s="63"/>
      <c r="H257" s="85"/>
      <c r="I257" s="51" t="str">
        <f>IFERROR(VLOOKUP(A257,Internal_lists_bugs!$A$2:$G1058,7,FALSE()),"please select a BUG ID")</f>
        <v>please select a BUG ID</v>
      </c>
      <c r="J257" s="85"/>
      <c r="K257" s="85"/>
    </row>
    <row r="258">
      <c r="A258" s="85"/>
      <c r="B258" s="59"/>
      <c r="C258" s="51" t="str">
        <f>IFERROR(VLOOKUP(A258,Internal_lists_bugs!$A$2:$T1058,20,FALSE()),"please select a BUG ID")</f>
        <v>please select a BUG ID</v>
      </c>
      <c r="D258" s="93"/>
      <c r="E258" s="85"/>
      <c r="F258" s="62"/>
      <c r="G258" s="63"/>
      <c r="H258" s="85"/>
      <c r="I258" s="51" t="str">
        <f>IFERROR(VLOOKUP(A258,Internal_lists_bugs!$A$2:$G1058,7,FALSE()),"please select a BUG ID")</f>
        <v>please select a BUG ID</v>
      </c>
      <c r="J258" s="85"/>
      <c r="K258" s="85"/>
    </row>
    <row r="259">
      <c r="A259" s="85"/>
      <c r="B259" s="59"/>
      <c r="C259" s="51" t="str">
        <f>IFERROR(VLOOKUP(A259,Internal_lists_bugs!$A$2:$T1058,20,FALSE()),"please select a BUG ID")</f>
        <v>please select a BUG ID</v>
      </c>
      <c r="D259" s="93"/>
      <c r="E259" s="85"/>
      <c r="F259" s="62"/>
      <c r="G259" s="63"/>
      <c r="H259" s="85"/>
      <c r="I259" s="51" t="str">
        <f>IFERROR(VLOOKUP(A259,Internal_lists_bugs!$A$2:$G1058,7,FALSE()),"please select a BUG ID")</f>
        <v>please select a BUG ID</v>
      </c>
      <c r="J259" s="85"/>
      <c r="K259" s="85"/>
    </row>
    <row r="260">
      <c r="A260" s="85"/>
      <c r="B260" s="59"/>
      <c r="C260" s="51" t="str">
        <f>IFERROR(VLOOKUP(A260,Internal_lists_bugs!$A$2:$T1058,20,FALSE()),"please select a BUG ID")</f>
        <v>please select a BUG ID</v>
      </c>
      <c r="D260" s="93"/>
      <c r="E260" s="85"/>
      <c r="F260" s="62"/>
      <c r="G260" s="63"/>
      <c r="H260" s="85"/>
      <c r="I260" s="51" t="str">
        <f>IFERROR(VLOOKUP(A260,Internal_lists_bugs!$A$2:$G1058,7,FALSE()),"please select a BUG ID")</f>
        <v>please select a BUG ID</v>
      </c>
      <c r="J260" s="85"/>
      <c r="K260" s="85"/>
    </row>
    <row r="261">
      <c r="A261" s="85"/>
      <c r="B261" s="59"/>
      <c r="C261" s="51" t="str">
        <f>IFERROR(VLOOKUP(A261,Internal_lists_bugs!$A$2:$T1058,20,FALSE()),"please select a BUG ID")</f>
        <v>please select a BUG ID</v>
      </c>
      <c r="D261" s="93"/>
      <c r="E261" s="85"/>
      <c r="F261" s="62"/>
      <c r="G261" s="63"/>
      <c r="H261" s="85"/>
      <c r="I261" s="51" t="str">
        <f>IFERROR(VLOOKUP(A261,Internal_lists_bugs!$A$2:$G1058,7,FALSE()),"please select a BUG ID")</f>
        <v>please select a BUG ID</v>
      </c>
      <c r="J261" s="85"/>
      <c r="K261" s="85"/>
    </row>
    <row r="262">
      <c r="A262" s="85"/>
      <c r="B262" s="59"/>
      <c r="C262" s="51" t="str">
        <f>IFERROR(VLOOKUP(A262,Internal_lists_bugs!$A$2:$T1058,20,FALSE()),"please select a BUG ID")</f>
        <v>please select a BUG ID</v>
      </c>
      <c r="D262" s="93"/>
      <c r="E262" s="85"/>
      <c r="F262" s="62"/>
      <c r="G262" s="63"/>
      <c r="H262" s="85"/>
      <c r="I262" s="51" t="str">
        <f>IFERROR(VLOOKUP(A262,Internal_lists_bugs!$A$2:$G1058,7,FALSE()),"please select a BUG ID")</f>
        <v>please select a BUG ID</v>
      </c>
      <c r="J262" s="85"/>
      <c r="K262" s="85"/>
    </row>
    <row r="263">
      <c r="A263" s="85"/>
      <c r="B263" s="59"/>
      <c r="C263" s="51" t="str">
        <f>IFERROR(VLOOKUP(A263,Internal_lists_bugs!$A$2:$T1058,20,FALSE()),"please select a BUG ID")</f>
        <v>please select a BUG ID</v>
      </c>
      <c r="D263" s="93"/>
      <c r="E263" s="85"/>
      <c r="F263" s="62"/>
      <c r="G263" s="63"/>
      <c r="H263" s="85"/>
      <c r="I263" s="51" t="str">
        <f>IFERROR(VLOOKUP(A263,Internal_lists_bugs!$A$2:$G1058,7,FALSE()),"please select a BUG ID")</f>
        <v>please select a BUG ID</v>
      </c>
      <c r="J263" s="85"/>
      <c r="K263" s="85"/>
    </row>
    <row r="264">
      <c r="A264" s="85"/>
      <c r="B264" s="59"/>
      <c r="C264" s="51" t="str">
        <f>IFERROR(VLOOKUP(A264,Internal_lists_bugs!$A$2:$T1058,20,FALSE()),"please select a BUG ID")</f>
        <v>please select a BUG ID</v>
      </c>
      <c r="D264" s="93"/>
      <c r="E264" s="85"/>
      <c r="F264" s="62"/>
      <c r="G264" s="63"/>
      <c r="H264" s="85"/>
      <c r="I264" s="51" t="str">
        <f>IFERROR(VLOOKUP(A264,Internal_lists_bugs!$A$2:$G1058,7,FALSE()),"please select a BUG ID")</f>
        <v>please select a BUG ID</v>
      </c>
      <c r="J264" s="85"/>
      <c r="K264" s="85"/>
    </row>
    <row r="265">
      <c r="A265" s="85"/>
      <c r="B265" s="59"/>
      <c r="C265" s="51" t="str">
        <f>IFERROR(VLOOKUP(A265,Internal_lists_bugs!$A$2:$T1058,20,FALSE()),"please select a BUG ID")</f>
        <v>please select a BUG ID</v>
      </c>
      <c r="D265" s="93"/>
      <c r="E265" s="85"/>
      <c r="F265" s="62"/>
      <c r="G265" s="63"/>
      <c r="H265" s="85"/>
      <c r="I265" s="51" t="str">
        <f>IFERROR(VLOOKUP(A265,Internal_lists_bugs!$A$2:$G1058,7,FALSE()),"please select a BUG ID")</f>
        <v>please select a BUG ID</v>
      </c>
      <c r="J265" s="85"/>
      <c r="K265" s="85"/>
    </row>
    <row r="266">
      <c r="A266" s="85"/>
      <c r="B266" s="59"/>
      <c r="C266" s="51" t="str">
        <f>IFERROR(VLOOKUP(A266,Internal_lists_bugs!$A$2:$T1058,20,FALSE()),"please select a BUG ID")</f>
        <v>please select a BUG ID</v>
      </c>
      <c r="D266" s="93"/>
      <c r="E266" s="85"/>
      <c r="F266" s="62"/>
      <c r="G266" s="63"/>
      <c r="H266" s="85"/>
      <c r="I266" s="51" t="str">
        <f>IFERROR(VLOOKUP(A266,Internal_lists_bugs!$A$2:$G1058,7,FALSE()),"please select a BUG ID")</f>
        <v>please select a BUG ID</v>
      </c>
      <c r="J266" s="85"/>
      <c r="K266" s="85"/>
    </row>
    <row r="267">
      <c r="A267" s="85"/>
      <c r="B267" s="59"/>
      <c r="C267" s="51" t="str">
        <f>IFERROR(VLOOKUP(A267,Internal_lists_bugs!$A$2:$T1058,20,FALSE()),"please select a BUG ID")</f>
        <v>please select a BUG ID</v>
      </c>
      <c r="D267" s="93"/>
      <c r="E267" s="85"/>
      <c r="F267" s="62"/>
      <c r="G267" s="63"/>
      <c r="H267" s="85"/>
      <c r="I267" s="51" t="str">
        <f>IFERROR(VLOOKUP(A267,Internal_lists_bugs!$A$2:$G1058,7,FALSE()),"please select a BUG ID")</f>
        <v>please select a BUG ID</v>
      </c>
      <c r="J267" s="85"/>
      <c r="K267" s="85"/>
    </row>
    <row r="268">
      <c r="A268" s="85"/>
      <c r="B268" s="59"/>
      <c r="C268" s="51" t="str">
        <f>IFERROR(VLOOKUP(A268,Internal_lists_bugs!$A$2:$T1058,20,FALSE()),"please select a BUG ID")</f>
        <v>please select a BUG ID</v>
      </c>
      <c r="D268" s="93"/>
      <c r="E268" s="85"/>
      <c r="F268" s="62"/>
      <c r="G268" s="63"/>
      <c r="H268" s="85"/>
      <c r="I268" s="51" t="str">
        <f>IFERROR(VLOOKUP(A268,Internal_lists_bugs!$A$2:$G1058,7,FALSE()),"please select a BUG ID")</f>
        <v>please select a BUG ID</v>
      </c>
      <c r="J268" s="85"/>
      <c r="K268" s="85"/>
    </row>
    <row r="269">
      <c r="A269" s="85"/>
      <c r="B269" s="59"/>
      <c r="C269" s="51" t="str">
        <f>IFERROR(VLOOKUP(A269,Internal_lists_bugs!$A$2:$T1058,20,FALSE()),"please select a BUG ID")</f>
        <v>please select a BUG ID</v>
      </c>
      <c r="D269" s="93"/>
      <c r="E269" s="85"/>
      <c r="F269" s="62"/>
      <c r="G269" s="63"/>
      <c r="H269" s="85"/>
      <c r="I269" s="51" t="str">
        <f>IFERROR(VLOOKUP(A269,Internal_lists_bugs!$A$2:$G1058,7,FALSE()),"please select a BUG ID")</f>
        <v>please select a BUG ID</v>
      </c>
      <c r="J269" s="85"/>
      <c r="K269" s="85"/>
    </row>
    <row r="270">
      <c r="A270" s="85"/>
      <c r="B270" s="59"/>
      <c r="C270" s="51" t="str">
        <f>IFERROR(VLOOKUP(A270,Internal_lists_bugs!$A$2:$T1058,20,FALSE()),"please select a BUG ID")</f>
        <v>please select a BUG ID</v>
      </c>
      <c r="D270" s="93"/>
      <c r="E270" s="85"/>
      <c r="F270" s="62"/>
      <c r="G270" s="63"/>
      <c r="H270" s="85"/>
      <c r="I270" s="51" t="str">
        <f>IFERROR(VLOOKUP(A270,Internal_lists_bugs!$A$2:$G1058,7,FALSE()),"please select a BUG ID")</f>
        <v>please select a BUG ID</v>
      </c>
      <c r="J270" s="85"/>
      <c r="K270" s="85"/>
    </row>
    <row r="271">
      <c r="A271" s="85"/>
      <c r="B271" s="59"/>
      <c r="C271" s="51" t="str">
        <f>IFERROR(VLOOKUP(A271,Internal_lists_bugs!$A$2:$T1058,20,FALSE()),"please select a BUG ID")</f>
        <v>please select a BUG ID</v>
      </c>
      <c r="D271" s="93"/>
      <c r="E271" s="85"/>
      <c r="F271" s="62"/>
      <c r="G271" s="63"/>
      <c r="H271" s="85"/>
      <c r="I271" s="51" t="str">
        <f>IFERROR(VLOOKUP(A271,Internal_lists_bugs!$A$2:$G1058,7,FALSE()),"please select a BUG ID")</f>
        <v>please select a BUG ID</v>
      </c>
      <c r="J271" s="85"/>
      <c r="K271" s="85"/>
    </row>
    <row r="272">
      <c r="A272" s="85"/>
      <c r="B272" s="59"/>
      <c r="C272" s="51" t="str">
        <f>IFERROR(VLOOKUP(A272,Internal_lists_bugs!$A$2:$T1058,20,FALSE()),"please select a BUG ID")</f>
        <v>please select a BUG ID</v>
      </c>
      <c r="D272" s="93"/>
      <c r="E272" s="85"/>
      <c r="F272" s="62"/>
      <c r="G272" s="63"/>
      <c r="H272" s="85"/>
      <c r="I272" s="51" t="str">
        <f>IFERROR(VLOOKUP(A272,Internal_lists_bugs!$A$2:$G1058,7,FALSE()),"please select a BUG ID")</f>
        <v>please select a BUG ID</v>
      </c>
      <c r="J272" s="85"/>
      <c r="K272" s="85"/>
    </row>
    <row r="273">
      <c r="A273" s="85"/>
      <c r="B273" s="59"/>
      <c r="C273" s="51" t="str">
        <f>IFERROR(VLOOKUP(A273,Internal_lists_bugs!$A$2:$T1058,20,FALSE()),"please select a BUG ID")</f>
        <v>please select a BUG ID</v>
      </c>
      <c r="D273" s="93"/>
      <c r="E273" s="85"/>
      <c r="F273" s="62"/>
      <c r="G273" s="63"/>
      <c r="H273" s="85"/>
      <c r="I273" s="51" t="str">
        <f>IFERROR(VLOOKUP(A273,Internal_lists_bugs!$A$2:$G1058,7,FALSE()),"please select a BUG ID")</f>
        <v>please select a BUG ID</v>
      </c>
      <c r="J273" s="85"/>
      <c r="K273" s="85"/>
    </row>
    <row r="274">
      <c r="A274" s="85"/>
      <c r="B274" s="59"/>
      <c r="C274" s="51" t="str">
        <f>IFERROR(VLOOKUP(A274,Internal_lists_bugs!$A$2:$T1058,20,FALSE()),"please select a BUG ID")</f>
        <v>please select a BUG ID</v>
      </c>
      <c r="D274" s="93"/>
      <c r="E274" s="85"/>
      <c r="F274" s="62"/>
      <c r="G274" s="63"/>
      <c r="H274" s="85"/>
      <c r="I274" s="51" t="str">
        <f>IFERROR(VLOOKUP(A274,Internal_lists_bugs!$A$2:$G1058,7,FALSE()),"please select a BUG ID")</f>
        <v>please select a BUG ID</v>
      </c>
      <c r="J274" s="85"/>
      <c r="K274" s="85"/>
    </row>
    <row r="275">
      <c r="A275" s="85"/>
      <c r="B275" s="59"/>
      <c r="C275" s="51" t="str">
        <f>IFERROR(VLOOKUP(A275,Internal_lists_bugs!$A$2:$T1058,20,FALSE()),"please select a BUG ID")</f>
        <v>please select a BUG ID</v>
      </c>
      <c r="D275" s="93"/>
      <c r="E275" s="85"/>
      <c r="F275" s="62"/>
      <c r="G275" s="63"/>
      <c r="H275" s="85"/>
      <c r="I275" s="51" t="str">
        <f>IFERROR(VLOOKUP(A275,Internal_lists_bugs!$A$2:$G1058,7,FALSE()),"please select a BUG ID")</f>
        <v>please select a BUG ID</v>
      </c>
      <c r="J275" s="85"/>
      <c r="K275" s="85"/>
    </row>
    <row r="276">
      <c r="A276" s="85"/>
      <c r="B276" s="59"/>
      <c r="C276" s="51" t="str">
        <f>IFERROR(VLOOKUP(A276,Internal_lists_bugs!$A$2:$T1058,20,FALSE()),"please select a BUG ID")</f>
        <v>please select a BUG ID</v>
      </c>
      <c r="D276" s="93"/>
      <c r="E276" s="85"/>
      <c r="F276" s="62"/>
      <c r="G276" s="63"/>
      <c r="H276" s="85"/>
      <c r="I276" s="51" t="str">
        <f>IFERROR(VLOOKUP(A276,Internal_lists_bugs!$A$2:$G1058,7,FALSE()),"please select a BUG ID")</f>
        <v>please select a BUG ID</v>
      </c>
      <c r="J276" s="85"/>
      <c r="K276" s="85"/>
    </row>
    <row r="277">
      <c r="A277" s="85"/>
      <c r="B277" s="59"/>
      <c r="C277" s="51" t="str">
        <f>IFERROR(VLOOKUP(A277,Internal_lists_bugs!$A$2:$T1058,20,FALSE()),"please select a BUG ID")</f>
        <v>please select a BUG ID</v>
      </c>
      <c r="D277" s="93"/>
      <c r="E277" s="85"/>
      <c r="F277" s="62"/>
      <c r="G277" s="63"/>
      <c r="H277" s="85"/>
      <c r="I277" s="51" t="str">
        <f>IFERROR(VLOOKUP(A277,Internal_lists_bugs!$A$2:$G1058,7,FALSE()),"please select a BUG ID")</f>
        <v>please select a BUG ID</v>
      </c>
      <c r="J277" s="85"/>
      <c r="K277" s="85"/>
    </row>
    <row r="278">
      <c r="A278" s="85"/>
      <c r="B278" s="59"/>
      <c r="C278" s="51" t="str">
        <f>IFERROR(VLOOKUP(A278,Internal_lists_bugs!$A$2:$T1058,20,FALSE()),"please select a BUG ID")</f>
        <v>please select a BUG ID</v>
      </c>
      <c r="D278" s="93"/>
      <c r="E278" s="85"/>
      <c r="F278" s="62"/>
      <c r="G278" s="63"/>
      <c r="H278" s="85"/>
      <c r="I278" s="51" t="str">
        <f>IFERROR(VLOOKUP(A278,Internal_lists_bugs!$A$2:$G1058,7,FALSE()),"please select a BUG ID")</f>
        <v>please select a BUG ID</v>
      </c>
      <c r="J278" s="85"/>
      <c r="K278" s="85"/>
    </row>
    <row r="279">
      <c r="A279" s="85"/>
      <c r="B279" s="59"/>
      <c r="C279" s="51" t="str">
        <f>IFERROR(VLOOKUP(A279,Internal_lists_bugs!$A$2:$T1058,20,FALSE()),"please select a BUG ID")</f>
        <v>please select a BUG ID</v>
      </c>
      <c r="D279" s="93"/>
      <c r="E279" s="85"/>
      <c r="F279" s="62"/>
      <c r="G279" s="63"/>
      <c r="H279" s="85"/>
      <c r="I279" s="51" t="str">
        <f>IFERROR(VLOOKUP(A279,Internal_lists_bugs!$A$2:$G1058,7,FALSE()),"please select a BUG ID")</f>
        <v>please select a BUG ID</v>
      </c>
      <c r="J279" s="85"/>
      <c r="K279" s="85"/>
    </row>
    <row r="280">
      <c r="A280" s="85"/>
      <c r="B280" s="59"/>
      <c r="C280" s="51" t="str">
        <f>IFERROR(VLOOKUP(A280,Internal_lists_bugs!$A$2:$T1058,20,FALSE()),"please select a BUG ID")</f>
        <v>please select a BUG ID</v>
      </c>
      <c r="D280" s="93"/>
      <c r="E280" s="85"/>
      <c r="F280" s="62"/>
      <c r="G280" s="63"/>
      <c r="H280" s="85"/>
      <c r="I280" s="51" t="str">
        <f>IFERROR(VLOOKUP(A280,Internal_lists_bugs!$A$2:$G1058,7,FALSE()),"please select a BUG ID")</f>
        <v>please select a BUG ID</v>
      </c>
      <c r="J280" s="85"/>
      <c r="K280" s="85"/>
    </row>
    <row r="281">
      <c r="A281" s="85"/>
      <c r="B281" s="59"/>
      <c r="C281" s="51" t="str">
        <f>IFERROR(VLOOKUP(A281,Internal_lists_bugs!$A$2:$T1058,20,FALSE()),"please select a BUG ID")</f>
        <v>please select a BUG ID</v>
      </c>
      <c r="D281" s="93"/>
      <c r="E281" s="85"/>
      <c r="F281" s="62"/>
      <c r="G281" s="63"/>
      <c r="H281" s="85"/>
      <c r="I281" s="51" t="str">
        <f>IFERROR(VLOOKUP(A281,Internal_lists_bugs!$A$2:$G1058,7,FALSE()),"please select a BUG ID")</f>
        <v>please select a BUG ID</v>
      </c>
      <c r="J281" s="85"/>
      <c r="K281" s="85"/>
    </row>
    <row r="282">
      <c r="A282" s="85"/>
      <c r="B282" s="59"/>
      <c r="C282" s="51" t="str">
        <f>IFERROR(VLOOKUP(A282,Internal_lists_bugs!$A$2:$T1058,20,FALSE()),"please select a BUG ID")</f>
        <v>please select a BUG ID</v>
      </c>
      <c r="D282" s="93"/>
      <c r="E282" s="85"/>
      <c r="F282" s="62"/>
      <c r="G282" s="63"/>
      <c r="H282" s="85"/>
      <c r="I282" s="51" t="str">
        <f>IFERROR(VLOOKUP(A282,Internal_lists_bugs!$A$2:$G1058,7,FALSE()),"please select a BUG ID")</f>
        <v>please select a BUG ID</v>
      </c>
      <c r="J282" s="85"/>
      <c r="K282" s="85"/>
    </row>
    <row r="283">
      <c r="A283" s="85"/>
      <c r="B283" s="59"/>
      <c r="C283" s="51" t="str">
        <f>IFERROR(VLOOKUP(A283,Internal_lists_bugs!$A$2:$T1058,20,FALSE()),"please select a BUG ID")</f>
        <v>please select a BUG ID</v>
      </c>
      <c r="D283" s="93"/>
      <c r="E283" s="85"/>
      <c r="F283" s="62"/>
      <c r="G283" s="63"/>
      <c r="H283" s="85"/>
      <c r="I283" s="51" t="str">
        <f>IFERROR(VLOOKUP(A283,Internal_lists_bugs!$A$2:$G1058,7,FALSE()),"please select a BUG ID")</f>
        <v>please select a BUG ID</v>
      </c>
      <c r="J283" s="85"/>
      <c r="K283" s="85"/>
    </row>
    <row r="284">
      <c r="A284" s="85"/>
      <c r="B284" s="59"/>
      <c r="C284" s="51" t="str">
        <f>IFERROR(VLOOKUP(A284,Internal_lists_bugs!$A$2:$T1058,20,FALSE()),"please select a BUG ID")</f>
        <v>please select a BUG ID</v>
      </c>
      <c r="D284" s="93"/>
      <c r="E284" s="85"/>
      <c r="F284" s="62"/>
      <c r="G284" s="63"/>
      <c r="H284" s="85"/>
      <c r="I284" s="51" t="str">
        <f>IFERROR(VLOOKUP(A284,Internal_lists_bugs!$A$2:$G1058,7,FALSE()),"please select a BUG ID")</f>
        <v>please select a BUG ID</v>
      </c>
      <c r="J284" s="85"/>
      <c r="K284" s="85"/>
    </row>
    <row r="285">
      <c r="A285" s="85"/>
      <c r="B285" s="59"/>
      <c r="C285" s="51" t="str">
        <f>IFERROR(VLOOKUP(A285,Internal_lists_bugs!$A$2:$T1058,20,FALSE()),"please select a BUG ID")</f>
        <v>please select a BUG ID</v>
      </c>
      <c r="D285" s="93"/>
      <c r="E285" s="85"/>
      <c r="F285" s="62"/>
      <c r="G285" s="63"/>
      <c r="H285" s="85"/>
      <c r="I285" s="51" t="str">
        <f>IFERROR(VLOOKUP(A285,Internal_lists_bugs!$A$2:$G1058,7,FALSE()),"please select a BUG ID")</f>
        <v>please select a BUG ID</v>
      </c>
      <c r="J285" s="85"/>
      <c r="K285" s="85"/>
    </row>
    <row r="286">
      <c r="A286" s="85"/>
      <c r="B286" s="59"/>
      <c r="C286" s="51" t="str">
        <f>IFERROR(VLOOKUP(A286,Internal_lists_bugs!$A$2:$T1058,20,FALSE()),"please select a BUG ID")</f>
        <v>please select a BUG ID</v>
      </c>
      <c r="D286" s="93"/>
      <c r="E286" s="85"/>
      <c r="F286" s="62"/>
      <c r="G286" s="63"/>
      <c r="H286" s="85"/>
      <c r="I286" s="51" t="str">
        <f>IFERROR(VLOOKUP(A286,Internal_lists_bugs!$A$2:$G1058,7,FALSE()),"please select a BUG ID")</f>
        <v>please select a BUG ID</v>
      </c>
      <c r="J286" s="85"/>
      <c r="K286" s="85"/>
    </row>
    <row r="287">
      <c r="A287" s="85"/>
      <c r="B287" s="59"/>
      <c r="C287" s="51" t="str">
        <f>IFERROR(VLOOKUP(A287,Internal_lists_bugs!$A$2:$T1058,20,FALSE()),"please select a BUG ID")</f>
        <v>please select a BUG ID</v>
      </c>
      <c r="D287" s="93"/>
      <c r="E287" s="85"/>
      <c r="F287" s="62"/>
      <c r="G287" s="63"/>
      <c r="H287" s="85"/>
      <c r="I287" s="51" t="str">
        <f>IFERROR(VLOOKUP(A287,Internal_lists_bugs!$A$2:$G1058,7,FALSE()),"please select a BUG ID")</f>
        <v>please select a BUG ID</v>
      </c>
      <c r="J287" s="85"/>
      <c r="K287" s="85"/>
    </row>
    <row r="288">
      <c r="A288" s="85"/>
      <c r="B288" s="59"/>
      <c r="C288" s="51" t="str">
        <f>IFERROR(VLOOKUP(A288,Internal_lists_bugs!$A$2:$T1058,20,FALSE()),"please select a BUG ID")</f>
        <v>please select a BUG ID</v>
      </c>
      <c r="D288" s="93"/>
      <c r="E288" s="85"/>
      <c r="F288" s="62"/>
      <c r="G288" s="63"/>
      <c r="H288" s="85"/>
      <c r="I288" s="51" t="str">
        <f>IFERROR(VLOOKUP(A288,Internal_lists_bugs!$A$2:$G1058,7,FALSE()),"please select a BUG ID")</f>
        <v>please select a BUG ID</v>
      </c>
      <c r="J288" s="85"/>
      <c r="K288" s="85"/>
    </row>
    <row r="289">
      <c r="A289" s="85"/>
      <c r="B289" s="59"/>
      <c r="C289" s="51" t="str">
        <f>IFERROR(VLOOKUP(A289,Internal_lists_bugs!$A$2:$T1058,20,FALSE()),"please select a BUG ID")</f>
        <v>please select a BUG ID</v>
      </c>
      <c r="D289" s="93"/>
      <c r="E289" s="85"/>
      <c r="F289" s="62"/>
      <c r="G289" s="63"/>
      <c r="H289" s="85"/>
      <c r="I289" s="51" t="str">
        <f>IFERROR(VLOOKUP(A289,Internal_lists_bugs!$A$2:$G1058,7,FALSE()),"please select a BUG ID")</f>
        <v>please select a BUG ID</v>
      </c>
      <c r="J289" s="85"/>
      <c r="K289" s="85"/>
    </row>
    <row r="290">
      <c r="A290" s="85"/>
      <c r="B290" s="59"/>
      <c r="C290" s="51" t="str">
        <f>IFERROR(VLOOKUP(A290,Internal_lists_bugs!$A$2:$T1058,20,FALSE()),"please select a BUG ID")</f>
        <v>please select a BUG ID</v>
      </c>
      <c r="D290" s="93"/>
      <c r="E290" s="85"/>
      <c r="F290" s="62"/>
      <c r="G290" s="63"/>
      <c r="H290" s="85"/>
      <c r="I290" s="51" t="str">
        <f>IFERROR(VLOOKUP(A290,Internal_lists_bugs!$A$2:$G1058,7,FALSE()),"please select a BUG ID")</f>
        <v>please select a BUG ID</v>
      </c>
      <c r="J290" s="85"/>
      <c r="K290" s="85"/>
    </row>
    <row r="291">
      <c r="A291" s="85"/>
      <c r="B291" s="59"/>
      <c r="C291" s="51" t="str">
        <f>IFERROR(VLOOKUP(A291,Internal_lists_bugs!$A$2:$T1058,20,FALSE()),"please select a BUG ID")</f>
        <v>please select a BUG ID</v>
      </c>
      <c r="D291" s="93"/>
      <c r="E291" s="85"/>
      <c r="F291" s="62"/>
      <c r="G291" s="63"/>
      <c r="H291" s="85"/>
      <c r="I291" s="51" t="str">
        <f>IFERROR(VLOOKUP(A291,Internal_lists_bugs!$A$2:$G1058,7,FALSE()),"please select a BUG ID")</f>
        <v>please select a BUG ID</v>
      </c>
      <c r="J291" s="85"/>
      <c r="K291" s="85"/>
    </row>
    <row r="292">
      <c r="A292" s="85"/>
      <c r="B292" s="59"/>
      <c r="C292" s="51" t="str">
        <f>IFERROR(VLOOKUP(A292,Internal_lists_bugs!$A$2:$T1058,20,FALSE()),"please select a BUG ID")</f>
        <v>please select a BUG ID</v>
      </c>
      <c r="D292" s="93"/>
      <c r="E292" s="85"/>
      <c r="F292" s="62"/>
      <c r="G292" s="63"/>
      <c r="H292" s="85"/>
      <c r="I292" s="51" t="str">
        <f>IFERROR(VLOOKUP(A292,Internal_lists_bugs!$A$2:$G1058,7,FALSE()),"please select a BUG ID")</f>
        <v>please select a BUG ID</v>
      </c>
      <c r="J292" s="85"/>
      <c r="K292" s="85"/>
    </row>
    <row r="293">
      <c r="A293" s="85"/>
      <c r="B293" s="59"/>
      <c r="C293" s="51" t="str">
        <f>IFERROR(VLOOKUP(A293,Internal_lists_bugs!$A$2:$T1058,20,FALSE()),"please select a BUG ID")</f>
        <v>please select a BUG ID</v>
      </c>
      <c r="D293" s="93"/>
      <c r="E293" s="85"/>
      <c r="F293" s="62"/>
      <c r="G293" s="63"/>
      <c r="H293" s="85"/>
      <c r="I293" s="51" t="str">
        <f>IFERROR(VLOOKUP(A293,Internal_lists_bugs!$A$2:$G1058,7,FALSE()),"please select a BUG ID")</f>
        <v>please select a BUG ID</v>
      </c>
      <c r="J293" s="85"/>
      <c r="K293" s="85"/>
    </row>
    <row r="294">
      <c r="A294" s="85"/>
      <c r="B294" s="59"/>
      <c r="C294" s="51" t="str">
        <f>IFERROR(VLOOKUP(A294,Internal_lists_bugs!$A$2:$T1058,20,FALSE()),"please select a BUG ID")</f>
        <v>please select a BUG ID</v>
      </c>
      <c r="D294" s="93"/>
      <c r="E294" s="85"/>
      <c r="F294" s="62"/>
      <c r="G294" s="63"/>
      <c r="H294" s="85"/>
      <c r="I294" s="51" t="str">
        <f>IFERROR(VLOOKUP(A294,Internal_lists_bugs!$A$2:$G1058,7,FALSE()),"please select a BUG ID")</f>
        <v>please select a BUG ID</v>
      </c>
      <c r="J294" s="85"/>
      <c r="K294" s="85"/>
    </row>
    <row r="295">
      <c r="A295" s="85"/>
      <c r="B295" s="59"/>
      <c r="C295" s="51" t="str">
        <f>IFERROR(VLOOKUP(A295,Internal_lists_bugs!$A$2:$T1058,20,FALSE()),"please select a BUG ID")</f>
        <v>please select a BUG ID</v>
      </c>
      <c r="D295" s="93"/>
      <c r="E295" s="85"/>
      <c r="F295" s="62"/>
      <c r="G295" s="63"/>
      <c r="H295" s="85"/>
      <c r="I295" s="51" t="str">
        <f>IFERROR(VLOOKUP(A295,Internal_lists_bugs!$A$2:$G1058,7,FALSE()),"please select a BUG ID")</f>
        <v>please select a BUG ID</v>
      </c>
      <c r="J295" s="85"/>
      <c r="K295" s="85"/>
    </row>
    <row r="296">
      <c r="A296" s="85"/>
      <c r="B296" s="59"/>
      <c r="C296" s="51" t="str">
        <f>IFERROR(VLOOKUP(A296,Internal_lists_bugs!$A$2:$T1058,20,FALSE()),"please select a BUG ID")</f>
        <v>please select a BUG ID</v>
      </c>
      <c r="D296" s="93"/>
      <c r="E296" s="85"/>
      <c r="F296" s="62"/>
      <c r="G296" s="63"/>
      <c r="H296" s="85"/>
      <c r="I296" s="51" t="str">
        <f>IFERROR(VLOOKUP(A296,Internal_lists_bugs!$A$2:$G1058,7,FALSE()),"please select a BUG ID")</f>
        <v>please select a BUG ID</v>
      </c>
      <c r="J296" s="85"/>
      <c r="K296" s="85"/>
    </row>
    <row r="297">
      <c r="A297" s="85"/>
      <c r="B297" s="59"/>
      <c r="C297" s="51" t="str">
        <f>IFERROR(VLOOKUP(A297,Internal_lists_bugs!$A$2:$T1058,20,FALSE()),"please select a BUG ID")</f>
        <v>please select a BUG ID</v>
      </c>
      <c r="D297" s="93"/>
      <c r="E297" s="85"/>
      <c r="F297" s="62"/>
      <c r="G297" s="63"/>
      <c r="H297" s="85"/>
      <c r="I297" s="51" t="str">
        <f>IFERROR(VLOOKUP(A297,Internal_lists_bugs!$A$2:$G1058,7,FALSE()),"please select a BUG ID")</f>
        <v>please select a BUG ID</v>
      </c>
      <c r="J297" s="85"/>
      <c r="K297" s="85"/>
    </row>
    <row r="298">
      <c r="A298" s="85"/>
      <c r="B298" s="59"/>
      <c r="C298" s="51" t="str">
        <f>IFERROR(VLOOKUP(A298,Internal_lists_bugs!$A$2:$T1058,20,FALSE()),"please select a BUG ID")</f>
        <v>please select a BUG ID</v>
      </c>
      <c r="D298" s="93"/>
      <c r="E298" s="85"/>
      <c r="F298" s="62"/>
      <c r="G298" s="63"/>
      <c r="H298" s="85"/>
      <c r="I298" s="51" t="str">
        <f>IFERROR(VLOOKUP(A298,Internal_lists_bugs!$A$2:$G1058,7,FALSE()),"please select a BUG ID")</f>
        <v>please select a BUG ID</v>
      </c>
      <c r="J298" s="85"/>
      <c r="K298" s="85"/>
    </row>
    <row r="299">
      <c r="A299" s="85"/>
      <c r="B299" s="59"/>
      <c r="C299" s="51" t="str">
        <f>IFERROR(VLOOKUP(A299,Internal_lists_bugs!$A$2:$T1058,20,FALSE()),"please select a BUG ID")</f>
        <v>please select a BUG ID</v>
      </c>
      <c r="D299" s="93"/>
      <c r="E299" s="85"/>
      <c r="F299" s="62"/>
      <c r="G299" s="63"/>
      <c r="H299" s="85"/>
      <c r="I299" s="51" t="str">
        <f>IFERROR(VLOOKUP(A299,Internal_lists_bugs!$A$2:$G1058,7,FALSE()),"please select a BUG ID")</f>
        <v>please select a BUG ID</v>
      </c>
      <c r="J299" s="85"/>
      <c r="K299" s="85"/>
    </row>
    <row r="300">
      <c r="A300" s="85"/>
      <c r="B300" s="59"/>
      <c r="C300" s="51" t="str">
        <f>IFERROR(VLOOKUP(A300,Internal_lists_bugs!$A$2:$T1058,20,FALSE()),"please select a BUG ID")</f>
        <v>please select a BUG ID</v>
      </c>
      <c r="D300" s="93"/>
      <c r="E300" s="85"/>
      <c r="F300" s="62"/>
      <c r="G300" s="63"/>
      <c r="H300" s="85"/>
      <c r="I300" s="51" t="str">
        <f>IFERROR(VLOOKUP(A300,Internal_lists_bugs!$A$2:$G1058,7,FALSE()),"please select a BUG ID")</f>
        <v>please select a BUG ID</v>
      </c>
      <c r="J300" s="85"/>
      <c r="K300" s="85"/>
    </row>
    <row r="301">
      <c r="A301" s="85"/>
      <c r="B301" s="59"/>
      <c r="C301" s="51" t="str">
        <f>IFERROR(VLOOKUP(A301,Internal_lists_bugs!$A$2:$T1058,20,FALSE()),"please select a BUG ID")</f>
        <v>please select a BUG ID</v>
      </c>
      <c r="D301" s="93"/>
      <c r="E301" s="85"/>
      <c r="F301" s="62"/>
      <c r="G301" s="63"/>
      <c r="H301" s="85"/>
      <c r="I301" s="51" t="str">
        <f>IFERROR(VLOOKUP(A301,Internal_lists_bugs!$A$2:$G1058,7,FALSE()),"please select a BUG ID")</f>
        <v>please select a BUG ID</v>
      </c>
      <c r="J301" s="85"/>
      <c r="K301" s="85"/>
    </row>
    <row r="302">
      <c r="A302" s="85"/>
      <c r="B302" s="59"/>
      <c r="C302" s="51" t="str">
        <f>IFERROR(VLOOKUP(A302,Internal_lists_bugs!$A$2:$T1058,20,FALSE()),"please select a BUG ID")</f>
        <v>please select a BUG ID</v>
      </c>
      <c r="D302" s="93"/>
      <c r="E302" s="85"/>
      <c r="F302" s="62"/>
      <c r="G302" s="63"/>
      <c r="H302" s="85"/>
      <c r="I302" s="51" t="str">
        <f>IFERROR(VLOOKUP(A302,Internal_lists_bugs!$A$2:$G1058,7,FALSE()),"please select a BUG ID")</f>
        <v>please select a BUG ID</v>
      </c>
      <c r="J302" s="85"/>
      <c r="K302" s="85"/>
    </row>
    <row r="303">
      <c r="A303" s="85"/>
      <c r="B303" s="59"/>
      <c r="C303" s="51" t="str">
        <f>IFERROR(VLOOKUP(A303,Internal_lists_bugs!$A$2:$T1058,20,FALSE()),"please select a BUG ID")</f>
        <v>please select a BUG ID</v>
      </c>
      <c r="D303" s="93"/>
      <c r="E303" s="85"/>
      <c r="F303" s="62"/>
      <c r="G303" s="63"/>
      <c r="H303" s="85"/>
      <c r="I303" s="51" t="str">
        <f>IFERROR(VLOOKUP(A303,Internal_lists_bugs!$A$2:$G1058,7,FALSE()),"please select a BUG ID")</f>
        <v>please select a BUG ID</v>
      </c>
      <c r="J303" s="85"/>
      <c r="K303" s="85"/>
    </row>
    <row r="304">
      <c r="A304" s="85"/>
      <c r="B304" s="59"/>
      <c r="C304" s="51" t="str">
        <f>IFERROR(VLOOKUP(A304,Internal_lists_bugs!$A$2:$T1058,20,FALSE()),"please select a BUG ID")</f>
        <v>please select a BUG ID</v>
      </c>
      <c r="D304" s="93"/>
      <c r="E304" s="85"/>
      <c r="F304" s="62"/>
      <c r="G304" s="63"/>
      <c r="H304" s="85"/>
      <c r="I304" s="51" t="str">
        <f>IFERROR(VLOOKUP(A304,Internal_lists_bugs!$A$2:$G1058,7,FALSE()),"please select a BUG ID")</f>
        <v>please select a BUG ID</v>
      </c>
      <c r="J304" s="85"/>
      <c r="K304" s="85"/>
    </row>
    <row r="305">
      <c r="A305" s="85"/>
      <c r="B305" s="59"/>
      <c r="C305" s="51" t="str">
        <f>IFERROR(VLOOKUP(A305,Internal_lists_bugs!$A$2:$T1058,20,FALSE()),"please select a BUG ID")</f>
        <v>please select a BUG ID</v>
      </c>
      <c r="D305" s="93"/>
      <c r="E305" s="85"/>
      <c r="F305" s="62"/>
      <c r="G305" s="63"/>
      <c r="H305" s="85"/>
      <c r="I305" s="51" t="str">
        <f>IFERROR(VLOOKUP(A305,Internal_lists_bugs!$A$2:$G1058,7,FALSE()),"please select a BUG ID")</f>
        <v>please select a BUG ID</v>
      </c>
      <c r="J305" s="85"/>
      <c r="K305" s="85"/>
    </row>
    <row r="306">
      <c r="A306" s="85"/>
      <c r="B306" s="59"/>
      <c r="C306" s="51" t="str">
        <f>IFERROR(VLOOKUP(A306,Internal_lists_bugs!$A$2:$T1058,20,FALSE()),"please select a BUG ID")</f>
        <v>please select a BUG ID</v>
      </c>
      <c r="D306" s="93"/>
      <c r="E306" s="85"/>
      <c r="F306" s="62"/>
      <c r="G306" s="63"/>
      <c r="H306" s="85"/>
      <c r="I306" s="51" t="str">
        <f>IFERROR(VLOOKUP(A306,Internal_lists_bugs!$A$2:$G1058,7,FALSE()),"please select a BUG ID")</f>
        <v>please select a BUG ID</v>
      </c>
      <c r="J306" s="85"/>
      <c r="K306" s="85"/>
    </row>
    <row r="307">
      <c r="A307" s="85"/>
      <c r="B307" s="59"/>
      <c r="C307" s="51" t="str">
        <f>IFERROR(VLOOKUP(A307,Internal_lists_bugs!$A$2:$T1058,20,FALSE()),"please select a BUG ID")</f>
        <v>please select a BUG ID</v>
      </c>
      <c r="D307" s="93"/>
      <c r="E307" s="85"/>
      <c r="F307" s="62"/>
      <c r="G307" s="63"/>
      <c r="H307" s="85"/>
      <c r="I307" s="51" t="str">
        <f>IFERROR(VLOOKUP(A307,Internal_lists_bugs!$A$2:$G1058,7,FALSE()),"please select a BUG ID")</f>
        <v>please select a BUG ID</v>
      </c>
      <c r="J307" s="85"/>
      <c r="K307" s="85"/>
    </row>
    <row r="308">
      <c r="A308" s="85"/>
      <c r="B308" s="59"/>
      <c r="C308" s="51" t="str">
        <f>IFERROR(VLOOKUP(A308,Internal_lists_bugs!$A$2:$T1058,20,FALSE()),"please select a BUG ID")</f>
        <v>please select a BUG ID</v>
      </c>
      <c r="D308" s="93"/>
      <c r="E308" s="85"/>
      <c r="F308" s="62"/>
      <c r="G308" s="63"/>
      <c r="H308" s="85"/>
      <c r="I308" s="51" t="str">
        <f>IFERROR(VLOOKUP(A308,Internal_lists_bugs!$A$2:$G1058,7,FALSE()),"please select a BUG ID")</f>
        <v>please select a BUG ID</v>
      </c>
      <c r="J308" s="85"/>
      <c r="K308" s="85"/>
    </row>
    <row r="309">
      <c r="A309" s="85"/>
      <c r="B309" s="59"/>
      <c r="C309" s="51" t="str">
        <f>IFERROR(VLOOKUP(A309,Internal_lists_bugs!$A$2:$T1058,20,FALSE()),"please select a BUG ID")</f>
        <v>please select a BUG ID</v>
      </c>
      <c r="D309" s="93"/>
      <c r="E309" s="85"/>
      <c r="F309" s="62"/>
      <c r="G309" s="63"/>
      <c r="H309" s="85"/>
      <c r="I309" s="51" t="str">
        <f>IFERROR(VLOOKUP(A309,Internal_lists_bugs!$A$2:$G1058,7,FALSE()),"please select a BUG ID")</f>
        <v>please select a BUG ID</v>
      </c>
      <c r="J309" s="85"/>
      <c r="K309" s="85"/>
    </row>
    <row r="310">
      <c r="A310" s="85"/>
      <c r="B310" s="59"/>
      <c r="C310" s="51" t="str">
        <f>IFERROR(VLOOKUP(A310,Internal_lists_bugs!$A$2:$T1058,20,FALSE()),"please select a BUG ID")</f>
        <v>please select a BUG ID</v>
      </c>
      <c r="D310" s="93"/>
      <c r="E310" s="85"/>
      <c r="F310" s="62"/>
      <c r="G310" s="63"/>
      <c r="H310" s="85"/>
      <c r="I310" s="51" t="str">
        <f>IFERROR(VLOOKUP(A310,Internal_lists_bugs!$A$2:$G1058,7,FALSE()),"please select a BUG ID")</f>
        <v>please select a BUG ID</v>
      </c>
      <c r="J310" s="85"/>
      <c r="K310" s="85"/>
    </row>
    <row r="311">
      <c r="A311" s="85"/>
      <c r="B311" s="59"/>
      <c r="C311" s="51" t="str">
        <f>IFERROR(VLOOKUP(A311,Internal_lists_bugs!$A$2:$T1058,20,FALSE()),"please select a BUG ID")</f>
        <v>please select a BUG ID</v>
      </c>
      <c r="D311" s="93"/>
      <c r="E311" s="85"/>
      <c r="F311" s="62"/>
      <c r="G311" s="63"/>
      <c r="H311" s="85"/>
      <c r="I311" s="51" t="str">
        <f>IFERROR(VLOOKUP(A311,Internal_lists_bugs!$A$2:$G1058,7,FALSE()),"please select a BUG ID")</f>
        <v>please select a BUG ID</v>
      </c>
      <c r="J311" s="85"/>
      <c r="K311" s="85"/>
    </row>
    <row r="312">
      <c r="A312" s="85"/>
      <c r="B312" s="59"/>
      <c r="C312" s="51" t="str">
        <f>IFERROR(VLOOKUP(A312,Internal_lists_bugs!$A$2:$T1058,20,FALSE()),"please select a BUG ID")</f>
        <v>please select a BUG ID</v>
      </c>
      <c r="D312" s="93"/>
      <c r="E312" s="85"/>
      <c r="F312" s="62"/>
      <c r="G312" s="63"/>
      <c r="H312" s="85"/>
      <c r="I312" s="51" t="str">
        <f>IFERROR(VLOOKUP(A312,Internal_lists_bugs!$A$2:$G1058,7,FALSE()),"please select a BUG ID")</f>
        <v>please select a BUG ID</v>
      </c>
      <c r="J312" s="85"/>
      <c r="K312" s="85"/>
    </row>
    <row r="313">
      <c r="A313" s="85"/>
      <c r="B313" s="59"/>
      <c r="C313" s="51" t="str">
        <f>IFERROR(VLOOKUP(A313,Internal_lists_bugs!$A$2:$T1058,20,FALSE()),"please select a BUG ID")</f>
        <v>please select a BUG ID</v>
      </c>
      <c r="D313" s="93"/>
      <c r="E313" s="85"/>
      <c r="F313" s="62"/>
      <c r="G313" s="63"/>
      <c r="H313" s="85"/>
      <c r="I313" s="51" t="str">
        <f>IFERROR(VLOOKUP(A313,Internal_lists_bugs!$A$2:$G1058,7,FALSE()),"please select a BUG ID")</f>
        <v>please select a BUG ID</v>
      </c>
      <c r="J313" s="85"/>
      <c r="K313" s="85"/>
    </row>
    <row r="314">
      <c r="A314" s="85"/>
      <c r="B314" s="59"/>
      <c r="C314" s="51" t="str">
        <f>IFERROR(VLOOKUP(A314,Internal_lists_bugs!$A$2:$T1058,20,FALSE()),"please select a BUG ID")</f>
        <v>please select a BUG ID</v>
      </c>
      <c r="D314" s="93"/>
      <c r="E314" s="85"/>
      <c r="F314" s="62"/>
      <c r="G314" s="63"/>
      <c r="H314" s="85"/>
      <c r="I314" s="51" t="str">
        <f>IFERROR(VLOOKUP(A314,Internal_lists_bugs!$A$2:$G1058,7,FALSE()),"please select a BUG ID")</f>
        <v>please select a BUG ID</v>
      </c>
      <c r="J314" s="85"/>
      <c r="K314" s="85"/>
    </row>
    <row r="315">
      <c r="A315" s="85"/>
      <c r="B315" s="59"/>
      <c r="C315" s="51" t="str">
        <f>IFERROR(VLOOKUP(A315,Internal_lists_bugs!$A$2:$T1058,20,FALSE()),"please select a BUG ID")</f>
        <v>please select a BUG ID</v>
      </c>
      <c r="D315" s="93"/>
      <c r="E315" s="85"/>
      <c r="F315" s="62"/>
      <c r="G315" s="63"/>
      <c r="H315" s="85"/>
      <c r="I315" s="51" t="str">
        <f>IFERROR(VLOOKUP(A315,Internal_lists_bugs!$A$2:$G1058,7,FALSE()),"please select a BUG ID")</f>
        <v>please select a BUG ID</v>
      </c>
      <c r="J315" s="85"/>
      <c r="K315" s="85"/>
    </row>
    <row r="316">
      <c r="A316" s="85"/>
      <c r="B316" s="59"/>
      <c r="C316" s="51" t="str">
        <f>IFERROR(VLOOKUP(A316,Internal_lists_bugs!$A$2:$T1058,20,FALSE()),"please select a BUG ID")</f>
        <v>please select a BUG ID</v>
      </c>
      <c r="D316" s="93"/>
      <c r="E316" s="85"/>
      <c r="F316" s="62"/>
      <c r="G316" s="63"/>
      <c r="H316" s="85"/>
      <c r="I316" s="51" t="str">
        <f>IFERROR(VLOOKUP(A316,Internal_lists_bugs!$A$2:$G1058,7,FALSE()),"please select a BUG ID")</f>
        <v>please select a BUG ID</v>
      </c>
      <c r="J316" s="85"/>
      <c r="K316" s="85"/>
    </row>
    <row r="317">
      <c r="A317" s="85"/>
      <c r="B317" s="59"/>
      <c r="C317" s="51" t="str">
        <f>IFERROR(VLOOKUP(A317,Internal_lists_bugs!$A$2:$T1058,20,FALSE()),"please select a BUG ID")</f>
        <v>please select a BUG ID</v>
      </c>
      <c r="D317" s="93"/>
      <c r="E317" s="85"/>
      <c r="F317" s="62"/>
      <c r="G317" s="63"/>
      <c r="H317" s="85"/>
      <c r="I317" s="51" t="str">
        <f>IFERROR(VLOOKUP(A317,Internal_lists_bugs!$A$2:$G1058,7,FALSE()),"please select a BUG ID")</f>
        <v>please select a BUG ID</v>
      </c>
      <c r="J317" s="85"/>
      <c r="K317" s="85"/>
    </row>
    <row r="318">
      <c r="A318" s="85"/>
      <c r="B318" s="59"/>
      <c r="C318" s="51" t="str">
        <f>IFERROR(VLOOKUP(A318,Internal_lists_bugs!$A$2:$T1058,20,FALSE()),"please select a BUG ID")</f>
        <v>please select a BUG ID</v>
      </c>
      <c r="D318" s="93"/>
      <c r="E318" s="85"/>
      <c r="F318" s="62"/>
      <c r="G318" s="63"/>
      <c r="H318" s="85"/>
      <c r="I318" s="51" t="str">
        <f>IFERROR(VLOOKUP(A318,Internal_lists_bugs!$A$2:$G1058,7,FALSE()),"please select a BUG ID")</f>
        <v>please select a BUG ID</v>
      </c>
      <c r="J318" s="85"/>
      <c r="K318" s="85"/>
    </row>
    <row r="319">
      <c r="A319" s="85"/>
      <c r="B319" s="59"/>
      <c r="C319" s="51" t="str">
        <f>IFERROR(VLOOKUP(A319,Internal_lists_bugs!$A$2:$T1058,20,FALSE()),"please select a BUG ID")</f>
        <v>please select a BUG ID</v>
      </c>
      <c r="D319" s="93"/>
      <c r="E319" s="85"/>
      <c r="F319" s="62"/>
      <c r="G319" s="63"/>
      <c r="H319" s="85"/>
      <c r="I319" s="51" t="str">
        <f>IFERROR(VLOOKUP(A319,Internal_lists_bugs!$A$2:$G1058,7,FALSE()),"please select a BUG ID")</f>
        <v>please select a BUG ID</v>
      </c>
      <c r="J319" s="85"/>
      <c r="K319" s="85"/>
    </row>
    <row r="320">
      <c r="A320" s="85"/>
      <c r="B320" s="59"/>
      <c r="C320" s="51" t="str">
        <f>IFERROR(VLOOKUP(A320,Internal_lists_bugs!$A$2:$T1058,20,FALSE()),"please select a BUG ID")</f>
        <v>please select a BUG ID</v>
      </c>
      <c r="D320" s="93"/>
      <c r="E320" s="85"/>
      <c r="F320" s="62"/>
      <c r="G320" s="63"/>
      <c r="H320" s="85"/>
      <c r="I320" s="51" t="str">
        <f>IFERROR(VLOOKUP(A320,Internal_lists_bugs!$A$2:$G1058,7,FALSE()),"please select a BUG ID")</f>
        <v>please select a BUG ID</v>
      </c>
      <c r="J320" s="85"/>
      <c r="K320" s="85"/>
    </row>
    <row r="321">
      <c r="A321" s="85"/>
      <c r="B321" s="59"/>
      <c r="C321" s="51" t="str">
        <f>IFERROR(VLOOKUP(A321,Internal_lists_bugs!$A$2:$T1058,20,FALSE()),"please select a BUG ID")</f>
        <v>please select a BUG ID</v>
      </c>
      <c r="D321" s="93"/>
      <c r="E321" s="85"/>
      <c r="F321" s="62"/>
      <c r="G321" s="63"/>
      <c r="H321" s="85"/>
      <c r="I321" s="51" t="str">
        <f>IFERROR(VLOOKUP(A321,Internal_lists_bugs!$A$2:$G1058,7,FALSE()),"please select a BUG ID")</f>
        <v>please select a BUG ID</v>
      </c>
      <c r="J321" s="85"/>
      <c r="K321" s="85"/>
    </row>
    <row r="322">
      <c r="A322" s="85"/>
      <c r="B322" s="59"/>
      <c r="C322" s="51" t="str">
        <f>IFERROR(VLOOKUP(A322,Internal_lists_bugs!$A$2:$T1058,20,FALSE()),"please select a BUG ID")</f>
        <v>please select a BUG ID</v>
      </c>
      <c r="D322" s="93"/>
      <c r="E322" s="85"/>
      <c r="F322" s="62"/>
      <c r="G322" s="63"/>
      <c r="H322" s="85"/>
      <c r="I322" s="51" t="str">
        <f>IFERROR(VLOOKUP(A322,Internal_lists_bugs!$A$2:$G1058,7,FALSE()),"please select a BUG ID")</f>
        <v>please select a BUG ID</v>
      </c>
      <c r="J322" s="85"/>
      <c r="K322" s="85"/>
    </row>
    <row r="323">
      <c r="A323" s="85"/>
      <c r="B323" s="59"/>
      <c r="C323" s="51" t="str">
        <f>IFERROR(VLOOKUP(A323,Internal_lists_bugs!$A$2:$T1058,20,FALSE()),"please select a BUG ID")</f>
        <v>please select a BUG ID</v>
      </c>
      <c r="D323" s="93"/>
      <c r="E323" s="85"/>
      <c r="F323" s="62"/>
      <c r="G323" s="63"/>
      <c r="H323" s="85"/>
      <c r="I323" s="51" t="str">
        <f>IFERROR(VLOOKUP(A323,Internal_lists_bugs!$A$2:$G1058,7,FALSE()),"please select a BUG ID")</f>
        <v>please select a BUG ID</v>
      </c>
      <c r="J323" s="85"/>
      <c r="K323" s="85"/>
    </row>
    <row r="324">
      <c r="A324" s="85"/>
      <c r="B324" s="59"/>
      <c r="C324" s="51" t="str">
        <f>IFERROR(VLOOKUP(A324,Internal_lists_bugs!$A$2:$T1058,20,FALSE()),"please select a BUG ID")</f>
        <v>please select a BUG ID</v>
      </c>
      <c r="D324" s="93"/>
      <c r="E324" s="85"/>
      <c r="F324" s="62"/>
      <c r="G324" s="63"/>
      <c r="H324" s="85"/>
      <c r="I324" s="51" t="str">
        <f>IFERROR(VLOOKUP(A324,Internal_lists_bugs!$A$2:$G1058,7,FALSE()),"please select a BUG ID")</f>
        <v>please select a BUG ID</v>
      </c>
      <c r="J324" s="85"/>
      <c r="K324" s="85"/>
    </row>
    <row r="325">
      <c r="A325" s="85"/>
      <c r="B325" s="59"/>
      <c r="C325" s="51" t="str">
        <f>IFERROR(VLOOKUP(A325,Internal_lists_bugs!$A$2:$T1058,20,FALSE()),"please select a BUG ID")</f>
        <v>please select a BUG ID</v>
      </c>
      <c r="D325" s="93"/>
      <c r="E325" s="85"/>
      <c r="F325" s="62"/>
      <c r="G325" s="63"/>
      <c r="H325" s="85"/>
      <c r="I325" s="51" t="str">
        <f>IFERROR(VLOOKUP(A325,Internal_lists_bugs!$A$2:$G1058,7,FALSE()),"please select a BUG ID")</f>
        <v>please select a BUG ID</v>
      </c>
      <c r="J325" s="85"/>
      <c r="K325" s="85"/>
    </row>
    <row r="326">
      <c r="A326" s="85"/>
      <c r="B326" s="59"/>
      <c r="C326" s="51" t="str">
        <f>IFERROR(VLOOKUP(A326,Internal_lists_bugs!$A$2:$T1058,20,FALSE()),"please select a BUG ID")</f>
        <v>please select a BUG ID</v>
      </c>
      <c r="D326" s="93"/>
      <c r="E326" s="85"/>
      <c r="F326" s="62"/>
      <c r="G326" s="63"/>
      <c r="H326" s="85"/>
      <c r="I326" s="51" t="str">
        <f>IFERROR(VLOOKUP(A326,Internal_lists_bugs!$A$2:$G1058,7,FALSE()),"please select a BUG ID")</f>
        <v>please select a BUG ID</v>
      </c>
      <c r="J326" s="85"/>
      <c r="K326" s="85"/>
    </row>
    <row r="327">
      <c r="A327" s="85"/>
      <c r="B327" s="59"/>
      <c r="C327" s="51" t="str">
        <f>IFERROR(VLOOKUP(A327,Internal_lists_bugs!$A$2:$T1058,20,FALSE()),"please select a BUG ID")</f>
        <v>please select a BUG ID</v>
      </c>
      <c r="D327" s="93"/>
      <c r="E327" s="85"/>
      <c r="F327" s="62"/>
      <c r="G327" s="63"/>
      <c r="H327" s="85"/>
      <c r="I327" s="51" t="str">
        <f>IFERROR(VLOOKUP(A327,Internal_lists_bugs!$A$2:$G1058,7,FALSE()),"please select a BUG ID")</f>
        <v>please select a BUG ID</v>
      </c>
      <c r="J327" s="85"/>
      <c r="K327" s="85"/>
    </row>
    <row r="328">
      <c r="A328" s="85"/>
      <c r="B328" s="59"/>
      <c r="C328" s="51" t="str">
        <f>IFERROR(VLOOKUP(A328,Internal_lists_bugs!$A$2:$T1058,20,FALSE()),"please select a BUG ID")</f>
        <v>please select a BUG ID</v>
      </c>
      <c r="D328" s="93"/>
      <c r="E328" s="85"/>
      <c r="F328" s="62"/>
      <c r="G328" s="63"/>
      <c r="H328" s="85"/>
      <c r="I328" s="51" t="str">
        <f>IFERROR(VLOOKUP(A328,Internal_lists_bugs!$A$2:$G1058,7,FALSE()),"please select a BUG ID")</f>
        <v>please select a BUG ID</v>
      </c>
      <c r="J328" s="85"/>
      <c r="K328" s="85"/>
    </row>
    <row r="329">
      <c r="A329" s="85"/>
      <c r="B329" s="59"/>
      <c r="C329" s="51" t="str">
        <f>IFERROR(VLOOKUP(A329,Internal_lists_bugs!$A$2:$T1058,20,FALSE()),"please select a BUG ID")</f>
        <v>please select a BUG ID</v>
      </c>
      <c r="D329" s="93"/>
      <c r="E329" s="85"/>
      <c r="F329" s="62"/>
      <c r="G329" s="63"/>
      <c r="H329" s="85"/>
      <c r="I329" s="51" t="str">
        <f>IFERROR(VLOOKUP(A329,Internal_lists_bugs!$A$2:$G1058,7,FALSE()),"please select a BUG ID")</f>
        <v>please select a BUG ID</v>
      </c>
      <c r="J329" s="85"/>
      <c r="K329" s="85"/>
    </row>
    <row r="330">
      <c r="A330" s="85"/>
      <c r="B330" s="59"/>
      <c r="C330" s="51" t="str">
        <f>IFERROR(VLOOKUP(A330,Internal_lists_bugs!$A$2:$T1058,20,FALSE()),"please select a BUG ID")</f>
        <v>please select a BUG ID</v>
      </c>
      <c r="D330" s="93"/>
      <c r="E330" s="85"/>
      <c r="F330" s="62"/>
      <c r="G330" s="63"/>
      <c r="H330" s="85"/>
      <c r="I330" s="51" t="str">
        <f>IFERROR(VLOOKUP(A330,Internal_lists_bugs!$A$2:$G1058,7,FALSE()),"please select a BUG ID")</f>
        <v>please select a BUG ID</v>
      </c>
      <c r="J330" s="85"/>
      <c r="K330" s="85"/>
    </row>
    <row r="331">
      <c r="A331" s="85"/>
      <c r="B331" s="59"/>
      <c r="C331" s="51" t="str">
        <f>IFERROR(VLOOKUP(A331,Internal_lists_bugs!$A$2:$T1058,20,FALSE()),"please select a BUG ID")</f>
        <v>please select a BUG ID</v>
      </c>
      <c r="D331" s="93"/>
      <c r="E331" s="85"/>
      <c r="F331" s="62"/>
      <c r="G331" s="63"/>
      <c r="H331" s="85"/>
      <c r="I331" s="51" t="str">
        <f>IFERROR(VLOOKUP(A331,Internal_lists_bugs!$A$2:$G1058,7,FALSE()),"please select a BUG ID")</f>
        <v>please select a BUG ID</v>
      </c>
      <c r="J331" s="85"/>
      <c r="K331" s="85"/>
    </row>
    <row r="332">
      <c r="A332" s="85"/>
      <c r="B332" s="59"/>
      <c r="C332" s="51" t="str">
        <f>IFERROR(VLOOKUP(A332,Internal_lists_bugs!$A$2:$T1058,20,FALSE()),"please select a BUG ID")</f>
        <v>please select a BUG ID</v>
      </c>
      <c r="D332" s="93"/>
      <c r="E332" s="85"/>
      <c r="F332" s="62"/>
      <c r="G332" s="63"/>
      <c r="H332" s="85"/>
      <c r="I332" s="51" t="str">
        <f>IFERROR(VLOOKUP(A332,Internal_lists_bugs!$A$2:$G1058,7,FALSE()),"please select a BUG ID")</f>
        <v>please select a BUG ID</v>
      </c>
      <c r="J332" s="85"/>
      <c r="K332" s="85"/>
    </row>
    <row r="333">
      <c r="A333" s="85"/>
      <c r="B333" s="59"/>
      <c r="C333" s="51" t="str">
        <f>IFERROR(VLOOKUP(A333,Internal_lists_bugs!$A$2:$T1058,20,FALSE()),"please select a BUG ID")</f>
        <v>please select a BUG ID</v>
      </c>
      <c r="D333" s="93"/>
      <c r="E333" s="85"/>
      <c r="F333" s="62"/>
      <c r="G333" s="63"/>
      <c r="H333" s="85"/>
      <c r="I333" s="51" t="str">
        <f>IFERROR(VLOOKUP(A333,Internal_lists_bugs!$A$2:$G1058,7,FALSE()),"please select a BUG ID")</f>
        <v>please select a BUG ID</v>
      </c>
      <c r="J333" s="85"/>
      <c r="K333" s="85"/>
    </row>
    <row r="334">
      <c r="A334" s="85"/>
      <c r="B334" s="59"/>
      <c r="C334" s="51" t="str">
        <f>IFERROR(VLOOKUP(A334,Internal_lists_bugs!$A$2:$T1058,20,FALSE()),"please select a BUG ID")</f>
        <v>please select a BUG ID</v>
      </c>
      <c r="D334" s="93"/>
      <c r="E334" s="85"/>
      <c r="F334" s="62"/>
      <c r="G334" s="63"/>
      <c r="H334" s="85"/>
      <c r="I334" s="51" t="str">
        <f>IFERROR(VLOOKUP(A334,Internal_lists_bugs!$A$2:$G1058,7,FALSE()),"please select a BUG ID")</f>
        <v>please select a BUG ID</v>
      </c>
      <c r="J334" s="85"/>
      <c r="K334" s="85"/>
    </row>
    <row r="335">
      <c r="A335" s="85"/>
      <c r="B335" s="59"/>
      <c r="C335" s="51" t="str">
        <f>IFERROR(VLOOKUP(A335,Internal_lists_bugs!$A$2:$T1058,20,FALSE()),"please select a BUG ID")</f>
        <v>please select a BUG ID</v>
      </c>
      <c r="D335" s="93"/>
      <c r="E335" s="85"/>
      <c r="F335" s="62"/>
      <c r="G335" s="63"/>
      <c r="H335" s="85"/>
      <c r="I335" s="51" t="str">
        <f>IFERROR(VLOOKUP(A335,Internal_lists_bugs!$A$2:$G1058,7,FALSE()),"please select a BUG ID")</f>
        <v>please select a BUG ID</v>
      </c>
      <c r="J335" s="85"/>
      <c r="K335" s="85"/>
    </row>
    <row r="336">
      <c r="A336" s="85"/>
      <c r="B336" s="59"/>
      <c r="C336" s="51" t="str">
        <f>IFERROR(VLOOKUP(A336,Internal_lists_bugs!$A$2:$T1058,20,FALSE()),"please select a BUG ID")</f>
        <v>please select a BUG ID</v>
      </c>
      <c r="D336" s="93"/>
      <c r="E336" s="85"/>
      <c r="F336" s="62"/>
      <c r="G336" s="63"/>
      <c r="H336" s="85"/>
      <c r="I336" s="51" t="str">
        <f>IFERROR(VLOOKUP(A336,Internal_lists_bugs!$A$2:$G1058,7,FALSE()),"please select a BUG ID")</f>
        <v>please select a BUG ID</v>
      </c>
      <c r="J336" s="85"/>
      <c r="K336" s="85"/>
    </row>
    <row r="337">
      <c r="A337" s="85"/>
      <c r="B337" s="59"/>
      <c r="C337" s="51" t="str">
        <f>IFERROR(VLOOKUP(A337,Internal_lists_bugs!$A$2:$T1058,20,FALSE()),"please select a BUG ID")</f>
        <v>please select a BUG ID</v>
      </c>
      <c r="D337" s="93"/>
      <c r="E337" s="85"/>
      <c r="F337" s="62"/>
      <c r="G337" s="63"/>
      <c r="H337" s="85"/>
      <c r="I337" s="51" t="str">
        <f>IFERROR(VLOOKUP(A337,Internal_lists_bugs!$A$2:$G1058,7,FALSE()),"please select a BUG ID")</f>
        <v>please select a BUG ID</v>
      </c>
      <c r="J337" s="85"/>
      <c r="K337" s="85"/>
    </row>
    <row r="338">
      <c r="A338" s="85"/>
      <c r="B338" s="59"/>
      <c r="C338" s="51" t="str">
        <f>IFERROR(VLOOKUP(A338,Internal_lists_bugs!$A$2:$T1058,20,FALSE()),"please select a BUG ID")</f>
        <v>please select a BUG ID</v>
      </c>
      <c r="D338" s="93"/>
      <c r="E338" s="85"/>
      <c r="F338" s="62"/>
      <c r="G338" s="63"/>
      <c r="H338" s="85"/>
      <c r="I338" s="51" t="str">
        <f>IFERROR(VLOOKUP(A338,Internal_lists_bugs!$A$2:$G1058,7,FALSE()),"please select a BUG ID")</f>
        <v>please select a BUG ID</v>
      </c>
      <c r="J338" s="85"/>
      <c r="K338" s="85"/>
    </row>
    <row r="339">
      <c r="A339" s="85"/>
      <c r="B339" s="59"/>
      <c r="C339" s="51" t="str">
        <f>IFERROR(VLOOKUP(A339,Internal_lists_bugs!$A$2:$T1058,20,FALSE()),"please select a BUG ID")</f>
        <v>please select a BUG ID</v>
      </c>
      <c r="D339" s="93"/>
      <c r="E339" s="85"/>
      <c r="F339" s="62"/>
      <c r="G339" s="63"/>
      <c r="H339" s="85"/>
      <c r="I339" s="51" t="str">
        <f>IFERROR(VLOOKUP(A339,Internal_lists_bugs!$A$2:$G1058,7,FALSE()),"please select a BUG ID")</f>
        <v>please select a BUG ID</v>
      </c>
      <c r="J339" s="85"/>
      <c r="K339" s="85"/>
    </row>
    <row r="340">
      <c r="A340" s="85"/>
      <c r="B340" s="59"/>
      <c r="C340" s="51" t="str">
        <f>IFERROR(VLOOKUP(A340,Internal_lists_bugs!$A$2:$T1058,20,FALSE()),"please select a BUG ID")</f>
        <v>please select a BUG ID</v>
      </c>
      <c r="D340" s="93"/>
      <c r="E340" s="85"/>
      <c r="F340" s="62"/>
      <c r="G340" s="63"/>
      <c r="H340" s="85"/>
      <c r="I340" s="51" t="str">
        <f>IFERROR(VLOOKUP(A340,Internal_lists_bugs!$A$2:$G1058,7,FALSE()),"please select a BUG ID")</f>
        <v>please select a BUG ID</v>
      </c>
      <c r="J340" s="85"/>
      <c r="K340" s="85"/>
    </row>
    <row r="341">
      <c r="A341" s="85"/>
      <c r="B341" s="59"/>
      <c r="C341" s="51" t="str">
        <f>IFERROR(VLOOKUP(A341,Internal_lists_bugs!$A$2:$T1058,20,FALSE()),"please select a BUG ID")</f>
        <v>please select a BUG ID</v>
      </c>
      <c r="D341" s="93"/>
      <c r="E341" s="85"/>
      <c r="F341" s="62"/>
      <c r="G341" s="63"/>
      <c r="H341" s="85"/>
      <c r="I341" s="51" t="str">
        <f>IFERROR(VLOOKUP(A341,Internal_lists_bugs!$A$2:$G1058,7,FALSE()),"please select a BUG ID")</f>
        <v>please select a BUG ID</v>
      </c>
      <c r="J341" s="85"/>
      <c r="K341" s="85"/>
    </row>
    <row r="342">
      <c r="A342" s="85"/>
      <c r="B342" s="59"/>
      <c r="C342" s="51" t="str">
        <f>IFERROR(VLOOKUP(A342,Internal_lists_bugs!$A$2:$T1058,20,FALSE()),"please select a BUG ID")</f>
        <v>please select a BUG ID</v>
      </c>
      <c r="D342" s="93"/>
      <c r="E342" s="85"/>
      <c r="F342" s="62"/>
      <c r="G342" s="63"/>
      <c r="H342" s="85"/>
      <c r="I342" s="51" t="str">
        <f>IFERROR(VLOOKUP(A342,Internal_lists_bugs!$A$2:$G1058,7,FALSE()),"please select a BUG ID")</f>
        <v>please select a BUG ID</v>
      </c>
      <c r="J342" s="85"/>
      <c r="K342" s="85"/>
    </row>
    <row r="343">
      <c r="A343" s="85"/>
      <c r="B343" s="59"/>
      <c r="C343" s="51" t="str">
        <f>IFERROR(VLOOKUP(A343,Internal_lists_bugs!$A$2:$T1058,20,FALSE()),"please select a BUG ID")</f>
        <v>please select a BUG ID</v>
      </c>
      <c r="D343" s="93"/>
      <c r="E343" s="85"/>
      <c r="F343" s="62"/>
      <c r="G343" s="63"/>
      <c r="H343" s="85"/>
      <c r="I343" s="51" t="str">
        <f>IFERROR(VLOOKUP(A343,Internal_lists_bugs!$A$2:$G1058,7,FALSE()),"please select a BUG ID")</f>
        <v>please select a BUG ID</v>
      </c>
      <c r="J343" s="85"/>
      <c r="K343" s="85"/>
    </row>
    <row r="344">
      <c r="A344" s="85"/>
      <c r="B344" s="59"/>
      <c r="C344" s="51" t="str">
        <f>IFERROR(VLOOKUP(A344,Internal_lists_bugs!$A$2:$T1058,20,FALSE()),"please select a BUG ID")</f>
        <v>please select a BUG ID</v>
      </c>
      <c r="D344" s="93"/>
      <c r="E344" s="85"/>
      <c r="F344" s="62"/>
      <c r="G344" s="63"/>
      <c r="H344" s="85"/>
      <c r="I344" s="51" t="str">
        <f>IFERROR(VLOOKUP(A344,Internal_lists_bugs!$A$2:$G1058,7,FALSE()),"please select a BUG ID")</f>
        <v>please select a BUG ID</v>
      </c>
      <c r="J344" s="85"/>
      <c r="K344" s="85"/>
    </row>
    <row r="345">
      <c r="A345" s="85"/>
      <c r="B345" s="59"/>
      <c r="C345" s="51" t="str">
        <f>IFERROR(VLOOKUP(A345,Internal_lists_bugs!$A$2:$T1058,20,FALSE()),"please select a BUG ID")</f>
        <v>please select a BUG ID</v>
      </c>
      <c r="D345" s="93"/>
      <c r="E345" s="85"/>
      <c r="F345" s="62"/>
      <c r="G345" s="63"/>
      <c r="H345" s="85"/>
      <c r="I345" s="51" t="str">
        <f>IFERROR(VLOOKUP(A345,Internal_lists_bugs!$A$2:$G1058,7,FALSE()),"please select a BUG ID")</f>
        <v>please select a BUG ID</v>
      </c>
      <c r="J345" s="85"/>
      <c r="K345" s="85"/>
    </row>
    <row r="346">
      <c r="A346" s="85"/>
      <c r="B346" s="59"/>
      <c r="C346" s="51" t="str">
        <f>IFERROR(VLOOKUP(A346,Internal_lists_bugs!$A$2:$T1058,20,FALSE()),"please select a BUG ID")</f>
        <v>please select a BUG ID</v>
      </c>
      <c r="D346" s="93"/>
      <c r="E346" s="85"/>
      <c r="F346" s="62"/>
      <c r="G346" s="63"/>
      <c r="H346" s="85"/>
      <c r="I346" s="51" t="str">
        <f>IFERROR(VLOOKUP(A346,Internal_lists_bugs!$A$2:$G1058,7,FALSE()),"please select a BUG ID")</f>
        <v>please select a BUG ID</v>
      </c>
      <c r="J346" s="85"/>
      <c r="K346" s="85"/>
    </row>
    <row r="347">
      <c r="A347" s="85"/>
      <c r="B347" s="59"/>
      <c r="C347" s="51" t="str">
        <f>IFERROR(VLOOKUP(A347,Internal_lists_bugs!$A$2:$T1058,20,FALSE()),"please select a BUG ID")</f>
        <v>please select a BUG ID</v>
      </c>
      <c r="D347" s="93"/>
      <c r="E347" s="85"/>
      <c r="F347" s="62"/>
      <c r="G347" s="63"/>
      <c r="H347" s="85"/>
      <c r="I347" s="51" t="str">
        <f>IFERROR(VLOOKUP(A347,Internal_lists_bugs!$A$2:$G1058,7,FALSE()),"please select a BUG ID")</f>
        <v>please select a BUG ID</v>
      </c>
      <c r="J347" s="85"/>
      <c r="K347" s="85"/>
    </row>
    <row r="348">
      <c r="A348" s="85"/>
      <c r="B348" s="59"/>
      <c r="C348" s="51" t="str">
        <f>IFERROR(VLOOKUP(A348,Internal_lists_bugs!$A$2:$T1058,20,FALSE()),"please select a BUG ID")</f>
        <v>please select a BUG ID</v>
      </c>
      <c r="D348" s="93"/>
      <c r="E348" s="85"/>
      <c r="F348" s="62"/>
      <c r="G348" s="63"/>
      <c r="H348" s="85"/>
      <c r="I348" s="51" t="str">
        <f>IFERROR(VLOOKUP(A348,Internal_lists_bugs!$A$2:$G1058,7,FALSE()),"please select a BUG ID")</f>
        <v>please select a BUG ID</v>
      </c>
      <c r="J348" s="85"/>
      <c r="K348" s="85"/>
    </row>
    <row r="349">
      <c r="A349" s="85"/>
      <c r="B349" s="59"/>
      <c r="C349" s="51" t="str">
        <f>IFERROR(VLOOKUP(A349,Internal_lists_bugs!$A$2:$T1058,20,FALSE()),"please select a BUG ID")</f>
        <v>please select a BUG ID</v>
      </c>
      <c r="D349" s="93"/>
      <c r="E349" s="85"/>
      <c r="F349" s="62"/>
      <c r="G349" s="63"/>
      <c r="H349" s="85"/>
      <c r="I349" s="51" t="str">
        <f>IFERROR(VLOOKUP(A349,Internal_lists_bugs!$A$2:$G1058,7,FALSE()),"please select a BUG ID")</f>
        <v>please select a BUG ID</v>
      </c>
      <c r="J349" s="85"/>
      <c r="K349" s="85"/>
    </row>
    <row r="350">
      <c r="A350" s="85"/>
      <c r="B350" s="59"/>
      <c r="C350" s="51" t="str">
        <f>IFERROR(VLOOKUP(A350,Internal_lists_bugs!$A$2:$T1058,20,FALSE()),"please select a BUG ID")</f>
        <v>please select a BUG ID</v>
      </c>
      <c r="D350" s="93"/>
      <c r="E350" s="85"/>
      <c r="F350" s="62"/>
      <c r="G350" s="63"/>
      <c r="H350" s="85"/>
      <c r="I350" s="51" t="str">
        <f>IFERROR(VLOOKUP(A350,Internal_lists_bugs!$A$2:$G1058,7,FALSE()),"please select a BUG ID")</f>
        <v>please select a BUG ID</v>
      </c>
      <c r="J350" s="85"/>
      <c r="K350" s="85"/>
    </row>
    <row r="351">
      <c r="A351" s="85"/>
      <c r="B351" s="59"/>
      <c r="C351" s="51" t="str">
        <f>IFERROR(VLOOKUP(A351,Internal_lists_bugs!$A$2:$T1058,20,FALSE()),"please select a BUG ID")</f>
        <v>please select a BUG ID</v>
      </c>
      <c r="D351" s="93"/>
      <c r="E351" s="85"/>
      <c r="F351" s="62"/>
      <c r="G351" s="63"/>
      <c r="H351" s="85"/>
      <c r="I351" s="51" t="str">
        <f>IFERROR(VLOOKUP(A351,Internal_lists_bugs!$A$2:$G1058,7,FALSE()),"please select a BUG ID")</f>
        <v>please select a BUG ID</v>
      </c>
      <c r="J351" s="85"/>
      <c r="K351" s="85"/>
    </row>
    <row r="352">
      <c r="A352" s="85"/>
      <c r="B352" s="59"/>
      <c r="C352" s="51" t="str">
        <f>IFERROR(VLOOKUP(A352,Internal_lists_bugs!$A$2:$T1058,20,FALSE()),"please select a BUG ID")</f>
        <v>please select a BUG ID</v>
      </c>
      <c r="D352" s="93"/>
      <c r="E352" s="85"/>
      <c r="F352" s="62"/>
      <c r="G352" s="63"/>
      <c r="H352" s="85"/>
      <c r="I352" s="51" t="str">
        <f>IFERROR(VLOOKUP(A352,Internal_lists_bugs!$A$2:$G1058,7,FALSE()),"please select a BUG ID")</f>
        <v>please select a BUG ID</v>
      </c>
      <c r="J352" s="85"/>
      <c r="K352" s="85"/>
    </row>
    <row r="353">
      <c r="A353" s="85"/>
      <c r="B353" s="59"/>
      <c r="C353" s="51" t="str">
        <f>IFERROR(VLOOKUP(A353,Internal_lists_bugs!$A$2:$T1058,20,FALSE()),"please select a BUG ID")</f>
        <v>please select a BUG ID</v>
      </c>
      <c r="D353" s="93"/>
      <c r="E353" s="85"/>
      <c r="F353" s="62"/>
      <c r="G353" s="63"/>
      <c r="H353" s="85"/>
      <c r="I353" s="51" t="str">
        <f>IFERROR(VLOOKUP(A353,Internal_lists_bugs!$A$2:$G1058,7,FALSE()),"please select a BUG ID")</f>
        <v>please select a BUG ID</v>
      </c>
      <c r="J353" s="85"/>
      <c r="K353" s="85"/>
    </row>
    <row r="354">
      <c r="A354" s="85"/>
      <c r="B354" s="59"/>
      <c r="C354" s="51" t="str">
        <f>IFERROR(VLOOKUP(A354,Internal_lists_bugs!$A$2:$T1058,20,FALSE()),"please select a BUG ID")</f>
        <v>please select a BUG ID</v>
      </c>
      <c r="D354" s="93"/>
      <c r="E354" s="85"/>
      <c r="F354" s="62"/>
      <c r="G354" s="63"/>
      <c r="H354" s="85"/>
      <c r="I354" s="51" t="str">
        <f>IFERROR(VLOOKUP(A354,Internal_lists_bugs!$A$2:$G1058,7,FALSE()),"please select a BUG ID")</f>
        <v>please select a BUG ID</v>
      </c>
      <c r="J354" s="85"/>
      <c r="K354" s="85"/>
    </row>
    <row r="355">
      <c r="A355" s="85"/>
      <c r="B355" s="59"/>
      <c r="C355" s="51" t="str">
        <f>IFERROR(VLOOKUP(A355,Internal_lists_bugs!$A$2:$T1058,20,FALSE()),"please select a BUG ID")</f>
        <v>please select a BUG ID</v>
      </c>
      <c r="D355" s="93"/>
      <c r="E355" s="85"/>
      <c r="F355" s="62"/>
      <c r="G355" s="63"/>
      <c r="H355" s="85"/>
      <c r="I355" s="51" t="str">
        <f>IFERROR(VLOOKUP(A355,Internal_lists_bugs!$A$2:$G1058,7,FALSE()),"please select a BUG ID")</f>
        <v>please select a BUG ID</v>
      </c>
      <c r="J355" s="85"/>
      <c r="K355" s="85"/>
    </row>
    <row r="356">
      <c r="A356" s="85"/>
      <c r="B356" s="59"/>
      <c r="C356" s="51" t="str">
        <f>IFERROR(VLOOKUP(A356,Internal_lists_bugs!$A$2:$T1058,20,FALSE()),"please select a BUG ID")</f>
        <v>please select a BUG ID</v>
      </c>
      <c r="D356" s="93"/>
      <c r="E356" s="85"/>
      <c r="F356" s="62"/>
      <c r="G356" s="63"/>
      <c r="H356" s="85"/>
      <c r="I356" s="51" t="str">
        <f>IFERROR(VLOOKUP(A356,Internal_lists_bugs!$A$2:$G1058,7,FALSE()),"please select a BUG ID")</f>
        <v>please select a BUG ID</v>
      </c>
      <c r="J356" s="85"/>
      <c r="K356" s="85"/>
    </row>
    <row r="357">
      <c r="A357" s="85"/>
      <c r="B357" s="59"/>
      <c r="C357" s="51" t="str">
        <f>IFERROR(VLOOKUP(A357,Internal_lists_bugs!$A$2:$T1058,20,FALSE()),"please select a BUG ID")</f>
        <v>please select a BUG ID</v>
      </c>
      <c r="D357" s="93"/>
      <c r="E357" s="85"/>
      <c r="F357" s="62"/>
      <c r="G357" s="63"/>
      <c r="H357" s="85"/>
      <c r="I357" s="51" t="str">
        <f>IFERROR(VLOOKUP(A357,Internal_lists_bugs!$A$2:$G1058,7,FALSE()),"please select a BUG ID")</f>
        <v>please select a BUG ID</v>
      </c>
      <c r="J357" s="85"/>
      <c r="K357" s="85"/>
    </row>
    <row r="358">
      <c r="A358" s="85"/>
      <c r="B358" s="59"/>
      <c r="C358" s="51" t="str">
        <f>IFERROR(VLOOKUP(A358,Internal_lists_bugs!$A$2:$T1058,20,FALSE()),"please select a BUG ID")</f>
        <v>please select a BUG ID</v>
      </c>
      <c r="D358" s="93"/>
      <c r="E358" s="85"/>
      <c r="F358" s="62"/>
      <c r="G358" s="63"/>
      <c r="H358" s="85"/>
      <c r="I358" s="51" t="str">
        <f>IFERROR(VLOOKUP(A358,Internal_lists_bugs!$A$2:$G1058,7,FALSE()),"please select a BUG ID")</f>
        <v>please select a BUG ID</v>
      </c>
      <c r="J358" s="85"/>
      <c r="K358" s="85"/>
    </row>
    <row r="359">
      <c r="A359" s="85"/>
      <c r="B359" s="59"/>
      <c r="C359" s="51" t="str">
        <f>IFERROR(VLOOKUP(A359,Internal_lists_bugs!$A$2:$T1058,20,FALSE()),"please select a BUG ID")</f>
        <v>please select a BUG ID</v>
      </c>
      <c r="D359" s="93"/>
      <c r="E359" s="85"/>
      <c r="F359" s="62"/>
      <c r="G359" s="63"/>
      <c r="H359" s="85"/>
      <c r="I359" s="51" t="str">
        <f>IFERROR(VLOOKUP(A359,Internal_lists_bugs!$A$2:$G1058,7,FALSE()),"please select a BUG ID")</f>
        <v>please select a BUG ID</v>
      </c>
      <c r="J359" s="85"/>
      <c r="K359" s="85"/>
    </row>
    <row r="360">
      <c r="A360" s="85"/>
      <c r="B360" s="59"/>
      <c r="C360" s="51" t="str">
        <f>IFERROR(VLOOKUP(A360,Internal_lists_bugs!$A$2:$T1058,20,FALSE()),"please select a BUG ID")</f>
        <v>please select a BUG ID</v>
      </c>
      <c r="D360" s="93"/>
      <c r="E360" s="85"/>
      <c r="F360" s="62"/>
      <c r="G360" s="63"/>
      <c r="H360" s="85"/>
      <c r="I360" s="51" t="str">
        <f>IFERROR(VLOOKUP(A360,Internal_lists_bugs!$A$2:$G1058,7,FALSE()),"please select a BUG ID")</f>
        <v>please select a BUG ID</v>
      </c>
      <c r="J360" s="85"/>
      <c r="K360" s="85"/>
    </row>
    <row r="361">
      <c r="A361" s="85"/>
      <c r="B361" s="59"/>
      <c r="C361" s="51" t="str">
        <f>IFERROR(VLOOKUP(A361,Internal_lists_bugs!$A$2:$T1058,20,FALSE()),"please select a BUG ID")</f>
        <v>please select a BUG ID</v>
      </c>
      <c r="D361" s="93"/>
      <c r="E361" s="85"/>
      <c r="F361" s="62"/>
      <c r="G361" s="63"/>
      <c r="H361" s="85"/>
      <c r="I361" s="51" t="str">
        <f>IFERROR(VLOOKUP(A361,Internal_lists_bugs!$A$2:$G1058,7,FALSE()),"please select a BUG ID")</f>
        <v>please select a BUG ID</v>
      </c>
      <c r="J361" s="85"/>
      <c r="K361" s="85"/>
    </row>
    <row r="362">
      <c r="A362" s="85"/>
      <c r="B362" s="59"/>
      <c r="C362" s="51" t="str">
        <f>IFERROR(VLOOKUP(A362,Internal_lists_bugs!$A$2:$T1058,20,FALSE()),"please select a BUG ID")</f>
        <v>please select a BUG ID</v>
      </c>
      <c r="D362" s="93"/>
      <c r="E362" s="85"/>
      <c r="F362" s="62"/>
      <c r="G362" s="63"/>
      <c r="H362" s="85"/>
      <c r="I362" s="51" t="str">
        <f>IFERROR(VLOOKUP(A362,Internal_lists_bugs!$A$2:$G1058,7,FALSE()),"please select a BUG ID")</f>
        <v>please select a BUG ID</v>
      </c>
      <c r="J362" s="85"/>
      <c r="K362" s="85"/>
    </row>
    <row r="363">
      <c r="A363" s="85"/>
      <c r="B363" s="59"/>
      <c r="C363" s="51" t="str">
        <f>IFERROR(VLOOKUP(A363,Internal_lists_bugs!$A$2:$T1058,20,FALSE()),"please select a BUG ID")</f>
        <v>please select a BUG ID</v>
      </c>
      <c r="D363" s="93"/>
      <c r="E363" s="85"/>
      <c r="F363" s="62"/>
      <c r="G363" s="63"/>
      <c r="H363" s="85"/>
      <c r="I363" s="51" t="str">
        <f>IFERROR(VLOOKUP(A363,Internal_lists_bugs!$A$2:$G1058,7,FALSE()),"please select a BUG ID")</f>
        <v>please select a BUG ID</v>
      </c>
      <c r="J363" s="85"/>
      <c r="K363" s="85"/>
    </row>
    <row r="364">
      <c r="A364" s="85"/>
      <c r="B364" s="59"/>
      <c r="C364" s="51" t="str">
        <f>IFERROR(VLOOKUP(A364,Internal_lists_bugs!$A$2:$T1058,20,FALSE()),"please select a BUG ID")</f>
        <v>please select a BUG ID</v>
      </c>
      <c r="D364" s="93"/>
      <c r="E364" s="85"/>
      <c r="F364" s="62"/>
      <c r="G364" s="63"/>
      <c r="H364" s="85"/>
      <c r="I364" s="51" t="str">
        <f>IFERROR(VLOOKUP(A364,Internal_lists_bugs!$A$2:$G1058,7,FALSE()),"please select a BUG ID")</f>
        <v>please select a BUG ID</v>
      </c>
      <c r="J364" s="85"/>
      <c r="K364" s="85"/>
    </row>
    <row r="365">
      <c r="A365" s="85"/>
      <c r="B365" s="59"/>
      <c r="C365" s="51" t="str">
        <f>IFERROR(VLOOKUP(A365,Internal_lists_bugs!$A$2:$T1058,20,FALSE()),"please select a BUG ID")</f>
        <v>please select a BUG ID</v>
      </c>
      <c r="D365" s="93"/>
      <c r="E365" s="85"/>
      <c r="F365" s="62"/>
      <c r="G365" s="63"/>
      <c r="H365" s="85"/>
      <c r="I365" s="51" t="str">
        <f>IFERROR(VLOOKUP(A365,Internal_lists_bugs!$A$2:$G1058,7,FALSE()),"please select a BUG ID")</f>
        <v>please select a BUG ID</v>
      </c>
      <c r="J365" s="85"/>
      <c r="K365" s="85"/>
    </row>
    <row r="366">
      <c r="A366" s="85"/>
      <c r="B366" s="59"/>
      <c r="C366" s="51" t="str">
        <f>IFERROR(VLOOKUP(A366,Internal_lists_bugs!$A$2:$T1058,20,FALSE()),"please select a BUG ID")</f>
        <v>please select a BUG ID</v>
      </c>
      <c r="D366" s="93"/>
      <c r="E366" s="85"/>
      <c r="F366" s="62"/>
      <c r="G366" s="63"/>
      <c r="H366" s="85"/>
      <c r="I366" s="51" t="str">
        <f>IFERROR(VLOOKUP(A366,Internal_lists_bugs!$A$2:$G1058,7,FALSE()),"please select a BUG ID")</f>
        <v>please select a BUG ID</v>
      </c>
      <c r="J366" s="85"/>
      <c r="K366" s="85"/>
    </row>
    <row r="367">
      <c r="A367" s="85"/>
      <c r="B367" s="59"/>
      <c r="C367" s="51" t="str">
        <f>IFERROR(VLOOKUP(A367,Internal_lists_bugs!$A$2:$T1058,20,FALSE()),"please select a BUG ID")</f>
        <v>please select a BUG ID</v>
      </c>
      <c r="D367" s="93"/>
      <c r="E367" s="85"/>
      <c r="F367" s="62"/>
      <c r="G367" s="63"/>
      <c r="H367" s="85"/>
      <c r="I367" s="51" t="str">
        <f>IFERROR(VLOOKUP(A367,Internal_lists_bugs!$A$2:$G1058,7,FALSE()),"please select a BUG ID")</f>
        <v>please select a BUG ID</v>
      </c>
      <c r="J367" s="85"/>
      <c r="K367" s="85"/>
    </row>
    <row r="368">
      <c r="A368" s="85"/>
      <c r="B368" s="59"/>
      <c r="C368" s="51" t="str">
        <f>IFERROR(VLOOKUP(A368,Internal_lists_bugs!$A$2:$T1058,20,FALSE()),"please select a BUG ID")</f>
        <v>please select a BUG ID</v>
      </c>
      <c r="D368" s="93"/>
      <c r="E368" s="85"/>
      <c r="F368" s="62"/>
      <c r="G368" s="63"/>
      <c r="H368" s="85"/>
      <c r="I368" s="51" t="str">
        <f>IFERROR(VLOOKUP(A368,Internal_lists_bugs!$A$2:$G1058,7,FALSE()),"please select a BUG ID")</f>
        <v>please select a BUG ID</v>
      </c>
      <c r="J368" s="85"/>
      <c r="K368" s="85"/>
    </row>
    <row r="369">
      <c r="A369" s="85"/>
      <c r="B369" s="59"/>
      <c r="C369" s="51" t="str">
        <f>IFERROR(VLOOKUP(A369,Internal_lists_bugs!$A$2:$T1058,20,FALSE()),"please select a BUG ID")</f>
        <v>please select a BUG ID</v>
      </c>
      <c r="D369" s="93"/>
      <c r="E369" s="85"/>
      <c r="F369" s="62"/>
      <c r="G369" s="63"/>
      <c r="H369" s="85"/>
      <c r="I369" s="51" t="str">
        <f>IFERROR(VLOOKUP(A369,Internal_lists_bugs!$A$2:$G1058,7,FALSE()),"please select a BUG ID")</f>
        <v>please select a BUG ID</v>
      </c>
      <c r="J369" s="85"/>
      <c r="K369" s="85"/>
    </row>
    <row r="370">
      <c r="A370" s="85"/>
      <c r="B370" s="59"/>
      <c r="C370" s="51" t="str">
        <f>IFERROR(VLOOKUP(A370,Internal_lists_bugs!$A$2:$T1058,20,FALSE()),"please select a BUG ID")</f>
        <v>please select a BUG ID</v>
      </c>
      <c r="D370" s="93"/>
      <c r="E370" s="85"/>
      <c r="F370" s="62"/>
      <c r="G370" s="63"/>
      <c r="H370" s="85"/>
      <c r="I370" s="51" t="str">
        <f>IFERROR(VLOOKUP(A370,Internal_lists_bugs!$A$2:$G1058,7,FALSE()),"please select a BUG ID")</f>
        <v>please select a BUG ID</v>
      </c>
      <c r="J370" s="85"/>
      <c r="K370" s="85"/>
    </row>
    <row r="371">
      <c r="A371" s="85"/>
      <c r="B371" s="59"/>
      <c r="C371" s="51" t="str">
        <f>IFERROR(VLOOKUP(A371,Internal_lists_bugs!$A$2:$T1058,20,FALSE()),"please select a BUG ID")</f>
        <v>please select a BUG ID</v>
      </c>
      <c r="D371" s="93"/>
      <c r="E371" s="85"/>
      <c r="F371" s="62"/>
      <c r="G371" s="63"/>
      <c r="H371" s="85"/>
      <c r="I371" s="51" t="str">
        <f>IFERROR(VLOOKUP(A371,Internal_lists_bugs!$A$2:$G1058,7,FALSE()),"please select a BUG ID")</f>
        <v>please select a BUG ID</v>
      </c>
      <c r="J371" s="85"/>
      <c r="K371" s="85"/>
    </row>
    <row r="372">
      <c r="A372" s="85"/>
      <c r="B372" s="59"/>
      <c r="C372" s="51" t="str">
        <f>IFERROR(VLOOKUP(A372,Internal_lists_bugs!$A$2:$T1058,20,FALSE()),"please select a BUG ID")</f>
        <v>please select a BUG ID</v>
      </c>
      <c r="D372" s="93"/>
      <c r="E372" s="85"/>
      <c r="F372" s="62"/>
      <c r="G372" s="63"/>
      <c r="H372" s="85"/>
      <c r="I372" s="51" t="str">
        <f>IFERROR(VLOOKUP(A372,Internal_lists_bugs!$A$2:$G1058,7,FALSE()),"please select a BUG ID")</f>
        <v>please select a BUG ID</v>
      </c>
      <c r="J372" s="85"/>
      <c r="K372" s="85"/>
    </row>
    <row r="373">
      <c r="A373" s="85"/>
      <c r="B373" s="59"/>
      <c r="C373" s="51" t="str">
        <f>IFERROR(VLOOKUP(A373,Internal_lists_bugs!$A$2:$T1058,20,FALSE()),"please select a BUG ID")</f>
        <v>please select a BUG ID</v>
      </c>
      <c r="D373" s="93"/>
      <c r="E373" s="85"/>
      <c r="F373" s="62"/>
      <c r="G373" s="63"/>
      <c r="H373" s="85"/>
      <c r="I373" s="51" t="str">
        <f>IFERROR(VLOOKUP(A373,Internal_lists_bugs!$A$2:$G1058,7,FALSE()),"please select a BUG ID")</f>
        <v>please select a BUG ID</v>
      </c>
      <c r="J373" s="85"/>
      <c r="K373" s="85"/>
    </row>
    <row r="374">
      <c r="A374" s="85"/>
      <c r="B374" s="59"/>
      <c r="C374" s="51" t="str">
        <f>IFERROR(VLOOKUP(A374,Internal_lists_bugs!$A$2:$T1058,20,FALSE()),"please select a BUG ID")</f>
        <v>please select a BUG ID</v>
      </c>
      <c r="D374" s="93"/>
      <c r="E374" s="85"/>
      <c r="F374" s="62"/>
      <c r="G374" s="63"/>
      <c r="H374" s="85"/>
      <c r="I374" s="51" t="str">
        <f>IFERROR(VLOOKUP(A374,Internal_lists_bugs!$A$2:$G1058,7,FALSE()),"please select a BUG ID")</f>
        <v>please select a BUG ID</v>
      </c>
      <c r="J374" s="85"/>
      <c r="K374" s="85"/>
    </row>
    <row r="375">
      <c r="A375" s="85"/>
      <c r="B375" s="59"/>
      <c r="C375" s="51" t="str">
        <f>IFERROR(VLOOKUP(A375,Internal_lists_bugs!$A$2:$T1058,20,FALSE()),"please select a BUG ID")</f>
        <v>please select a BUG ID</v>
      </c>
      <c r="D375" s="93"/>
      <c r="E375" s="85"/>
      <c r="F375" s="62"/>
      <c r="G375" s="63"/>
      <c r="H375" s="85"/>
      <c r="I375" s="51" t="str">
        <f>IFERROR(VLOOKUP(A375,Internal_lists_bugs!$A$2:$G1058,7,FALSE()),"please select a BUG ID")</f>
        <v>please select a BUG ID</v>
      </c>
      <c r="J375" s="85"/>
      <c r="K375" s="85"/>
    </row>
    <row r="376">
      <c r="A376" s="85"/>
      <c r="B376" s="59"/>
      <c r="C376" s="51" t="str">
        <f>IFERROR(VLOOKUP(A376,Internal_lists_bugs!$A$2:$T1058,20,FALSE()),"please select a BUG ID")</f>
        <v>please select a BUG ID</v>
      </c>
      <c r="D376" s="93"/>
      <c r="E376" s="85"/>
      <c r="F376" s="62"/>
      <c r="G376" s="63"/>
      <c r="H376" s="85"/>
      <c r="I376" s="51" t="str">
        <f>IFERROR(VLOOKUP(A376,Internal_lists_bugs!$A$2:$G1058,7,FALSE()),"please select a BUG ID")</f>
        <v>please select a BUG ID</v>
      </c>
      <c r="J376" s="85"/>
      <c r="K376" s="85"/>
    </row>
    <row r="377">
      <c r="A377" s="85"/>
      <c r="B377" s="59"/>
      <c r="C377" s="51" t="str">
        <f>IFERROR(VLOOKUP(A377,Internal_lists_bugs!$A$2:$T1058,20,FALSE()),"please select a BUG ID")</f>
        <v>please select a BUG ID</v>
      </c>
      <c r="D377" s="93"/>
      <c r="E377" s="85"/>
      <c r="F377" s="62"/>
      <c r="G377" s="63"/>
      <c r="H377" s="85"/>
      <c r="I377" s="51" t="str">
        <f>IFERROR(VLOOKUP(A377,Internal_lists_bugs!$A$2:$G1058,7,FALSE()),"please select a BUG ID")</f>
        <v>please select a BUG ID</v>
      </c>
      <c r="J377" s="85"/>
      <c r="K377" s="85"/>
    </row>
    <row r="378">
      <c r="A378" s="85"/>
      <c r="B378" s="59"/>
      <c r="C378" s="51" t="str">
        <f>IFERROR(VLOOKUP(A378,Internal_lists_bugs!$A$2:$T1058,20,FALSE()),"please select a BUG ID")</f>
        <v>please select a BUG ID</v>
      </c>
      <c r="D378" s="93"/>
      <c r="E378" s="85"/>
      <c r="F378" s="62"/>
      <c r="G378" s="63"/>
      <c r="H378" s="85"/>
      <c r="I378" s="51" t="str">
        <f>IFERROR(VLOOKUP(A378,Internal_lists_bugs!$A$2:$G1058,7,FALSE()),"please select a BUG ID")</f>
        <v>please select a BUG ID</v>
      </c>
      <c r="J378" s="85"/>
      <c r="K378" s="85"/>
    </row>
    <row r="379">
      <c r="A379" s="85"/>
      <c r="B379" s="59"/>
      <c r="C379" s="51" t="str">
        <f>IFERROR(VLOOKUP(A379,Internal_lists_bugs!$A$2:$T1058,20,FALSE()),"please select a BUG ID")</f>
        <v>please select a BUG ID</v>
      </c>
      <c r="D379" s="93"/>
      <c r="E379" s="85"/>
      <c r="F379" s="62"/>
      <c r="G379" s="63"/>
      <c r="H379" s="85"/>
      <c r="I379" s="51" t="str">
        <f>IFERROR(VLOOKUP(A379,Internal_lists_bugs!$A$2:$G1058,7,FALSE()),"please select a BUG ID")</f>
        <v>please select a BUG ID</v>
      </c>
      <c r="J379" s="85"/>
      <c r="K379" s="85"/>
    </row>
    <row r="380">
      <c r="A380" s="85"/>
      <c r="B380" s="59"/>
      <c r="C380" s="51" t="str">
        <f>IFERROR(VLOOKUP(A380,Internal_lists_bugs!$A$2:$T1058,20,FALSE()),"please select a BUG ID")</f>
        <v>please select a BUG ID</v>
      </c>
      <c r="D380" s="93"/>
      <c r="E380" s="85"/>
      <c r="F380" s="62"/>
      <c r="G380" s="63"/>
      <c r="H380" s="85"/>
      <c r="I380" s="51" t="str">
        <f>IFERROR(VLOOKUP(A380,Internal_lists_bugs!$A$2:$G1058,7,FALSE()),"please select a BUG ID")</f>
        <v>please select a BUG ID</v>
      </c>
      <c r="J380" s="85"/>
      <c r="K380" s="85"/>
    </row>
    <row r="381">
      <c r="A381" s="85"/>
      <c r="B381" s="59"/>
      <c r="C381" s="51" t="str">
        <f>IFERROR(VLOOKUP(A381,Internal_lists_bugs!$A$2:$T1058,20,FALSE()),"please select a BUG ID")</f>
        <v>please select a BUG ID</v>
      </c>
      <c r="D381" s="93"/>
      <c r="E381" s="85"/>
      <c r="F381" s="62"/>
      <c r="G381" s="63"/>
      <c r="H381" s="85"/>
      <c r="I381" s="51" t="str">
        <f>IFERROR(VLOOKUP(A381,Internal_lists_bugs!$A$2:$G1058,7,FALSE()),"please select a BUG ID")</f>
        <v>please select a BUG ID</v>
      </c>
      <c r="J381" s="85"/>
      <c r="K381" s="85"/>
    </row>
    <row r="382">
      <c r="A382" s="85"/>
      <c r="B382" s="59"/>
      <c r="C382" s="51" t="str">
        <f>IFERROR(VLOOKUP(A382,Internal_lists_bugs!$A$2:$T1058,20,FALSE()),"please select a BUG ID")</f>
        <v>please select a BUG ID</v>
      </c>
      <c r="D382" s="93"/>
      <c r="E382" s="85"/>
      <c r="F382" s="62"/>
      <c r="G382" s="63"/>
      <c r="H382" s="85"/>
      <c r="I382" s="51" t="str">
        <f>IFERROR(VLOOKUP(A382,Internal_lists_bugs!$A$2:$G1058,7,FALSE()),"please select a BUG ID")</f>
        <v>please select a BUG ID</v>
      </c>
      <c r="J382" s="85"/>
      <c r="K382" s="85"/>
    </row>
    <row r="383">
      <c r="A383" s="85"/>
      <c r="B383" s="59"/>
      <c r="C383" s="51" t="str">
        <f>IFERROR(VLOOKUP(A383,Internal_lists_bugs!$A$2:$T1058,20,FALSE()),"please select a BUG ID")</f>
        <v>please select a BUG ID</v>
      </c>
      <c r="D383" s="93"/>
      <c r="E383" s="85"/>
      <c r="F383" s="62"/>
      <c r="G383" s="63"/>
      <c r="H383" s="85"/>
      <c r="I383" s="51" t="str">
        <f>IFERROR(VLOOKUP(A383,Internal_lists_bugs!$A$2:$G1058,7,FALSE()),"please select a BUG ID")</f>
        <v>please select a BUG ID</v>
      </c>
      <c r="J383" s="85"/>
      <c r="K383" s="85"/>
    </row>
    <row r="384">
      <c r="A384" s="85"/>
      <c r="B384" s="59"/>
      <c r="C384" s="51" t="str">
        <f>IFERROR(VLOOKUP(A384,Internal_lists_bugs!$A$2:$T1058,20,FALSE()),"please select a BUG ID")</f>
        <v>please select a BUG ID</v>
      </c>
      <c r="D384" s="93"/>
      <c r="E384" s="85"/>
      <c r="F384" s="62"/>
      <c r="G384" s="63"/>
      <c r="H384" s="85"/>
      <c r="I384" s="51" t="str">
        <f>IFERROR(VLOOKUP(A384,Internal_lists_bugs!$A$2:$G1058,7,FALSE()),"please select a BUG ID")</f>
        <v>please select a BUG ID</v>
      </c>
      <c r="J384" s="85"/>
      <c r="K384" s="85"/>
    </row>
    <row r="385">
      <c r="A385" s="85"/>
      <c r="B385" s="59"/>
      <c r="C385" s="51" t="str">
        <f>IFERROR(VLOOKUP(A385,Internal_lists_bugs!$A$2:$T1058,20,FALSE()),"please select a BUG ID")</f>
        <v>please select a BUG ID</v>
      </c>
      <c r="D385" s="93"/>
      <c r="E385" s="85"/>
      <c r="F385" s="62"/>
      <c r="G385" s="63"/>
      <c r="H385" s="85"/>
      <c r="I385" s="51" t="str">
        <f>IFERROR(VLOOKUP(A385,Internal_lists_bugs!$A$2:$G1058,7,FALSE()),"please select a BUG ID")</f>
        <v>please select a BUG ID</v>
      </c>
      <c r="J385" s="85"/>
      <c r="K385" s="85"/>
    </row>
    <row r="386">
      <c r="A386" s="85"/>
      <c r="B386" s="59"/>
      <c r="C386" s="51" t="str">
        <f>IFERROR(VLOOKUP(A386,Internal_lists_bugs!$A$2:$T1058,20,FALSE()),"please select a BUG ID")</f>
        <v>please select a BUG ID</v>
      </c>
      <c r="D386" s="93"/>
      <c r="E386" s="85"/>
      <c r="F386" s="62"/>
      <c r="G386" s="63"/>
      <c r="H386" s="85"/>
      <c r="I386" s="51" t="str">
        <f>IFERROR(VLOOKUP(A386,Internal_lists_bugs!$A$2:$G1058,7,FALSE()),"please select a BUG ID")</f>
        <v>please select a BUG ID</v>
      </c>
      <c r="J386" s="85"/>
      <c r="K386" s="85"/>
    </row>
    <row r="387">
      <c r="A387" s="85"/>
      <c r="B387" s="59"/>
      <c r="C387" s="51" t="str">
        <f>IFERROR(VLOOKUP(A387,Internal_lists_bugs!$A$2:$T1058,20,FALSE()),"please select a BUG ID")</f>
        <v>please select a BUG ID</v>
      </c>
      <c r="D387" s="93"/>
      <c r="E387" s="85"/>
      <c r="F387" s="62"/>
      <c r="G387" s="63"/>
      <c r="H387" s="85"/>
      <c r="I387" s="51" t="str">
        <f>IFERROR(VLOOKUP(A387,Internal_lists_bugs!$A$2:$G1058,7,FALSE()),"please select a BUG ID")</f>
        <v>please select a BUG ID</v>
      </c>
      <c r="J387" s="85"/>
      <c r="K387" s="85"/>
    </row>
    <row r="388">
      <c r="A388" s="85"/>
      <c r="B388" s="59"/>
      <c r="C388" s="51" t="str">
        <f>IFERROR(VLOOKUP(A388,Internal_lists_bugs!$A$2:$T1058,20,FALSE()),"please select a BUG ID")</f>
        <v>please select a BUG ID</v>
      </c>
      <c r="D388" s="93"/>
      <c r="E388" s="85"/>
      <c r="F388" s="62"/>
      <c r="G388" s="63"/>
      <c r="H388" s="85"/>
      <c r="I388" s="51" t="str">
        <f>IFERROR(VLOOKUP(A388,Internal_lists_bugs!$A$2:$G1058,7,FALSE()),"please select a BUG ID")</f>
        <v>please select a BUG ID</v>
      </c>
      <c r="J388" s="85"/>
      <c r="K388" s="85"/>
    </row>
    <row r="389">
      <c r="A389" s="85"/>
      <c r="B389" s="59"/>
      <c r="C389" s="51" t="str">
        <f>IFERROR(VLOOKUP(A389,Internal_lists_bugs!$A$2:$T1058,20,FALSE()),"please select a BUG ID")</f>
        <v>please select a BUG ID</v>
      </c>
      <c r="D389" s="93"/>
      <c r="E389" s="85"/>
      <c r="F389" s="62"/>
      <c r="G389" s="63"/>
      <c r="H389" s="85"/>
      <c r="I389" s="51" t="str">
        <f>IFERROR(VLOOKUP(A389,Internal_lists_bugs!$A$2:$G1058,7,FALSE()),"please select a BUG ID")</f>
        <v>please select a BUG ID</v>
      </c>
      <c r="J389" s="85"/>
      <c r="K389" s="85"/>
    </row>
    <row r="390">
      <c r="A390" s="85"/>
      <c r="B390" s="59"/>
      <c r="C390" s="51" t="str">
        <f>IFERROR(VLOOKUP(A390,Internal_lists_bugs!$A$2:$T1058,20,FALSE()),"please select a BUG ID")</f>
        <v>please select a BUG ID</v>
      </c>
      <c r="D390" s="93"/>
      <c r="E390" s="85"/>
      <c r="F390" s="62"/>
      <c r="G390" s="63"/>
      <c r="H390" s="85"/>
      <c r="I390" s="51" t="str">
        <f>IFERROR(VLOOKUP(A390,Internal_lists_bugs!$A$2:$G1058,7,FALSE()),"please select a BUG ID")</f>
        <v>please select a BUG ID</v>
      </c>
      <c r="J390" s="85"/>
      <c r="K390" s="85"/>
    </row>
    <row r="391">
      <c r="A391" s="85"/>
      <c r="B391" s="59"/>
      <c r="C391" s="51" t="str">
        <f>IFERROR(VLOOKUP(A391,Internal_lists_bugs!$A$2:$T1058,20,FALSE()),"please select a BUG ID")</f>
        <v>please select a BUG ID</v>
      </c>
      <c r="D391" s="93"/>
      <c r="E391" s="85"/>
      <c r="F391" s="62"/>
      <c r="G391" s="63"/>
      <c r="H391" s="85"/>
      <c r="I391" s="51" t="str">
        <f>IFERROR(VLOOKUP(A391,Internal_lists_bugs!$A$2:$G1058,7,FALSE()),"please select a BUG ID")</f>
        <v>please select a BUG ID</v>
      </c>
      <c r="J391" s="85"/>
      <c r="K391" s="85"/>
    </row>
    <row r="392">
      <c r="A392" s="85"/>
      <c r="B392" s="59"/>
      <c r="C392" s="51" t="str">
        <f>IFERROR(VLOOKUP(A392,Internal_lists_bugs!$A$2:$T1058,20,FALSE()),"please select a BUG ID")</f>
        <v>please select a BUG ID</v>
      </c>
      <c r="D392" s="93"/>
      <c r="E392" s="85"/>
      <c r="F392" s="62"/>
      <c r="G392" s="63"/>
      <c r="H392" s="85"/>
      <c r="I392" s="51" t="str">
        <f>IFERROR(VLOOKUP(A392,Internal_lists_bugs!$A$2:$G1058,7,FALSE()),"please select a BUG ID")</f>
        <v>please select a BUG ID</v>
      </c>
      <c r="J392" s="85"/>
      <c r="K392" s="85"/>
    </row>
    <row r="393">
      <c r="A393" s="85"/>
      <c r="B393" s="59"/>
      <c r="C393" s="51" t="str">
        <f>IFERROR(VLOOKUP(A393,Internal_lists_bugs!$A$2:$T1058,20,FALSE()),"please select a BUG ID")</f>
        <v>please select a BUG ID</v>
      </c>
      <c r="D393" s="93"/>
      <c r="E393" s="85"/>
      <c r="F393" s="62"/>
      <c r="G393" s="63"/>
      <c r="H393" s="85"/>
      <c r="I393" s="51" t="str">
        <f>IFERROR(VLOOKUP(A393,Internal_lists_bugs!$A$2:$G1058,7,FALSE()),"please select a BUG ID")</f>
        <v>please select a BUG ID</v>
      </c>
      <c r="J393" s="85"/>
      <c r="K393" s="85"/>
    </row>
    <row r="394">
      <c r="A394" s="85"/>
      <c r="B394" s="59"/>
      <c r="C394" s="51" t="str">
        <f>IFERROR(VLOOKUP(A394,Internal_lists_bugs!$A$2:$T1058,20,FALSE()),"please select a BUG ID")</f>
        <v>please select a BUG ID</v>
      </c>
      <c r="D394" s="93"/>
      <c r="E394" s="85"/>
      <c r="F394" s="62"/>
      <c r="G394" s="63"/>
      <c r="H394" s="85"/>
      <c r="I394" s="51" t="str">
        <f>IFERROR(VLOOKUP(A394,Internal_lists_bugs!$A$2:$G1058,7,FALSE()),"please select a BUG ID")</f>
        <v>please select a BUG ID</v>
      </c>
      <c r="J394" s="85"/>
      <c r="K394" s="85"/>
    </row>
    <row r="395">
      <c r="A395" s="85"/>
      <c r="B395" s="59"/>
      <c r="C395" s="51" t="str">
        <f>IFERROR(VLOOKUP(A395,Internal_lists_bugs!$A$2:$T1058,20,FALSE()),"please select a BUG ID")</f>
        <v>please select a BUG ID</v>
      </c>
      <c r="D395" s="93"/>
      <c r="E395" s="85"/>
      <c r="F395" s="62"/>
      <c r="G395" s="63"/>
      <c r="H395" s="85"/>
      <c r="I395" s="51" t="str">
        <f>IFERROR(VLOOKUP(A395,Internal_lists_bugs!$A$2:$G1058,7,FALSE()),"please select a BUG ID")</f>
        <v>please select a BUG ID</v>
      </c>
      <c r="J395" s="85"/>
      <c r="K395" s="85"/>
    </row>
    <row r="396">
      <c r="A396" s="85"/>
      <c r="B396" s="59"/>
      <c r="C396" s="51" t="str">
        <f>IFERROR(VLOOKUP(A396,Internal_lists_bugs!$A$2:$T1058,20,FALSE()),"please select a BUG ID")</f>
        <v>please select a BUG ID</v>
      </c>
      <c r="D396" s="93"/>
      <c r="E396" s="85"/>
      <c r="F396" s="62"/>
      <c r="G396" s="63"/>
      <c r="H396" s="85"/>
      <c r="I396" s="51" t="str">
        <f>IFERROR(VLOOKUP(A396,Internal_lists_bugs!$A$2:$G1058,7,FALSE()),"please select a BUG ID")</f>
        <v>please select a BUG ID</v>
      </c>
      <c r="J396" s="85"/>
      <c r="K396" s="85"/>
    </row>
    <row r="397">
      <c r="A397" s="85"/>
      <c r="B397" s="59"/>
      <c r="C397" s="51" t="str">
        <f>IFERROR(VLOOKUP(A397,Internal_lists_bugs!$A$2:$T1058,20,FALSE()),"please select a BUG ID")</f>
        <v>please select a BUG ID</v>
      </c>
      <c r="D397" s="93"/>
      <c r="E397" s="85"/>
      <c r="F397" s="62"/>
      <c r="G397" s="63"/>
      <c r="H397" s="85"/>
      <c r="I397" s="51" t="str">
        <f>IFERROR(VLOOKUP(A397,Internal_lists_bugs!$A$2:$G1058,7,FALSE()),"please select a BUG ID")</f>
        <v>please select a BUG ID</v>
      </c>
      <c r="J397" s="85"/>
      <c r="K397" s="85"/>
    </row>
    <row r="398">
      <c r="A398" s="85"/>
      <c r="B398" s="59"/>
      <c r="C398" s="51" t="str">
        <f>IFERROR(VLOOKUP(A398,Internal_lists_bugs!$A$2:$T1058,20,FALSE()),"please select a BUG ID")</f>
        <v>please select a BUG ID</v>
      </c>
      <c r="D398" s="93"/>
      <c r="E398" s="85"/>
      <c r="F398" s="62"/>
      <c r="G398" s="63"/>
      <c r="H398" s="85"/>
      <c r="I398" s="51" t="str">
        <f>IFERROR(VLOOKUP(A398,Internal_lists_bugs!$A$2:$G1058,7,FALSE()),"please select a BUG ID")</f>
        <v>please select a BUG ID</v>
      </c>
      <c r="J398" s="85"/>
      <c r="K398" s="85"/>
    </row>
    <row r="399">
      <c r="A399" s="85"/>
      <c r="B399" s="59"/>
      <c r="C399" s="51" t="str">
        <f>IFERROR(VLOOKUP(A399,Internal_lists_bugs!$A$2:$T1058,20,FALSE()),"please select a BUG ID")</f>
        <v>please select a BUG ID</v>
      </c>
      <c r="D399" s="93"/>
      <c r="E399" s="85"/>
      <c r="F399" s="62"/>
      <c r="G399" s="63"/>
      <c r="H399" s="85"/>
      <c r="I399" s="51" t="str">
        <f>IFERROR(VLOOKUP(A399,Internal_lists_bugs!$A$2:$G1058,7,FALSE()),"please select a BUG ID")</f>
        <v>please select a BUG ID</v>
      </c>
      <c r="J399" s="85"/>
      <c r="K399" s="85"/>
    </row>
    <row r="400">
      <c r="A400" s="85"/>
      <c r="B400" s="59"/>
      <c r="C400" s="51" t="str">
        <f>IFERROR(VLOOKUP(A400,Internal_lists_bugs!$A$2:$T1058,20,FALSE()),"please select a BUG ID")</f>
        <v>please select a BUG ID</v>
      </c>
      <c r="D400" s="93"/>
      <c r="E400" s="85"/>
      <c r="F400" s="62"/>
      <c r="G400" s="63"/>
      <c r="H400" s="85"/>
      <c r="I400" s="51" t="str">
        <f>IFERROR(VLOOKUP(A400,Internal_lists_bugs!$A$2:$G1058,7,FALSE()),"please select a BUG ID")</f>
        <v>please select a BUG ID</v>
      </c>
      <c r="J400" s="85"/>
      <c r="K400" s="85"/>
    </row>
    <row r="401">
      <c r="A401" s="85"/>
      <c r="B401" s="59"/>
      <c r="C401" s="51" t="str">
        <f>IFERROR(VLOOKUP(A401,Internal_lists_bugs!$A$2:$T1058,20,FALSE()),"please select a BUG ID")</f>
        <v>please select a BUG ID</v>
      </c>
      <c r="D401" s="93"/>
      <c r="E401" s="85"/>
      <c r="F401" s="62"/>
      <c r="G401" s="63"/>
      <c r="H401" s="85"/>
      <c r="I401" s="51" t="str">
        <f>IFERROR(VLOOKUP(A401,Internal_lists_bugs!$A$2:$G1058,7,FALSE()),"please select a BUG ID")</f>
        <v>please select a BUG ID</v>
      </c>
      <c r="J401" s="85"/>
      <c r="K401" s="85"/>
    </row>
    <row r="402">
      <c r="A402" s="85"/>
      <c r="B402" s="59"/>
      <c r="C402" s="51" t="str">
        <f>IFERROR(VLOOKUP(A402,Internal_lists_bugs!$A$2:$T1058,20,FALSE()),"please select a BUG ID")</f>
        <v>please select a BUG ID</v>
      </c>
      <c r="D402" s="93"/>
      <c r="E402" s="85"/>
      <c r="F402" s="62"/>
      <c r="G402" s="63"/>
      <c r="H402" s="85"/>
      <c r="I402" s="51" t="str">
        <f>IFERROR(VLOOKUP(A402,Internal_lists_bugs!$A$2:$G1058,7,FALSE()),"please select a BUG ID")</f>
        <v>please select a BUG ID</v>
      </c>
      <c r="J402" s="85"/>
      <c r="K402" s="85"/>
    </row>
    <row r="403">
      <c r="A403" s="85"/>
      <c r="B403" s="59"/>
      <c r="C403" s="51" t="str">
        <f>IFERROR(VLOOKUP(A403,Internal_lists_bugs!$A$2:$T1058,20,FALSE()),"please select a BUG ID")</f>
        <v>please select a BUG ID</v>
      </c>
      <c r="D403" s="93"/>
      <c r="E403" s="85"/>
      <c r="F403" s="62"/>
      <c r="G403" s="63"/>
      <c r="H403" s="85"/>
      <c r="I403" s="51" t="str">
        <f>IFERROR(VLOOKUP(A403,Internal_lists_bugs!$A$2:$G1058,7,FALSE()),"please select a BUG ID")</f>
        <v>please select a BUG ID</v>
      </c>
      <c r="J403" s="85"/>
      <c r="K403" s="85"/>
    </row>
    <row r="404">
      <c r="A404" s="85"/>
      <c r="B404" s="59"/>
      <c r="C404" s="51" t="str">
        <f>IFERROR(VLOOKUP(A404,Internal_lists_bugs!$A$2:$T1058,20,FALSE()),"please select a BUG ID")</f>
        <v>please select a BUG ID</v>
      </c>
      <c r="D404" s="93"/>
      <c r="E404" s="85"/>
      <c r="F404" s="62"/>
      <c r="G404" s="63"/>
      <c r="H404" s="85"/>
      <c r="I404" s="51" t="str">
        <f>IFERROR(VLOOKUP(A404,Internal_lists_bugs!$A$2:$G1058,7,FALSE()),"please select a BUG ID")</f>
        <v>please select a BUG ID</v>
      </c>
      <c r="J404" s="85"/>
      <c r="K404" s="85"/>
    </row>
    <row r="405">
      <c r="A405" s="85"/>
      <c r="B405" s="59"/>
      <c r="C405" s="51" t="str">
        <f>IFERROR(VLOOKUP(A405,Internal_lists_bugs!$A$2:$T1058,20,FALSE()),"please select a BUG ID")</f>
        <v>please select a BUG ID</v>
      </c>
      <c r="D405" s="93"/>
      <c r="E405" s="85"/>
      <c r="F405" s="62"/>
      <c r="G405" s="63"/>
      <c r="H405" s="85"/>
      <c r="I405" s="51" t="str">
        <f>IFERROR(VLOOKUP(A405,Internal_lists_bugs!$A$2:$G1058,7,FALSE()),"please select a BUG ID")</f>
        <v>please select a BUG ID</v>
      </c>
      <c r="J405" s="85"/>
      <c r="K405" s="85"/>
    </row>
    <row r="406">
      <c r="A406" s="85"/>
      <c r="B406" s="59"/>
      <c r="C406" s="51" t="str">
        <f>IFERROR(VLOOKUP(A406,Internal_lists_bugs!$A$2:$T1058,20,FALSE()),"please select a BUG ID")</f>
        <v>please select a BUG ID</v>
      </c>
      <c r="D406" s="93"/>
      <c r="E406" s="85"/>
      <c r="F406" s="62"/>
      <c r="G406" s="63"/>
      <c r="H406" s="85"/>
      <c r="I406" s="51" t="str">
        <f>IFERROR(VLOOKUP(A406,Internal_lists_bugs!$A$2:$G1058,7,FALSE()),"please select a BUG ID")</f>
        <v>please select a BUG ID</v>
      </c>
      <c r="J406" s="85"/>
      <c r="K406" s="85"/>
    </row>
    <row r="407">
      <c r="A407" s="85"/>
      <c r="B407" s="59"/>
      <c r="C407" s="51" t="str">
        <f>IFERROR(VLOOKUP(A407,Internal_lists_bugs!$A$2:$T1058,20,FALSE()),"please select a BUG ID")</f>
        <v>please select a BUG ID</v>
      </c>
      <c r="D407" s="93"/>
      <c r="E407" s="85"/>
      <c r="F407" s="62"/>
      <c r="G407" s="63"/>
      <c r="H407" s="85"/>
      <c r="I407" s="51" t="str">
        <f>IFERROR(VLOOKUP(A407,Internal_lists_bugs!$A$2:$G1058,7,FALSE()),"please select a BUG ID")</f>
        <v>please select a BUG ID</v>
      </c>
      <c r="J407" s="85"/>
      <c r="K407" s="85"/>
    </row>
    <row r="408">
      <c r="A408" s="85"/>
      <c r="B408" s="59"/>
      <c r="C408" s="51" t="str">
        <f>IFERROR(VLOOKUP(A408,Internal_lists_bugs!$A$2:$T1058,20,FALSE()),"please select a BUG ID")</f>
        <v>please select a BUG ID</v>
      </c>
      <c r="D408" s="93"/>
      <c r="E408" s="85"/>
      <c r="F408" s="62"/>
      <c r="G408" s="63"/>
      <c r="H408" s="85"/>
      <c r="I408" s="51" t="str">
        <f>IFERROR(VLOOKUP(A408,Internal_lists_bugs!$A$2:$G1058,7,FALSE()),"please select a BUG ID")</f>
        <v>please select a BUG ID</v>
      </c>
      <c r="J408" s="85"/>
      <c r="K408" s="85"/>
    </row>
    <row r="409">
      <c r="A409" s="85"/>
      <c r="B409" s="59"/>
      <c r="C409" s="51" t="str">
        <f>IFERROR(VLOOKUP(A409,Internal_lists_bugs!$A$2:$T1058,20,FALSE()),"please select a BUG ID")</f>
        <v>please select a BUG ID</v>
      </c>
      <c r="D409" s="93"/>
      <c r="E409" s="85"/>
      <c r="F409" s="62"/>
      <c r="G409" s="63"/>
      <c r="H409" s="85"/>
      <c r="I409" s="51" t="str">
        <f>IFERROR(VLOOKUP(A409,Internal_lists_bugs!$A$2:$G1058,7,FALSE()),"please select a BUG ID")</f>
        <v>please select a BUG ID</v>
      </c>
      <c r="J409" s="85"/>
      <c r="K409" s="85"/>
    </row>
    <row r="410">
      <c r="A410" s="85"/>
      <c r="B410" s="59"/>
      <c r="C410" s="51" t="str">
        <f>IFERROR(VLOOKUP(A410,Internal_lists_bugs!$A$2:$T1058,20,FALSE()),"please select a BUG ID")</f>
        <v>please select a BUG ID</v>
      </c>
      <c r="D410" s="93"/>
      <c r="E410" s="85"/>
      <c r="F410" s="62"/>
      <c r="G410" s="63"/>
      <c r="H410" s="85"/>
      <c r="I410" s="51" t="str">
        <f>IFERROR(VLOOKUP(A410,Internal_lists_bugs!$A$2:$G1058,7,FALSE()),"please select a BUG ID")</f>
        <v>please select a BUG ID</v>
      </c>
      <c r="J410" s="85"/>
      <c r="K410" s="85"/>
    </row>
    <row r="411">
      <c r="A411" s="85"/>
      <c r="B411" s="59"/>
      <c r="C411" s="51" t="str">
        <f>IFERROR(VLOOKUP(A411,Internal_lists_bugs!$A$2:$T1058,20,FALSE()),"please select a BUG ID")</f>
        <v>please select a BUG ID</v>
      </c>
      <c r="D411" s="93"/>
      <c r="E411" s="85"/>
      <c r="F411" s="62"/>
      <c r="G411" s="63"/>
      <c r="H411" s="85"/>
      <c r="I411" s="51" t="str">
        <f>IFERROR(VLOOKUP(A411,Internal_lists_bugs!$A$2:$G1058,7,FALSE()),"please select a BUG ID")</f>
        <v>please select a BUG ID</v>
      </c>
      <c r="J411" s="85"/>
      <c r="K411" s="85"/>
    </row>
    <row r="412">
      <c r="A412" s="85"/>
      <c r="B412" s="59"/>
      <c r="C412" s="51" t="str">
        <f>IFERROR(VLOOKUP(A412,Internal_lists_bugs!$A$2:$T1058,20,FALSE()),"please select a BUG ID")</f>
        <v>please select a BUG ID</v>
      </c>
      <c r="D412" s="93"/>
      <c r="E412" s="85"/>
      <c r="F412" s="62"/>
      <c r="G412" s="63"/>
      <c r="H412" s="85"/>
      <c r="I412" s="51" t="str">
        <f>IFERROR(VLOOKUP(A412,Internal_lists_bugs!$A$2:$G1058,7,FALSE()),"please select a BUG ID")</f>
        <v>please select a BUG ID</v>
      </c>
      <c r="J412" s="85"/>
      <c r="K412" s="85"/>
    </row>
    <row r="413">
      <c r="A413" s="85"/>
      <c r="B413" s="59"/>
      <c r="C413" s="51" t="str">
        <f>IFERROR(VLOOKUP(A413,Internal_lists_bugs!$A$2:$T1058,20,FALSE()),"please select a BUG ID")</f>
        <v>please select a BUG ID</v>
      </c>
      <c r="D413" s="93"/>
      <c r="E413" s="85"/>
      <c r="F413" s="62"/>
      <c r="G413" s="63"/>
      <c r="H413" s="85"/>
      <c r="I413" s="51" t="str">
        <f>IFERROR(VLOOKUP(A413,Internal_lists_bugs!$A$2:$G1058,7,FALSE()),"please select a BUG ID")</f>
        <v>please select a BUG ID</v>
      </c>
      <c r="J413" s="85"/>
      <c r="K413" s="85"/>
    </row>
    <row r="414">
      <c r="A414" s="85"/>
      <c r="B414" s="59"/>
      <c r="C414" s="51" t="str">
        <f>IFERROR(VLOOKUP(A414,Internal_lists_bugs!$A$2:$T1058,20,FALSE()),"please select a BUG ID")</f>
        <v>please select a BUG ID</v>
      </c>
      <c r="D414" s="93"/>
      <c r="E414" s="85"/>
      <c r="F414" s="62"/>
      <c r="G414" s="63"/>
      <c r="H414" s="85"/>
      <c r="I414" s="51" t="str">
        <f>IFERROR(VLOOKUP(A414,Internal_lists_bugs!$A$2:$G1058,7,FALSE()),"please select a BUG ID")</f>
        <v>please select a BUG ID</v>
      </c>
      <c r="J414" s="85"/>
      <c r="K414" s="85"/>
    </row>
    <row r="415">
      <c r="A415" s="85"/>
      <c r="B415" s="59"/>
      <c r="C415" s="51" t="str">
        <f>IFERROR(VLOOKUP(A415,Internal_lists_bugs!$A$2:$T1058,20,FALSE()),"please select a BUG ID")</f>
        <v>please select a BUG ID</v>
      </c>
      <c r="D415" s="93"/>
      <c r="E415" s="85"/>
      <c r="F415" s="62"/>
      <c r="G415" s="63"/>
      <c r="H415" s="85"/>
      <c r="I415" s="51" t="str">
        <f>IFERROR(VLOOKUP(A415,Internal_lists_bugs!$A$2:$G1058,7,FALSE()),"please select a BUG ID")</f>
        <v>please select a BUG ID</v>
      </c>
      <c r="J415" s="85"/>
      <c r="K415" s="85"/>
    </row>
    <row r="416">
      <c r="A416" s="85"/>
      <c r="B416" s="59"/>
      <c r="C416" s="51" t="str">
        <f>IFERROR(VLOOKUP(A416,Internal_lists_bugs!$A$2:$T1058,20,FALSE()),"please select a BUG ID")</f>
        <v>please select a BUG ID</v>
      </c>
      <c r="D416" s="93"/>
      <c r="E416" s="85"/>
      <c r="F416" s="62"/>
      <c r="G416" s="63"/>
      <c r="H416" s="85"/>
      <c r="I416" s="51" t="str">
        <f>IFERROR(VLOOKUP(A416,Internal_lists_bugs!$A$2:$G1058,7,FALSE()),"please select a BUG ID")</f>
        <v>please select a BUG ID</v>
      </c>
      <c r="J416" s="85"/>
      <c r="K416" s="85"/>
    </row>
    <row r="417">
      <c r="A417" s="85"/>
      <c r="B417" s="59"/>
      <c r="C417" s="51" t="str">
        <f>IFERROR(VLOOKUP(A417,Internal_lists_bugs!$A$2:$T1058,20,FALSE()),"please select a BUG ID")</f>
        <v>please select a BUG ID</v>
      </c>
      <c r="D417" s="93"/>
      <c r="E417" s="85"/>
      <c r="F417" s="62"/>
      <c r="G417" s="63"/>
      <c r="H417" s="85"/>
      <c r="I417" s="51" t="str">
        <f>IFERROR(VLOOKUP(A417,Internal_lists_bugs!$A$2:$G1058,7,FALSE()),"please select a BUG ID")</f>
        <v>please select a BUG ID</v>
      </c>
      <c r="J417" s="85"/>
      <c r="K417" s="85"/>
    </row>
    <row r="418">
      <c r="A418" s="85"/>
      <c r="B418" s="59"/>
      <c r="C418" s="51" t="str">
        <f>IFERROR(VLOOKUP(A418,Internal_lists_bugs!$A$2:$T1058,20,FALSE()),"please select a BUG ID")</f>
        <v>please select a BUG ID</v>
      </c>
      <c r="D418" s="93"/>
      <c r="E418" s="85"/>
      <c r="F418" s="62"/>
      <c r="G418" s="63"/>
      <c r="H418" s="85"/>
      <c r="I418" s="51" t="str">
        <f>IFERROR(VLOOKUP(A418,Internal_lists_bugs!$A$2:$G1058,7,FALSE()),"please select a BUG ID")</f>
        <v>please select a BUG ID</v>
      </c>
      <c r="J418" s="85"/>
      <c r="K418" s="85"/>
    </row>
    <row r="419">
      <c r="A419" s="85"/>
      <c r="B419" s="59"/>
      <c r="C419" s="51" t="str">
        <f>IFERROR(VLOOKUP(A419,Internal_lists_bugs!$A$2:$T1058,20,FALSE()),"please select a BUG ID")</f>
        <v>please select a BUG ID</v>
      </c>
      <c r="D419" s="93"/>
      <c r="E419" s="85"/>
      <c r="F419" s="62"/>
      <c r="G419" s="63"/>
      <c r="H419" s="85"/>
      <c r="I419" s="51" t="str">
        <f>IFERROR(VLOOKUP(A419,Internal_lists_bugs!$A$2:$G1058,7,FALSE()),"please select a BUG ID")</f>
        <v>please select a BUG ID</v>
      </c>
      <c r="J419" s="85"/>
      <c r="K419" s="85"/>
    </row>
    <row r="420">
      <c r="A420" s="85"/>
      <c r="B420" s="59"/>
      <c r="C420" s="51" t="str">
        <f>IFERROR(VLOOKUP(A420,Internal_lists_bugs!$A$2:$T1058,20,FALSE()),"please select a BUG ID")</f>
        <v>please select a BUG ID</v>
      </c>
      <c r="D420" s="93"/>
      <c r="E420" s="85"/>
      <c r="F420" s="62"/>
      <c r="G420" s="63"/>
      <c r="H420" s="85"/>
      <c r="I420" s="51" t="str">
        <f>IFERROR(VLOOKUP(A420,Internal_lists_bugs!$A$2:$G1058,7,FALSE()),"please select a BUG ID")</f>
        <v>please select a BUG ID</v>
      </c>
      <c r="J420" s="85"/>
      <c r="K420" s="85"/>
    </row>
    <row r="421">
      <c r="A421" s="85"/>
      <c r="B421" s="59"/>
      <c r="C421" s="51" t="str">
        <f>IFERROR(VLOOKUP(A421,Internal_lists_bugs!$A$2:$T1058,20,FALSE()),"please select a BUG ID")</f>
        <v>please select a BUG ID</v>
      </c>
      <c r="D421" s="93"/>
      <c r="E421" s="85"/>
      <c r="F421" s="62"/>
      <c r="G421" s="63"/>
      <c r="H421" s="85"/>
      <c r="I421" s="51" t="str">
        <f>IFERROR(VLOOKUP(A421,Internal_lists_bugs!$A$2:$G1058,7,FALSE()),"please select a BUG ID")</f>
        <v>please select a BUG ID</v>
      </c>
      <c r="J421" s="85"/>
      <c r="K421" s="85"/>
    </row>
    <row r="422">
      <c r="A422" s="85"/>
      <c r="B422" s="59"/>
      <c r="C422" s="51" t="str">
        <f>IFERROR(VLOOKUP(A422,Internal_lists_bugs!$A$2:$T1058,20,FALSE()),"please select a BUG ID")</f>
        <v>please select a BUG ID</v>
      </c>
      <c r="D422" s="93"/>
      <c r="E422" s="85"/>
      <c r="F422" s="62"/>
      <c r="G422" s="63"/>
      <c r="H422" s="85"/>
      <c r="I422" s="51" t="str">
        <f>IFERROR(VLOOKUP(A422,Internal_lists_bugs!$A$2:$G1058,7,FALSE()),"please select a BUG ID")</f>
        <v>please select a BUG ID</v>
      </c>
      <c r="J422" s="85"/>
      <c r="K422" s="85"/>
    </row>
    <row r="423">
      <c r="A423" s="85"/>
      <c r="B423" s="59"/>
      <c r="C423" s="51" t="str">
        <f>IFERROR(VLOOKUP(A423,Internal_lists_bugs!$A$2:$T1058,20,FALSE()),"please select a BUG ID")</f>
        <v>please select a BUG ID</v>
      </c>
      <c r="D423" s="93"/>
      <c r="E423" s="85"/>
      <c r="F423" s="62"/>
      <c r="G423" s="63"/>
      <c r="H423" s="85"/>
      <c r="I423" s="51" t="str">
        <f>IFERROR(VLOOKUP(A423,Internal_lists_bugs!$A$2:$G1058,7,FALSE()),"please select a BUG ID")</f>
        <v>please select a BUG ID</v>
      </c>
      <c r="J423" s="85"/>
      <c r="K423" s="85"/>
    </row>
    <row r="424">
      <c r="A424" s="85"/>
      <c r="B424" s="59"/>
      <c r="C424" s="51" t="str">
        <f>IFERROR(VLOOKUP(A424,Internal_lists_bugs!$A$2:$T1058,20,FALSE()),"please select a BUG ID")</f>
        <v>please select a BUG ID</v>
      </c>
      <c r="D424" s="93"/>
      <c r="E424" s="85"/>
      <c r="F424" s="62"/>
      <c r="G424" s="63"/>
      <c r="H424" s="85"/>
      <c r="I424" s="51" t="str">
        <f>IFERROR(VLOOKUP(A424,Internal_lists_bugs!$A$2:$G1058,7,FALSE()),"please select a BUG ID")</f>
        <v>please select a BUG ID</v>
      </c>
      <c r="J424" s="85"/>
      <c r="K424" s="85"/>
    </row>
    <row r="425">
      <c r="A425" s="85"/>
      <c r="B425" s="59"/>
      <c r="C425" s="51" t="str">
        <f>IFERROR(VLOOKUP(A425,Internal_lists_bugs!$A$2:$T1058,20,FALSE()),"please select a BUG ID")</f>
        <v>please select a BUG ID</v>
      </c>
      <c r="D425" s="93"/>
      <c r="E425" s="85"/>
      <c r="F425" s="62"/>
      <c r="G425" s="63"/>
      <c r="H425" s="85"/>
      <c r="I425" s="51" t="str">
        <f>IFERROR(VLOOKUP(A425,Internal_lists_bugs!$A$2:$G1058,7,FALSE()),"please select a BUG ID")</f>
        <v>please select a BUG ID</v>
      </c>
      <c r="J425" s="85"/>
      <c r="K425" s="85"/>
    </row>
    <row r="426">
      <c r="A426" s="85"/>
      <c r="B426" s="59"/>
      <c r="C426" s="51" t="str">
        <f>IFERROR(VLOOKUP(A426,Internal_lists_bugs!$A$2:$T1058,20,FALSE()),"please select a BUG ID")</f>
        <v>please select a BUG ID</v>
      </c>
      <c r="D426" s="93"/>
      <c r="E426" s="85"/>
      <c r="F426" s="62"/>
      <c r="G426" s="63"/>
      <c r="H426" s="85"/>
      <c r="I426" s="51" t="str">
        <f>IFERROR(VLOOKUP(A426,Internal_lists_bugs!$A$2:$G1058,7,FALSE()),"please select a BUG ID")</f>
        <v>please select a BUG ID</v>
      </c>
      <c r="J426" s="85"/>
      <c r="K426" s="85"/>
    </row>
    <row r="427">
      <c r="A427" s="85"/>
      <c r="B427" s="59"/>
      <c r="C427" s="51" t="str">
        <f>IFERROR(VLOOKUP(A427,Internal_lists_bugs!$A$2:$T1058,20,FALSE()),"please select a BUG ID")</f>
        <v>please select a BUG ID</v>
      </c>
      <c r="D427" s="93"/>
      <c r="E427" s="85"/>
      <c r="F427" s="62"/>
      <c r="G427" s="63"/>
      <c r="H427" s="85"/>
      <c r="I427" s="51" t="str">
        <f>IFERROR(VLOOKUP(A427,Internal_lists_bugs!$A$2:$G1058,7,FALSE()),"please select a BUG ID")</f>
        <v>please select a BUG ID</v>
      </c>
      <c r="J427" s="85"/>
      <c r="K427" s="85"/>
    </row>
    <row r="428">
      <c r="A428" s="85"/>
      <c r="B428" s="59"/>
      <c r="C428" s="51" t="str">
        <f>IFERROR(VLOOKUP(A428,Internal_lists_bugs!$A$2:$T1058,20,FALSE()),"please select a BUG ID")</f>
        <v>please select a BUG ID</v>
      </c>
      <c r="D428" s="93"/>
      <c r="E428" s="85"/>
      <c r="F428" s="62"/>
      <c r="G428" s="63"/>
      <c r="H428" s="85"/>
      <c r="I428" s="51" t="str">
        <f>IFERROR(VLOOKUP(A428,Internal_lists_bugs!$A$2:$G1058,7,FALSE()),"please select a BUG ID")</f>
        <v>please select a BUG ID</v>
      </c>
      <c r="J428" s="85"/>
      <c r="K428" s="85"/>
    </row>
    <row r="429">
      <c r="A429" s="85"/>
      <c r="B429" s="59"/>
      <c r="C429" s="51" t="str">
        <f>IFERROR(VLOOKUP(A429,Internal_lists_bugs!$A$2:$T1058,20,FALSE()),"please select a BUG ID")</f>
        <v>please select a BUG ID</v>
      </c>
      <c r="D429" s="93"/>
      <c r="E429" s="85"/>
      <c r="F429" s="62"/>
      <c r="G429" s="63"/>
      <c r="H429" s="85"/>
      <c r="I429" s="51" t="str">
        <f>IFERROR(VLOOKUP(A429,Internal_lists_bugs!$A$2:$G1058,7,FALSE()),"please select a BUG ID")</f>
        <v>please select a BUG ID</v>
      </c>
      <c r="J429" s="85"/>
      <c r="K429" s="85"/>
    </row>
    <row r="430">
      <c r="A430" s="85"/>
      <c r="B430" s="59"/>
      <c r="C430" s="51" t="str">
        <f>IFERROR(VLOOKUP(A430,Internal_lists_bugs!$A$2:$T1058,20,FALSE()),"please select a BUG ID")</f>
        <v>please select a BUG ID</v>
      </c>
      <c r="D430" s="93"/>
      <c r="E430" s="85"/>
      <c r="F430" s="62"/>
      <c r="G430" s="63"/>
      <c r="H430" s="85"/>
      <c r="I430" s="51" t="str">
        <f>IFERROR(VLOOKUP(A430,Internal_lists_bugs!$A$2:$G1058,7,FALSE()),"please select a BUG ID")</f>
        <v>please select a BUG ID</v>
      </c>
      <c r="J430" s="85"/>
      <c r="K430" s="85"/>
    </row>
    <row r="431">
      <c r="A431" s="85"/>
      <c r="B431" s="59"/>
      <c r="C431" s="51" t="str">
        <f>IFERROR(VLOOKUP(A431,Internal_lists_bugs!$A$2:$T1058,20,FALSE()),"please select a BUG ID")</f>
        <v>please select a BUG ID</v>
      </c>
      <c r="D431" s="93"/>
      <c r="E431" s="85"/>
      <c r="F431" s="62"/>
      <c r="G431" s="63"/>
      <c r="H431" s="85"/>
      <c r="I431" s="51" t="str">
        <f>IFERROR(VLOOKUP(A431,Internal_lists_bugs!$A$2:$G1058,7,FALSE()),"please select a BUG ID")</f>
        <v>please select a BUG ID</v>
      </c>
      <c r="J431" s="85"/>
      <c r="K431" s="85"/>
    </row>
    <row r="432">
      <c r="A432" s="85"/>
      <c r="B432" s="59"/>
      <c r="C432" s="51" t="str">
        <f>IFERROR(VLOOKUP(A432,Internal_lists_bugs!$A$2:$T1058,20,FALSE()),"please select a BUG ID")</f>
        <v>please select a BUG ID</v>
      </c>
      <c r="D432" s="93"/>
      <c r="E432" s="85"/>
      <c r="F432" s="62"/>
      <c r="G432" s="63"/>
      <c r="H432" s="85"/>
      <c r="I432" s="51" t="str">
        <f>IFERROR(VLOOKUP(A432,Internal_lists_bugs!$A$2:$G1058,7,FALSE()),"please select a BUG ID")</f>
        <v>please select a BUG ID</v>
      </c>
      <c r="J432" s="85"/>
      <c r="K432" s="85"/>
    </row>
    <row r="433">
      <c r="A433" s="85"/>
      <c r="B433" s="59"/>
      <c r="C433" s="51" t="str">
        <f>IFERROR(VLOOKUP(A433,Internal_lists_bugs!$A$2:$T1058,20,FALSE()),"please select a BUG ID")</f>
        <v>please select a BUG ID</v>
      </c>
      <c r="D433" s="93"/>
      <c r="E433" s="85"/>
      <c r="F433" s="62"/>
      <c r="G433" s="63"/>
      <c r="H433" s="85"/>
      <c r="I433" s="51" t="str">
        <f>IFERROR(VLOOKUP(A433,Internal_lists_bugs!$A$2:$G1058,7,FALSE()),"please select a BUG ID")</f>
        <v>please select a BUG ID</v>
      </c>
      <c r="J433" s="85"/>
      <c r="K433" s="85"/>
    </row>
    <row r="434">
      <c r="A434" s="85"/>
      <c r="B434" s="59"/>
      <c r="C434" s="51" t="str">
        <f>IFERROR(VLOOKUP(A434,Internal_lists_bugs!$A$2:$T1058,20,FALSE()),"please select a BUG ID")</f>
        <v>please select a BUG ID</v>
      </c>
      <c r="D434" s="93"/>
      <c r="E434" s="85"/>
      <c r="F434" s="62"/>
      <c r="G434" s="63"/>
      <c r="H434" s="85"/>
      <c r="I434" s="51" t="str">
        <f>IFERROR(VLOOKUP(A434,Internal_lists_bugs!$A$2:$G1058,7,FALSE()),"please select a BUG ID")</f>
        <v>please select a BUG ID</v>
      </c>
      <c r="J434" s="85"/>
      <c r="K434" s="85"/>
    </row>
    <row r="435">
      <c r="A435" s="85"/>
      <c r="B435" s="59"/>
      <c r="C435" s="51" t="str">
        <f>IFERROR(VLOOKUP(A435,Internal_lists_bugs!$A$2:$T1058,20,FALSE()),"please select a BUG ID")</f>
        <v>please select a BUG ID</v>
      </c>
      <c r="D435" s="93"/>
      <c r="E435" s="85"/>
      <c r="F435" s="62"/>
      <c r="G435" s="63"/>
      <c r="H435" s="85"/>
      <c r="I435" s="51" t="str">
        <f>IFERROR(VLOOKUP(A435,Internal_lists_bugs!$A$2:$G1058,7,FALSE()),"please select a BUG ID")</f>
        <v>please select a BUG ID</v>
      </c>
      <c r="J435" s="85"/>
      <c r="K435" s="85"/>
    </row>
    <row r="436">
      <c r="A436" s="85"/>
      <c r="B436" s="59"/>
      <c r="C436" s="51" t="str">
        <f>IFERROR(VLOOKUP(A436,Internal_lists_bugs!$A$2:$T1058,20,FALSE()),"please select a BUG ID")</f>
        <v>please select a BUG ID</v>
      </c>
      <c r="D436" s="93"/>
      <c r="E436" s="85"/>
      <c r="F436" s="62"/>
      <c r="G436" s="63"/>
      <c r="H436" s="85"/>
      <c r="I436" s="51" t="str">
        <f>IFERROR(VLOOKUP(A436,Internal_lists_bugs!$A$2:$G1058,7,FALSE()),"please select a BUG ID")</f>
        <v>please select a BUG ID</v>
      </c>
      <c r="J436" s="85"/>
      <c r="K436" s="85"/>
    </row>
    <row r="437">
      <c r="A437" s="85"/>
      <c r="B437" s="59"/>
      <c r="C437" s="51" t="str">
        <f>IFERROR(VLOOKUP(A437,Internal_lists_bugs!$A$2:$T1058,20,FALSE()),"please select a BUG ID")</f>
        <v>please select a BUG ID</v>
      </c>
      <c r="D437" s="93"/>
      <c r="E437" s="85"/>
      <c r="F437" s="62"/>
      <c r="G437" s="63"/>
      <c r="H437" s="85"/>
      <c r="I437" s="51" t="str">
        <f>IFERROR(VLOOKUP(A437,Internal_lists_bugs!$A$2:$G1058,7,FALSE()),"please select a BUG ID")</f>
        <v>please select a BUG ID</v>
      </c>
      <c r="J437" s="85"/>
      <c r="K437" s="85"/>
    </row>
    <row r="438">
      <c r="A438" s="85"/>
      <c r="B438" s="59"/>
      <c r="C438" s="51" t="str">
        <f>IFERROR(VLOOKUP(A438,Internal_lists_bugs!$A$2:$T1058,20,FALSE()),"please select a BUG ID")</f>
        <v>please select a BUG ID</v>
      </c>
      <c r="D438" s="93"/>
      <c r="E438" s="85"/>
      <c r="F438" s="62"/>
      <c r="G438" s="63"/>
      <c r="H438" s="85"/>
      <c r="I438" s="51" t="str">
        <f>IFERROR(VLOOKUP(A438,Internal_lists_bugs!$A$2:$G1058,7,FALSE()),"please select a BUG ID")</f>
        <v>please select a BUG ID</v>
      </c>
      <c r="J438" s="85"/>
      <c r="K438" s="85"/>
    </row>
    <row r="439">
      <c r="A439" s="85"/>
      <c r="B439" s="59"/>
      <c r="C439" s="51" t="str">
        <f>IFERROR(VLOOKUP(A439,Internal_lists_bugs!$A$2:$T1058,20,FALSE()),"please select a BUG ID")</f>
        <v>please select a BUG ID</v>
      </c>
      <c r="D439" s="93"/>
      <c r="E439" s="85"/>
      <c r="F439" s="62"/>
      <c r="G439" s="63"/>
      <c r="H439" s="85"/>
      <c r="I439" s="51" t="str">
        <f>IFERROR(VLOOKUP(A439,Internal_lists_bugs!$A$2:$G1058,7,FALSE()),"please select a BUG ID")</f>
        <v>please select a BUG ID</v>
      </c>
      <c r="J439" s="85"/>
      <c r="K439" s="85"/>
    </row>
    <row r="440">
      <c r="A440" s="85"/>
      <c r="B440" s="59"/>
      <c r="C440" s="51" t="str">
        <f>IFERROR(VLOOKUP(A440,Internal_lists_bugs!$A$2:$T1058,20,FALSE()),"please select a BUG ID")</f>
        <v>please select a BUG ID</v>
      </c>
      <c r="D440" s="93"/>
      <c r="E440" s="85"/>
      <c r="F440" s="62"/>
      <c r="G440" s="63"/>
      <c r="H440" s="85"/>
      <c r="I440" s="51" t="str">
        <f>IFERROR(VLOOKUP(A440,Internal_lists_bugs!$A$2:$G1058,7,FALSE()),"please select a BUG ID")</f>
        <v>please select a BUG ID</v>
      </c>
      <c r="J440" s="85"/>
      <c r="K440" s="85"/>
    </row>
    <row r="441">
      <c r="A441" s="85"/>
      <c r="B441" s="59"/>
      <c r="C441" s="51" t="str">
        <f>IFERROR(VLOOKUP(A441,Internal_lists_bugs!$A$2:$T1058,20,FALSE()),"please select a BUG ID")</f>
        <v>please select a BUG ID</v>
      </c>
      <c r="D441" s="93"/>
      <c r="E441" s="85"/>
      <c r="F441" s="62"/>
      <c r="G441" s="63"/>
      <c r="H441" s="85"/>
      <c r="I441" s="51" t="str">
        <f>IFERROR(VLOOKUP(A441,Internal_lists_bugs!$A$2:$G1058,7,FALSE()),"please select a BUG ID")</f>
        <v>please select a BUG ID</v>
      </c>
      <c r="J441" s="85"/>
      <c r="K441" s="85"/>
    </row>
    <row r="442">
      <c r="A442" s="85"/>
      <c r="B442" s="59"/>
      <c r="C442" s="51" t="str">
        <f>IFERROR(VLOOKUP(A442,Internal_lists_bugs!$A$2:$T1058,20,FALSE()),"please select a BUG ID")</f>
        <v>please select a BUG ID</v>
      </c>
      <c r="D442" s="93"/>
      <c r="E442" s="85"/>
      <c r="F442" s="62"/>
      <c r="G442" s="63"/>
      <c r="H442" s="85"/>
      <c r="I442" s="51" t="str">
        <f>IFERROR(VLOOKUP(A442,Internal_lists_bugs!$A$2:$G1058,7,FALSE()),"please select a BUG ID")</f>
        <v>please select a BUG ID</v>
      </c>
      <c r="J442" s="85"/>
      <c r="K442" s="85"/>
    </row>
    <row r="443">
      <c r="A443" s="85"/>
      <c r="B443" s="59"/>
      <c r="C443" s="51" t="str">
        <f>IFERROR(VLOOKUP(A443,Internal_lists_bugs!$A$2:$T1058,20,FALSE()),"please select a BUG ID")</f>
        <v>please select a BUG ID</v>
      </c>
      <c r="D443" s="93"/>
      <c r="E443" s="85"/>
      <c r="F443" s="62"/>
      <c r="G443" s="63"/>
      <c r="H443" s="85"/>
      <c r="I443" s="51" t="str">
        <f>IFERROR(VLOOKUP(A443,Internal_lists_bugs!$A$2:$G1058,7,FALSE()),"please select a BUG ID")</f>
        <v>please select a BUG ID</v>
      </c>
      <c r="J443" s="85"/>
      <c r="K443" s="85"/>
    </row>
    <row r="444">
      <c r="A444" s="85"/>
      <c r="B444" s="59"/>
      <c r="C444" s="51" t="str">
        <f>IFERROR(VLOOKUP(A444,Internal_lists_bugs!$A$2:$T1058,20,FALSE()),"please select a BUG ID")</f>
        <v>please select a BUG ID</v>
      </c>
      <c r="D444" s="93"/>
      <c r="E444" s="85"/>
      <c r="F444" s="62"/>
      <c r="G444" s="63"/>
      <c r="H444" s="85"/>
      <c r="I444" s="51" t="str">
        <f>IFERROR(VLOOKUP(A444,Internal_lists_bugs!$A$2:$G1058,7,FALSE()),"please select a BUG ID")</f>
        <v>please select a BUG ID</v>
      </c>
      <c r="J444" s="85"/>
      <c r="K444" s="85"/>
    </row>
    <row r="445">
      <c r="A445" s="85"/>
      <c r="B445" s="59"/>
      <c r="C445" s="51" t="str">
        <f>IFERROR(VLOOKUP(A445,Internal_lists_bugs!$A$2:$T1058,20,FALSE()),"please select a BUG ID")</f>
        <v>please select a BUG ID</v>
      </c>
      <c r="D445" s="93"/>
      <c r="E445" s="85"/>
      <c r="F445" s="62"/>
      <c r="G445" s="63"/>
      <c r="H445" s="85"/>
      <c r="I445" s="51" t="str">
        <f>IFERROR(VLOOKUP(A445,Internal_lists_bugs!$A$2:$G1058,7,FALSE()),"please select a BUG ID")</f>
        <v>please select a BUG ID</v>
      </c>
      <c r="J445" s="85"/>
      <c r="K445" s="85"/>
    </row>
    <row r="446">
      <c r="A446" s="85"/>
      <c r="B446" s="59"/>
      <c r="C446" s="51" t="str">
        <f>IFERROR(VLOOKUP(A446,Internal_lists_bugs!$A$2:$T1058,20,FALSE()),"please select a BUG ID")</f>
        <v>please select a BUG ID</v>
      </c>
      <c r="D446" s="93"/>
      <c r="E446" s="85"/>
      <c r="F446" s="62"/>
      <c r="G446" s="63"/>
      <c r="H446" s="85"/>
      <c r="I446" s="51" t="str">
        <f>IFERROR(VLOOKUP(A446,Internal_lists_bugs!$A$2:$G1058,7,FALSE()),"please select a BUG ID")</f>
        <v>please select a BUG ID</v>
      </c>
      <c r="J446" s="85"/>
      <c r="K446" s="85"/>
    </row>
    <row r="447">
      <c r="A447" s="85"/>
      <c r="B447" s="59"/>
      <c r="C447" s="51" t="str">
        <f>IFERROR(VLOOKUP(A447,Internal_lists_bugs!$A$2:$T1058,20,FALSE()),"please select a BUG ID")</f>
        <v>please select a BUG ID</v>
      </c>
      <c r="D447" s="93"/>
      <c r="E447" s="85"/>
      <c r="F447" s="62"/>
      <c r="G447" s="63"/>
      <c r="H447" s="85"/>
      <c r="I447" s="51" t="str">
        <f>IFERROR(VLOOKUP(A447,Internal_lists_bugs!$A$2:$G1058,7,FALSE()),"please select a BUG ID")</f>
        <v>please select a BUG ID</v>
      </c>
      <c r="J447" s="85"/>
      <c r="K447" s="85"/>
    </row>
    <row r="448">
      <c r="A448" s="85"/>
      <c r="B448" s="59"/>
      <c r="C448" s="51" t="str">
        <f>IFERROR(VLOOKUP(A448,Internal_lists_bugs!$A$2:$T1058,20,FALSE()),"please select a BUG ID")</f>
        <v>please select a BUG ID</v>
      </c>
      <c r="D448" s="93"/>
      <c r="E448" s="85"/>
      <c r="F448" s="62"/>
      <c r="G448" s="63"/>
      <c r="H448" s="85"/>
      <c r="I448" s="51" t="str">
        <f>IFERROR(VLOOKUP(A448,Internal_lists_bugs!$A$2:$G1058,7,FALSE()),"please select a BUG ID")</f>
        <v>please select a BUG ID</v>
      </c>
      <c r="J448" s="85"/>
      <c r="K448" s="85"/>
    </row>
    <row r="449">
      <c r="A449" s="85"/>
      <c r="B449" s="59"/>
      <c r="C449" s="51" t="str">
        <f>IFERROR(VLOOKUP(A449,Internal_lists_bugs!$A$2:$T1058,20,FALSE()),"please select a BUG ID")</f>
        <v>please select a BUG ID</v>
      </c>
      <c r="D449" s="93"/>
      <c r="E449" s="85"/>
      <c r="F449" s="62"/>
      <c r="G449" s="63"/>
      <c r="H449" s="85"/>
      <c r="I449" s="51" t="str">
        <f>IFERROR(VLOOKUP(A449,Internal_lists_bugs!$A$2:$G1058,7,FALSE()),"please select a BUG ID")</f>
        <v>please select a BUG ID</v>
      </c>
      <c r="J449" s="85"/>
      <c r="K449" s="85"/>
    </row>
    <row r="450">
      <c r="A450" s="85"/>
      <c r="B450" s="59"/>
      <c r="C450" s="51" t="str">
        <f>IFERROR(VLOOKUP(A450,Internal_lists_bugs!$A$2:$T1058,20,FALSE()),"please select a BUG ID")</f>
        <v>please select a BUG ID</v>
      </c>
      <c r="D450" s="93"/>
      <c r="E450" s="85"/>
      <c r="F450" s="62"/>
      <c r="G450" s="63"/>
      <c r="H450" s="85"/>
      <c r="I450" s="51" t="str">
        <f>IFERROR(VLOOKUP(A450,Internal_lists_bugs!$A$2:$G1058,7,FALSE()),"please select a BUG ID")</f>
        <v>please select a BUG ID</v>
      </c>
      <c r="J450" s="85"/>
      <c r="K450" s="85"/>
    </row>
    <row r="451">
      <c r="A451" s="85"/>
      <c r="B451" s="59"/>
      <c r="C451" s="51" t="str">
        <f>IFERROR(VLOOKUP(A451,Internal_lists_bugs!$A$2:$T1058,20,FALSE()),"please select a BUG ID")</f>
        <v>please select a BUG ID</v>
      </c>
      <c r="D451" s="93"/>
      <c r="E451" s="85"/>
      <c r="F451" s="62"/>
      <c r="G451" s="63"/>
      <c r="H451" s="85"/>
      <c r="I451" s="51" t="str">
        <f>IFERROR(VLOOKUP(A451,Internal_lists_bugs!$A$2:$G1058,7,FALSE()),"please select a BUG ID")</f>
        <v>please select a BUG ID</v>
      </c>
      <c r="J451" s="85"/>
      <c r="K451" s="85"/>
    </row>
    <row r="452">
      <c r="A452" s="85"/>
      <c r="B452" s="59"/>
      <c r="C452" s="51" t="str">
        <f>IFERROR(VLOOKUP(A452,Internal_lists_bugs!$A$2:$T1058,20,FALSE()),"please select a BUG ID")</f>
        <v>please select a BUG ID</v>
      </c>
      <c r="D452" s="93"/>
      <c r="E452" s="85"/>
      <c r="F452" s="62"/>
      <c r="G452" s="63"/>
      <c r="H452" s="85"/>
      <c r="I452" s="51" t="str">
        <f>IFERROR(VLOOKUP(A452,Internal_lists_bugs!$A$2:$G1058,7,FALSE()),"please select a BUG ID")</f>
        <v>please select a BUG ID</v>
      </c>
      <c r="J452" s="85"/>
      <c r="K452" s="85"/>
    </row>
    <row r="453">
      <c r="A453" s="85"/>
      <c r="B453" s="59"/>
      <c r="C453" s="51" t="str">
        <f>IFERROR(VLOOKUP(A453,Internal_lists_bugs!$A$2:$T1058,20,FALSE()),"please select a BUG ID")</f>
        <v>please select a BUG ID</v>
      </c>
      <c r="D453" s="93"/>
      <c r="E453" s="85"/>
      <c r="F453" s="62"/>
      <c r="G453" s="63"/>
      <c r="H453" s="85"/>
      <c r="I453" s="51" t="str">
        <f>IFERROR(VLOOKUP(A453,Internal_lists_bugs!$A$2:$G1058,7,FALSE()),"please select a BUG ID")</f>
        <v>please select a BUG ID</v>
      </c>
      <c r="J453" s="85"/>
      <c r="K453" s="85"/>
    </row>
    <row r="454">
      <c r="A454" s="85"/>
      <c r="B454" s="59"/>
      <c r="C454" s="51" t="str">
        <f>IFERROR(VLOOKUP(A454,Internal_lists_bugs!$A$2:$T1058,20,FALSE()),"please select a BUG ID")</f>
        <v>please select a BUG ID</v>
      </c>
      <c r="D454" s="93"/>
      <c r="E454" s="85"/>
      <c r="F454" s="62"/>
      <c r="G454" s="63"/>
      <c r="H454" s="85"/>
      <c r="I454" s="51" t="str">
        <f>IFERROR(VLOOKUP(A454,Internal_lists_bugs!$A$2:$G1058,7,FALSE()),"please select a BUG ID")</f>
        <v>please select a BUG ID</v>
      </c>
      <c r="J454" s="85"/>
      <c r="K454" s="85"/>
    </row>
    <row r="455">
      <c r="A455" s="85"/>
      <c r="B455" s="59"/>
      <c r="C455" s="51" t="str">
        <f>IFERROR(VLOOKUP(A455,Internal_lists_bugs!$A$2:$T1058,20,FALSE()),"please select a BUG ID")</f>
        <v>please select a BUG ID</v>
      </c>
      <c r="D455" s="93"/>
      <c r="E455" s="85"/>
      <c r="F455" s="62"/>
      <c r="G455" s="63"/>
      <c r="H455" s="85"/>
      <c r="I455" s="51" t="str">
        <f>IFERROR(VLOOKUP(A455,Internal_lists_bugs!$A$2:$G1058,7,FALSE()),"please select a BUG ID")</f>
        <v>please select a BUG ID</v>
      </c>
      <c r="J455" s="85"/>
      <c r="K455" s="85"/>
    </row>
    <row r="456">
      <c r="A456" s="85"/>
      <c r="B456" s="59"/>
      <c r="C456" s="51" t="str">
        <f>IFERROR(VLOOKUP(A456,Internal_lists_bugs!$A$2:$T1058,20,FALSE()),"please select a BUG ID")</f>
        <v>please select a BUG ID</v>
      </c>
      <c r="D456" s="93"/>
      <c r="E456" s="85"/>
      <c r="F456" s="62"/>
      <c r="G456" s="63"/>
      <c r="H456" s="85"/>
      <c r="I456" s="51" t="str">
        <f>IFERROR(VLOOKUP(A456,Internal_lists_bugs!$A$2:$G1058,7,FALSE()),"please select a BUG ID")</f>
        <v>please select a BUG ID</v>
      </c>
      <c r="J456" s="85"/>
      <c r="K456" s="85"/>
    </row>
    <row r="457">
      <c r="A457" s="85"/>
      <c r="B457" s="59"/>
      <c r="C457" s="51" t="str">
        <f>IFERROR(VLOOKUP(A457,Internal_lists_bugs!$A$2:$T1058,20,FALSE()),"please select a BUG ID")</f>
        <v>please select a BUG ID</v>
      </c>
      <c r="D457" s="93"/>
      <c r="E457" s="85"/>
      <c r="F457" s="62"/>
      <c r="G457" s="63"/>
      <c r="H457" s="85"/>
      <c r="I457" s="51" t="str">
        <f>IFERROR(VLOOKUP(A457,Internal_lists_bugs!$A$2:$G1058,7,FALSE()),"please select a BUG ID")</f>
        <v>please select a BUG ID</v>
      </c>
      <c r="J457" s="85"/>
      <c r="K457" s="85"/>
    </row>
    <row r="458">
      <c r="A458" s="85"/>
      <c r="B458" s="59"/>
      <c r="C458" s="51" t="str">
        <f>IFERROR(VLOOKUP(A458,Internal_lists_bugs!$A$2:$T1058,20,FALSE()),"please select a BUG ID")</f>
        <v>please select a BUG ID</v>
      </c>
      <c r="D458" s="93"/>
      <c r="E458" s="85"/>
      <c r="F458" s="62"/>
      <c r="G458" s="63"/>
      <c r="H458" s="85"/>
      <c r="I458" s="51" t="str">
        <f>IFERROR(VLOOKUP(A458,Internal_lists_bugs!$A$2:$G1058,7,FALSE()),"please select a BUG ID")</f>
        <v>please select a BUG ID</v>
      </c>
      <c r="J458" s="85"/>
      <c r="K458" s="85"/>
    </row>
    <row r="459">
      <c r="A459" s="85"/>
      <c r="B459" s="59"/>
      <c r="C459" s="51" t="str">
        <f>IFERROR(VLOOKUP(A459,Internal_lists_bugs!$A$2:$T1058,20,FALSE()),"please select a BUG ID")</f>
        <v>please select a BUG ID</v>
      </c>
      <c r="D459" s="93"/>
      <c r="E459" s="85"/>
      <c r="F459" s="62"/>
      <c r="G459" s="63"/>
      <c r="H459" s="85"/>
      <c r="I459" s="51" t="str">
        <f>IFERROR(VLOOKUP(A459,Internal_lists_bugs!$A$2:$G1058,7,FALSE()),"please select a BUG ID")</f>
        <v>please select a BUG ID</v>
      </c>
      <c r="J459" s="85"/>
      <c r="K459" s="85"/>
    </row>
    <row r="460">
      <c r="A460" s="85"/>
      <c r="B460" s="59"/>
      <c r="C460" s="51" t="str">
        <f>IFERROR(VLOOKUP(A460,Internal_lists_bugs!$A$2:$T1058,20,FALSE()),"please select a BUG ID")</f>
        <v>please select a BUG ID</v>
      </c>
      <c r="D460" s="93"/>
      <c r="E460" s="85"/>
      <c r="F460" s="62"/>
      <c r="G460" s="63"/>
      <c r="H460" s="85"/>
      <c r="I460" s="51" t="str">
        <f>IFERROR(VLOOKUP(A460,Internal_lists_bugs!$A$2:$G1058,7,FALSE()),"please select a BUG ID")</f>
        <v>please select a BUG ID</v>
      </c>
      <c r="J460" s="85"/>
      <c r="K460" s="85"/>
    </row>
    <row r="461">
      <c r="A461" s="85"/>
      <c r="B461" s="59"/>
      <c r="C461" s="51" t="str">
        <f>IFERROR(VLOOKUP(A461,Internal_lists_bugs!$A$2:$T1058,20,FALSE()),"please select a BUG ID")</f>
        <v>please select a BUG ID</v>
      </c>
      <c r="D461" s="93"/>
      <c r="E461" s="85"/>
      <c r="F461" s="62"/>
      <c r="G461" s="63"/>
      <c r="H461" s="85"/>
      <c r="I461" s="51" t="str">
        <f>IFERROR(VLOOKUP(A461,Internal_lists_bugs!$A$2:$G1058,7,FALSE()),"please select a BUG ID")</f>
        <v>please select a BUG ID</v>
      </c>
      <c r="J461" s="85"/>
      <c r="K461" s="85"/>
    </row>
    <row r="462">
      <c r="A462" s="85"/>
      <c r="B462" s="59"/>
      <c r="C462" s="51" t="str">
        <f>IFERROR(VLOOKUP(A462,Internal_lists_bugs!$A$2:$T1058,20,FALSE()),"please select a BUG ID")</f>
        <v>please select a BUG ID</v>
      </c>
      <c r="D462" s="93"/>
      <c r="E462" s="85"/>
      <c r="F462" s="62"/>
      <c r="G462" s="63"/>
      <c r="H462" s="85"/>
      <c r="I462" s="51" t="str">
        <f>IFERROR(VLOOKUP(A462,Internal_lists_bugs!$A$2:$G1058,7,FALSE()),"please select a BUG ID")</f>
        <v>please select a BUG ID</v>
      </c>
      <c r="J462" s="85"/>
      <c r="K462" s="85"/>
    </row>
    <row r="463">
      <c r="A463" s="85"/>
      <c r="B463" s="59"/>
      <c r="C463" s="51" t="str">
        <f>IFERROR(VLOOKUP(A463,Internal_lists_bugs!$A$2:$T1058,20,FALSE()),"please select a BUG ID")</f>
        <v>please select a BUG ID</v>
      </c>
      <c r="D463" s="93"/>
      <c r="E463" s="85"/>
      <c r="F463" s="62"/>
      <c r="G463" s="63"/>
      <c r="H463" s="85"/>
      <c r="I463" s="51" t="str">
        <f>IFERROR(VLOOKUP(A463,Internal_lists_bugs!$A$2:$G1058,7,FALSE()),"please select a BUG ID")</f>
        <v>please select a BUG ID</v>
      </c>
      <c r="J463" s="85"/>
      <c r="K463" s="85"/>
    </row>
    <row r="464">
      <c r="A464" s="85"/>
      <c r="B464" s="59"/>
      <c r="C464" s="51" t="str">
        <f>IFERROR(VLOOKUP(A464,Internal_lists_bugs!$A$2:$T1058,20,FALSE()),"please select a BUG ID")</f>
        <v>please select a BUG ID</v>
      </c>
      <c r="D464" s="93"/>
      <c r="E464" s="85"/>
      <c r="F464" s="62"/>
      <c r="G464" s="63"/>
      <c r="H464" s="85"/>
      <c r="I464" s="51" t="str">
        <f>IFERROR(VLOOKUP(A464,Internal_lists_bugs!$A$2:$G1058,7,FALSE()),"please select a BUG ID")</f>
        <v>please select a BUG ID</v>
      </c>
      <c r="J464" s="85"/>
      <c r="K464" s="85"/>
    </row>
    <row r="465">
      <c r="A465" s="85"/>
      <c r="B465" s="59"/>
      <c r="C465" s="51" t="str">
        <f>IFERROR(VLOOKUP(A465,Internal_lists_bugs!$A$2:$T1058,20,FALSE()),"please select a BUG ID")</f>
        <v>please select a BUG ID</v>
      </c>
      <c r="D465" s="93"/>
      <c r="E465" s="85"/>
      <c r="F465" s="62"/>
      <c r="G465" s="63"/>
      <c r="H465" s="85"/>
      <c r="I465" s="51" t="str">
        <f>IFERROR(VLOOKUP(A465,Internal_lists_bugs!$A$2:$G1058,7,FALSE()),"please select a BUG ID")</f>
        <v>please select a BUG ID</v>
      </c>
      <c r="J465" s="85"/>
      <c r="K465" s="85"/>
    </row>
    <row r="466">
      <c r="A466" s="85"/>
      <c r="B466" s="59"/>
      <c r="C466" s="51" t="str">
        <f>IFERROR(VLOOKUP(A466,Internal_lists_bugs!$A$2:$T1058,20,FALSE()),"please select a BUG ID")</f>
        <v>please select a BUG ID</v>
      </c>
      <c r="D466" s="93"/>
      <c r="E466" s="85"/>
      <c r="F466" s="62"/>
      <c r="G466" s="63"/>
      <c r="H466" s="85"/>
      <c r="I466" s="51" t="str">
        <f>IFERROR(VLOOKUP(A466,Internal_lists_bugs!$A$2:$G1058,7,FALSE()),"please select a BUG ID")</f>
        <v>please select a BUG ID</v>
      </c>
      <c r="J466" s="85"/>
      <c r="K466" s="85"/>
    </row>
    <row r="467">
      <c r="A467" s="85"/>
      <c r="B467" s="59"/>
      <c r="C467" s="51" t="str">
        <f>IFERROR(VLOOKUP(A467,Internal_lists_bugs!$A$2:$T1058,20,FALSE()),"please select a BUG ID")</f>
        <v>please select a BUG ID</v>
      </c>
      <c r="D467" s="93"/>
      <c r="E467" s="85"/>
      <c r="F467" s="62"/>
      <c r="G467" s="63"/>
      <c r="H467" s="85"/>
      <c r="I467" s="51" t="str">
        <f>IFERROR(VLOOKUP(A467,Internal_lists_bugs!$A$2:$G1058,7,FALSE()),"please select a BUG ID")</f>
        <v>please select a BUG ID</v>
      </c>
      <c r="J467" s="85"/>
      <c r="K467" s="85"/>
    </row>
    <row r="468">
      <c r="A468" s="85"/>
      <c r="B468" s="59"/>
      <c r="C468" s="51" t="str">
        <f>IFERROR(VLOOKUP(A468,Internal_lists_bugs!$A$2:$T1058,20,FALSE()),"please select a BUG ID")</f>
        <v>please select a BUG ID</v>
      </c>
      <c r="D468" s="93"/>
      <c r="E468" s="85"/>
      <c r="F468" s="62"/>
      <c r="G468" s="63"/>
      <c r="H468" s="85"/>
      <c r="I468" s="51" t="str">
        <f>IFERROR(VLOOKUP(A468,Internal_lists_bugs!$A$2:$G1058,7,FALSE()),"please select a BUG ID")</f>
        <v>please select a BUG ID</v>
      </c>
      <c r="J468" s="85"/>
      <c r="K468" s="85"/>
    </row>
    <row r="469">
      <c r="A469" s="85"/>
      <c r="B469" s="59"/>
      <c r="C469" s="51" t="str">
        <f>IFERROR(VLOOKUP(A469,Internal_lists_bugs!$A$2:$T1058,20,FALSE()),"please select a BUG ID")</f>
        <v>please select a BUG ID</v>
      </c>
      <c r="D469" s="93"/>
      <c r="E469" s="85"/>
      <c r="F469" s="62"/>
      <c r="G469" s="63"/>
      <c r="H469" s="85"/>
      <c r="I469" s="51" t="str">
        <f>IFERROR(VLOOKUP(A469,Internal_lists_bugs!$A$2:$G1058,7,FALSE()),"please select a BUG ID")</f>
        <v>please select a BUG ID</v>
      </c>
      <c r="J469" s="85"/>
      <c r="K469" s="85"/>
    </row>
    <row r="470">
      <c r="A470" s="85"/>
      <c r="B470" s="59"/>
      <c r="C470" s="51" t="str">
        <f>IFERROR(VLOOKUP(A470,Internal_lists_bugs!$A$2:$T1058,20,FALSE()),"please select a BUG ID")</f>
        <v>please select a BUG ID</v>
      </c>
      <c r="D470" s="93"/>
      <c r="E470" s="85"/>
      <c r="F470" s="62"/>
      <c r="G470" s="63"/>
      <c r="H470" s="85"/>
      <c r="I470" s="51" t="str">
        <f>IFERROR(VLOOKUP(A470,Internal_lists_bugs!$A$2:$G1058,7,FALSE()),"please select a BUG ID")</f>
        <v>please select a BUG ID</v>
      </c>
      <c r="J470" s="85"/>
      <c r="K470" s="85"/>
    </row>
    <row r="471">
      <c r="A471" s="85"/>
      <c r="B471" s="59"/>
      <c r="C471" s="51" t="str">
        <f>IFERROR(VLOOKUP(A471,Internal_lists_bugs!$A$2:$T1058,20,FALSE()),"please select a BUG ID")</f>
        <v>please select a BUG ID</v>
      </c>
      <c r="D471" s="93"/>
      <c r="E471" s="85"/>
      <c r="F471" s="62"/>
      <c r="G471" s="63"/>
      <c r="H471" s="85"/>
      <c r="I471" s="51" t="str">
        <f>IFERROR(VLOOKUP(A471,Internal_lists_bugs!$A$2:$G1058,7,FALSE()),"please select a BUG ID")</f>
        <v>please select a BUG ID</v>
      </c>
      <c r="J471" s="85"/>
      <c r="K471" s="85"/>
    </row>
    <row r="472">
      <c r="A472" s="85"/>
      <c r="B472" s="59"/>
      <c r="C472" s="51" t="str">
        <f>IFERROR(VLOOKUP(A472,Internal_lists_bugs!$A$2:$T1058,20,FALSE()),"please select a BUG ID")</f>
        <v>please select a BUG ID</v>
      </c>
      <c r="D472" s="93"/>
      <c r="E472" s="85"/>
      <c r="F472" s="62"/>
      <c r="G472" s="63"/>
      <c r="H472" s="85"/>
      <c r="I472" s="51" t="str">
        <f>IFERROR(VLOOKUP(A472,Internal_lists_bugs!$A$2:$G1058,7,FALSE()),"please select a BUG ID")</f>
        <v>please select a BUG ID</v>
      </c>
      <c r="J472" s="85"/>
      <c r="K472" s="85"/>
    </row>
    <row r="473">
      <c r="A473" s="85"/>
      <c r="B473" s="59"/>
      <c r="C473" s="51" t="str">
        <f>IFERROR(VLOOKUP(A473,Internal_lists_bugs!$A$2:$T1058,20,FALSE()),"please select a BUG ID")</f>
        <v>please select a BUG ID</v>
      </c>
      <c r="D473" s="93"/>
      <c r="E473" s="85"/>
      <c r="F473" s="62"/>
      <c r="G473" s="63"/>
      <c r="H473" s="85"/>
      <c r="I473" s="51" t="str">
        <f>IFERROR(VLOOKUP(A473,Internal_lists_bugs!$A$2:$G1058,7,FALSE()),"please select a BUG ID")</f>
        <v>please select a BUG ID</v>
      </c>
      <c r="J473" s="85"/>
      <c r="K473" s="85"/>
    </row>
    <row r="474">
      <c r="A474" s="85"/>
      <c r="B474" s="59"/>
      <c r="C474" s="51" t="str">
        <f>IFERROR(VLOOKUP(A474,Internal_lists_bugs!$A$2:$T1058,20,FALSE()),"please select a BUG ID")</f>
        <v>please select a BUG ID</v>
      </c>
      <c r="D474" s="93"/>
      <c r="E474" s="85"/>
      <c r="F474" s="62"/>
      <c r="G474" s="63"/>
      <c r="H474" s="85"/>
      <c r="I474" s="51" t="str">
        <f>IFERROR(VLOOKUP(A474,Internal_lists_bugs!$A$2:$G1058,7,FALSE()),"please select a BUG ID")</f>
        <v>please select a BUG ID</v>
      </c>
      <c r="J474" s="85"/>
      <c r="K474" s="85"/>
    </row>
    <row r="475">
      <c r="A475" s="85"/>
      <c r="B475" s="59"/>
      <c r="C475" s="51" t="str">
        <f>IFERROR(VLOOKUP(A475,Internal_lists_bugs!$A$2:$T1058,20,FALSE()),"please select a BUG ID")</f>
        <v>please select a BUG ID</v>
      </c>
      <c r="D475" s="93"/>
      <c r="E475" s="85"/>
      <c r="F475" s="62"/>
      <c r="G475" s="63"/>
      <c r="H475" s="85"/>
      <c r="I475" s="51" t="str">
        <f>IFERROR(VLOOKUP(A475,Internal_lists_bugs!$A$2:$G1058,7,FALSE()),"please select a BUG ID")</f>
        <v>please select a BUG ID</v>
      </c>
      <c r="J475" s="85"/>
      <c r="K475" s="85"/>
    </row>
    <row r="476">
      <c r="A476" s="85"/>
      <c r="B476" s="59"/>
      <c r="C476" s="51" t="str">
        <f>IFERROR(VLOOKUP(A476,Internal_lists_bugs!$A$2:$T1058,20,FALSE()),"please select a BUG ID")</f>
        <v>please select a BUG ID</v>
      </c>
      <c r="D476" s="93"/>
      <c r="E476" s="85"/>
      <c r="F476" s="62"/>
      <c r="G476" s="63"/>
      <c r="H476" s="85"/>
      <c r="I476" s="51" t="str">
        <f>IFERROR(VLOOKUP(A476,Internal_lists_bugs!$A$2:$G1058,7,FALSE()),"please select a BUG ID")</f>
        <v>please select a BUG ID</v>
      </c>
      <c r="J476" s="85"/>
      <c r="K476" s="85"/>
    </row>
    <row r="477">
      <c r="A477" s="85"/>
      <c r="B477" s="59"/>
      <c r="C477" s="51" t="str">
        <f>IFERROR(VLOOKUP(A477,Internal_lists_bugs!$A$2:$T1058,20,FALSE()),"please select a BUG ID")</f>
        <v>please select a BUG ID</v>
      </c>
      <c r="D477" s="93"/>
      <c r="E477" s="85"/>
      <c r="F477" s="62"/>
      <c r="G477" s="63"/>
      <c r="H477" s="85"/>
      <c r="I477" s="51" t="str">
        <f>IFERROR(VLOOKUP(A477,Internal_lists_bugs!$A$2:$G1058,7,FALSE()),"please select a BUG ID")</f>
        <v>please select a BUG ID</v>
      </c>
      <c r="J477" s="85"/>
      <c r="K477" s="85"/>
    </row>
    <row r="478">
      <c r="A478" s="85"/>
      <c r="B478" s="59"/>
      <c r="C478" s="51" t="str">
        <f>IFERROR(VLOOKUP(A478,Internal_lists_bugs!$A$2:$T1058,20,FALSE()),"please select a BUG ID")</f>
        <v>please select a BUG ID</v>
      </c>
      <c r="D478" s="93"/>
      <c r="E478" s="85"/>
      <c r="F478" s="62"/>
      <c r="G478" s="63"/>
      <c r="H478" s="85"/>
      <c r="I478" s="51" t="str">
        <f>IFERROR(VLOOKUP(A478,Internal_lists_bugs!$A$2:$G1058,7,FALSE()),"please select a BUG ID")</f>
        <v>please select a BUG ID</v>
      </c>
      <c r="J478" s="85"/>
      <c r="K478" s="85"/>
    </row>
    <row r="479">
      <c r="A479" s="85"/>
      <c r="B479" s="59"/>
      <c r="C479" s="51" t="str">
        <f>IFERROR(VLOOKUP(A479,Internal_lists_bugs!$A$2:$T1058,20,FALSE()),"please select a BUG ID")</f>
        <v>please select a BUG ID</v>
      </c>
      <c r="D479" s="93"/>
      <c r="E479" s="85"/>
      <c r="F479" s="62"/>
      <c r="G479" s="63"/>
      <c r="H479" s="85"/>
      <c r="I479" s="51" t="str">
        <f>IFERROR(VLOOKUP(A479,Internal_lists_bugs!$A$2:$G1058,7,FALSE()),"please select a BUG ID")</f>
        <v>please select a BUG ID</v>
      </c>
      <c r="J479" s="85"/>
      <c r="K479" s="85"/>
    </row>
    <row r="480">
      <c r="A480" s="85"/>
      <c r="B480" s="59"/>
      <c r="C480" s="51" t="str">
        <f>IFERROR(VLOOKUP(A480,Internal_lists_bugs!$A$2:$T1058,20,FALSE()),"please select a BUG ID")</f>
        <v>please select a BUG ID</v>
      </c>
      <c r="D480" s="93"/>
      <c r="E480" s="85"/>
      <c r="F480" s="62"/>
      <c r="G480" s="63"/>
      <c r="H480" s="85"/>
      <c r="I480" s="51" t="str">
        <f>IFERROR(VLOOKUP(A480,Internal_lists_bugs!$A$2:$G1058,7,FALSE()),"please select a BUG ID")</f>
        <v>please select a BUG ID</v>
      </c>
      <c r="J480" s="85"/>
      <c r="K480" s="85"/>
    </row>
    <row r="481">
      <c r="A481" s="85"/>
      <c r="B481" s="59"/>
      <c r="C481" s="51" t="str">
        <f>IFERROR(VLOOKUP(A481,Internal_lists_bugs!$A$2:$T1058,20,FALSE()),"please select a BUG ID")</f>
        <v>please select a BUG ID</v>
      </c>
      <c r="D481" s="93"/>
      <c r="E481" s="85"/>
      <c r="F481" s="62"/>
      <c r="G481" s="63"/>
      <c r="H481" s="85"/>
      <c r="I481" s="51" t="str">
        <f>IFERROR(VLOOKUP(A481,Internal_lists_bugs!$A$2:$G1058,7,FALSE()),"please select a BUG ID")</f>
        <v>please select a BUG ID</v>
      </c>
      <c r="J481" s="85"/>
      <c r="K481" s="85"/>
    </row>
    <row r="482">
      <c r="A482" s="85"/>
      <c r="B482" s="59"/>
      <c r="C482" s="51" t="str">
        <f>IFERROR(VLOOKUP(A482,Internal_lists_bugs!$A$2:$T1058,20,FALSE()),"please select a BUG ID")</f>
        <v>please select a BUG ID</v>
      </c>
      <c r="D482" s="93"/>
      <c r="E482" s="85"/>
      <c r="F482" s="62"/>
      <c r="G482" s="63"/>
      <c r="H482" s="85"/>
      <c r="I482" s="51" t="str">
        <f>IFERROR(VLOOKUP(A482,Internal_lists_bugs!$A$2:$G1058,7,FALSE()),"please select a BUG ID")</f>
        <v>please select a BUG ID</v>
      </c>
      <c r="J482" s="85"/>
      <c r="K482" s="85"/>
    </row>
    <row r="483">
      <c r="A483" s="85"/>
      <c r="B483" s="59"/>
      <c r="C483" s="51" t="str">
        <f>IFERROR(VLOOKUP(A483,Internal_lists_bugs!$A$2:$T1058,20,FALSE()),"please select a BUG ID")</f>
        <v>please select a BUG ID</v>
      </c>
      <c r="D483" s="93"/>
      <c r="E483" s="85"/>
      <c r="F483" s="62"/>
      <c r="G483" s="63"/>
      <c r="H483" s="85"/>
      <c r="I483" s="51" t="str">
        <f>IFERROR(VLOOKUP(A483,Internal_lists_bugs!$A$2:$G1058,7,FALSE()),"please select a BUG ID")</f>
        <v>please select a BUG ID</v>
      </c>
      <c r="J483" s="85"/>
      <c r="K483" s="85"/>
    </row>
    <row r="484">
      <c r="A484" s="85"/>
      <c r="B484" s="59"/>
      <c r="C484" s="51" t="str">
        <f>IFERROR(VLOOKUP(A484,Internal_lists_bugs!$A$2:$T1058,20,FALSE()),"please select a BUG ID")</f>
        <v>please select a BUG ID</v>
      </c>
      <c r="D484" s="93"/>
      <c r="E484" s="85"/>
      <c r="F484" s="62"/>
      <c r="G484" s="63"/>
      <c r="H484" s="85"/>
      <c r="I484" s="51" t="str">
        <f>IFERROR(VLOOKUP(A484,Internal_lists_bugs!$A$2:$G1058,7,FALSE()),"please select a BUG ID")</f>
        <v>please select a BUG ID</v>
      </c>
      <c r="J484" s="85"/>
      <c r="K484" s="85"/>
    </row>
    <row r="485">
      <c r="A485" s="85"/>
      <c r="B485" s="59"/>
      <c r="C485" s="51" t="str">
        <f>IFERROR(VLOOKUP(A485,Internal_lists_bugs!$A$2:$T1058,20,FALSE()),"please select a BUG ID")</f>
        <v>please select a BUG ID</v>
      </c>
      <c r="D485" s="93"/>
      <c r="E485" s="85"/>
      <c r="F485" s="62"/>
      <c r="G485" s="63"/>
      <c r="H485" s="85"/>
      <c r="I485" s="51" t="str">
        <f>IFERROR(VLOOKUP(A485,Internal_lists_bugs!$A$2:$G1058,7,FALSE()),"please select a BUG ID")</f>
        <v>please select a BUG ID</v>
      </c>
      <c r="J485" s="85"/>
      <c r="K485" s="85"/>
    </row>
    <row r="486">
      <c r="A486" s="85"/>
      <c r="B486" s="59"/>
      <c r="C486" s="51" t="str">
        <f>IFERROR(VLOOKUP(A486,Internal_lists_bugs!$A$2:$T1058,20,FALSE()),"please select a BUG ID")</f>
        <v>please select a BUG ID</v>
      </c>
      <c r="D486" s="93"/>
      <c r="E486" s="85"/>
      <c r="F486" s="62"/>
      <c r="G486" s="63"/>
      <c r="H486" s="85"/>
      <c r="I486" s="51" t="str">
        <f>IFERROR(VLOOKUP(A486,Internal_lists_bugs!$A$2:$G1058,7,FALSE()),"please select a BUG ID")</f>
        <v>please select a BUG ID</v>
      </c>
      <c r="J486" s="85"/>
      <c r="K486" s="85"/>
    </row>
    <row r="487">
      <c r="A487" s="85"/>
      <c r="B487" s="59"/>
      <c r="C487" s="51" t="str">
        <f>IFERROR(VLOOKUP(A487,Internal_lists_bugs!$A$2:$T1058,20,FALSE()),"please select a BUG ID")</f>
        <v>please select a BUG ID</v>
      </c>
      <c r="D487" s="93"/>
      <c r="E487" s="85"/>
      <c r="F487" s="62"/>
      <c r="G487" s="63"/>
      <c r="H487" s="85"/>
      <c r="I487" s="51" t="str">
        <f>IFERROR(VLOOKUP(A487,Internal_lists_bugs!$A$2:$G1058,7,FALSE()),"please select a BUG ID")</f>
        <v>please select a BUG ID</v>
      </c>
      <c r="J487" s="85"/>
      <c r="K487" s="85"/>
    </row>
    <row r="488">
      <c r="A488" s="85"/>
      <c r="B488" s="59"/>
      <c r="C488" s="51" t="str">
        <f>IFERROR(VLOOKUP(A488,Internal_lists_bugs!$A$2:$T1058,20,FALSE()),"please select a BUG ID")</f>
        <v>please select a BUG ID</v>
      </c>
      <c r="D488" s="93"/>
      <c r="E488" s="85"/>
      <c r="F488" s="62"/>
      <c r="G488" s="63"/>
      <c r="H488" s="85"/>
      <c r="I488" s="51" t="str">
        <f>IFERROR(VLOOKUP(A488,Internal_lists_bugs!$A$2:$G1058,7,FALSE()),"please select a BUG ID")</f>
        <v>please select a BUG ID</v>
      </c>
      <c r="J488" s="85"/>
      <c r="K488" s="85"/>
    </row>
    <row r="489">
      <c r="A489" s="85"/>
      <c r="B489" s="59"/>
      <c r="C489" s="51" t="str">
        <f>IFERROR(VLOOKUP(A489,Internal_lists_bugs!$A$2:$T1058,20,FALSE()),"please select a BUG ID")</f>
        <v>please select a BUG ID</v>
      </c>
      <c r="D489" s="93"/>
      <c r="E489" s="85"/>
      <c r="F489" s="62"/>
      <c r="G489" s="63"/>
      <c r="H489" s="85"/>
      <c r="I489" s="51" t="str">
        <f>IFERROR(VLOOKUP(A489,Internal_lists_bugs!$A$2:$G1058,7,FALSE()),"please select a BUG ID")</f>
        <v>please select a BUG ID</v>
      </c>
      <c r="J489" s="85"/>
      <c r="K489" s="85"/>
    </row>
    <row r="490">
      <c r="A490" s="85"/>
      <c r="B490" s="59"/>
      <c r="C490" s="51" t="str">
        <f>IFERROR(VLOOKUP(A490,Internal_lists_bugs!$A$2:$T1058,20,FALSE()),"please select a BUG ID")</f>
        <v>please select a BUG ID</v>
      </c>
      <c r="D490" s="93"/>
      <c r="E490" s="85"/>
      <c r="F490" s="62"/>
      <c r="G490" s="63"/>
      <c r="H490" s="85"/>
      <c r="I490" s="51" t="str">
        <f>IFERROR(VLOOKUP(A490,Internal_lists_bugs!$A$2:$G1058,7,FALSE()),"please select a BUG ID")</f>
        <v>please select a BUG ID</v>
      </c>
      <c r="J490" s="85"/>
      <c r="K490" s="85"/>
    </row>
    <row r="491">
      <c r="A491" s="85"/>
      <c r="B491" s="59"/>
      <c r="C491" s="51" t="str">
        <f>IFERROR(VLOOKUP(A491,Internal_lists_bugs!$A$2:$T1058,20,FALSE()),"please select a BUG ID")</f>
        <v>please select a BUG ID</v>
      </c>
      <c r="D491" s="93"/>
      <c r="E491" s="85"/>
      <c r="F491" s="62"/>
      <c r="G491" s="63"/>
      <c r="H491" s="85"/>
      <c r="I491" s="51" t="str">
        <f>IFERROR(VLOOKUP(A491,Internal_lists_bugs!$A$2:$G1058,7,FALSE()),"please select a BUG ID")</f>
        <v>please select a BUG ID</v>
      </c>
      <c r="J491" s="85"/>
      <c r="K491" s="85"/>
    </row>
    <row r="492">
      <c r="A492" s="85"/>
      <c r="B492" s="59"/>
      <c r="C492" s="51" t="str">
        <f>IFERROR(VLOOKUP(A492,Internal_lists_bugs!$A$2:$T1058,20,FALSE()),"please select a BUG ID")</f>
        <v>please select a BUG ID</v>
      </c>
      <c r="D492" s="93"/>
      <c r="E492" s="85"/>
      <c r="F492" s="62"/>
      <c r="G492" s="63"/>
      <c r="H492" s="85"/>
      <c r="I492" s="51" t="str">
        <f>IFERROR(VLOOKUP(A492,Internal_lists_bugs!$A$2:$G1058,7,FALSE()),"please select a BUG ID")</f>
        <v>please select a BUG ID</v>
      </c>
      <c r="J492" s="85"/>
      <c r="K492" s="85"/>
    </row>
    <row r="493">
      <c r="A493" s="85"/>
      <c r="B493" s="59"/>
      <c r="C493" s="51" t="str">
        <f>IFERROR(VLOOKUP(A493,Internal_lists_bugs!$A$2:$T1058,20,FALSE()),"please select a BUG ID")</f>
        <v>please select a BUG ID</v>
      </c>
      <c r="D493" s="93"/>
      <c r="E493" s="85"/>
      <c r="F493" s="62"/>
      <c r="G493" s="63"/>
      <c r="H493" s="85"/>
      <c r="I493" s="51" t="str">
        <f>IFERROR(VLOOKUP(A493,Internal_lists_bugs!$A$2:$G1058,7,FALSE()),"please select a BUG ID")</f>
        <v>please select a BUG ID</v>
      </c>
      <c r="J493" s="85"/>
      <c r="K493" s="85"/>
    </row>
    <row r="494">
      <c r="A494" s="85"/>
      <c r="B494" s="59"/>
      <c r="C494" s="51" t="str">
        <f>IFERROR(VLOOKUP(A494,Internal_lists_bugs!$A$2:$T1058,20,FALSE()),"please select a BUG ID")</f>
        <v>please select a BUG ID</v>
      </c>
      <c r="D494" s="93"/>
      <c r="E494" s="85"/>
      <c r="F494" s="62"/>
      <c r="G494" s="63"/>
      <c r="H494" s="85"/>
      <c r="I494" s="51" t="str">
        <f>IFERROR(VLOOKUP(A494,Internal_lists_bugs!$A$2:$G1058,7,FALSE()),"please select a BUG ID")</f>
        <v>please select a BUG ID</v>
      </c>
      <c r="J494" s="85"/>
      <c r="K494" s="85"/>
    </row>
    <row r="495">
      <c r="A495" s="85"/>
      <c r="B495" s="59"/>
      <c r="C495" s="51" t="str">
        <f>IFERROR(VLOOKUP(A495,Internal_lists_bugs!$A$2:$T1058,20,FALSE()),"please select a BUG ID")</f>
        <v>please select a BUG ID</v>
      </c>
      <c r="D495" s="93"/>
      <c r="E495" s="85"/>
      <c r="F495" s="62"/>
      <c r="G495" s="63"/>
      <c r="H495" s="85"/>
      <c r="I495" s="51" t="str">
        <f>IFERROR(VLOOKUP(A495,Internal_lists_bugs!$A$2:$G1058,7,FALSE()),"please select a BUG ID")</f>
        <v>please select a BUG ID</v>
      </c>
      <c r="J495" s="85"/>
      <c r="K495" s="85"/>
    </row>
    <row r="496">
      <c r="A496" s="85"/>
      <c r="B496" s="59"/>
      <c r="C496" s="51" t="str">
        <f>IFERROR(VLOOKUP(A496,Internal_lists_bugs!$A$2:$T1058,20,FALSE()),"please select a BUG ID")</f>
        <v>please select a BUG ID</v>
      </c>
      <c r="D496" s="93"/>
      <c r="E496" s="85"/>
      <c r="F496" s="62"/>
      <c r="G496" s="63"/>
      <c r="H496" s="85"/>
      <c r="I496" s="51" t="str">
        <f>IFERROR(VLOOKUP(A496,Internal_lists_bugs!$A$2:$G1058,7,FALSE()),"please select a BUG ID")</f>
        <v>please select a BUG ID</v>
      </c>
      <c r="J496" s="85"/>
      <c r="K496" s="85"/>
    </row>
    <row r="497">
      <c r="A497" s="85"/>
      <c r="B497" s="59"/>
      <c r="C497" s="51" t="str">
        <f>IFERROR(VLOOKUP(A497,Internal_lists_bugs!$A$2:$T1058,20,FALSE()),"please select a BUG ID")</f>
        <v>please select a BUG ID</v>
      </c>
      <c r="D497" s="93"/>
      <c r="E497" s="85"/>
      <c r="F497" s="62"/>
      <c r="G497" s="63"/>
      <c r="H497" s="85"/>
      <c r="I497" s="51" t="str">
        <f>IFERROR(VLOOKUP(A497,Internal_lists_bugs!$A$2:$G1058,7,FALSE()),"please select a BUG ID")</f>
        <v>please select a BUG ID</v>
      </c>
      <c r="J497" s="85"/>
      <c r="K497" s="85"/>
    </row>
    <row r="498">
      <c r="A498" s="85"/>
      <c r="B498" s="59"/>
      <c r="C498" s="51" t="str">
        <f>IFERROR(VLOOKUP(A498,Internal_lists_bugs!$A$2:$T1058,20,FALSE()),"please select a BUG ID")</f>
        <v>please select a BUG ID</v>
      </c>
      <c r="D498" s="93"/>
      <c r="E498" s="85"/>
      <c r="F498" s="62"/>
      <c r="G498" s="63"/>
      <c r="H498" s="85"/>
      <c r="I498" s="51" t="str">
        <f>IFERROR(VLOOKUP(A498,Internal_lists_bugs!$A$2:$G1058,7,FALSE()),"please select a BUG ID")</f>
        <v>please select a BUG ID</v>
      </c>
      <c r="J498" s="85"/>
      <c r="K498" s="85"/>
    </row>
    <row r="499">
      <c r="A499" s="85"/>
      <c r="B499" s="59"/>
      <c r="C499" s="51" t="str">
        <f>IFERROR(VLOOKUP(A499,Internal_lists_bugs!$A$2:$T1058,20,FALSE()),"please select a BUG ID")</f>
        <v>please select a BUG ID</v>
      </c>
      <c r="D499" s="93"/>
      <c r="E499" s="85"/>
      <c r="F499" s="62"/>
      <c r="G499" s="63"/>
      <c r="H499" s="85"/>
      <c r="I499" s="51" t="str">
        <f>IFERROR(VLOOKUP(A499,Internal_lists_bugs!$A$2:$G1058,7,FALSE()),"please select a BUG ID")</f>
        <v>please select a BUG ID</v>
      </c>
      <c r="J499" s="85"/>
      <c r="K499" s="85"/>
    </row>
    <row r="500">
      <c r="A500" s="85"/>
      <c r="B500" s="59"/>
      <c r="C500" s="51" t="str">
        <f>IFERROR(VLOOKUP(A500,Internal_lists_bugs!$A$2:$T1058,20,FALSE()),"please select a BUG ID")</f>
        <v>please select a BUG ID</v>
      </c>
      <c r="D500" s="93"/>
      <c r="E500" s="85"/>
      <c r="F500" s="62"/>
      <c r="G500" s="63"/>
      <c r="H500" s="85"/>
      <c r="I500" s="51" t="str">
        <f>IFERROR(VLOOKUP(A500,Internal_lists_bugs!$A$2:$G1058,7,FALSE()),"please select a BUG ID")</f>
        <v>please select a BUG ID</v>
      </c>
      <c r="J500" s="85"/>
      <c r="K500" s="85"/>
    </row>
    <row r="501">
      <c r="A501" s="85"/>
      <c r="B501" s="59"/>
      <c r="C501" s="51" t="str">
        <f>IFERROR(VLOOKUP(A501,Internal_lists_bugs!$A$2:$T1058,20,FALSE()),"please select a BUG ID")</f>
        <v>please select a BUG ID</v>
      </c>
      <c r="D501" s="93"/>
      <c r="E501" s="85"/>
      <c r="F501" s="62"/>
      <c r="G501" s="63"/>
      <c r="H501" s="85"/>
      <c r="I501" s="51" t="str">
        <f>IFERROR(VLOOKUP(A501,Internal_lists_bugs!$A$2:$G1058,7,FALSE()),"please select a BUG ID")</f>
        <v>please select a BUG ID</v>
      </c>
      <c r="J501" s="85"/>
      <c r="K501" s="85"/>
    </row>
    <row r="502">
      <c r="A502" s="85"/>
      <c r="B502" s="59"/>
      <c r="C502" s="51" t="str">
        <f>IFERROR(VLOOKUP(A502,Internal_lists_bugs!$A$2:$T1058,20,FALSE()),"please select a BUG ID")</f>
        <v>please select a BUG ID</v>
      </c>
      <c r="D502" s="93"/>
      <c r="E502" s="85"/>
      <c r="F502" s="62"/>
      <c r="G502" s="63"/>
      <c r="H502" s="85"/>
      <c r="I502" s="51" t="str">
        <f>IFERROR(VLOOKUP(A502,Internal_lists_bugs!$A$2:$G1058,7,FALSE()),"please select a BUG ID")</f>
        <v>please select a BUG ID</v>
      </c>
      <c r="J502" s="85"/>
      <c r="K502" s="85"/>
    </row>
    <row r="503">
      <c r="A503" s="85"/>
      <c r="B503" s="59"/>
      <c r="C503" s="51" t="str">
        <f>IFERROR(VLOOKUP(A503,Internal_lists_bugs!$A$2:$T1058,20,FALSE()),"please select a BUG ID")</f>
        <v>please select a BUG ID</v>
      </c>
      <c r="D503" s="93"/>
      <c r="E503" s="85"/>
      <c r="F503" s="62"/>
      <c r="G503" s="63"/>
      <c r="H503" s="85"/>
      <c r="I503" s="51" t="str">
        <f>IFERROR(VLOOKUP(A503,Internal_lists_bugs!$A$2:$G1058,7,FALSE()),"please select a BUG ID")</f>
        <v>please select a BUG ID</v>
      </c>
      <c r="J503" s="85"/>
      <c r="K503" s="85"/>
    </row>
    <row r="504">
      <c r="A504" s="85"/>
      <c r="B504" s="59"/>
      <c r="C504" s="51" t="str">
        <f>IFERROR(VLOOKUP(A504,Internal_lists_bugs!$A$2:$T1058,20,FALSE()),"please select a BUG ID")</f>
        <v>please select a BUG ID</v>
      </c>
      <c r="D504" s="93"/>
      <c r="E504" s="85"/>
      <c r="F504" s="62"/>
      <c r="G504" s="63"/>
      <c r="H504" s="85"/>
      <c r="I504" s="51" t="str">
        <f>IFERROR(VLOOKUP(A504,Internal_lists_bugs!$A$2:$G1058,7,FALSE()),"please select a BUG ID")</f>
        <v>please select a BUG ID</v>
      </c>
      <c r="J504" s="85"/>
      <c r="K504" s="85"/>
    </row>
    <row r="505">
      <c r="A505" s="85"/>
      <c r="B505" s="59"/>
      <c r="C505" s="51" t="str">
        <f>IFERROR(VLOOKUP(A505,Internal_lists_bugs!$A$2:$T1058,20,FALSE()),"please select a BUG ID")</f>
        <v>please select a BUG ID</v>
      </c>
      <c r="D505" s="93"/>
      <c r="E505" s="85"/>
      <c r="F505" s="62"/>
      <c r="G505" s="63"/>
      <c r="H505" s="85"/>
      <c r="I505" s="51" t="str">
        <f>IFERROR(VLOOKUP(A505,Internal_lists_bugs!$A$2:$G1058,7,FALSE()),"please select a BUG ID")</f>
        <v>please select a BUG ID</v>
      </c>
      <c r="J505" s="85"/>
      <c r="K505" s="85"/>
    </row>
    <row r="506">
      <c r="A506" s="85"/>
      <c r="B506" s="59"/>
      <c r="C506" s="51" t="str">
        <f>IFERROR(VLOOKUP(A506,Internal_lists_bugs!$A$2:$T1058,20,FALSE()),"please select a BUG ID")</f>
        <v>please select a BUG ID</v>
      </c>
      <c r="D506" s="93"/>
      <c r="E506" s="85"/>
      <c r="F506" s="62"/>
      <c r="G506" s="63"/>
      <c r="H506" s="85"/>
      <c r="I506" s="51" t="str">
        <f>IFERROR(VLOOKUP(A506,Internal_lists_bugs!$A$2:$G1058,7,FALSE()),"please select a BUG ID")</f>
        <v>please select a BUG ID</v>
      </c>
      <c r="J506" s="85"/>
      <c r="K506" s="85"/>
    </row>
    <row r="507">
      <c r="A507" s="85"/>
      <c r="B507" s="59"/>
      <c r="C507" s="51" t="str">
        <f>IFERROR(VLOOKUP(A507,Internal_lists_bugs!$A$2:$T1058,20,FALSE()),"please select a BUG ID")</f>
        <v>please select a BUG ID</v>
      </c>
      <c r="D507" s="93"/>
      <c r="E507" s="85"/>
      <c r="F507" s="62"/>
      <c r="G507" s="63"/>
      <c r="H507" s="85"/>
      <c r="I507" s="51" t="str">
        <f>IFERROR(VLOOKUP(A507,Internal_lists_bugs!$A$2:$G1058,7,FALSE()),"please select a BUG ID")</f>
        <v>please select a BUG ID</v>
      </c>
      <c r="J507" s="85"/>
      <c r="K507" s="85"/>
    </row>
    <row r="508">
      <c r="A508" s="85"/>
      <c r="B508" s="59"/>
      <c r="C508" s="51" t="str">
        <f>IFERROR(VLOOKUP(A508,Internal_lists_bugs!$A$2:$T1058,20,FALSE()),"please select a BUG ID")</f>
        <v>please select a BUG ID</v>
      </c>
      <c r="D508" s="93"/>
      <c r="E508" s="85"/>
      <c r="F508" s="62"/>
      <c r="G508" s="63"/>
      <c r="H508" s="85"/>
      <c r="I508" s="51" t="str">
        <f>IFERROR(VLOOKUP(A508,Internal_lists_bugs!$A$2:$G1058,7,FALSE()),"please select a BUG ID")</f>
        <v>please select a BUG ID</v>
      </c>
      <c r="J508" s="85"/>
      <c r="K508" s="85"/>
    </row>
    <row r="509">
      <c r="A509" s="85"/>
      <c r="B509" s="59"/>
      <c r="C509" s="51" t="str">
        <f>IFERROR(VLOOKUP(A509,Internal_lists_bugs!$A$2:$T1058,20,FALSE()),"please select a BUG ID")</f>
        <v>please select a BUG ID</v>
      </c>
      <c r="D509" s="93"/>
      <c r="E509" s="85"/>
      <c r="F509" s="62"/>
      <c r="G509" s="63"/>
      <c r="H509" s="85"/>
      <c r="I509" s="51" t="str">
        <f>IFERROR(VLOOKUP(A509,Internal_lists_bugs!$A$2:$G1058,7,FALSE()),"please select a BUG ID")</f>
        <v>please select a BUG ID</v>
      </c>
      <c r="J509" s="85"/>
      <c r="K509" s="85"/>
    </row>
    <row r="510">
      <c r="A510" s="85"/>
      <c r="B510" s="59"/>
      <c r="C510" s="51" t="str">
        <f>IFERROR(VLOOKUP(A510,Internal_lists_bugs!$A$2:$T1058,20,FALSE()),"please select a BUG ID")</f>
        <v>please select a BUG ID</v>
      </c>
      <c r="D510" s="93"/>
      <c r="E510" s="85"/>
      <c r="F510" s="62"/>
      <c r="G510" s="63"/>
      <c r="H510" s="85"/>
      <c r="I510" s="51" t="str">
        <f>IFERROR(VLOOKUP(A510,Internal_lists_bugs!$A$2:$G1058,7,FALSE()),"please select a BUG ID")</f>
        <v>please select a BUG ID</v>
      </c>
      <c r="J510" s="85"/>
      <c r="K510" s="85"/>
    </row>
    <row r="511">
      <c r="A511" s="85"/>
      <c r="B511" s="59"/>
      <c r="C511" s="51" t="str">
        <f>IFERROR(VLOOKUP(A511,Internal_lists_bugs!$A$2:$T1058,20,FALSE()),"please select a BUG ID")</f>
        <v>please select a BUG ID</v>
      </c>
      <c r="D511" s="93"/>
      <c r="E511" s="85"/>
      <c r="F511" s="62"/>
      <c r="G511" s="63"/>
      <c r="H511" s="85"/>
      <c r="I511" s="51" t="str">
        <f>IFERROR(VLOOKUP(A511,Internal_lists_bugs!$A$2:$G1058,7,FALSE()),"please select a BUG ID")</f>
        <v>please select a BUG ID</v>
      </c>
      <c r="J511" s="85"/>
      <c r="K511" s="85"/>
    </row>
    <row r="512">
      <c r="A512" s="85"/>
      <c r="B512" s="59"/>
      <c r="C512" s="51" t="str">
        <f>IFERROR(VLOOKUP(A512,Internal_lists_bugs!$A$2:$T1058,20,FALSE()),"please select a BUG ID")</f>
        <v>please select a BUG ID</v>
      </c>
      <c r="D512" s="93"/>
      <c r="E512" s="85"/>
      <c r="F512" s="62"/>
      <c r="G512" s="63"/>
      <c r="H512" s="85"/>
      <c r="I512" s="51" t="str">
        <f>IFERROR(VLOOKUP(A512,Internal_lists_bugs!$A$2:$G1058,7,FALSE()),"please select a BUG ID")</f>
        <v>please select a BUG ID</v>
      </c>
      <c r="J512" s="85"/>
      <c r="K512" s="85"/>
    </row>
    <row r="513">
      <c r="A513" s="85"/>
      <c r="B513" s="59"/>
      <c r="C513" s="51" t="str">
        <f>IFERROR(VLOOKUP(A513,Internal_lists_bugs!$A$2:$T1058,20,FALSE()),"please select a BUG ID")</f>
        <v>please select a BUG ID</v>
      </c>
      <c r="D513" s="93"/>
      <c r="E513" s="85"/>
      <c r="F513" s="62"/>
      <c r="G513" s="63"/>
      <c r="H513" s="85"/>
      <c r="I513" s="51" t="str">
        <f>IFERROR(VLOOKUP(A513,Internal_lists_bugs!$A$2:$G1058,7,FALSE()),"please select a BUG ID")</f>
        <v>please select a BUG ID</v>
      </c>
      <c r="J513" s="85"/>
      <c r="K513" s="85"/>
    </row>
    <row r="514">
      <c r="A514" s="85"/>
      <c r="B514" s="59"/>
      <c r="C514" s="51" t="str">
        <f>IFERROR(VLOOKUP(A514,Internal_lists_bugs!$A$2:$T1058,20,FALSE()),"please select a BUG ID")</f>
        <v>please select a BUG ID</v>
      </c>
      <c r="D514" s="93"/>
      <c r="E514" s="85"/>
      <c r="F514" s="62"/>
      <c r="G514" s="63"/>
      <c r="H514" s="85"/>
      <c r="I514" s="51" t="str">
        <f>IFERROR(VLOOKUP(A514,Internal_lists_bugs!$A$2:$G1058,7,FALSE()),"please select a BUG ID")</f>
        <v>please select a BUG ID</v>
      </c>
      <c r="J514" s="85"/>
      <c r="K514" s="85"/>
    </row>
    <row r="515">
      <c r="A515" s="85"/>
      <c r="B515" s="59"/>
      <c r="C515" s="51" t="str">
        <f>IFERROR(VLOOKUP(A515,Internal_lists_bugs!$A$2:$T1058,20,FALSE()),"please select a BUG ID")</f>
        <v>please select a BUG ID</v>
      </c>
      <c r="D515" s="93"/>
      <c r="E515" s="85"/>
      <c r="F515" s="62"/>
      <c r="G515" s="63"/>
      <c r="H515" s="85"/>
      <c r="I515" s="51" t="str">
        <f>IFERROR(VLOOKUP(A515,Internal_lists_bugs!$A$2:$G1058,7,FALSE()),"please select a BUG ID")</f>
        <v>please select a BUG ID</v>
      </c>
      <c r="J515" s="85"/>
      <c r="K515" s="85"/>
    </row>
    <row r="516">
      <c r="A516" s="85"/>
      <c r="B516" s="59"/>
      <c r="C516" s="51" t="str">
        <f>IFERROR(VLOOKUP(A516,Internal_lists_bugs!$A$2:$T1058,20,FALSE()),"please select a BUG ID")</f>
        <v>please select a BUG ID</v>
      </c>
      <c r="D516" s="93"/>
      <c r="E516" s="85"/>
      <c r="F516" s="62"/>
      <c r="G516" s="63"/>
      <c r="H516" s="85"/>
      <c r="I516" s="51" t="str">
        <f>IFERROR(VLOOKUP(A516,Internal_lists_bugs!$A$2:$G1058,7,FALSE()),"please select a BUG ID")</f>
        <v>please select a BUG ID</v>
      </c>
      <c r="J516" s="85"/>
      <c r="K516" s="85"/>
    </row>
    <row r="517">
      <c r="A517" s="85"/>
      <c r="B517" s="59"/>
      <c r="C517" s="51" t="str">
        <f>IFERROR(VLOOKUP(A517,Internal_lists_bugs!$A$2:$T1058,20,FALSE()),"please select a BUG ID")</f>
        <v>please select a BUG ID</v>
      </c>
      <c r="D517" s="93"/>
      <c r="E517" s="85"/>
      <c r="F517" s="62"/>
      <c r="G517" s="63"/>
      <c r="H517" s="85"/>
      <c r="I517" s="51" t="str">
        <f>IFERROR(VLOOKUP(A517,Internal_lists_bugs!$A$2:$G1058,7,FALSE()),"please select a BUG ID")</f>
        <v>please select a BUG ID</v>
      </c>
      <c r="J517" s="85"/>
      <c r="K517" s="85"/>
    </row>
    <row r="518">
      <c r="A518" s="85"/>
      <c r="B518" s="59"/>
      <c r="C518" s="51" t="str">
        <f>IFERROR(VLOOKUP(A518,Internal_lists_bugs!$A$2:$T1058,20,FALSE()),"please select a BUG ID")</f>
        <v>please select a BUG ID</v>
      </c>
      <c r="D518" s="93"/>
      <c r="E518" s="85"/>
      <c r="F518" s="62"/>
      <c r="G518" s="63"/>
      <c r="H518" s="85"/>
      <c r="I518" s="51" t="str">
        <f>IFERROR(VLOOKUP(A518,Internal_lists_bugs!$A$2:$G1058,7,FALSE()),"please select a BUG ID")</f>
        <v>please select a BUG ID</v>
      </c>
      <c r="J518" s="85"/>
      <c r="K518" s="85"/>
    </row>
    <row r="519">
      <c r="A519" s="85"/>
      <c r="B519" s="59"/>
      <c r="C519" s="51" t="str">
        <f>IFERROR(VLOOKUP(A519,Internal_lists_bugs!$A$2:$T1058,20,FALSE()),"please select a BUG ID")</f>
        <v>please select a BUG ID</v>
      </c>
      <c r="D519" s="93"/>
      <c r="E519" s="85"/>
      <c r="F519" s="62"/>
      <c r="G519" s="63"/>
      <c r="H519" s="85"/>
      <c r="I519" s="51" t="str">
        <f>IFERROR(VLOOKUP(A519,Internal_lists_bugs!$A$2:$G1058,7,FALSE()),"please select a BUG ID")</f>
        <v>please select a BUG ID</v>
      </c>
      <c r="J519" s="85"/>
      <c r="K519" s="85"/>
    </row>
    <row r="520">
      <c r="A520" s="85"/>
      <c r="B520" s="59"/>
      <c r="C520" s="51" t="str">
        <f>IFERROR(VLOOKUP(A520,Internal_lists_bugs!$A$2:$T1058,20,FALSE()),"please select a BUG ID")</f>
        <v>please select a BUG ID</v>
      </c>
      <c r="D520" s="93"/>
      <c r="E520" s="85"/>
      <c r="F520" s="62"/>
      <c r="G520" s="63"/>
      <c r="H520" s="85"/>
      <c r="I520" s="51" t="str">
        <f>IFERROR(VLOOKUP(A520,Internal_lists_bugs!$A$2:$G1058,7,FALSE()),"please select a BUG ID")</f>
        <v>please select a BUG ID</v>
      </c>
      <c r="J520" s="85"/>
      <c r="K520" s="85"/>
    </row>
    <row r="521">
      <c r="A521" s="85"/>
      <c r="B521" s="59"/>
      <c r="C521" s="51" t="str">
        <f>IFERROR(VLOOKUP(A521,Internal_lists_bugs!$A$2:$T1058,20,FALSE()),"please select a BUG ID")</f>
        <v>please select a BUG ID</v>
      </c>
      <c r="D521" s="93"/>
      <c r="E521" s="85"/>
      <c r="F521" s="62"/>
      <c r="G521" s="63"/>
      <c r="H521" s="85"/>
      <c r="I521" s="51" t="str">
        <f>IFERROR(VLOOKUP(A521,Internal_lists_bugs!$A$2:$G1058,7,FALSE()),"please select a BUG ID")</f>
        <v>please select a BUG ID</v>
      </c>
      <c r="J521" s="85"/>
      <c r="K521" s="85"/>
    </row>
    <row r="522">
      <c r="A522" s="85"/>
      <c r="B522" s="59"/>
      <c r="C522" s="51" t="str">
        <f>IFERROR(VLOOKUP(A522,Internal_lists_bugs!$A$2:$T1058,20,FALSE()),"please select a BUG ID")</f>
        <v>please select a BUG ID</v>
      </c>
      <c r="D522" s="93"/>
      <c r="E522" s="85"/>
      <c r="F522" s="62"/>
      <c r="G522" s="63"/>
      <c r="H522" s="85"/>
      <c r="I522" s="51" t="str">
        <f>IFERROR(VLOOKUP(A522,Internal_lists_bugs!$A$2:$G1058,7,FALSE()),"please select a BUG ID")</f>
        <v>please select a BUG ID</v>
      </c>
      <c r="J522" s="85"/>
      <c r="K522" s="85"/>
    </row>
    <row r="523">
      <c r="A523" s="85"/>
      <c r="B523" s="59"/>
      <c r="C523" s="51" t="str">
        <f>IFERROR(VLOOKUP(A523,Internal_lists_bugs!$A$2:$T1058,20,FALSE()),"please select a BUG ID")</f>
        <v>please select a BUG ID</v>
      </c>
      <c r="D523" s="93"/>
      <c r="E523" s="85"/>
      <c r="F523" s="62"/>
      <c r="G523" s="63"/>
      <c r="H523" s="85"/>
      <c r="I523" s="51" t="str">
        <f>IFERROR(VLOOKUP(A523,Internal_lists_bugs!$A$2:$G1058,7,FALSE()),"please select a BUG ID")</f>
        <v>please select a BUG ID</v>
      </c>
      <c r="J523" s="85"/>
      <c r="K523" s="85"/>
    </row>
    <row r="524">
      <c r="A524" s="85"/>
      <c r="B524" s="59"/>
      <c r="C524" s="51" t="str">
        <f>IFERROR(VLOOKUP(A524,Internal_lists_bugs!$A$2:$T1058,20,FALSE()),"please select a BUG ID")</f>
        <v>please select a BUG ID</v>
      </c>
      <c r="D524" s="93"/>
      <c r="E524" s="85"/>
      <c r="F524" s="62"/>
      <c r="G524" s="63"/>
      <c r="H524" s="85"/>
      <c r="I524" s="51" t="str">
        <f>IFERROR(VLOOKUP(A524,Internal_lists_bugs!$A$2:$G1058,7,FALSE()),"please select a BUG ID")</f>
        <v>please select a BUG ID</v>
      </c>
      <c r="J524" s="85"/>
      <c r="K524" s="85"/>
    </row>
    <row r="525">
      <c r="A525" s="85"/>
      <c r="B525" s="59"/>
      <c r="C525" s="51" t="str">
        <f>IFERROR(VLOOKUP(A525,Internal_lists_bugs!$A$2:$T1058,20,FALSE()),"please select a BUG ID")</f>
        <v>please select a BUG ID</v>
      </c>
      <c r="D525" s="93"/>
      <c r="E525" s="85"/>
      <c r="F525" s="62"/>
      <c r="G525" s="63"/>
      <c r="H525" s="85"/>
      <c r="I525" s="51" t="str">
        <f>IFERROR(VLOOKUP(A525,Internal_lists_bugs!$A$2:$G1058,7,FALSE()),"please select a BUG ID")</f>
        <v>please select a BUG ID</v>
      </c>
      <c r="J525" s="85"/>
      <c r="K525" s="85"/>
    </row>
    <row r="526">
      <c r="A526" s="85"/>
      <c r="B526" s="59"/>
      <c r="C526" s="51" t="str">
        <f>IFERROR(VLOOKUP(A526,Internal_lists_bugs!$A$2:$T1058,20,FALSE()),"please select a BUG ID")</f>
        <v>please select a BUG ID</v>
      </c>
      <c r="D526" s="93"/>
      <c r="E526" s="85"/>
      <c r="F526" s="62"/>
      <c r="G526" s="63"/>
      <c r="H526" s="85"/>
      <c r="I526" s="51" t="str">
        <f>IFERROR(VLOOKUP(A526,Internal_lists_bugs!$A$2:$G1058,7,FALSE()),"please select a BUG ID")</f>
        <v>please select a BUG ID</v>
      </c>
      <c r="J526" s="85"/>
      <c r="K526" s="85"/>
    </row>
    <row r="527">
      <c r="A527" s="85"/>
      <c r="B527" s="59"/>
      <c r="C527" s="51" t="str">
        <f>IFERROR(VLOOKUP(A527,Internal_lists_bugs!$A$2:$T1058,20,FALSE()),"please select a BUG ID")</f>
        <v>please select a BUG ID</v>
      </c>
      <c r="D527" s="93"/>
      <c r="E527" s="85"/>
      <c r="F527" s="62"/>
      <c r="G527" s="63"/>
      <c r="H527" s="85"/>
      <c r="I527" s="51" t="str">
        <f>IFERROR(VLOOKUP(A527,Internal_lists_bugs!$A$2:$G1058,7,FALSE()),"please select a BUG ID")</f>
        <v>please select a BUG ID</v>
      </c>
      <c r="J527" s="85"/>
      <c r="K527" s="85"/>
    </row>
    <row r="528">
      <c r="A528" s="85"/>
      <c r="B528" s="59"/>
      <c r="C528" s="51" t="str">
        <f>IFERROR(VLOOKUP(A528,Internal_lists_bugs!$A$2:$T1058,20,FALSE()),"please select a BUG ID")</f>
        <v>please select a BUG ID</v>
      </c>
      <c r="D528" s="93"/>
      <c r="E528" s="85"/>
      <c r="F528" s="62"/>
      <c r="G528" s="63"/>
      <c r="H528" s="85"/>
      <c r="I528" s="51" t="str">
        <f>IFERROR(VLOOKUP(A528,Internal_lists_bugs!$A$2:$G1058,7,FALSE()),"please select a BUG ID")</f>
        <v>please select a BUG ID</v>
      </c>
      <c r="J528" s="85"/>
      <c r="K528" s="85"/>
    </row>
    <row r="529">
      <c r="A529" s="85"/>
      <c r="B529" s="59"/>
      <c r="C529" s="51" t="str">
        <f>IFERROR(VLOOKUP(A529,Internal_lists_bugs!$A$2:$T1058,20,FALSE()),"please select a BUG ID")</f>
        <v>please select a BUG ID</v>
      </c>
      <c r="D529" s="93"/>
      <c r="E529" s="85"/>
      <c r="F529" s="62"/>
      <c r="G529" s="63"/>
      <c r="H529" s="85"/>
      <c r="I529" s="51" t="str">
        <f>IFERROR(VLOOKUP(A529,Internal_lists_bugs!$A$2:$G1058,7,FALSE()),"please select a BUG ID")</f>
        <v>please select a BUG ID</v>
      </c>
      <c r="J529" s="85"/>
      <c r="K529" s="85"/>
    </row>
    <row r="530">
      <c r="A530" s="85"/>
      <c r="B530" s="59"/>
      <c r="C530" s="51" t="str">
        <f>IFERROR(VLOOKUP(A530,Internal_lists_bugs!$A$2:$T1058,20,FALSE()),"please select a BUG ID")</f>
        <v>please select a BUG ID</v>
      </c>
      <c r="D530" s="93"/>
      <c r="E530" s="85"/>
      <c r="F530" s="62"/>
      <c r="G530" s="63"/>
      <c r="H530" s="85"/>
      <c r="I530" s="51" t="str">
        <f>IFERROR(VLOOKUP(A530,Internal_lists_bugs!$A$2:$G1058,7,FALSE()),"please select a BUG ID")</f>
        <v>please select a BUG ID</v>
      </c>
      <c r="J530" s="85"/>
      <c r="K530" s="85"/>
    </row>
    <row r="531">
      <c r="A531" s="85"/>
      <c r="B531" s="59"/>
      <c r="C531" s="51" t="str">
        <f>IFERROR(VLOOKUP(A531,Internal_lists_bugs!$A$2:$T1058,20,FALSE()),"please select a BUG ID")</f>
        <v>please select a BUG ID</v>
      </c>
      <c r="D531" s="93"/>
      <c r="E531" s="85"/>
      <c r="F531" s="62"/>
      <c r="G531" s="63"/>
      <c r="H531" s="85"/>
      <c r="I531" s="51" t="str">
        <f>IFERROR(VLOOKUP(A531,Internal_lists_bugs!$A$2:$G1058,7,FALSE()),"please select a BUG ID")</f>
        <v>please select a BUG ID</v>
      </c>
      <c r="J531" s="85"/>
      <c r="K531" s="85"/>
    </row>
    <row r="532">
      <c r="A532" s="85"/>
      <c r="B532" s="59"/>
      <c r="C532" s="51" t="str">
        <f>IFERROR(VLOOKUP(A532,Internal_lists_bugs!$A$2:$T1058,20,FALSE()),"please select a BUG ID")</f>
        <v>please select a BUG ID</v>
      </c>
      <c r="D532" s="93"/>
      <c r="E532" s="85"/>
      <c r="F532" s="62"/>
      <c r="G532" s="63"/>
      <c r="H532" s="85"/>
      <c r="I532" s="51" t="str">
        <f>IFERROR(VLOOKUP(A532,Internal_lists_bugs!$A$2:$G1058,7,FALSE()),"please select a BUG ID")</f>
        <v>please select a BUG ID</v>
      </c>
      <c r="J532" s="85"/>
      <c r="K532" s="85"/>
    </row>
    <row r="533">
      <c r="A533" s="85"/>
      <c r="B533" s="59"/>
      <c r="C533" s="51" t="str">
        <f>IFERROR(VLOOKUP(A533,Internal_lists_bugs!$A$2:$T1058,20,FALSE()),"please select a BUG ID")</f>
        <v>please select a BUG ID</v>
      </c>
      <c r="D533" s="93"/>
      <c r="E533" s="85"/>
      <c r="F533" s="62"/>
      <c r="G533" s="63"/>
      <c r="H533" s="85"/>
      <c r="I533" s="51" t="str">
        <f>IFERROR(VLOOKUP(A533,Internal_lists_bugs!$A$2:$G1058,7,FALSE()),"please select a BUG ID")</f>
        <v>please select a BUG ID</v>
      </c>
      <c r="J533" s="85"/>
      <c r="K533" s="85"/>
    </row>
    <row r="534">
      <c r="A534" s="85"/>
      <c r="B534" s="59"/>
      <c r="C534" s="51" t="str">
        <f>IFERROR(VLOOKUP(A534,Internal_lists_bugs!$A$2:$T1058,20,FALSE()),"please select a BUG ID")</f>
        <v>please select a BUG ID</v>
      </c>
      <c r="D534" s="93"/>
      <c r="E534" s="85"/>
      <c r="F534" s="62"/>
      <c r="G534" s="63"/>
      <c r="H534" s="85"/>
      <c r="I534" s="51" t="str">
        <f>IFERROR(VLOOKUP(A534,Internal_lists_bugs!$A$2:$G1058,7,FALSE()),"please select a BUG ID")</f>
        <v>please select a BUG ID</v>
      </c>
      <c r="J534" s="85"/>
      <c r="K534" s="85"/>
    </row>
    <row r="535">
      <c r="A535" s="85"/>
      <c r="B535" s="59"/>
      <c r="C535" s="51" t="str">
        <f>IFERROR(VLOOKUP(A535,Internal_lists_bugs!$A$2:$T1058,20,FALSE()),"please select a BUG ID")</f>
        <v>please select a BUG ID</v>
      </c>
      <c r="D535" s="93"/>
      <c r="E535" s="85"/>
      <c r="F535" s="62"/>
      <c r="G535" s="63"/>
      <c r="H535" s="85"/>
      <c r="I535" s="51" t="str">
        <f>IFERROR(VLOOKUP(A535,Internal_lists_bugs!$A$2:$G1058,7,FALSE()),"please select a BUG ID")</f>
        <v>please select a BUG ID</v>
      </c>
      <c r="J535" s="85"/>
      <c r="K535" s="85"/>
    </row>
    <row r="536">
      <c r="A536" s="85"/>
      <c r="B536" s="59"/>
      <c r="C536" s="51" t="str">
        <f>IFERROR(VLOOKUP(A536,Internal_lists_bugs!$A$2:$T1058,20,FALSE()),"please select a BUG ID")</f>
        <v>please select a BUG ID</v>
      </c>
      <c r="D536" s="93"/>
      <c r="E536" s="85"/>
      <c r="F536" s="62"/>
      <c r="G536" s="63"/>
      <c r="H536" s="85"/>
      <c r="I536" s="51" t="str">
        <f>IFERROR(VLOOKUP(A536,Internal_lists_bugs!$A$2:$G1058,7,FALSE()),"please select a BUG ID")</f>
        <v>please select a BUG ID</v>
      </c>
      <c r="J536" s="85"/>
      <c r="K536" s="85"/>
    </row>
    <row r="537">
      <c r="A537" s="85"/>
      <c r="B537" s="59"/>
      <c r="C537" s="51" t="str">
        <f>IFERROR(VLOOKUP(A537,Internal_lists_bugs!$A$2:$T1058,20,FALSE()),"please select a BUG ID")</f>
        <v>please select a BUG ID</v>
      </c>
      <c r="D537" s="93"/>
      <c r="E537" s="85"/>
      <c r="F537" s="62"/>
      <c r="G537" s="63"/>
      <c r="H537" s="85"/>
      <c r="I537" s="51" t="str">
        <f>IFERROR(VLOOKUP(A537,Internal_lists_bugs!$A$2:$G1058,7,FALSE()),"please select a BUG ID")</f>
        <v>please select a BUG ID</v>
      </c>
      <c r="J537" s="85"/>
      <c r="K537" s="85"/>
    </row>
    <row r="538">
      <c r="A538" s="85"/>
      <c r="B538" s="59"/>
      <c r="C538" s="51" t="str">
        <f>IFERROR(VLOOKUP(A538,Internal_lists_bugs!$A$2:$T1058,20,FALSE()),"please select a BUG ID")</f>
        <v>please select a BUG ID</v>
      </c>
      <c r="D538" s="93"/>
      <c r="E538" s="85"/>
      <c r="F538" s="62"/>
      <c r="G538" s="63"/>
      <c r="H538" s="85"/>
      <c r="I538" s="51" t="str">
        <f>IFERROR(VLOOKUP(A538,Internal_lists_bugs!$A$2:$G1058,7,FALSE()),"please select a BUG ID")</f>
        <v>please select a BUG ID</v>
      </c>
      <c r="J538" s="85"/>
      <c r="K538" s="85"/>
    </row>
    <row r="539">
      <c r="A539" s="85"/>
      <c r="B539" s="59"/>
      <c r="C539" s="51" t="str">
        <f>IFERROR(VLOOKUP(A539,Internal_lists_bugs!$A$2:$T1058,20,FALSE()),"please select a BUG ID")</f>
        <v>please select a BUG ID</v>
      </c>
      <c r="D539" s="93"/>
      <c r="E539" s="85"/>
      <c r="F539" s="62"/>
      <c r="G539" s="63"/>
      <c r="H539" s="85"/>
      <c r="I539" s="51" t="str">
        <f>IFERROR(VLOOKUP(A539,Internal_lists_bugs!$A$2:$G1058,7,FALSE()),"please select a BUG ID")</f>
        <v>please select a BUG ID</v>
      </c>
      <c r="J539" s="85"/>
      <c r="K539" s="85"/>
    </row>
    <row r="540">
      <c r="A540" s="85"/>
      <c r="B540" s="59"/>
      <c r="C540" s="51" t="str">
        <f>IFERROR(VLOOKUP(A540,Internal_lists_bugs!$A$2:$T1058,20,FALSE()),"please select a BUG ID")</f>
        <v>please select a BUG ID</v>
      </c>
      <c r="D540" s="93"/>
      <c r="E540" s="85"/>
      <c r="F540" s="62"/>
      <c r="G540" s="63"/>
      <c r="H540" s="85"/>
      <c r="I540" s="51" t="str">
        <f>IFERROR(VLOOKUP(A540,Internal_lists_bugs!$A$2:$G1058,7,FALSE()),"please select a BUG ID")</f>
        <v>please select a BUG ID</v>
      </c>
      <c r="J540" s="85"/>
      <c r="K540" s="85"/>
    </row>
    <row r="541">
      <c r="A541" s="85"/>
      <c r="B541" s="59"/>
      <c r="C541" s="51" t="str">
        <f>IFERROR(VLOOKUP(A541,Internal_lists_bugs!$A$2:$T1058,20,FALSE()),"please select a BUG ID")</f>
        <v>please select a BUG ID</v>
      </c>
      <c r="D541" s="93"/>
      <c r="E541" s="85"/>
      <c r="F541" s="62"/>
      <c r="G541" s="63"/>
      <c r="H541" s="85"/>
      <c r="I541" s="51" t="str">
        <f>IFERROR(VLOOKUP(A541,Internal_lists_bugs!$A$2:$G1058,7,FALSE()),"please select a BUG ID")</f>
        <v>please select a BUG ID</v>
      </c>
      <c r="J541" s="85"/>
      <c r="K541" s="85"/>
    </row>
    <row r="542">
      <c r="A542" s="85"/>
      <c r="B542" s="59"/>
      <c r="C542" s="51" t="str">
        <f>IFERROR(VLOOKUP(A542,Internal_lists_bugs!$A$2:$T1058,20,FALSE()),"please select a BUG ID")</f>
        <v>please select a BUG ID</v>
      </c>
      <c r="D542" s="93"/>
      <c r="E542" s="85"/>
      <c r="F542" s="62"/>
      <c r="G542" s="63"/>
      <c r="H542" s="85"/>
      <c r="I542" s="51" t="str">
        <f>IFERROR(VLOOKUP(A542,Internal_lists_bugs!$A$2:$G1058,7,FALSE()),"please select a BUG ID")</f>
        <v>please select a BUG ID</v>
      </c>
      <c r="J542" s="85"/>
      <c r="K542" s="85"/>
    </row>
    <row r="543">
      <c r="A543" s="85"/>
      <c r="B543" s="59"/>
      <c r="C543" s="51" t="str">
        <f>IFERROR(VLOOKUP(A543,Internal_lists_bugs!$A$2:$T1058,20,FALSE()),"please select a BUG ID")</f>
        <v>please select a BUG ID</v>
      </c>
      <c r="D543" s="93"/>
      <c r="E543" s="85"/>
      <c r="F543" s="62"/>
      <c r="G543" s="63"/>
      <c r="H543" s="85"/>
      <c r="I543" s="51" t="str">
        <f>IFERROR(VLOOKUP(A543,Internal_lists_bugs!$A$2:$G1058,7,FALSE()),"please select a BUG ID")</f>
        <v>please select a BUG ID</v>
      </c>
      <c r="J543" s="85"/>
      <c r="K543" s="85"/>
    </row>
    <row r="544">
      <c r="A544" s="85"/>
      <c r="B544" s="59"/>
      <c r="C544" s="51" t="str">
        <f>IFERROR(VLOOKUP(A544,Internal_lists_bugs!$A$2:$T1058,20,FALSE()),"please select a BUG ID")</f>
        <v>please select a BUG ID</v>
      </c>
      <c r="D544" s="93"/>
      <c r="E544" s="85"/>
      <c r="F544" s="62"/>
      <c r="G544" s="63"/>
      <c r="H544" s="85"/>
      <c r="I544" s="51" t="str">
        <f>IFERROR(VLOOKUP(A544,Internal_lists_bugs!$A$2:$G1058,7,FALSE()),"please select a BUG ID")</f>
        <v>please select a BUG ID</v>
      </c>
      <c r="J544" s="85"/>
      <c r="K544" s="85"/>
    </row>
    <row r="545">
      <c r="A545" s="85"/>
      <c r="B545" s="59"/>
      <c r="C545" s="51" t="str">
        <f>IFERROR(VLOOKUP(A545,Internal_lists_bugs!$A$2:$T1058,20,FALSE()),"please select a BUG ID")</f>
        <v>please select a BUG ID</v>
      </c>
      <c r="D545" s="93"/>
      <c r="E545" s="85"/>
      <c r="F545" s="62"/>
      <c r="G545" s="63"/>
      <c r="H545" s="85"/>
      <c r="I545" s="51" t="str">
        <f>IFERROR(VLOOKUP(A545,Internal_lists_bugs!$A$2:$G1058,7,FALSE()),"please select a BUG ID")</f>
        <v>please select a BUG ID</v>
      </c>
      <c r="J545" s="85"/>
      <c r="K545" s="85"/>
    </row>
    <row r="546">
      <c r="A546" s="85"/>
      <c r="B546" s="59"/>
      <c r="C546" s="51" t="str">
        <f>IFERROR(VLOOKUP(A546,Internal_lists_bugs!$A$2:$T1058,20,FALSE()),"please select a BUG ID")</f>
        <v>please select a BUG ID</v>
      </c>
      <c r="D546" s="93"/>
      <c r="E546" s="85"/>
      <c r="F546" s="62"/>
      <c r="G546" s="63"/>
      <c r="H546" s="85"/>
      <c r="I546" s="51" t="str">
        <f>IFERROR(VLOOKUP(A546,Internal_lists_bugs!$A$2:$G1058,7,FALSE()),"please select a BUG ID")</f>
        <v>please select a BUG ID</v>
      </c>
      <c r="J546" s="85"/>
      <c r="K546" s="85"/>
    </row>
    <row r="547">
      <c r="A547" s="85"/>
      <c r="B547" s="59"/>
      <c r="C547" s="51" t="str">
        <f>IFERROR(VLOOKUP(A547,Internal_lists_bugs!$A$2:$T1058,20,FALSE()),"please select a BUG ID")</f>
        <v>please select a BUG ID</v>
      </c>
      <c r="D547" s="93"/>
      <c r="E547" s="85"/>
      <c r="F547" s="62"/>
      <c r="G547" s="63"/>
      <c r="H547" s="85"/>
      <c r="I547" s="51" t="str">
        <f>IFERROR(VLOOKUP(A547,Internal_lists_bugs!$A$2:$G1058,7,FALSE()),"please select a BUG ID")</f>
        <v>please select a BUG ID</v>
      </c>
      <c r="J547" s="85"/>
      <c r="K547" s="85"/>
    </row>
    <row r="548">
      <c r="A548" s="85"/>
      <c r="B548" s="59"/>
      <c r="C548" s="51" t="str">
        <f>IFERROR(VLOOKUP(A548,Internal_lists_bugs!$A$2:$T1058,20,FALSE()),"please select a BUG ID")</f>
        <v>please select a BUG ID</v>
      </c>
      <c r="D548" s="93"/>
      <c r="E548" s="85"/>
      <c r="F548" s="62"/>
      <c r="G548" s="63"/>
      <c r="H548" s="85"/>
      <c r="I548" s="51" t="str">
        <f>IFERROR(VLOOKUP(A548,Internal_lists_bugs!$A$2:$G1058,7,FALSE()),"please select a BUG ID")</f>
        <v>please select a BUG ID</v>
      </c>
      <c r="J548" s="85"/>
      <c r="K548" s="85"/>
    </row>
    <row r="549">
      <c r="A549" s="85"/>
      <c r="B549" s="59"/>
      <c r="C549" s="51" t="str">
        <f>IFERROR(VLOOKUP(A549,Internal_lists_bugs!$A$2:$T1058,20,FALSE()),"please select a BUG ID")</f>
        <v>please select a BUG ID</v>
      </c>
      <c r="D549" s="93"/>
      <c r="E549" s="85"/>
      <c r="F549" s="62"/>
      <c r="G549" s="63"/>
      <c r="H549" s="85"/>
      <c r="I549" s="51" t="str">
        <f>IFERROR(VLOOKUP(A549,Internal_lists_bugs!$A$2:$G1058,7,FALSE()),"please select a BUG ID")</f>
        <v>please select a BUG ID</v>
      </c>
      <c r="J549" s="85"/>
      <c r="K549" s="85"/>
    </row>
    <row r="550">
      <c r="A550" s="85"/>
      <c r="B550" s="59"/>
      <c r="C550" s="51" t="str">
        <f>IFERROR(VLOOKUP(A550,Internal_lists_bugs!$A$2:$T1058,20,FALSE()),"please select a BUG ID")</f>
        <v>please select a BUG ID</v>
      </c>
      <c r="D550" s="93"/>
      <c r="E550" s="85"/>
      <c r="F550" s="62"/>
      <c r="G550" s="63"/>
      <c r="H550" s="85"/>
      <c r="I550" s="51" t="str">
        <f>IFERROR(VLOOKUP(A550,Internal_lists_bugs!$A$2:$G1058,7,FALSE()),"please select a BUG ID")</f>
        <v>please select a BUG ID</v>
      </c>
      <c r="J550" s="85"/>
      <c r="K550" s="85"/>
    </row>
    <row r="551">
      <c r="A551" s="85"/>
      <c r="B551" s="59"/>
      <c r="C551" s="51" t="str">
        <f>IFERROR(VLOOKUP(A551,Internal_lists_bugs!$A$2:$T1058,20,FALSE()),"please select a BUG ID")</f>
        <v>please select a BUG ID</v>
      </c>
      <c r="D551" s="93"/>
      <c r="E551" s="85"/>
      <c r="F551" s="62"/>
      <c r="G551" s="63"/>
      <c r="H551" s="85"/>
      <c r="I551" s="51" t="str">
        <f>IFERROR(VLOOKUP(A551,Internal_lists_bugs!$A$2:$G1058,7,FALSE()),"please select a BUG ID")</f>
        <v>please select a BUG ID</v>
      </c>
      <c r="J551" s="85"/>
      <c r="K551" s="85"/>
    </row>
    <row r="552">
      <c r="A552" s="85"/>
      <c r="B552" s="59"/>
      <c r="C552" s="51" t="str">
        <f>IFERROR(VLOOKUP(A552,Internal_lists_bugs!$A$2:$T1058,20,FALSE()),"please select a BUG ID")</f>
        <v>please select a BUG ID</v>
      </c>
      <c r="D552" s="93"/>
      <c r="E552" s="85"/>
      <c r="F552" s="62"/>
      <c r="G552" s="63"/>
      <c r="H552" s="85"/>
      <c r="I552" s="51" t="str">
        <f>IFERROR(VLOOKUP(A552,Internal_lists_bugs!$A$2:$G1058,7,FALSE()),"please select a BUG ID")</f>
        <v>please select a BUG ID</v>
      </c>
      <c r="J552" s="85"/>
      <c r="K552" s="85"/>
    </row>
    <row r="553">
      <c r="A553" s="85"/>
      <c r="B553" s="59"/>
      <c r="C553" s="51" t="str">
        <f>IFERROR(VLOOKUP(A553,Internal_lists_bugs!$A$2:$T1058,20,FALSE()),"please select a BUG ID")</f>
        <v>please select a BUG ID</v>
      </c>
      <c r="D553" s="93"/>
      <c r="E553" s="85"/>
      <c r="F553" s="62"/>
      <c r="G553" s="63"/>
      <c r="H553" s="85"/>
      <c r="I553" s="51" t="str">
        <f>IFERROR(VLOOKUP(A553,Internal_lists_bugs!$A$2:$G1058,7,FALSE()),"please select a BUG ID")</f>
        <v>please select a BUG ID</v>
      </c>
      <c r="J553" s="85"/>
      <c r="K553" s="85"/>
    </row>
    <row r="554">
      <c r="A554" s="85"/>
      <c r="B554" s="59"/>
      <c r="C554" s="51" t="str">
        <f>IFERROR(VLOOKUP(A554,Internal_lists_bugs!$A$2:$T1058,20,FALSE()),"please select a BUG ID")</f>
        <v>please select a BUG ID</v>
      </c>
      <c r="D554" s="93"/>
      <c r="E554" s="85"/>
      <c r="F554" s="62"/>
      <c r="G554" s="63"/>
      <c r="H554" s="85"/>
      <c r="I554" s="51" t="str">
        <f>IFERROR(VLOOKUP(A554,Internal_lists_bugs!$A$2:$G1058,7,FALSE()),"please select a BUG ID")</f>
        <v>please select a BUG ID</v>
      </c>
      <c r="J554" s="85"/>
      <c r="K554" s="85"/>
    </row>
    <row r="555">
      <c r="A555" s="85"/>
      <c r="B555" s="59"/>
      <c r="C555" s="51" t="str">
        <f>IFERROR(VLOOKUP(A555,Internal_lists_bugs!$A$2:$T1058,20,FALSE()),"please select a BUG ID")</f>
        <v>please select a BUG ID</v>
      </c>
      <c r="D555" s="93"/>
      <c r="E555" s="85"/>
      <c r="F555" s="62"/>
      <c r="G555" s="63"/>
      <c r="H555" s="85"/>
      <c r="I555" s="51" t="str">
        <f>IFERROR(VLOOKUP(A555,Internal_lists_bugs!$A$2:$G1058,7,FALSE()),"please select a BUG ID")</f>
        <v>please select a BUG ID</v>
      </c>
      <c r="J555" s="85"/>
      <c r="K555" s="85"/>
    </row>
    <row r="556">
      <c r="A556" s="85"/>
      <c r="B556" s="59"/>
      <c r="C556" s="51" t="str">
        <f>IFERROR(VLOOKUP(A556,Internal_lists_bugs!$A$2:$T1058,20,FALSE()),"please select a BUG ID")</f>
        <v>please select a BUG ID</v>
      </c>
      <c r="D556" s="93"/>
      <c r="E556" s="85"/>
      <c r="F556" s="62"/>
      <c r="G556" s="63"/>
      <c r="H556" s="85"/>
      <c r="I556" s="51" t="str">
        <f>IFERROR(VLOOKUP(A556,Internal_lists_bugs!$A$2:$G1058,7,FALSE()),"please select a BUG ID")</f>
        <v>please select a BUG ID</v>
      </c>
      <c r="J556" s="85"/>
      <c r="K556" s="85"/>
    </row>
    <row r="557">
      <c r="A557" s="85"/>
      <c r="B557" s="59"/>
      <c r="C557" s="51" t="str">
        <f>IFERROR(VLOOKUP(A557,Internal_lists_bugs!$A$2:$T1058,20,FALSE()),"please select a BUG ID")</f>
        <v>please select a BUG ID</v>
      </c>
      <c r="D557" s="93"/>
      <c r="E557" s="85"/>
      <c r="F557" s="62"/>
      <c r="G557" s="63"/>
      <c r="H557" s="85"/>
      <c r="I557" s="51" t="str">
        <f>IFERROR(VLOOKUP(A557,Internal_lists_bugs!$A$2:$G1058,7,FALSE()),"please select a BUG ID")</f>
        <v>please select a BUG ID</v>
      </c>
      <c r="J557" s="85"/>
      <c r="K557" s="85"/>
    </row>
    <row r="558">
      <c r="A558" s="85"/>
      <c r="B558" s="59"/>
      <c r="C558" s="51" t="str">
        <f>IFERROR(VLOOKUP(A558,Internal_lists_bugs!$A$2:$T1058,20,FALSE()),"please select a BUG ID")</f>
        <v>please select a BUG ID</v>
      </c>
      <c r="D558" s="93"/>
      <c r="E558" s="85"/>
      <c r="F558" s="62"/>
      <c r="G558" s="63"/>
      <c r="H558" s="85"/>
      <c r="I558" s="51" t="str">
        <f>IFERROR(VLOOKUP(A558,Internal_lists_bugs!$A$2:$G1058,7,FALSE()),"please select a BUG ID")</f>
        <v>please select a BUG ID</v>
      </c>
      <c r="J558" s="85"/>
      <c r="K558" s="85"/>
    </row>
    <row r="559">
      <c r="A559" s="85"/>
      <c r="B559" s="59"/>
      <c r="C559" s="51" t="str">
        <f>IFERROR(VLOOKUP(A559,Internal_lists_bugs!$A$2:$T1058,20,FALSE()),"please select a BUG ID")</f>
        <v>please select a BUG ID</v>
      </c>
      <c r="D559" s="93"/>
      <c r="E559" s="85"/>
      <c r="F559" s="62"/>
      <c r="G559" s="63"/>
      <c r="H559" s="85"/>
      <c r="I559" s="51" t="str">
        <f>IFERROR(VLOOKUP(A559,Internal_lists_bugs!$A$2:$G1058,7,FALSE()),"please select a BUG ID")</f>
        <v>please select a BUG ID</v>
      </c>
      <c r="J559" s="85"/>
      <c r="K559" s="85"/>
    </row>
    <row r="560">
      <c r="A560" s="85"/>
      <c r="B560" s="59"/>
      <c r="C560" s="51" t="str">
        <f>IFERROR(VLOOKUP(A560,Internal_lists_bugs!$A$2:$T1058,20,FALSE()),"please select a BUG ID")</f>
        <v>please select a BUG ID</v>
      </c>
      <c r="D560" s="93"/>
      <c r="E560" s="85"/>
      <c r="F560" s="62"/>
      <c r="G560" s="63"/>
      <c r="H560" s="85"/>
      <c r="I560" s="51" t="str">
        <f>IFERROR(VLOOKUP(A560,Internal_lists_bugs!$A$2:$G1058,7,FALSE()),"please select a BUG ID")</f>
        <v>please select a BUG ID</v>
      </c>
      <c r="J560" s="85"/>
      <c r="K560" s="85"/>
    </row>
    <row r="561">
      <c r="A561" s="85"/>
      <c r="B561" s="59"/>
      <c r="C561" s="51" t="str">
        <f>IFERROR(VLOOKUP(A561,Internal_lists_bugs!$A$2:$T1058,20,FALSE()),"please select a BUG ID")</f>
        <v>please select a BUG ID</v>
      </c>
      <c r="D561" s="93"/>
      <c r="E561" s="85"/>
      <c r="F561" s="62"/>
      <c r="G561" s="63"/>
      <c r="H561" s="85"/>
      <c r="I561" s="51" t="str">
        <f>IFERROR(VLOOKUP(A561,Internal_lists_bugs!$A$2:$G1058,7,FALSE()),"please select a BUG ID")</f>
        <v>please select a BUG ID</v>
      </c>
      <c r="J561" s="85"/>
      <c r="K561" s="85"/>
    </row>
    <row r="562">
      <c r="A562" s="85"/>
      <c r="B562" s="59"/>
      <c r="C562" s="51" t="str">
        <f>IFERROR(VLOOKUP(A562,Internal_lists_bugs!$A$2:$T1058,20,FALSE()),"please select a BUG ID")</f>
        <v>please select a BUG ID</v>
      </c>
      <c r="D562" s="93"/>
      <c r="E562" s="85"/>
      <c r="F562" s="62"/>
      <c r="G562" s="63"/>
      <c r="H562" s="85"/>
      <c r="I562" s="51" t="str">
        <f>IFERROR(VLOOKUP(A562,Internal_lists_bugs!$A$2:$G1058,7,FALSE()),"please select a BUG ID")</f>
        <v>please select a BUG ID</v>
      </c>
      <c r="J562" s="85"/>
      <c r="K562" s="85"/>
    </row>
    <row r="563">
      <c r="A563" s="85"/>
      <c r="B563" s="59"/>
      <c r="C563" s="51" t="str">
        <f>IFERROR(VLOOKUP(A563,Internal_lists_bugs!$A$2:$T1058,20,FALSE()),"please select a BUG ID")</f>
        <v>please select a BUG ID</v>
      </c>
      <c r="D563" s="93"/>
      <c r="E563" s="85"/>
      <c r="F563" s="62"/>
      <c r="G563" s="63"/>
      <c r="H563" s="85"/>
      <c r="I563" s="51" t="str">
        <f>IFERROR(VLOOKUP(A563,Internal_lists_bugs!$A$2:$G1058,7,FALSE()),"please select a BUG ID")</f>
        <v>please select a BUG ID</v>
      </c>
      <c r="J563" s="85"/>
      <c r="K563" s="85"/>
    </row>
    <row r="564">
      <c r="A564" s="85"/>
      <c r="B564" s="59"/>
      <c r="C564" s="51" t="str">
        <f>IFERROR(VLOOKUP(A564,Internal_lists_bugs!$A$2:$T1058,20,FALSE()),"please select a BUG ID")</f>
        <v>please select a BUG ID</v>
      </c>
      <c r="D564" s="93"/>
      <c r="E564" s="85"/>
      <c r="F564" s="62"/>
      <c r="G564" s="63"/>
      <c r="H564" s="85"/>
      <c r="I564" s="51" t="str">
        <f>IFERROR(VLOOKUP(A564,Internal_lists_bugs!$A$2:$G1058,7,FALSE()),"please select a BUG ID")</f>
        <v>please select a BUG ID</v>
      </c>
      <c r="J564" s="85"/>
      <c r="K564" s="85"/>
    </row>
    <row r="565">
      <c r="A565" s="85"/>
      <c r="B565" s="59"/>
      <c r="C565" s="51" t="str">
        <f>IFERROR(VLOOKUP(A565,Internal_lists_bugs!$A$2:$T1058,20,FALSE()),"please select a BUG ID")</f>
        <v>please select a BUG ID</v>
      </c>
      <c r="D565" s="93"/>
      <c r="E565" s="85"/>
      <c r="F565" s="62"/>
      <c r="G565" s="63"/>
      <c r="H565" s="85"/>
      <c r="I565" s="51" t="str">
        <f>IFERROR(VLOOKUP(A565,Internal_lists_bugs!$A$2:$G1058,7,FALSE()),"please select a BUG ID")</f>
        <v>please select a BUG ID</v>
      </c>
      <c r="J565" s="85"/>
      <c r="K565" s="85"/>
    </row>
    <row r="566">
      <c r="A566" s="85"/>
      <c r="B566" s="59"/>
      <c r="C566" s="51" t="str">
        <f>IFERROR(VLOOKUP(A566,Internal_lists_bugs!$A$2:$T1058,20,FALSE()),"please select a BUG ID")</f>
        <v>please select a BUG ID</v>
      </c>
      <c r="D566" s="93"/>
      <c r="E566" s="85"/>
      <c r="F566" s="62"/>
      <c r="G566" s="63"/>
      <c r="H566" s="85"/>
      <c r="I566" s="51" t="str">
        <f>IFERROR(VLOOKUP(A566,Internal_lists_bugs!$A$2:$G1058,7,FALSE()),"please select a BUG ID")</f>
        <v>please select a BUG ID</v>
      </c>
      <c r="J566" s="85"/>
      <c r="K566" s="85"/>
    </row>
    <row r="567">
      <c r="A567" s="85"/>
      <c r="B567" s="59"/>
      <c r="C567" s="51" t="str">
        <f>IFERROR(VLOOKUP(A567,Internal_lists_bugs!$A$2:$T1058,20,FALSE()),"please select a BUG ID")</f>
        <v>please select a BUG ID</v>
      </c>
      <c r="D567" s="93"/>
      <c r="E567" s="85"/>
      <c r="F567" s="62"/>
      <c r="G567" s="63"/>
      <c r="H567" s="85"/>
      <c r="I567" s="51" t="str">
        <f>IFERROR(VLOOKUP(A567,Internal_lists_bugs!$A$2:$G1058,7,FALSE()),"please select a BUG ID")</f>
        <v>please select a BUG ID</v>
      </c>
      <c r="J567" s="85"/>
      <c r="K567" s="85"/>
    </row>
    <row r="568">
      <c r="A568" s="85"/>
      <c r="B568" s="59"/>
      <c r="C568" s="51" t="str">
        <f>IFERROR(VLOOKUP(A568,Internal_lists_bugs!$A$2:$T1058,20,FALSE()),"please select a BUG ID")</f>
        <v>please select a BUG ID</v>
      </c>
      <c r="D568" s="93"/>
      <c r="E568" s="85"/>
      <c r="F568" s="62"/>
      <c r="G568" s="63"/>
      <c r="H568" s="85"/>
      <c r="I568" s="51" t="str">
        <f>IFERROR(VLOOKUP(A568,Internal_lists_bugs!$A$2:$G1058,7,FALSE()),"please select a BUG ID")</f>
        <v>please select a BUG ID</v>
      </c>
      <c r="J568" s="85"/>
      <c r="K568" s="85"/>
    </row>
    <row r="569">
      <c r="A569" s="85"/>
      <c r="B569" s="59"/>
      <c r="C569" s="51" t="str">
        <f>IFERROR(VLOOKUP(A569,Internal_lists_bugs!$A$2:$T1058,20,FALSE()),"please select a BUG ID")</f>
        <v>please select a BUG ID</v>
      </c>
      <c r="D569" s="93"/>
      <c r="E569" s="85"/>
      <c r="F569" s="62"/>
      <c r="G569" s="63"/>
      <c r="H569" s="85"/>
      <c r="I569" s="51" t="str">
        <f>IFERROR(VLOOKUP(A569,Internal_lists_bugs!$A$2:$G1058,7,FALSE()),"please select a BUG ID")</f>
        <v>please select a BUG ID</v>
      </c>
      <c r="J569" s="85"/>
      <c r="K569" s="85"/>
    </row>
    <row r="570">
      <c r="A570" s="85"/>
      <c r="B570" s="59"/>
      <c r="C570" s="51" t="str">
        <f>IFERROR(VLOOKUP(A570,Internal_lists_bugs!$A$2:$T1058,20,FALSE()),"please select a BUG ID")</f>
        <v>please select a BUG ID</v>
      </c>
      <c r="D570" s="93"/>
      <c r="E570" s="85"/>
      <c r="F570" s="62"/>
      <c r="G570" s="63"/>
      <c r="H570" s="85"/>
      <c r="I570" s="51" t="str">
        <f>IFERROR(VLOOKUP(A570,Internal_lists_bugs!$A$2:$G1058,7,FALSE()),"please select a BUG ID")</f>
        <v>please select a BUG ID</v>
      </c>
      <c r="J570" s="85"/>
      <c r="K570" s="85"/>
    </row>
    <row r="571">
      <c r="A571" s="85"/>
      <c r="B571" s="59"/>
      <c r="C571" s="51" t="str">
        <f>IFERROR(VLOOKUP(A571,Internal_lists_bugs!$A$2:$T1058,20,FALSE()),"please select a BUG ID")</f>
        <v>please select a BUG ID</v>
      </c>
      <c r="D571" s="93"/>
      <c r="E571" s="85"/>
      <c r="F571" s="62"/>
      <c r="G571" s="63"/>
      <c r="H571" s="85"/>
      <c r="I571" s="51" t="str">
        <f>IFERROR(VLOOKUP(A571,Internal_lists_bugs!$A$2:$G1058,7,FALSE()),"please select a BUG ID")</f>
        <v>please select a BUG ID</v>
      </c>
      <c r="J571" s="85"/>
      <c r="K571" s="85"/>
    </row>
    <row r="572">
      <c r="A572" s="85"/>
      <c r="B572" s="59"/>
      <c r="C572" s="51" t="str">
        <f>IFERROR(VLOOKUP(A572,Internal_lists_bugs!$A$2:$T1058,20,FALSE()),"please select a BUG ID")</f>
        <v>please select a BUG ID</v>
      </c>
      <c r="D572" s="93"/>
      <c r="E572" s="85"/>
      <c r="F572" s="62"/>
      <c r="G572" s="63"/>
      <c r="H572" s="85"/>
      <c r="I572" s="51" t="str">
        <f>IFERROR(VLOOKUP(A572,Internal_lists_bugs!$A$2:$G1058,7,FALSE()),"please select a BUG ID")</f>
        <v>please select a BUG ID</v>
      </c>
      <c r="J572" s="85"/>
      <c r="K572" s="85"/>
    </row>
    <row r="573">
      <c r="A573" s="85"/>
      <c r="B573" s="59"/>
      <c r="C573" s="51" t="str">
        <f>IFERROR(VLOOKUP(A573,Internal_lists_bugs!$A$2:$T1058,20,FALSE()),"please select a BUG ID")</f>
        <v>please select a BUG ID</v>
      </c>
      <c r="D573" s="93"/>
      <c r="E573" s="85"/>
      <c r="F573" s="62"/>
      <c r="G573" s="63"/>
      <c r="H573" s="85"/>
      <c r="I573" s="51" t="str">
        <f>IFERROR(VLOOKUP(A573,Internal_lists_bugs!$A$2:$G1058,7,FALSE()),"please select a BUG ID")</f>
        <v>please select a BUG ID</v>
      </c>
      <c r="J573" s="85"/>
      <c r="K573" s="85"/>
    </row>
    <row r="574">
      <c r="A574" s="85"/>
      <c r="B574" s="59"/>
      <c r="C574" s="51" t="str">
        <f>IFERROR(VLOOKUP(A574,Internal_lists_bugs!$A$2:$T1058,20,FALSE()),"please select a BUG ID")</f>
        <v>please select a BUG ID</v>
      </c>
      <c r="D574" s="93"/>
      <c r="E574" s="85"/>
      <c r="F574" s="62"/>
      <c r="G574" s="63"/>
      <c r="H574" s="85"/>
      <c r="I574" s="51" t="str">
        <f>IFERROR(VLOOKUP(A574,Internal_lists_bugs!$A$2:$G1058,7,FALSE()),"please select a BUG ID")</f>
        <v>please select a BUG ID</v>
      </c>
      <c r="J574" s="85"/>
      <c r="K574" s="85"/>
    </row>
    <row r="575">
      <c r="A575" s="85"/>
      <c r="B575" s="59"/>
      <c r="C575" s="51" t="str">
        <f>IFERROR(VLOOKUP(A575,Internal_lists_bugs!$A$2:$T1058,20,FALSE()),"please select a BUG ID")</f>
        <v>please select a BUG ID</v>
      </c>
      <c r="D575" s="93"/>
      <c r="E575" s="85"/>
      <c r="F575" s="62"/>
      <c r="G575" s="63"/>
      <c r="H575" s="85"/>
      <c r="I575" s="51" t="str">
        <f>IFERROR(VLOOKUP(A575,Internal_lists_bugs!$A$2:$G1058,7,FALSE()),"please select a BUG ID")</f>
        <v>please select a BUG ID</v>
      </c>
      <c r="J575" s="85"/>
      <c r="K575" s="85"/>
    </row>
    <row r="576">
      <c r="A576" s="85"/>
      <c r="B576" s="59"/>
      <c r="C576" s="51" t="str">
        <f>IFERROR(VLOOKUP(A576,Internal_lists_bugs!$A$2:$T1058,20,FALSE()),"please select a BUG ID")</f>
        <v>please select a BUG ID</v>
      </c>
      <c r="D576" s="93"/>
      <c r="E576" s="85"/>
      <c r="F576" s="62"/>
      <c r="G576" s="63"/>
      <c r="H576" s="85"/>
      <c r="I576" s="51" t="str">
        <f>IFERROR(VLOOKUP(A576,Internal_lists_bugs!$A$2:$G1058,7,FALSE()),"please select a BUG ID")</f>
        <v>please select a BUG ID</v>
      </c>
      <c r="J576" s="85"/>
      <c r="K576" s="85"/>
    </row>
    <row r="577">
      <c r="A577" s="85"/>
      <c r="B577" s="59"/>
      <c r="C577" s="51" t="str">
        <f>IFERROR(VLOOKUP(A577,Internal_lists_bugs!$A$2:$T1058,20,FALSE()),"please select a BUG ID")</f>
        <v>please select a BUG ID</v>
      </c>
      <c r="D577" s="93"/>
      <c r="E577" s="85"/>
      <c r="F577" s="62"/>
      <c r="G577" s="63"/>
      <c r="H577" s="85"/>
      <c r="I577" s="51" t="str">
        <f>IFERROR(VLOOKUP(A577,Internal_lists_bugs!$A$2:$G1058,7,FALSE()),"please select a BUG ID")</f>
        <v>please select a BUG ID</v>
      </c>
      <c r="J577" s="85"/>
      <c r="K577" s="85"/>
    </row>
    <row r="578">
      <c r="A578" s="85"/>
      <c r="B578" s="59"/>
      <c r="C578" s="51" t="str">
        <f>IFERROR(VLOOKUP(A578,Internal_lists_bugs!$A$2:$T1058,20,FALSE()),"please select a BUG ID")</f>
        <v>please select a BUG ID</v>
      </c>
      <c r="D578" s="93"/>
      <c r="E578" s="85"/>
      <c r="F578" s="62"/>
      <c r="G578" s="63"/>
      <c r="H578" s="85"/>
      <c r="I578" s="51" t="str">
        <f>IFERROR(VLOOKUP(A578,Internal_lists_bugs!$A$2:$G1058,7,FALSE()),"please select a BUG ID")</f>
        <v>please select a BUG ID</v>
      </c>
      <c r="J578" s="85"/>
      <c r="K578" s="85"/>
    </row>
    <row r="579">
      <c r="A579" s="85"/>
      <c r="B579" s="59"/>
      <c r="C579" s="51" t="str">
        <f>IFERROR(VLOOKUP(A579,Internal_lists_bugs!$A$2:$T1058,20,FALSE()),"please select a BUG ID")</f>
        <v>please select a BUG ID</v>
      </c>
      <c r="D579" s="93"/>
      <c r="E579" s="85"/>
      <c r="F579" s="62"/>
      <c r="G579" s="63"/>
      <c r="H579" s="85"/>
      <c r="I579" s="51" t="str">
        <f>IFERROR(VLOOKUP(A579,Internal_lists_bugs!$A$2:$G1058,7,FALSE()),"please select a BUG ID")</f>
        <v>please select a BUG ID</v>
      </c>
      <c r="J579" s="85"/>
      <c r="K579" s="85"/>
    </row>
    <row r="580">
      <c r="A580" s="85"/>
      <c r="B580" s="59"/>
      <c r="C580" s="51" t="str">
        <f>IFERROR(VLOOKUP(A580,Internal_lists_bugs!$A$2:$T1058,20,FALSE()),"please select a BUG ID")</f>
        <v>please select a BUG ID</v>
      </c>
      <c r="D580" s="93"/>
      <c r="E580" s="85"/>
      <c r="F580" s="62"/>
      <c r="G580" s="63"/>
      <c r="H580" s="85"/>
      <c r="I580" s="51" t="str">
        <f>IFERROR(VLOOKUP(A580,Internal_lists_bugs!$A$2:$G1058,7,FALSE()),"please select a BUG ID")</f>
        <v>please select a BUG ID</v>
      </c>
      <c r="J580" s="85"/>
      <c r="K580" s="85"/>
    </row>
    <row r="581">
      <c r="A581" s="85"/>
      <c r="B581" s="59"/>
      <c r="C581" s="51" t="str">
        <f>IFERROR(VLOOKUP(A581,Internal_lists_bugs!$A$2:$T1058,20,FALSE()),"please select a BUG ID")</f>
        <v>please select a BUG ID</v>
      </c>
      <c r="D581" s="93"/>
      <c r="E581" s="85"/>
      <c r="F581" s="62"/>
      <c r="G581" s="63"/>
      <c r="H581" s="85"/>
      <c r="I581" s="51" t="str">
        <f>IFERROR(VLOOKUP(A581,Internal_lists_bugs!$A$2:$G1058,7,FALSE()),"please select a BUG ID")</f>
        <v>please select a BUG ID</v>
      </c>
      <c r="J581" s="85"/>
      <c r="K581" s="85"/>
    </row>
    <row r="582">
      <c r="A582" s="85"/>
      <c r="B582" s="59"/>
      <c r="C582" s="51" t="str">
        <f>IFERROR(VLOOKUP(A582,Internal_lists_bugs!$A$2:$T1058,20,FALSE()),"please select a BUG ID")</f>
        <v>please select a BUG ID</v>
      </c>
      <c r="D582" s="93"/>
      <c r="E582" s="85"/>
      <c r="F582" s="62"/>
      <c r="G582" s="63"/>
      <c r="H582" s="85"/>
      <c r="I582" s="51" t="str">
        <f>IFERROR(VLOOKUP(A582,Internal_lists_bugs!$A$2:$G1058,7,FALSE()),"please select a BUG ID")</f>
        <v>please select a BUG ID</v>
      </c>
      <c r="J582" s="85"/>
      <c r="K582" s="85"/>
    </row>
    <row r="583">
      <c r="A583" s="85"/>
      <c r="B583" s="59"/>
      <c r="C583" s="51" t="str">
        <f>IFERROR(VLOOKUP(A583,Internal_lists_bugs!$A$2:$T1058,20,FALSE()),"please select a BUG ID")</f>
        <v>please select a BUG ID</v>
      </c>
      <c r="D583" s="93"/>
      <c r="E583" s="85"/>
      <c r="F583" s="62"/>
      <c r="G583" s="63"/>
      <c r="H583" s="85"/>
      <c r="I583" s="51" t="str">
        <f>IFERROR(VLOOKUP(A583,Internal_lists_bugs!$A$2:$G1058,7,FALSE()),"please select a BUG ID")</f>
        <v>please select a BUG ID</v>
      </c>
      <c r="J583" s="85"/>
      <c r="K583" s="85"/>
    </row>
    <row r="584">
      <c r="A584" s="85"/>
      <c r="B584" s="59"/>
      <c r="C584" s="51" t="str">
        <f>IFERROR(VLOOKUP(A584,Internal_lists_bugs!$A$2:$T1058,20,FALSE()),"please select a BUG ID")</f>
        <v>please select a BUG ID</v>
      </c>
      <c r="D584" s="93"/>
      <c r="E584" s="85"/>
      <c r="F584" s="62"/>
      <c r="G584" s="63"/>
      <c r="H584" s="85"/>
      <c r="I584" s="51" t="str">
        <f>IFERROR(VLOOKUP(A584,Internal_lists_bugs!$A$2:$G1058,7,FALSE()),"please select a BUG ID")</f>
        <v>please select a BUG ID</v>
      </c>
      <c r="J584" s="85"/>
      <c r="K584" s="85"/>
    </row>
    <row r="585">
      <c r="A585" s="85"/>
      <c r="B585" s="59"/>
      <c r="C585" s="51" t="str">
        <f>IFERROR(VLOOKUP(A585,Internal_lists_bugs!$A$2:$T1058,20,FALSE()),"please select a BUG ID")</f>
        <v>please select a BUG ID</v>
      </c>
      <c r="D585" s="93"/>
      <c r="E585" s="85"/>
      <c r="F585" s="62"/>
      <c r="G585" s="63"/>
      <c r="H585" s="85"/>
      <c r="I585" s="51" t="str">
        <f>IFERROR(VLOOKUP(A585,Internal_lists_bugs!$A$2:$G1058,7,FALSE()),"please select a BUG ID")</f>
        <v>please select a BUG ID</v>
      </c>
      <c r="J585" s="85"/>
      <c r="K585" s="85"/>
    </row>
    <row r="586">
      <c r="A586" s="85"/>
      <c r="B586" s="59"/>
      <c r="C586" s="51" t="str">
        <f>IFERROR(VLOOKUP(A586,Internal_lists_bugs!$A$2:$T1058,20,FALSE()),"please select a BUG ID")</f>
        <v>please select a BUG ID</v>
      </c>
      <c r="D586" s="93"/>
      <c r="E586" s="85"/>
      <c r="F586" s="62"/>
      <c r="G586" s="63"/>
      <c r="H586" s="85"/>
      <c r="I586" s="51" t="str">
        <f>IFERROR(VLOOKUP(A586,Internal_lists_bugs!$A$2:$G1058,7,FALSE()),"please select a BUG ID")</f>
        <v>please select a BUG ID</v>
      </c>
      <c r="J586" s="85"/>
      <c r="K586" s="85"/>
    </row>
    <row r="587">
      <c r="A587" s="85"/>
      <c r="B587" s="59"/>
      <c r="C587" s="51" t="str">
        <f>IFERROR(VLOOKUP(A587,Internal_lists_bugs!$A$2:$T1058,20,FALSE()),"please select a BUG ID")</f>
        <v>please select a BUG ID</v>
      </c>
      <c r="D587" s="93"/>
      <c r="E587" s="85"/>
      <c r="F587" s="62"/>
      <c r="G587" s="63"/>
      <c r="H587" s="85"/>
      <c r="I587" s="51" t="str">
        <f>IFERROR(VLOOKUP(A587,Internal_lists_bugs!$A$2:$G1058,7,FALSE()),"please select a BUG ID")</f>
        <v>please select a BUG ID</v>
      </c>
      <c r="J587" s="85"/>
      <c r="K587" s="85"/>
    </row>
    <row r="588">
      <c r="A588" s="85"/>
      <c r="B588" s="59"/>
      <c r="C588" s="51" t="str">
        <f>IFERROR(VLOOKUP(A588,Internal_lists_bugs!$A$2:$T1058,20,FALSE()),"please select a BUG ID")</f>
        <v>please select a BUG ID</v>
      </c>
      <c r="D588" s="93"/>
      <c r="E588" s="85"/>
      <c r="F588" s="62"/>
      <c r="G588" s="63"/>
      <c r="H588" s="85"/>
      <c r="I588" s="51" t="str">
        <f>IFERROR(VLOOKUP(A588,Internal_lists_bugs!$A$2:$G1058,7,FALSE()),"please select a BUG ID")</f>
        <v>please select a BUG ID</v>
      </c>
      <c r="J588" s="85"/>
      <c r="K588" s="85"/>
    </row>
    <row r="589">
      <c r="A589" s="85"/>
      <c r="B589" s="59"/>
      <c r="C589" s="51" t="str">
        <f>IFERROR(VLOOKUP(A589,Internal_lists_bugs!$A$2:$T1058,20,FALSE()),"please select a BUG ID")</f>
        <v>please select a BUG ID</v>
      </c>
      <c r="D589" s="93"/>
      <c r="E589" s="85"/>
      <c r="F589" s="62"/>
      <c r="G589" s="63"/>
      <c r="H589" s="85"/>
      <c r="I589" s="51" t="str">
        <f>IFERROR(VLOOKUP(A589,Internal_lists_bugs!$A$2:$G1058,7,FALSE()),"please select a BUG ID")</f>
        <v>please select a BUG ID</v>
      </c>
      <c r="J589" s="85"/>
      <c r="K589" s="85"/>
    </row>
    <row r="590">
      <c r="A590" s="85"/>
      <c r="B590" s="59"/>
      <c r="C590" s="51" t="str">
        <f>IFERROR(VLOOKUP(A590,Internal_lists_bugs!$A$2:$T1058,20,FALSE()),"please select a BUG ID")</f>
        <v>please select a BUG ID</v>
      </c>
      <c r="D590" s="93"/>
      <c r="E590" s="85"/>
      <c r="F590" s="62"/>
      <c r="G590" s="63"/>
      <c r="H590" s="85"/>
      <c r="I590" s="51" t="str">
        <f>IFERROR(VLOOKUP(A590,Internal_lists_bugs!$A$2:$G1058,7,FALSE()),"please select a BUG ID")</f>
        <v>please select a BUG ID</v>
      </c>
      <c r="J590" s="85"/>
      <c r="K590" s="85"/>
    </row>
    <row r="591">
      <c r="A591" s="85"/>
      <c r="B591" s="59"/>
      <c r="C591" s="51" t="str">
        <f>IFERROR(VLOOKUP(A591,Internal_lists_bugs!$A$2:$T1058,20,FALSE()),"please select a BUG ID")</f>
        <v>please select a BUG ID</v>
      </c>
      <c r="D591" s="93"/>
      <c r="E591" s="85"/>
      <c r="F591" s="62"/>
      <c r="G591" s="63"/>
      <c r="H591" s="85"/>
      <c r="I591" s="51" t="str">
        <f>IFERROR(VLOOKUP(A591,Internal_lists_bugs!$A$2:$G1058,7,FALSE()),"please select a BUG ID")</f>
        <v>please select a BUG ID</v>
      </c>
      <c r="J591" s="85"/>
      <c r="K591" s="85"/>
    </row>
    <row r="592">
      <c r="A592" s="85"/>
      <c r="B592" s="59"/>
      <c r="C592" s="51" t="str">
        <f>IFERROR(VLOOKUP(A592,Internal_lists_bugs!$A$2:$T1058,20,FALSE()),"please select a BUG ID")</f>
        <v>please select a BUG ID</v>
      </c>
      <c r="D592" s="93"/>
      <c r="E592" s="85"/>
      <c r="F592" s="62"/>
      <c r="G592" s="63"/>
      <c r="H592" s="85"/>
      <c r="I592" s="51" t="str">
        <f>IFERROR(VLOOKUP(A592,Internal_lists_bugs!$A$2:$G1058,7,FALSE()),"please select a BUG ID")</f>
        <v>please select a BUG ID</v>
      </c>
      <c r="J592" s="85"/>
      <c r="K592" s="85"/>
    </row>
    <row r="593">
      <c r="A593" s="85"/>
      <c r="B593" s="59"/>
      <c r="C593" s="51" t="str">
        <f>IFERROR(VLOOKUP(A593,Internal_lists_bugs!$A$2:$T1058,20,FALSE()),"please select a BUG ID")</f>
        <v>please select a BUG ID</v>
      </c>
      <c r="D593" s="93"/>
      <c r="E593" s="85"/>
      <c r="F593" s="62"/>
      <c r="G593" s="63"/>
      <c r="H593" s="85"/>
      <c r="I593" s="51" t="str">
        <f>IFERROR(VLOOKUP(A593,Internal_lists_bugs!$A$2:$G1058,7,FALSE()),"please select a BUG ID")</f>
        <v>please select a BUG ID</v>
      </c>
      <c r="J593" s="85"/>
      <c r="K593" s="85"/>
    </row>
    <row r="594">
      <c r="A594" s="85"/>
      <c r="B594" s="59"/>
      <c r="C594" s="51" t="str">
        <f>IFERROR(VLOOKUP(A594,Internal_lists_bugs!$A$2:$T1058,20,FALSE()),"please select a BUG ID")</f>
        <v>please select a BUG ID</v>
      </c>
      <c r="D594" s="93"/>
      <c r="E594" s="85"/>
      <c r="F594" s="62"/>
      <c r="G594" s="63"/>
      <c r="H594" s="85"/>
      <c r="I594" s="51" t="str">
        <f>IFERROR(VLOOKUP(A594,Internal_lists_bugs!$A$2:$G1058,7,FALSE()),"please select a BUG ID")</f>
        <v>please select a BUG ID</v>
      </c>
      <c r="J594" s="85"/>
      <c r="K594" s="85"/>
    </row>
    <row r="595">
      <c r="A595" s="85"/>
      <c r="B595" s="59"/>
      <c r="C595" s="51" t="str">
        <f>IFERROR(VLOOKUP(A595,Internal_lists_bugs!$A$2:$T1058,20,FALSE()),"please select a BUG ID")</f>
        <v>please select a BUG ID</v>
      </c>
      <c r="D595" s="93"/>
      <c r="E595" s="85"/>
      <c r="F595" s="62"/>
      <c r="G595" s="63"/>
      <c r="H595" s="85"/>
      <c r="I595" s="51" t="str">
        <f>IFERROR(VLOOKUP(A595,Internal_lists_bugs!$A$2:$G1058,7,FALSE()),"please select a BUG ID")</f>
        <v>please select a BUG ID</v>
      </c>
      <c r="J595" s="85"/>
      <c r="K595" s="85"/>
    </row>
    <row r="596">
      <c r="A596" s="85"/>
      <c r="B596" s="59"/>
      <c r="C596" s="51" t="str">
        <f>IFERROR(VLOOKUP(A596,Internal_lists_bugs!$A$2:$T1058,20,FALSE()),"please select a BUG ID")</f>
        <v>please select a BUG ID</v>
      </c>
      <c r="D596" s="93"/>
      <c r="E596" s="85"/>
      <c r="F596" s="62"/>
      <c r="G596" s="63"/>
      <c r="H596" s="85"/>
      <c r="I596" s="51" t="str">
        <f>IFERROR(VLOOKUP(A596,Internal_lists_bugs!$A$2:$G1058,7,FALSE()),"please select a BUG ID")</f>
        <v>please select a BUG ID</v>
      </c>
      <c r="J596" s="85"/>
      <c r="K596" s="85"/>
    </row>
    <row r="597">
      <c r="A597" s="85"/>
      <c r="B597" s="59"/>
      <c r="C597" s="51" t="str">
        <f>IFERROR(VLOOKUP(A597,Internal_lists_bugs!$A$2:$T1058,20,FALSE()),"please select a BUG ID")</f>
        <v>please select a BUG ID</v>
      </c>
      <c r="D597" s="93"/>
      <c r="E597" s="85"/>
      <c r="F597" s="62"/>
      <c r="G597" s="63"/>
      <c r="H597" s="85"/>
      <c r="I597" s="51" t="str">
        <f>IFERROR(VLOOKUP(A597,Internal_lists_bugs!$A$2:$G1058,7,FALSE()),"please select a BUG ID")</f>
        <v>please select a BUG ID</v>
      </c>
      <c r="J597" s="85"/>
      <c r="K597" s="85"/>
    </row>
    <row r="598">
      <c r="A598" s="85"/>
      <c r="B598" s="59"/>
      <c r="C598" s="51" t="str">
        <f>IFERROR(VLOOKUP(A598,Internal_lists_bugs!$A$2:$T1058,20,FALSE()),"please select a BUG ID")</f>
        <v>please select a BUG ID</v>
      </c>
      <c r="D598" s="93"/>
      <c r="E598" s="85"/>
      <c r="F598" s="62"/>
      <c r="G598" s="63"/>
      <c r="H598" s="85"/>
      <c r="I598" s="51" t="str">
        <f>IFERROR(VLOOKUP(A598,Internal_lists_bugs!$A$2:$G1058,7,FALSE()),"please select a BUG ID")</f>
        <v>please select a BUG ID</v>
      </c>
      <c r="J598" s="85"/>
      <c r="K598" s="85"/>
    </row>
    <row r="599">
      <c r="A599" s="85"/>
      <c r="B599" s="59"/>
      <c r="C599" s="51" t="str">
        <f>IFERROR(VLOOKUP(A599,Internal_lists_bugs!$A$2:$T1058,20,FALSE()),"please select a BUG ID")</f>
        <v>please select a BUG ID</v>
      </c>
      <c r="D599" s="93"/>
      <c r="E599" s="85"/>
      <c r="F599" s="62"/>
      <c r="G599" s="63"/>
      <c r="H599" s="85"/>
      <c r="I599" s="51" t="str">
        <f>IFERROR(VLOOKUP(A599,Internal_lists_bugs!$A$2:$G1058,7,FALSE()),"please select a BUG ID")</f>
        <v>please select a BUG ID</v>
      </c>
      <c r="J599" s="85"/>
      <c r="K599" s="85"/>
    </row>
    <row r="600">
      <c r="A600" s="85"/>
      <c r="B600" s="59"/>
      <c r="C600" s="51" t="str">
        <f>IFERROR(VLOOKUP(A600,Internal_lists_bugs!$A$2:$T1058,20,FALSE()),"please select a BUG ID")</f>
        <v>please select a BUG ID</v>
      </c>
      <c r="D600" s="93"/>
      <c r="E600" s="85"/>
      <c r="F600" s="62"/>
      <c r="G600" s="63"/>
      <c r="H600" s="85"/>
      <c r="I600" s="51" t="str">
        <f>IFERROR(VLOOKUP(A600,Internal_lists_bugs!$A$2:$G1058,7,FALSE()),"please select a BUG ID")</f>
        <v>please select a BUG ID</v>
      </c>
      <c r="J600" s="85"/>
      <c r="K600" s="85"/>
    </row>
    <row r="601">
      <c r="A601" s="85"/>
      <c r="B601" s="59"/>
      <c r="C601" s="51" t="str">
        <f>IFERROR(VLOOKUP(A601,Internal_lists_bugs!$A$2:$T1058,20,FALSE()),"please select a BUG ID")</f>
        <v>please select a BUG ID</v>
      </c>
      <c r="D601" s="93"/>
      <c r="E601" s="85"/>
      <c r="F601" s="62"/>
      <c r="G601" s="63"/>
      <c r="H601" s="85"/>
      <c r="I601" s="51" t="str">
        <f>IFERROR(VLOOKUP(A601,Internal_lists_bugs!$A$2:$G1058,7,FALSE()),"please select a BUG ID")</f>
        <v>please select a BUG ID</v>
      </c>
      <c r="J601" s="85"/>
      <c r="K601" s="85"/>
    </row>
    <row r="602">
      <c r="A602" s="85"/>
      <c r="B602" s="59"/>
      <c r="C602" s="51" t="str">
        <f>IFERROR(VLOOKUP(A602,Internal_lists_bugs!$A$2:$T1058,20,FALSE()),"please select a BUG ID")</f>
        <v>please select a BUG ID</v>
      </c>
      <c r="D602" s="93"/>
      <c r="E602" s="85"/>
      <c r="F602" s="62"/>
      <c r="G602" s="63"/>
      <c r="H602" s="85"/>
      <c r="I602" s="51" t="str">
        <f>IFERROR(VLOOKUP(A602,Internal_lists_bugs!$A$2:$G1058,7,FALSE()),"please select a BUG ID")</f>
        <v>please select a BUG ID</v>
      </c>
      <c r="J602" s="85"/>
      <c r="K602" s="85"/>
    </row>
    <row r="603">
      <c r="A603" s="85"/>
      <c r="B603" s="59"/>
      <c r="C603" s="51" t="str">
        <f>IFERROR(VLOOKUP(A603,Internal_lists_bugs!$A$2:$T1058,20,FALSE()),"please select a BUG ID")</f>
        <v>please select a BUG ID</v>
      </c>
      <c r="D603" s="93"/>
      <c r="E603" s="85"/>
      <c r="F603" s="62"/>
      <c r="G603" s="63"/>
      <c r="H603" s="85"/>
      <c r="I603" s="51" t="str">
        <f>IFERROR(VLOOKUP(A603,Internal_lists_bugs!$A$2:$G1058,7,FALSE()),"please select a BUG ID")</f>
        <v>please select a BUG ID</v>
      </c>
      <c r="J603" s="85"/>
      <c r="K603" s="85"/>
    </row>
    <row r="604">
      <c r="A604" s="85"/>
      <c r="B604" s="59"/>
      <c r="C604" s="51" t="str">
        <f>IFERROR(VLOOKUP(A604,Internal_lists_bugs!$A$2:$T1058,20,FALSE()),"please select a BUG ID")</f>
        <v>please select a BUG ID</v>
      </c>
      <c r="D604" s="93"/>
      <c r="E604" s="85"/>
      <c r="F604" s="62"/>
      <c r="G604" s="63"/>
      <c r="H604" s="85"/>
      <c r="I604" s="51" t="str">
        <f>IFERROR(VLOOKUP(A604,Internal_lists_bugs!$A$2:$G1058,7,FALSE()),"please select a BUG ID")</f>
        <v>please select a BUG ID</v>
      </c>
      <c r="J604" s="85"/>
      <c r="K604" s="85"/>
    </row>
    <row r="605">
      <c r="A605" s="85"/>
      <c r="B605" s="59"/>
      <c r="C605" s="51" t="str">
        <f>IFERROR(VLOOKUP(A605,Internal_lists_bugs!$A$2:$T1058,20,FALSE()),"please select a BUG ID")</f>
        <v>please select a BUG ID</v>
      </c>
      <c r="D605" s="93"/>
      <c r="E605" s="85"/>
      <c r="F605" s="62"/>
      <c r="G605" s="63"/>
      <c r="H605" s="85"/>
      <c r="I605" s="51" t="str">
        <f>IFERROR(VLOOKUP(A605,Internal_lists_bugs!$A$2:$G1058,7,FALSE()),"please select a BUG ID")</f>
        <v>please select a BUG ID</v>
      </c>
      <c r="J605" s="85"/>
      <c r="K605" s="85"/>
    </row>
    <row r="606">
      <c r="A606" s="85"/>
      <c r="B606" s="59"/>
      <c r="C606" s="51" t="str">
        <f>IFERROR(VLOOKUP(A606,Internal_lists_bugs!$A$2:$T1058,20,FALSE()),"please select a BUG ID")</f>
        <v>please select a BUG ID</v>
      </c>
      <c r="D606" s="93"/>
      <c r="E606" s="85"/>
      <c r="F606" s="62"/>
      <c r="G606" s="63"/>
      <c r="H606" s="85"/>
      <c r="I606" s="51" t="str">
        <f>IFERROR(VLOOKUP(A606,Internal_lists_bugs!$A$2:$G1058,7,FALSE()),"please select a BUG ID")</f>
        <v>please select a BUG ID</v>
      </c>
      <c r="J606" s="85"/>
      <c r="K606" s="85"/>
    </row>
    <row r="607">
      <c r="A607" s="85"/>
      <c r="B607" s="59"/>
      <c r="C607" s="51" t="str">
        <f>IFERROR(VLOOKUP(A607,Internal_lists_bugs!$A$2:$T1058,20,FALSE()),"please select a BUG ID")</f>
        <v>please select a BUG ID</v>
      </c>
      <c r="D607" s="93"/>
      <c r="E607" s="85"/>
      <c r="F607" s="62"/>
      <c r="G607" s="63"/>
      <c r="H607" s="85"/>
      <c r="I607" s="51" t="str">
        <f>IFERROR(VLOOKUP(A607,Internal_lists_bugs!$A$2:$G1058,7,FALSE()),"please select a BUG ID")</f>
        <v>please select a BUG ID</v>
      </c>
      <c r="J607" s="85"/>
      <c r="K607" s="85"/>
    </row>
    <row r="608">
      <c r="A608" s="85"/>
      <c r="B608" s="59"/>
      <c r="C608" s="51" t="str">
        <f>IFERROR(VLOOKUP(A608,Internal_lists_bugs!$A$2:$T1058,20,FALSE()),"please select a BUG ID")</f>
        <v>please select a BUG ID</v>
      </c>
      <c r="D608" s="93"/>
      <c r="E608" s="85"/>
      <c r="F608" s="62"/>
      <c r="G608" s="63"/>
      <c r="H608" s="85"/>
      <c r="I608" s="51" t="str">
        <f>IFERROR(VLOOKUP(A608,Internal_lists_bugs!$A$2:$G1058,7,FALSE()),"please select a BUG ID")</f>
        <v>please select a BUG ID</v>
      </c>
      <c r="J608" s="85"/>
      <c r="K608" s="85"/>
    </row>
    <row r="609">
      <c r="A609" s="85"/>
      <c r="B609" s="59"/>
      <c r="C609" s="51" t="str">
        <f>IFERROR(VLOOKUP(A609,Internal_lists_bugs!$A$2:$T1058,20,FALSE()),"please select a BUG ID")</f>
        <v>please select a BUG ID</v>
      </c>
      <c r="D609" s="93"/>
      <c r="E609" s="85"/>
      <c r="F609" s="62"/>
      <c r="G609" s="63"/>
      <c r="H609" s="85"/>
      <c r="I609" s="51" t="str">
        <f>IFERROR(VLOOKUP(A609,Internal_lists_bugs!$A$2:$G1058,7,FALSE()),"please select a BUG ID")</f>
        <v>please select a BUG ID</v>
      </c>
      <c r="J609" s="85"/>
      <c r="K609" s="85"/>
    </row>
    <row r="610">
      <c r="A610" s="85"/>
      <c r="B610" s="59"/>
      <c r="C610" s="51" t="str">
        <f>IFERROR(VLOOKUP(A610,Internal_lists_bugs!$A$2:$T1058,20,FALSE()),"please select a BUG ID")</f>
        <v>please select a BUG ID</v>
      </c>
      <c r="D610" s="93"/>
      <c r="E610" s="85"/>
      <c r="F610" s="62"/>
      <c r="G610" s="63"/>
      <c r="H610" s="85"/>
      <c r="I610" s="51" t="str">
        <f>IFERROR(VLOOKUP(A610,Internal_lists_bugs!$A$2:$G1058,7,FALSE()),"please select a BUG ID")</f>
        <v>please select a BUG ID</v>
      </c>
      <c r="J610" s="85"/>
      <c r="K610" s="85"/>
    </row>
    <row r="611">
      <c r="A611" s="85"/>
      <c r="B611" s="59"/>
      <c r="C611" s="51" t="str">
        <f>IFERROR(VLOOKUP(A611,Internal_lists_bugs!$A$2:$T1058,20,FALSE()),"please select a BUG ID")</f>
        <v>please select a BUG ID</v>
      </c>
      <c r="D611" s="93"/>
      <c r="E611" s="85"/>
      <c r="F611" s="62"/>
      <c r="G611" s="63"/>
      <c r="H611" s="85"/>
      <c r="I611" s="51" t="str">
        <f>IFERROR(VLOOKUP(A611,Internal_lists_bugs!$A$2:$G1058,7,FALSE()),"please select a BUG ID")</f>
        <v>please select a BUG ID</v>
      </c>
      <c r="J611" s="85"/>
      <c r="K611" s="85"/>
    </row>
    <row r="612">
      <c r="A612" s="85"/>
      <c r="B612" s="59"/>
      <c r="C612" s="51" t="str">
        <f>IFERROR(VLOOKUP(A612,Internal_lists_bugs!$A$2:$T1058,20,FALSE()),"please select a BUG ID")</f>
        <v>please select a BUG ID</v>
      </c>
      <c r="D612" s="93"/>
      <c r="E612" s="85"/>
      <c r="F612" s="62"/>
      <c r="G612" s="63"/>
      <c r="H612" s="85"/>
      <c r="I612" s="51" t="str">
        <f>IFERROR(VLOOKUP(A612,Internal_lists_bugs!$A$2:$G1058,7,FALSE()),"please select a BUG ID")</f>
        <v>please select a BUG ID</v>
      </c>
      <c r="J612" s="85"/>
      <c r="K612" s="85"/>
    </row>
    <row r="613">
      <c r="A613" s="85"/>
      <c r="B613" s="59"/>
      <c r="C613" s="51" t="str">
        <f>IFERROR(VLOOKUP(A613,Internal_lists_bugs!$A$2:$T1058,20,FALSE()),"please select a BUG ID")</f>
        <v>please select a BUG ID</v>
      </c>
      <c r="D613" s="93"/>
      <c r="E613" s="85"/>
      <c r="F613" s="62"/>
      <c r="G613" s="63"/>
      <c r="H613" s="85"/>
      <c r="I613" s="51" t="str">
        <f>IFERROR(VLOOKUP(A613,Internal_lists_bugs!$A$2:$G1058,7,FALSE()),"please select a BUG ID")</f>
        <v>please select a BUG ID</v>
      </c>
      <c r="J613" s="85"/>
      <c r="K613" s="85"/>
    </row>
    <row r="614">
      <c r="A614" s="85"/>
      <c r="B614" s="59"/>
      <c r="C614" s="51" t="str">
        <f>IFERROR(VLOOKUP(A614,Internal_lists_bugs!$A$2:$T1058,20,FALSE()),"please select a BUG ID")</f>
        <v>please select a BUG ID</v>
      </c>
      <c r="D614" s="93"/>
      <c r="E614" s="85"/>
      <c r="F614" s="62"/>
      <c r="G614" s="63"/>
      <c r="H614" s="85"/>
      <c r="I614" s="51" t="str">
        <f>IFERROR(VLOOKUP(A614,Internal_lists_bugs!$A$2:$G1058,7,FALSE()),"please select a BUG ID")</f>
        <v>please select a BUG ID</v>
      </c>
      <c r="J614" s="85"/>
      <c r="K614" s="85"/>
    </row>
    <row r="615">
      <c r="A615" s="85"/>
      <c r="B615" s="59"/>
      <c r="C615" s="51" t="str">
        <f>IFERROR(VLOOKUP(A615,Internal_lists_bugs!$A$2:$T1058,20,FALSE()),"please select a BUG ID")</f>
        <v>please select a BUG ID</v>
      </c>
      <c r="D615" s="93"/>
      <c r="E615" s="85"/>
      <c r="F615" s="62"/>
      <c r="G615" s="63"/>
      <c r="H615" s="85"/>
      <c r="I615" s="51" t="str">
        <f>IFERROR(VLOOKUP(A615,Internal_lists_bugs!$A$2:$G1058,7,FALSE()),"please select a BUG ID")</f>
        <v>please select a BUG ID</v>
      </c>
      <c r="J615" s="85"/>
      <c r="K615" s="85"/>
    </row>
    <row r="616">
      <c r="A616" s="85"/>
      <c r="B616" s="59"/>
      <c r="C616" s="51" t="str">
        <f>IFERROR(VLOOKUP(A616,Internal_lists_bugs!$A$2:$T1058,20,FALSE()),"please select a BUG ID")</f>
        <v>please select a BUG ID</v>
      </c>
      <c r="D616" s="93"/>
      <c r="E616" s="85"/>
      <c r="F616" s="62"/>
      <c r="G616" s="63"/>
      <c r="H616" s="85"/>
      <c r="I616" s="51" t="str">
        <f>IFERROR(VLOOKUP(A616,Internal_lists_bugs!$A$2:$G1058,7,FALSE()),"please select a BUG ID")</f>
        <v>please select a BUG ID</v>
      </c>
      <c r="J616" s="85"/>
      <c r="K616" s="85"/>
    </row>
    <row r="617">
      <c r="A617" s="85"/>
      <c r="B617" s="59"/>
      <c r="C617" s="51" t="str">
        <f>IFERROR(VLOOKUP(A617,Internal_lists_bugs!$A$2:$T1058,20,FALSE()),"please select a BUG ID")</f>
        <v>please select a BUG ID</v>
      </c>
      <c r="D617" s="93"/>
      <c r="E617" s="85"/>
      <c r="F617" s="62"/>
      <c r="G617" s="63"/>
      <c r="H617" s="85"/>
      <c r="I617" s="51" t="str">
        <f>IFERROR(VLOOKUP(A617,Internal_lists_bugs!$A$2:$G1058,7,FALSE()),"please select a BUG ID")</f>
        <v>please select a BUG ID</v>
      </c>
      <c r="J617" s="85"/>
      <c r="K617" s="85"/>
    </row>
    <row r="618">
      <c r="A618" s="85"/>
      <c r="B618" s="59"/>
      <c r="C618" s="51" t="str">
        <f>IFERROR(VLOOKUP(A618,Internal_lists_bugs!$A$2:$T1058,20,FALSE()),"please select a BUG ID")</f>
        <v>please select a BUG ID</v>
      </c>
      <c r="D618" s="93"/>
      <c r="E618" s="85"/>
      <c r="F618" s="62"/>
      <c r="G618" s="63"/>
      <c r="H618" s="85"/>
      <c r="I618" s="51" t="str">
        <f>IFERROR(VLOOKUP(A618,Internal_lists_bugs!$A$2:$G1058,7,FALSE()),"please select a BUG ID")</f>
        <v>please select a BUG ID</v>
      </c>
      <c r="J618" s="85"/>
      <c r="K618" s="85"/>
    </row>
    <row r="619">
      <c r="A619" s="85"/>
      <c r="B619" s="59"/>
      <c r="C619" s="51" t="str">
        <f>IFERROR(VLOOKUP(A619,Internal_lists_bugs!$A$2:$T1058,20,FALSE()),"please select a BUG ID")</f>
        <v>please select a BUG ID</v>
      </c>
      <c r="D619" s="93"/>
      <c r="E619" s="85"/>
      <c r="F619" s="62"/>
      <c r="G619" s="63"/>
      <c r="H619" s="85"/>
      <c r="I619" s="51" t="str">
        <f>IFERROR(VLOOKUP(A619,Internal_lists_bugs!$A$2:$G1058,7,FALSE()),"please select a BUG ID")</f>
        <v>please select a BUG ID</v>
      </c>
      <c r="J619" s="85"/>
      <c r="K619" s="85"/>
    </row>
    <row r="620">
      <c r="A620" s="85"/>
      <c r="B620" s="59"/>
      <c r="C620" s="51" t="str">
        <f>IFERROR(VLOOKUP(A620,Internal_lists_bugs!$A$2:$T1058,20,FALSE()),"please select a BUG ID")</f>
        <v>please select a BUG ID</v>
      </c>
      <c r="D620" s="93"/>
      <c r="E620" s="85"/>
      <c r="F620" s="62"/>
      <c r="G620" s="63"/>
      <c r="H620" s="85"/>
      <c r="I620" s="51" t="str">
        <f>IFERROR(VLOOKUP(A620,Internal_lists_bugs!$A$2:$G1058,7,FALSE()),"please select a BUG ID")</f>
        <v>please select a BUG ID</v>
      </c>
      <c r="J620" s="85"/>
      <c r="K620" s="85"/>
    </row>
    <row r="621">
      <c r="A621" s="85"/>
      <c r="B621" s="59"/>
      <c r="C621" s="51" t="str">
        <f>IFERROR(VLOOKUP(A621,Internal_lists_bugs!$A$2:$T1058,20,FALSE()),"please select a BUG ID")</f>
        <v>please select a BUG ID</v>
      </c>
      <c r="D621" s="93"/>
      <c r="E621" s="85"/>
      <c r="F621" s="62"/>
      <c r="G621" s="63"/>
      <c r="H621" s="85"/>
      <c r="I621" s="51" t="str">
        <f>IFERROR(VLOOKUP(A621,Internal_lists_bugs!$A$2:$G1058,7,FALSE()),"please select a BUG ID")</f>
        <v>please select a BUG ID</v>
      </c>
      <c r="J621" s="85"/>
      <c r="K621" s="85"/>
    </row>
    <row r="622">
      <c r="A622" s="85"/>
      <c r="B622" s="59"/>
      <c r="C622" s="51" t="str">
        <f>IFERROR(VLOOKUP(A622,Internal_lists_bugs!$A$2:$T1058,20,FALSE()),"please select a BUG ID")</f>
        <v>please select a BUG ID</v>
      </c>
      <c r="D622" s="93"/>
      <c r="E622" s="85"/>
      <c r="F622" s="62"/>
      <c r="G622" s="63"/>
      <c r="H622" s="85"/>
      <c r="I622" s="51" t="str">
        <f>IFERROR(VLOOKUP(A622,Internal_lists_bugs!$A$2:$G1058,7,FALSE()),"please select a BUG ID")</f>
        <v>please select a BUG ID</v>
      </c>
      <c r="J622" s="85"/>
      <c r="K622" s="85"/>
    </row>
    <row r="623">
      <c r="A623" s="85"/>
      <c r="B623" s="59"/>
      <c r="C623" s="51" t="str">
        <f>IFERROR(VLOOKUP(A623,Internal_lists_bugs!$A$2:$T1058,20,FALSE()),"please select a BUG ID")</f>
        <v>please select a BUG ID</v>
      </c>
      <c r="D623" s="93"/>
      <c r="E623" s="85"/>
      <c r="F623" s="62"/>
      <c r="G623" s="63"/>
      <c r="H623" s="85"/>
      <c r="I623" s="51" t="str">
        <f>IFERROR(VLOOKUP(A623,Internal_lists_bugs!$A$2:$G1058,7,FALSE()),"please select a BUG ID")</f>
        <v>please select a BUG ID</v>
      </c>
      <c r="J623" s="85"/>
      <c r="K623" s="85"/>
    </row>
    <row r="624">
      <c r="A624" s="85"/>
      <c r="B624" s="59"/>
      <c r="C624" s="51" t="str">
        <f>IFERROR(VLOOKUP(A624,Internal_lists_bugs!$A$2:$T1058,20,FALSE()),"please select a BUG ID")</f>
        <v>please select a BUG ID</v>
      </c>
      <c r="D624" s="93"/>
      <c r="E624" s="85"/>
      <c r="F624" s="62"/>
      <c r="G624" s="63"/>
      <c r="H624" s="85"/>
      <c r="I624" s="51" t="str">
        <f>IFERROR(VLOOKUP(A624,Internal_lists_bugs!$A$2:$G1058,7,FALSE()),"please select a BUG ID")</f>
        <v>please select a BUG ID</v>
      </c>
      <c r="J624" s="85"/>
      <c r="K624" s="85"/>
    </row>
    <row r="625">
      <c r="A625" s="85"/>
      <c r="B625" s="59"/>
      <c r="C625" s="51" t="str">
        <f>IFERROR(VLOOKUP(A625,Internal_lists_bugs!$A$2:$T1058,20,FALSE()),"please select a BUG ID")</f>
        <v>please select a BUG ID</v>
      </c>
      <c r="D625" s="93"/>
      <c r="E625" s="85"/>
      <c r="F625" s="62"/>
      <c r="G625" s="63"/>
      <c r="H625" s="85"/>
      <c r="I625" s="51" t="str">
        <f>IFERROR(VLOOKUP(A625,Internal_lists_bugs!$A$2:$G1058,7,FALSE()),"please select a BUG ID")</f>
        <v>please select a BUG ID</v>
      </c>
      <c r="J625" s="85"/>
      <c r="K625" s="85"/>
    </row>
    <row r="626">
      <c r="A626" s="85"/>
      <c r="B626" s="59"/>
      <c r="C626" s="51" t="str">
        <f>IFERROR(VLOOKUP(A626,Internal_lists_bugs!$A$2:$T1058,20,FALSE()),"please select a BUG ID")</f>
        <v>please select a BUG ID</v>
      </c>
      <c r="D626" s="93"/>
      <c r="E626" s="85"/>
      <c r="F626" s="62"/>
      <c r="G626" s="63"/>
      <c r="H626" s="85"/>
      <c r="I626" s="51" t="str">
        <f>IFERROR(VLOOKUP(A626,Internal_lists_bugs!$A$2:$G1058,7,FALSE()),"please select a BUG ID")</f>
        <v>please select a BUG ID</v>
      </c>
      <c r="J626" s="85"/>
      <c r="K626" s="85"/>
    </row>
    <row r="627">
      <c r="A627" s="85"/>
      <c r="B627" s="59"/>
      <c r="C627" s="51" t="str">
        <f>IFERROR(VLOOKUP(A627,Internal_lists_bugs!$A$2:$T1058,20,FALSE()),"please select a BUG ID")</f>
        <v>please select a BUG ID</v>
      </c>
      <c r="D627" s="93"/>
      <c r="E627" s="85"/>
      <c r="F627" s="62"/>
      <c r="G627" s="63"/>
      <c r="H627" s="85"/>
      <c r="I627" s="51" t="str">
        <f>IFERROR(VLOOKUP(A627,Internal_lists_bugs!$A$2:$G1058,7,FALSE()),"please select a BUG ID")</f>
        <v>please select a BUG ID</v>
      </c>
      <c r="J627" s="85"/>
      <c r="K627" s="85"/>
    </row>
    <row r="628">
      <c r="A628" s="85"/>
      <c r="B628" s="59"/>
      <c r="C628" s="51" t="str">
        <f>IFERROR(VLOOKUP(A628,Internal_lists_bugs!$A$2:$T1058,20,FALSE()),"please select a BUG ID")</f>
        <v>please select a BUG ID</v>
      </c>
      <c r="D628" s="93"/>
      <c r="E628" s="85"/>
      <c r="F628" s="62"/>
      <c r="G628" s="63"/>
      <c r="H628" s="85"/>
      <c r="I628" s="51" t="str">
        <f>IFERROR(VLOOKUP(A628,Internal_lists_bugs!$A$2:$G1058,7,FALSE()),"please select a BUG ID")</f>
        <v>please select a BUG ID</v>
      </c>
      <c r="J628" s="85"/>
      <c r="K628" s="85"/>
    </row>
    <row r="629">
      <c r="A629" s="85"/>
      <c r="B629" s="59"/>
      <c r="C629" s="51" t="str">
        <f>IFERROR(VLOOKUP(A629,Internal_lists_bugs!$A$2:$T1058,20,FALSE()),"please select a BUG ID")</f>
        <v>please select a BUG ID</v>
      </c>
      <c r="D629" s="93"/>
      <c r="E629" s="85"/>
      <c r="F629" s="62"/>
      <c r="G629" s="63"/>
      <c r="H629" s="85"/>
      <c r="I629" s="51" t="str">
        <f>IFERROR(VLOOKUP(A629,Internal_lists_bugs!$A$2:$G1058,7,FALSE()),"please select a BUG ID")</f>
        <v>please select a BUG ID</v>
      </c>
      <c r="J629" s="85"/>
      <c r="K629" s="85"/>
    </row>
    <row r="630">
      <c r="A630" s="85"/>
      <c r="B630" s="59"/>
      <c r="C630" s="51" t="str">
        <f>IFERROR(VLOOKUP(A630,Internal_lists_bugs!$A$2:$T1058,20,FALSE()),"please select a BUG ID")</f>
        <v>please select a BUG ID</v>
      </c>
      <c r="D630" s="93"/>
      <c r="E630" s="85"/>
      <c r="F630" s="62"/>
      <c r="G630" s="63"/>
      <c r="H630" s="85"/>
      <c r="I630" s="51" t="str">
        <f>IFERROR(VLOOKUP(A630,Internal_lists_bugs!$A$2:$G1058,7,FALSE()),"please select a BUG ID")</f>
        <v>please select a BUG ID</v>
      </c>
      <c r="J630" s="85"/>
      <c r="K630" s="85"/>
    </row>
    <row r="631">
      <c r="A631" s="85"/>
      <c r="B631" s="59"/>
      <c r="C631" s="51" t="str">
        <f>IFERROR(VLOOKUP(A631,Internal_lists_bugs!$A$2:$T1058,20,FALSE()),"please select a BUG ID")</f>
        <v>please select a BUG ID</v>
      </c>
      <c r="D631" s="93"/>
      <c r="E631" s="85"/>
      <c r="F631" s="62"/>
      <c r="G631" s="63"/>
      <c r="H631" s="85"/>
      <c r="I631" s="51" t="str">
        <f>IFERROR(VLOOKUP(A631,Internal_lists_bugs!$A$2:$G1058,7,FALSE()),"please select a BUG ID")</f>
        <v>please select a BUG ID</v>
      </c>
      <c r="J631" s="85"/>
      <c r="K631" s="85"/>
    </row>
    <row r="632">
      <c r="A632" s="85"/>
      <c r="B632" s="59"/>
      <c r="C632" s="51" t="str">
        <f>IFERROR(VLOOKUP(A632,Internal_lists_bugs!$A$2:$T1058,20,FALSE()),"please select a BUG ID")</f>
        <v>please select a BUG ID</v>
      </c>
      <c r="D632" s="93"/>
      <c r="E632" s="85"/>
      <c r="F632" s="62"/>
      <c r="G632" s="63"/>
      <c r="H632" s="85"/>
      <c r="I632" s="51" t="str">
        <f>IFERROR(VLOOKUP(A632,Internal_lists_bugs!$A$2:$G1058,7,FALSE()),"please select a BUG ID")</f>
        <v>please select a BUG ID</v>
      </c>
      <c r="J632" s="85"/>
      <c r="K632" s="85"/>
    </row>
    <row r="633">
      <c r="A633" s="85"/>
      <c r="B633" s="59"/>
      <c r="C633" s="51" t="str">
        <f>IFERROR(VLOOKUP(A633,Internal_lists_bugs!$A$2:$T1058,20,FALSE()),"please select a BUG ID")</f>
        <v>please select a BUG ID</v>
      </c>
      <c r="D633" s="93"/>
      <c r="E633" s="85"/>
      <c r="F633" s="62"/>
      <c r="G633" s="63"/>
      <c r="H633" s="85"/>
      <c r="I633" s="51" t="str">
        <f>IFERROR(VLOOKUP(A633,Internal_lists_bugs!$A$2:$G1058,7,FALSE()),"please select a BUG ID")</f>
        <v>please select a BUG ID</v>
      </c>
      <c r="J633" s="85"/>
      <c r="K633" s="85"/>
    </row>
    <row r="634">
      <c r="A634" s="85"/>
      <c r="B634" s="59"/>
      <c r="C634" s="51" t="str">
        <f>IFERROR(VLOOKUP(A634,Internal_lists_bugs!$A$2:$T1058,20,FALSE()),"please select a BUG ID")</f>
        <v>please select a BUG ID</v>
      </c>
      <c r="D634" s="93"/>
      <c r="E634" s="85"/>
      <c r="F634" s="62"/>
      <c r="G634" s="63"/>
      <c r="H634" s="85"/>
      <c r="I634" s="51" t="str">
        <f>IFERROR(VLOOKUP(A634,Internal_lists_bugs!$A$2:$G1058,7,FALSE()),"please select a BUG ID")</f>
        <v>please select a BUG ID</v>
      </c>
      <c r="J634" s="85"/>
      <c r="K634" s="85"/>
    </row>
    <row r="635">
      <c r="A635" s="85"/>
      <c r="B635" s="59"/>
      <c r="C635" s="51" t="str">
        <f>IFERROR(VLOOKUP(A635,Internal_lists_bugs!$A$2:$T1058,20,FALSE()),"please select a BUG ID")</f>
        <v>please select a BUG ID</v>
      </c>
      <c r="D635" s="93"/>
      <c r="E635" s="85"/>
      <c r="F635" s="62"/>
      <c r="G635" s="63"/>
      <c r="H635" s="85"/>
      <c r="I635" s="51" t="str">
        <f>IFERROR(VLOOKUP(A635,Internal_lists_bugs!$A$2:$G1058,7,FALSE()),"please select a BUG ID")</f>
        <v>please select a BUG ID</v>
      </c>
      <c r="J635" s="85"/>
      <c r="K635" s="85"/>
    </row>
    <row r="636">
      <c r="A636" s="85"/>
      <c r="B636" s="59"/>
      <c r="C636" s="51" t="str">
        <f>IFERROR(VLOOKUP(A636,Internal_lists_bugs!$A$2:$T1058,20,FALSE()),"please select a BUG ID")</f>
        <v>please select a BUG ID</v>
      </c>
      <c r="D636" s="93"/>
      <c r="E636" s="85"/>
      <c r="F636" s="62"/>
      <c r="G636" s="63"/>
      <c r="H636" s="85"/>
      <c r="I636" s="51" t="str">
        <f>IFERROR(VLOOKUP(A636,Internal_lists_bugs!$A$2:$G1058,7,FALSE()),"please select a BUG ID")</f>
        <v>please select a BUG ID</v>
      </c>
      <c r="J636" s="85"/>
      <c r="K636" s="85"/>
    </row>
    <row r="637">
      <c r="A637" s="85"/>
      <c r="B637" s="59"/>
      <c r="C637" s="51" t="str">
        <f>IFERROR(VLOOKUP(A637,Internal_lists_bugs!$A$2:$T1058,20,FALSE()),"please select a BUG ID")</f>
        <v>please select a BUG ID</v>
      </c>
      <c r="D637" s="93"/>
      <c r="E637" s="85"/>
      <c r="F637" s="62"/>
      <c r="G637" s="63"/>
      <c r="H637" s="85"/>
      <c r="I637" s="51" t="str">
        <f>IFERROR(VLOOKUP(A637,Internal_lists_bugs!$A$2:$G1058,7,FALSE()),"please select a BUG ID")</f>
        <v>please select a BUG ID</v>
      </c>
      <c r="J637" s="85"/>
      <c r="K637" s="85"/>
    </row>
    <row r="638">
      <c r="A638" s="85"/>
      <c r="B638" s="59"/>
      <c r="C638" s="51" t="str">
        <f>IFERROR(VLOOKUP(A638,Internal_lists_bugs!$A$2:$T1058,20,FALSE()),"please select a BUG ID")</f>
        <v>please select a BUG ID</v>
      </c>
      <c r="D638" s="93"/>
      <c r="E638" s="85"/>
      <c r="F638" s="62"/>
      <c r="G638" s="63"/>
      <c r="H638" s="85"/>
      <c r="I638" s="51" t="str">
        <f>IFERROR(VLOOKUP(A638,Internal_lists_bugs!$A$2:$G1058,7,FALSE()),"please select a BUG ID")</f>
        <v>please select a BUG ID</v>
      </c>
      <c r="J638" s="85"/>
      <c r="K638" s="85"/>
    </row>
    <row r="639">
      <c r="A639" s="85"/>
      <c r="B639" s="59"/>
      <c r="C639" s="51" t="str">
        <f>IFERROR(VLOOKUP(A639,Internal_lists_bugs!$A$2:$T1058,20,FALSE()),"please select a BUG ID")</f>
        <v>please select a BUG ID</v>
      </c>
      <c r="D639" s="93"/>
      <c r="E639" s="85"/>
      <c r="F639" s="62"/>
      <c r="G639" s="63"/>
      <c r="H639" s="85"/>
      <c r="I639" s="51" t="str">
        <f>IFERROR(VLOOKUP(A639,Internal_lists_bugs!$A$2:$G1058,7,FALSE()),"please select a BUG ID")</f>
        <v>please select a BUG ID</v>
      </c>
      <c r="J639" s="85"/>
      <c r="K639" s="85"/>
    </row>
    <row r="640">
      <c r="A640" s="85"/>
      <c r="B640" s="59"/>
      <c r="C640" s="51" t="str">
        <f>IFERROR(VLOOKUP(A640,Internal_lists_bugs!$A$2:$T1058,20,FALSE()),"please select a BUG ID")</f>
        <v>please select a BUG ID</v>
      </c>
      <c r="D640" s="93"/>
      <c r="E640" s="85"/>
      <c r="F640" s="62"/>
      <c r="G640" s="63"/>
      <c r="H640" s="85"/>
      <c r="I640" s="51" t="str">
        <f>IFERROR(VLOOKUP(A640,Internal_lists_bugs!$A$2:$G1058,7,FALSE()),"please select a BUG ID")</f>
        <v>please select a BUG ID</v>
      </c>
      <c r="J640" s="85"/>
      <c r="K640" s="85"/>
    </row>
    <row r="641">
      <c r="A641" s="85"/>
      <c r="B641" s="59"/>
      <c r="C641" s="51" t="str">
        <f>IFERROR(VLOOKUP(A641,Internal_lists_bugs!$A$2:$T1058,20,FALSE()),"please select a BUG ID")</f>
        <v>please select a BUG ID</v>
      </c>
      <c r="D641" s="93"/>
      <c r="E641" s="85"/>
      <c r="F641" s="62"/>
      <c r="G641" s="63"/>
      <c r="H641" s="85"/>
      <c r="I641" s="51" t="str">
        <f>IFERROR(VLOOKUP(A641,Internal_lists_bugs!$A$2:$G1058,7,FALSE()),"please select a BUG ID")</f>
        <v>please select a BUG ID</v>
      </c>
      <c r="J641" s="85"/>
      <c r="K641" s="85"/>
    </row>
    <row r="642">
      <c r="A642" s="85"/>
      <c r="B642" s="59"/>
      <c r="C642" s="51" t="str">
        <f>IFERROR(VLOOKUP(A642,Internal_lists_bugs!$A$2:$T1058,20,FALSE()),"please select a BUG ID")</f>
        <v>please select a BUG ID</v>
      </c>
      <c r="D642" s="93"/>
      <c r="E642" s="85"/>
      <c r="F642" s="62"/>
      <c r="G642" s="63"/>
      <c r="H642" s="85"/>
      <c r="I642" s="51" t="str">
        <f>IFERROR(VLOOKUP(A642,Internal_lists_bugs!$A$2:$G1058,7,FALSE()),"please select a BUG ID")</f>
        <v>please select a BUG ID</v>
      </c>
      <c r="J642" s="85"/>
      <c r="K642" s="85"/>
    </row>
    <row r="643">
      <c r="A643" s="85"/>
      <c r="B643" s="59"/>
      <c r="C643" s="51" t="str">
        <f>IFERROR(VLOOKUP(A643,Internal_lists_bugs!$A$2:$T1058,20,FALSE()),"please select a BUG ID")</f>
        <v>please select a BUG ID</v>
      </c>
      <c r="D643" s="93"/>
      <c r="E643" s="85"/>
      <c r="F643" s="62"/>
      <c r="G643" s="63"/>
      <c r="H643" s="85"/>
      <c r="I643" s="51" t="str">
        <f>IFERROR(VLOOKUP(A643,Internal_lists_bugs!$A$2:$G1058,7,FALSE()),"please select a BUG ID")</f>
        <v>please select a BUG ID</v>
      </c>
      <c r="J643" s="85"/>
      <c r="K643" s="85"/>
    </row>
    <row r="644">
      <c r="A644" s="85"/>
      <c r="B644" s="59"/>
      <c r="C644" s="51" t="str">
        <f>IFERROR(VLOOKUP(A644,Internal_lists_bugs!$A$2:$T1058,20,FALSE()),"please select a BUG ID")</f>
        <v>please select a BUG ID</v>
      </c>
      <c r="D644" s="93"/>
      <c r="E644" s="85"/>
      <c r="F644" s="62"/>
      <c r="G644" s="63"/>
      <c r="H644" s="85"/>
      <c r="I644" s="51" t="str">
        <f>IFERROR(VLOOKUP(A644,Internal_lists_bugs!$A$2:$G1058,7,FALSE()),"please select a BUG ID")</f>
        <v>please select a BUG ID</v>
      </c>
      <c r="J644" s="85"/>
      <c r="K644" s="85"/>
    </row>
    <row r="645">
      <c r="A645" s="85"/>
      <c r="B645" s="59"/>
      <c r="C645" s="51" t="str">
        <f>IFERROR(VLOOKUP(A645,Internal_lists_bugs!$A$2:$T1058,20,FALSE()),"please select a BUG ID")</f>
        <v>please select a BUG ID</v>
      </c>
      <c r="D645" s="93"/>
      <c r="E645" s="85"/>
      <c r="F645" s="62"/>
      <c r="G645" s="63"/>
      <c r="H645" s="85"/>
      <c r="I645" s="51" t="str">
        <f>IFERROR(VLOOKUP(A645,Internal_lists_bugs!$A$2:$G1058,7,FALSE()),"please select a BUG ID")</f>
        <v>please select a BUG ID</v>
      </c>
      <c r="J645" s="85"/>
      <c r="K645" s="85"/>
    </row>
    <row r="646">
      <c r="A646" s="85"/>
      <c r="B646" s="59"/>
      <c r="C646" s="51" t="str">
        <f>IFERROR(VLOOKUP(A646,Internal_lists_bugs!$A$2:$T1058,20,FALSE()),"please select a BUG ID")</f>
        <v>please select a BUG ID</v>
      </c>
      <c r="D646" s="93"/>
      <c r="E646" s="85"/>
      <c r="F646" s="62"/>
      <c r="G646" s="63"/>
      <c r="H646" s="85"/>
      <c r="I646" s="51" t="str">
        <f>IFERROR(VLOOKUP(A646,Internal_lists_bugs!$A$2:$G1058,7,FALSE()),"please select a BUG ID")</f>
        <v>please select a BUG ID</v>
      </c>
      <c r="J646" s="85"/>
      <c r="K646" s="85"/>
    </row>
    <row r="647">
      <c r="A647" s="85"/>
      <c r="B647" s="59"/>
      <c r="C647" s="51" t="str">
        <f>IFERROR(VLOOKUP(A647,Internal_lists_bugs!$A$2:$T1058,20,FALSE()),"please select a BUG ID")</f>
        <v>please select a BUG ID</v>
      </c>
      <c r="D647" s="93"/>
      <c r="E647" s="85"/>
      <c r="F647" s="62"/>
      <c r="G647" s="63"/>
      <c r="H647" s="85"/>
      <c r="I647" s="51" t="str">
        <f>IFERROR(VLOOKUP(A647,Internal_lists_bugs!$A$2:$G1058,7,FALSE()),"please select a BUG ID")</f>
        <v>please select a BUG ID</v>
      </c>
      <c r="J647" s="85"/>
      <c r="K647" s="85"/>
    </row>
    <row r="648">
      <c r="A648" s="85"/>
      <c r="B648" s="59"/>
      <c r="C648" s="51" t="str">
        <f>IFERROR(VLOOKUP(A648,Internal_lists_bugs!$A$2:$T1058,20,FALSE()),"please select a BUG ID")</f>
        <v>please select a BUG ID</v>
      </c>
      <c r="D648" s="93"/>
      <c r="E648" s="85"/>
      <c r="F648" s="62"/>
      <c r="G648" s="63"/>
      <c r="H648" s="85"/>
      <c r="I648" s="51" t="str">
        <f>IFERROR(VLOOKUP(A648,Internal_lists_bugs!$A$2:$G1058,7,FALSE()),"please select a BUG ID")</f>
        <v>please select a BUG ID</v>
      </c>
      <c r="J648" s="85"/>
      <c r="K648" s="85"/>
    </row>
    <row r="649">
      <c r="A649" s="85"/>
      <c r="B649" s="59"/>
      <c r="C649" s="51" t="str">
        <f>IFERROR(VLOOKUP(A649,Internal_lists_bugs!$A$2:$T1058,20,FALSE()),"please select a BUG ID")</f>
        <v>please select a BUG ID</v>
      </c>
      <c r="D649" s="93"/>
      <c r="E649" s="85"/>
      <c r="F649" s="62"/>
      <c r="G649" s="63"/>
      <c r="H649" s="85"/>
      <c r="I649" s="51" t="str">
        <f>IFERROR(VLOOKUP(A649,Internal_lists_bugs!$A$2:$G1058,7,FALSE()),"please select a BUG ID")</f>
        <v>please select a BUG ID</v>
      </c>
      <c r="J649" s="85"/>
      <c r="K649" s="85"/>
    </row>
    <row r="650">
      <c r="A650" s="85"/>
      <c r="B650" s="59"/>
      <c r="C650" s="51" t="str">
        <f>IFERROR(VLOOKUP(A650,Internal_lists_bugs!$A$2:$T1058,20,FALSE()),"please select a BUG ID")</f>
        <v>please select a BUG ID</v>
      </c>
      <c r="D650" s="93"/>
      <c r="E650" s="85"/>
      <c r="F650" s="62"/>
      <c r="G650" s="63"/>
      <c r="H650" s="85"/>
      <c r="I650" s="51" t="str">
        <f>IFERROR(VLOOKUP(A650,Internal_lists_bugs!$A$2:$G1058,7,FALSE()),"please select a BUG ID")</f>
        <v>please select a BUG ID</v>
      </c>
      <c r="J650" s="85"/>
      <c r="K650" s="85"/>
    </row>
    <row r="651">
      <c r="A651" s="85"/>
      <c r="B651" s="59"/>
      <c r="C651" s="51" t="str">
        <f>IFERROR(VLOOKUP(A651,Internal_lists_bugs!$A$2:$T1058,20,FALSE()),"please select a BUG ID")</f>
        <v>please select a BUG ID</v>
      </c>
      <c r="D651" s="93"/>
      <c r="E651" s="85"/>
      <c r="F651" s="62"/>
      <c r="G651" s="63"/>
      <c r="H651" s="85"/>
      <c r="I651" s="51" t="str">
        <f>IFERROR(VLOOKUP(A651,Internal_lists_bugs!$A$2:$G1058,7,FALSE()),"please select a BUG ID")</f>
        <v>please select a BUG ID</v>
      </c>
      <c r="J651" s="85"/>
      <c r="K651" s="85"/>
    </row>
    <row r="652">
      <c r="A652" s="85"/>
      <c r="B652" s="59"/>
      <c r="C652" s="51" t="str">
        <f>IFERROR(VLOOKUP(A652,Internal_lists_bugs!$A$2:$T1058,20,FALSE()),"please select a BUG ID")</f>
        <v>please select a BUG ID</v>
      </c>
      <c r="D652" s="93"/>
      <c r="E652" s="85"/>
      <c r="F652" s="62"/>
      <c r="G652" s="63"/>
      <c r="H652" s="85"/>
      <c r="I652" s="51" t="str">
        <f>IFERROR(VLOOKUP(A652,Internal_lists_bugs!$A$2:$G1058,7,FALSE()),"please select a BUG ID")</f>
        <v>please select a BUG ID</v>
      </c>
      <c r="J652" s="85"/>
      <c r="K652" s="85"/>
    </row>
    <row r="653">
      <c r="A653" s="85"/>
      <c r="B653" s="59"/>
      <c r="C653" s="51" t="str">
        <f>IFERROR(VLOOKUP(A653,Internal_lists_bugs!$A$2:$T1058,20,FALSE()),"please select a BUG ID")</f>
        <v>please select a BUG ID</v>
      </c>
      <c r="D653" s="93"/>
      <c r="E653" s="85"/>
      <c r="F653" s="62"/>
      <c r="G653" s="63"/>
      <c r="H653" s="85"/>
      <c r="I653" s="51" t="str">
        <f>IFERROR(VLOOKUP(A653,Internal_lists_bugs!$A$2:$G1058,7,FALSE()),"please select a BUG ID")</f>
        <v>please select a BUG ID</v>
      </c>
      <c r="J653" s="85"/>
      <c r="K653" s="85"/>
    </row>
    <row r="654">
      <c r="A654" s="85"/>
      <c r="B654" s="59"/>
      <c r="C654" s="51" t="str">
        <f>IFERROR(VLOOKUP(A654,Internal_lists_bugs!$A$2:$T1058,20,FALSE()),"please select a BUG ID")</f>
        <v>please select a BUG ID</v>
      </c>
      <c r="D654" s="93"/>
      <c r="E654" s="85"/>
      <c r="F654" s="62"/>
      <c r="G654" s="63"/>
      <c r="H654" s="85"/>
      <c r="I654" s="51" t="str">
        <f>IFERROR(VLOOKUP(A654,Internal_lists_bugs!$A$2:$G1058,7,FALSE()),"please select a BUG ID")</f>
        <v>please select a BUG ID</v>
      </c>
      <c r="J654" s="85"/>
      <c r="K654" s="85"/>
    </row>
    <row r="655">
      <c r="A655" s="85"/>
      <c r="B655" s="59"/>
      <c r="C655" s="51" t="str">
        <f>IFERROR(VLOOKUP(A655,Internal_lists_bugs!$A$2:$T1058,20,FALSE()),"please select a BUG ID")</f>
        <v>please select a BUG ID</v>
      </c>
      <c r="D655" s="93"/>
      <c r="E655" s="85"/>
      <c r="F655" s="62"/>
      <c r="G655" s="63"/>
      <c r="H655" s="85"/>
      <c r="I655" s="51" t="str">
        <f>IFERROR(VLOOKUP(A655,Internal_lists_bugs!$A$2:$G1058,7,FALSE()),"please select a BUG ID")</f>
        <v>please select a BUG ID</v>
      </c>
      <c r="J655" s="85"/>
      <c r="K655" s="85"/>
    </row>
    <row r="656">
      <c r="A656" s="85"/>
      <c r="B656" s="59"/>
      <c r="C656" s="51" t="str">
        <f>IFERROR(VLOOKUP(A656,Internal_lists_bugs!$A$2:$T1058,20,FALSE()),"please select a BUG ID")</f>
        <v>please select a BUG ID</v>
      </c>
      <c r="D656" s="93"/>
      <c r="E656" s="85"/>
      <c r="F656" s="62"/>
      <c r="G656" s="63"/>
      <c r="H656" s="85"/>
      <c r="I656" s="51" t="str">
        <f>IFERROR(VLOOKUP(A656,Internal_lists_bugs!$A$2:$G1058,7,FALSE()),"please select a BUG ID")</f>
        <v>please select a BUG ID</v>
      </c>
      <c r="J656" s="85"/>
      <c r="K656" s="85"/>
    </row>
    <row r="657">
      <c r="A657" s="85"/>
      <c r="B657" s="59"/>
      <c r="C657" s="51" t="str">
        <f>IFERROR(VLOOKUP(A657,Internal_lists_bugs!$A$2:$T1058,20,FALSE()),"please select a BUG ID")</f>
        <v>please select a BUG ID</v>
      </c>
      <c r="D657" s="93"/>
      <c r="E657" s="85"/>
      <c r="F657" s="62"/>
      <c r="G657" s="63"/>
      <c r="H657" s="85"/>
      <c r="I657" s="51" t="str">
        <f>IFERROR(VLOOKUP(A657,Internal_lists_bugs!$A$2:$G1058,7,FALSE()),"please select a BUG ID")</f>
        <v>please select a BUG ID</v>
      </c>
      <c r="J657" s="85"/>
      <c r="K657" s="85"/>
    </row>
    <row r="658">
      <c r="A658" s="85"/>
      <c r="B658" s="59"/>
      <c r="C658" s="51" t="str">
        <f>IFERROR(VLOOKUP(A658,Internal_lists_bugs!$A$2:$T1058,20,FALSE()),"please select a BUG ID")</f>
        <v>please select a BUG ID</v>
      </c>
      <c r="D658" s="93"/>
      <c r="E658" s="85"/>
      <c r="F658" s="62"/>
      <c r="G658" s="63"/>
      <c r="H658" s="85"/>
      <c r="I658" s="51" t="str">
        <f>IFERROR(VLOOKUP(A658,Internal_lists_bugs!$A$2:$G1058,7,FALSE()),"please select a BUG ID")</f>
        <v>please select a BUG ID</v>
      </c>
      <c r="J658" s="85"/>
      <c r="K658" s="85"/>
    </row>
    <row r="659">
      <c r="A659" s="85"/>
      <c r="B659" s="59"/>
      <c r="C659" s="51" t="str">
        <f>IFERROR(VLOOKUP(A659,Internal_lists_bugs!$A$2:$T1058,20,FALSE()),"please select a BUG ID")</f>
        <v>please select a BUG ID</v>
      </c>
      <c r="D659" s="93"/>
      <c r="E659" s="85"/>
      <c r="F659" s="62"/>
      <c r="G659" s="63"/>
      <c r="H659" s="85"/>
      <c r="I659" s="51" t="str">
        <f>IFERROR(VLOOKUP(A659,Internal_lists_bugs!$A$2:$G1058,7,FALSE()),"please select a BUG ID")</f>
        <v>please select a BUG ID</v>
      </c>
      <c r="J659" s="85"/>
      <c r="K659" s="85"/>
    </row>
    <row r="660">
      <c r="A660" s="85"/>
      <c r="B660" s="59"/>
      <c r="C660" s="51" t="str">
        <f>IFERROR(VLOOKUP(A660,Internal_lists_bugs!$A$2:$T1058,20,FALSE()),"please select a BUG ID")</f>
        <v>please select a BUG ID</v>
      </c>
      <c r="D660" s="93"/>
      <c r="E660" s="85"/>
      <c r="F660" s="62"/>
      <c r="G660" s="63"/>
      <c r="H660" s="85"/>
      <c r="I660" s="51" t="str">
        <f>IFERROR(VLOOKUP(A660,Internal_lists_bugs!$A$2:$G1058,7,FALSE()),"please select a BUG ID")</f>
        <v>please select a BUG ID</v>
      </c>
      <c r="J660" s="85"/>
      <c r="K660" s="85"/>
    </row>
    <row r="661">
      <c r="A661" s="85"/>
      <c r="B661" s="59"/>
      <c r="C661" s="51" t="str">
        <f>IFERROR(VLOOKUP(A661,Internal_lists_bugs!$A$2:$T1058,20,FALSE()),"please select a BUG ID")</f>
        <v>please select a BUG ID</v>
      </c>
      <c r="D661" s="93"/>
      <c r="E661" s="85"/>
      <c r="F661" s="62"/>
      <c r="G661" s="63"/>
      <c r="H661" s="85"/>
      <c r="I661" s="51" t="str">
        <f>IFERROR(VLOOKUP(A661,Internal_lists_bugs!$A$2:$G1058,7,FALSE()),"please select a BUG ID")</f>
        <v>please select a BUG ID</v>
      </c>
      <c r="J661" s="85"/>
      <c r="K661" s="85"/>
    </row>
    <row r="662">
      <c r="A662" s="85"/>
      <c r="B662" s="59"/>
      <c r="C662" s="51" t="str">
        <f>IFERROR(VLOOKUP(A662,Internal_lists_bugs!$A$2:$T1058,20,FALSE()),"please select a BUG ID")</f>
        <v>please select a BUG ID</v>
      </c>
      <c r="D662" s="93"/>
      <c r="E662" s="85"/>
      <c r="F662" s="62"/>
      <c r="G662" s="63"/>
      <c r="H662" s="85"/>
      <c r="I662" s="51" t="str">
        <f>IFERROR(VLOOKUP(A662,Internal_lists_bugs!$A$2:$G1058,7,FALSE()),"please select a BUG ID")</f>
        <v>please select a BUG ID</v>
      </c>
      <c r="J662" s="85"/>
      <c r="K662" s="85"/>
    </row>
    <row r="663">
      <c r="A663" s="85"/>
      <c r="B663" s="59"/>
      <c r="C663" s="51" t="str">
        <f>IFERROR(VLOOKUP(A663,Internal_lists_bugs!$A$2:$T1058,20,FALSE()),"please select a BUG ID")</f>
        <v>please select a BUG ID</v>
      </c>
      <c r="D663" s="93"/>
      <c r="E663" s="85"/>
      <c r="F663" s="62"/>
      <c r="G663" s="63"/>
      <c r="H663" s="85"/>
      <c r="I663" s="51" t="str">
        <f>IFERROR(VLOOKUP(A663,Internal_lists_bugs!$A$2:$G1058,7,FALSE()),"please select a BUG ID")</f>
        <v>please select a BUG ID</v>
      </c>
      <c r="J663" s="85"/>
      <c r="K663" s="85"/>
    </row>
    <row r="664">
      <c r="A664" s="85"/>
      <c r="B664" s="59"/>
      <c r="C664" s="51" t="str">
        <f>IFERROR(VLOOKUP(A664,Internal_lists_bugs!$A$2:$T1058,20,FALSE()),"please select a BUG ID")</f>
        <v>please select a BUG ID</v>
      </c>
      <c r="D664" s="93"/>
      <c r="E664" s="85"/>
      <c r="F664" s="62"/>
      <c r="G664" s="63"/>
      <c r="H664" s="85"/>
      <c r="I664" s="51" t="str">
        <f>IFERROR(VLOOKUP(A664,Internal_lists_bugs!$A$2:$G1058,7,FALSE()),"please select a BUG ID")</f>
        <v>please select a BUG ID</v>
      </c>
      <c r="J664" s="85"/>
      <c r="K664" s="85"/>
    </row>
    <row r="665">
      <c r="A665" s="85"/>
      <c r="B665" s="59"/>
      <c r="C665" s="51" t="str">
        <f>IFERROR(VLOOKUP(A665,Internal_lists_bugs!$A$2:$T1058,20,FALSE()),"please select a BUG ID")</f>
        <v>please select a BUG ID</v>
      </c>
      <c r="D665" s="93"/>
      <c r="E665" s="85"/>
      <c r="F665" s="62"/>
      <c r="G665" s="63"/>
      <c r="H665" s="85"/>
      <c r="I665" s="51" t="str">
        <f>IFERROR(VLOOKUP(A665,Internal_lists_bugs!$A$2:$G1058,7,FALSE()),"please select a BUG ID")</f>
        <v>please select a BUG ID</v>
      </c>
      <c r="J665" s="85"/>
      <c r="K665" s="85"/>
    </row>
    <row r="666">
      <c r="A666" s="85"/>
      <c r="B666" s="59"/>
      <c r="C666" s="51" t="str">
        <f>IFERROR(VLOOKUP(A666,Internal_lists_bugs!$A$2:$T1058,20,FALSE()),"please select a BUG ID")</f>
        <v>please select a BUG ID</v>
      </c>
      <c r="D666" s="93"/>
      <c r="E666" s="85"/>
      <c r="F666" s="62"/>
      <c r="G666" s="63"/>
      <c r="H666" s="85"/>
      <c r="I666" s="51" t="str">
        <f>IFERROR(VLOOKUP(A666,Internal_lists_bugs!$A$2:$G1058,7,FALSE()),"please select a BUG ID")</f>
        <v>please select a BUG ID</v>
      </c>
      <c r="J666" s="85"/>
      <c r="K666" s="85"/>
    </row>
    <row r="667">
      <c r="A667" s="85"/>
      <c r="B667" s="59"/>
      <c r="C667" s="51" t="str">
        <f>IFERROR(VLOOKUP(A667,Internal_lists_bugs!$A$2:$T1058,20,FALSE()),"please select a BUG ID")</f>
        <v>please select a BUG ID</v>
      </c>
      <c r="D667" s="93"/>
      <c r="E667" s="85"/>
      <c r="F667" s="62"/>
      <c r="G667" s="63"/>
      <c r="H667" s="85"/>
      <c r="I667" s="51" t="str">
        <f>IFERROR(VLOOKUP(A667,Internal_lists_bugs!$A$2:$G1058,7,FALSE()),"please select a BUG ID")</f>
        <v>please select a BUG ID</v>
      </c>
      <c r="J667" s="85"/>
      <c r="K667" s="85"/>
    </row>
    <row r="668">
      <c r="A668" s="85"/>
      <c r="B668" s="59"/>
      <c r="C668" s="51" t="str">
        <f>IFERROR(VLOOKUP(A668,Internal_lists_bugs!$A$2:$T1058,20,FALSE()),"please select a BUG ID")</f>
        <v>please select a BUG ID</v>
      </c>
      <c r="D668" s="93"/>
      <c r="E668" s="85"/>
      <c r="F668" s="62"/>
      <c r="G668" s="63"/>
      <c r="H668" s="85"/>
      <c r="I668" s="51" t="str">
        <f>IFERROR(VLOOKUP(A668,Internal_lists_bugs!$A$2:$G1058,7,FALSE()),"please select a BUG ID")</f>
        <v>please select a BUG ID</v>
      </c>
      <c r="J668" s="85"/>
      <c r="K668" s="85"/>
    </row>
    <row r="669">
      <c r="A669" s="85"/>
      <c r="B669" s="59"/>
      <c r="C669" s="51" t="str">
        <f>IFERROR(VLOOKUP(A669,Internal_lists_bugs!$A$2:$T1058,20,FALSE()),"please select a BUG ID")</f>
        <v>please select a BUG ID</v>
      </c>
      <c r="D669" s="93"/>
      <c r="E669" s="85"/>
      <c r="F669" s="62"/>
      <c r="G669" s="63"/>
      <c r="H669" s="85"/>
      <c r="I669" s="51" t="str">
        <f>IFERROR(VLOOKUP(A669,Internal_lists_bugs!$A$2:$G1058,7,FALSE()),"please select a BUG ID")</f>
        <v>please select a BUG ID</v>
      </c>
      <c r="J669" s="85"/>
      <c r="K669" s="85"/>
    </row>
    <row r="670">
      <c r="A670" s="85"/>
      <c r="B670" s="59"/>
      <c r="C670" s="51" t="str">
        <f>IFERROR(VLOOKUP(A670,Internal_lists_bugs!$A$2:$T1058,20,FALSE()),"please select a BUG ID")</f>
        <v>please select a BUG ID</v>
      </c>
      <c r="D670" s="93"/>
      <c r="E670" s="85"/>
      <c r="F670" s="62"/>
      <c r="G670" s="63"/>
      <c r="H670" s="85"/>
      <c r="I670" s="51" t="str">
        <f>IFERROR(VLOOKUP(A670,Internal_lists_bugs!$A$2:$G1058,7,FALSE()),"please select a BUG ID")</f>
        <v>please select a BUG ID</v>
      </c>
      <c r="J670" s="85"/>
      <c r="K670" s="85"/>
    </row>
    <row r="671">
      <c r="A671" s="85"/>
      <c r="B671" s="59"/>
      <c r="C671" s="51" t="str">
        <f>IFERROR(VLOOKUP(A671,Internal_lists_bugs!$A$2:$T1058,20,FALSE()),"please select a BUG ID")</f>
        <v>please select a BUG ID</v>
      </c>
      <c r="D671" s="93"/>
      <c r="E671" s="85"/>
      <c r="F671" s="62"/>
      <c r="G671" s="63"/>
      <c r="H671" s="85"/>
      <c r="I671" s="51" t="str">
        <f>IFERROR(VLOOKUP(A671,Internal_lists_bugs!$A$2:$G1058,7,FALSE()),"please select a BUG ID")</f>
        <v>please select a BUG ID</v>
      </c>
      <c r="J671" s="85"/>
      <c r="K671" s="85"/>
    </row>
    <row r="672">
      <c r="A672" s="85"/>
      <c r="B672" s="59"/>
      <c r="C672" s="51" t="str">
        <f>IFERROR(VLOOKUP(A672,Internal_lists_bugs!$A$2:$T1058,20,FALSE()),"please select a BUG ID")</f>
        <v>please select a BUG ID</v>
      </c>
      <c r="D672" s="93"/>
      <c r="E672" s="85"/>
      <c r="F672" s="62"/>
      <c r="G672" s="63"/>
      <c r="H672" s="85"/>
      <c r="I672" s="51" t="str">
        <f>IFERROR(VLOOKUP(A672,Internal_lists_bugs!$A$2:$G1058,7,FALSE()),"please select a BUG ID")</f>
        <v>please select a BUG ID</v>
      </c>
      <c r="J672" s="85"/>
      <c r="K672" s="85"/>
    </row>
    <row r="673">
      <c r="A673" s="85"/>
      <c r="B673" s="59"/>
      <c r="C673" s="51" t="str">
        <f>IFERROR(VLOOKUP(A673,Internal_lists_bugs!$A$2:$T1058,20,FALSE()),"please select a BUG ID")</f>
        <v>please select a BUG ID</v>
      </c>
      <c r="D673" s="93"/>
      <c r="E673" s="85"/>
      <c r="F673" s="62"/>
      <c r="G673" s="63"/>
      <c r="H673" s="85"/>
      <c r="I673" s="51" t="str">
        <f>IFERROR(VLOOKUP(A673,Internal_lists_bugs!$A$2:$G1058,7,FALSE()),"please select a BUG ID")</f>
        <v>please select a BUG ID</v>
      </c>
      <c r="J673" s="85"/>
      <c r="K673" s="85"/>
    </row>
    <row r="674">
      <c r="A674" s="85"/>
      <c r="B674" s="59"/>
      <c r="C674" s="51" t="str">
        <f>IFERROR(VLOOKUP(A674,Internal_lists_bugs!$A$2:$T1058,20,FALSE()),"please select a BUG ID")</f>
        <v>please select a BUG ID</v>
      </c>
      <c r="D674" s="93"/>
      <c r="E674" s="85"/>
      <c r="F674" s="62"/>
      <c r="G674" s="63"/>
      <c r="H674" s="85"/>
      <c r="I674" s="51" t="str">
        <f>IFERROR(VLOOKUP(A674,Internal_lists_bugs!$A$2:$G1058,7,FALSE()),"please select a BUG ID")</f>
        <v>please select a BUG ID</v>
      </c>
      <c r="J674" s="85"/>
      <c r="K674" s="85"/>
    </row>
    <row r="675">
      <c r="A675" s="85"/>
      <c r="B675" s="59"/>
      <c r="C675" s="51" t="str">
        <f>IFERROR(VLOOKUP(A675,Internal_lists_bugs!$A$2:$T1058,20,FALSE()),"please select a BUG ID")</f>
        <v>please select a BUG ID</v>
      </c>
      <c r="D675" s="93"/>
      <c r="E675" s="85"/>
      <c r="F675" s="62"/>
      <c r="G675" s="63"/>
      <c r="H675" s="85"/>
      <c r="I675" s="51" t="str">
        <f>IFERROR(VLOOKUP(A675,Internal_lists_bugs!$A$2:$G1058,7,FALSE()),"please select a BUG ID")</f>
        <v>please select a BUG ID</v>
      </c>
      <c r="J675" s="85"/>
      <c r="K675" s="85"/>
    </row>
    <row r="676">
      <c r="A676" s="85"/>
      <c r="B676" s="59"/>
      <c r="C676" s="51" t="str">
        <f>IFERROR(VLOOKUP(A676,Internal_lists_bugs!$A$2:$T1058,20,FALSE()),"please select a BUG ID")</f>
        <v>please select a BUG ID</v>
      </c>
      <c r="D676" s="93"/>
      <c r="E676" s="85"/>
      <c r="F676" s="62"/>
      <c r="G676" s="63"/>
      <c r="H676" s="85"/>
      <c r="I676" s="51" t="str">
        <f>IFERROR(VLOOKUP(A676,Internal_lists_bugs!$A$2:$G1058,7,FALSE()),"please select a BUG ID")</f>
        <v>please select a BUG ID</v>
      </c>
      <c r="J676" s="85"/>
      <c r="K676" s="85"/>
    </row>
    <row r="677">
      <c r="A677" s="85"/>
      <c r="B677" s="59"/>
      <c r="C677" s="51" t="str">
        <f>IFERROR(VLOOKUP(A677,Internal_lists_bugs!$A$2:$T1058,20,FALSE()),"please select a BUG ID")</f>
        <v>please select a BUG ID</v>
      </c>
      <c r="D677" s="93"/>
      <c r="E677" s="85"/>
      <c r="F677" s="62"/>
      <c r="G677" s="63"/>
      <c r="H677" s="85"/>
      <c r="I677" s="51" t="str">
        <f>IFERROR(VLOOKUP(A677,Internal_lists_bugs!$A$2:$G1058,7,FALSE()),"please select a BUG ID")</f>
        <v>please select a BUG ID</v>
      </c>
      <c r="J677" s="85"/>
      <c r="K677" s="85"/>
    </row>
    <row r="678">
      <c r="A678" s="85"/>
      <c r="B678" s="59"/>
      <c r="C678" s="51" t="str">
        <f>IFERROR(VLOOKUP(A678,Internal_lists_bugs!$A$2:$T1058,20,FALSE()),"please select a BUG ID")</f>
        <v>please select a BUG ID</v>
      </c>
      <c r="D678" s="93"/>
      <c r="E678" s="85"/>
      <c r="F678" s="62"/>
      <c r="G678" s="63"/>
      <c r="H678" s="85"/>
      <c r="I678" s="51" t="str">
        <f>IFERROR(VLOOKUP(A678,Internal_lists_bugs!$A$2:$G1058,7,FALSE()),"please select a BUG ID")</f>
        <v>please select a BUG ID</v>
      </c>
      <c r="J678" s="85"/>
      <c r="K678" s="85"/>
    </row>
    <row r="679">
      <c r="A679" s="85"/>
      <c r="B679" s="59"/>
      <c r="C679" s="51" t="str">
        <f>IFERROR(VLOOKUP(A679,Internal_lists_bugs!$A$2:$T1058,20,FALSE()),"please select a BUG ID")</f>
        <v>please select a BUG ID</v>
      </c>
      <c r="D679" s="93"/>
      <c r="E679" s="85"/>
      <c r="F679" s="62"/>
      <c r="G679" s="63"/>
      <c r="H679" s="85"/>
      <c r="I679" s="51" t="str">
        <f>IFERROR(VLOOKUP(A679,Internal_lists_bugs!$A$2:$G1058,7,FALSE()),"please select a BUG ID")</f>
        <v>please select a BUG ID</v>
      </c>
      <c r="J679" s="85"/>
      <c r="K679" s="85"/>
    </row>
    <row r="680">
      <c r="A680" s="85"/>
      <c r="B680" s="59"/>
      <c r="C680" s="51" t="str">
        <f>IFERROR(VLOOKUP(A680,Internal_lists_bugs!$A$2:$T1058,20,FALSE()),"please select a BUG ID")</f>
        <v>please select a BUG ID</v>
      </c>
      <c r="D680" s="93"/>
      <c r="E680" s="85"/>
      <c r="F680" s="62"/>
      <c r="G680" s="63"/>
      <c r="H680" s="85"/>
      <c r="I680" s="51" t="str">
        <f>IFERROR(VLOOKUP(A680,Internal_lists_bugs!$A$2:$G1058,7,FALSE()),"please select a BUG ID")</f>
        <v>please select a BUG ID</v>
      </c>
      <c r="J680" s="85"/>
      <c r="K680" s="85"/>
    </row>
    <row r="681">
      <c r="A681" s="85"/>
      <c r="B681" s="59"/>
      <c r="C681" s="51" t="str">
        <f>IFERROR(VLOOKUP(A681,Internal_lists_bugs!$A$2:$T1058,20,FALSE()),"please select a BUG ID")</f>
        <v>please select a BUG ID</v>
      </c>
      <c r="D681" s="93"/>
      <c r="E681" s="85"/>
      <c r="F681" s="62"/>
      <c r="G681" s="63"/>
      <c r="H681" s="85"/>
      <c r="I681" s="51" t="str">
        <f>IFERROR(VLOOKUP(A681,Internal_lists_bugs!$A$2:$G1058,7,FALSE()),"please select a BUG ID")</f>
        <v>please select a BUG ID</v>
      </c>
      <c r="J681" s="85"/>
      <c r="K681" s="85"/>
    </row>
    <row r="682">
      <c r="A682" s="85"/>
      <c r="B682" s="59"/>
      <c r="C682" s="51" t="str">
        <f>IFERROR(VLOOKUP(A682,Internal_lists_bugs!$A$2:$T1058,20,FALSE()),"please select a BUG ID")</f>
        <v>please select a BUG ID</v>
      </c>
      <c r="D682" s="93"/>
      <c r="E682" s="85"/>
      <c r="F682" s="62"/>
      <c r="G682" s="63"/>
      <c r="H682" s="85"/>
      <c r="I682" s="51" t="str">
        <f>IFERROR(VLOOKUP(A682,Internal_lists_bugs!$A$2:$G1058,7,FALSE()),"please select a BUG ID")</f>
        <v>please select a BUG ID</v>
      </c>
      <c r="J682" s="85"/>
      <c r="K682" s="85"/>
    </row>
    <row r="683">
      <c r="A683" s="85"/>
      <c r="B683" s="59"/>
      <c r="C683" s="51" t="str">
        <f>IFERROR(VLOOKUP(A683,Internal_lists_bugs!$A$2:$T1058,20,FALSE()),"please select a BUG ID")</f>
        <v>please select a BUG ID</v>
      </c>
      <c r="D683" s="93"/>
      <c r="E683" s="85"/>
      <c r="F683" s="62"/>
      <c r="G683" s="63"/>
      <c r="H683" s="85"/>
      <c r="I683" s="51" t="str">
        <f>IFERROR(VLOOKUP(A683,Internal_lists_bugs!$A$2:$G1058,7,FALSE()),"please select a BUG ID")</f>
        <v>please select a BUG ID</v>
      </c>
      <c r="J683" s="85"/>
      <c r="K683" s="85"/>
    </row>
    <row r="684">
      <c r="A684" s="85"/>
      <c r="B684" s="59"/>
      <c r="C684" s="51" t="str">
        <f>IFERROR(VLOOKUP(A684,Internal_lists_bugs!$A$2:$T1058,20,FALSE()),"please select a BUG ID")</f>
        <v>please select a BUG ID</v>
      </c>
      <c r="D684" s="93"/>
      <c r="E684" s="85"/>
      <c r="F684" s="62"/>
      <c r="G684" s="63"/>
      <c r="H684" s="85"/>
      <c r="I684" s="51" t="str">
        <f>IFERROR(VLOOKUP(A684,Internal_lists_bugs!$A$2:$G1058,7,FALSE()),"please select a BUG ID")</f>
        <v>please select a BUG ID</v>
      </c>
      <c r="J684" s="85"/>
      <c r="K684" s="85"/>
    </row>
    <row r="685">
      <c r="A685" s="85"/>
      <c r="B685" s="59"/>
      <c r="C685" s="51" t="str">
        <f>IFERROR(VLOOKUP(A685,Internal_lists_bugs!$A$2:$T1058,20,FALSE()),"please select a BUG ID")</f>
        <v>please select a BUG ID</v>
      </c>
      <c r="D685" s="93"/>
      <c r="E685" s="85"/>
      <c r="F685" s="62"/>
      <c r="G685" s="63"/>
      <c r="H685" s="85"/>
      <c r="I685" s="51" t="str">
        <f>IFERROR(VLOOKUP(A685,Internal_lists_bugs!$A$2:$G1058,7,FALSE()),"please select a BUG ID")</f>
        <v>please select a BUG ID</v>
      </c>
      <c r="J685" s="85"/>
      <c r="K685" s="85"/>
    </row>
    <row r="686">
      <c r="A686" s="85"/>
      <c r="B686" s="59"/>
      <c r="C686" s="51" t="str">
        <f>IFERROR(VLOOKUP(A686,Internal_lists_bugs!$A$2:$T1058,20,FALSE()),"please select a BUG ID")</f>
        <v>please select a BUG ID</v>
      </c>
      <c r="D686" s="93"/>
      <c r="E686" s="85"/>
      <c r="F686" s="62"/>
      <c r="G686" s="63"/>
      <c r="H686" s="85"/>
      <c r="I686" s="51" t="str">
        <f>IFERROR(VLOOKUP(A686,Internal_lists_bugs!$A$2:$G1058,7,FALSE()),"please select a BUG ID")</f>
        <v>please select a BUG ID</v>
      </c>
      <c r="J686" s="85"/>
      <c r="K686" s="85"/>
    </row>
    <row r="687">
      <c r="A687" s="85"/>
      <c r="B687" s="59"/>
      <c r="C687" s="51" t="str">
        <f>IFERROR(VLOOKUP(A687,Internal_lists_bugs!$A$2:$T1058,20,FALSE()),"please select a BUG ID")</f>
        <v>please select a BUG ID</v>
      </c>
      <c r="D687" s="93"/>
      <c r="E687" s="85"/>
      <c r="F687" s="62"/>
      <c r="G687" s="63"/>
      <c r="H687" s="85"/>
      <c r="I687" s="51" t="str">
        <f>IFERROR(VLOOKUP(A687,Internal_lists_bugs!$A$2:$G1058,7,FALSE()),"please select a BUG ID")</f>
        <v>please select a BUG ID</v>
      </c>
      <c r="J687" s="85"/>
      <c r="K687" s="85"/>
    </row>
    <row r="688">
      <c r="A688" s="85"/>
      <c r="B688" s="59"/>
      <c r="C688" s="51" t="str">
        <f>IFERROR(VLOOKUP(A688,Internal_lists_bugs!$A$2:$T1058,20,FALSE()),"please select a BUG ID")</f>
        <v>please select a BUG ID</v>
      </c>
      <c r="D688" s="93"/>
      <c r="E688" s="85"/>
      <c r="F688" s="62"/>
      <c r="G688" s="63"/>
      <c r="H688" s="85"/>
      <c r="I688" s="51" t="str">
        <f>IFERROR(VLOOKUP(A688,Internal_lists_bugs!$A$2:$G1058,7,FALSE()),"please select a BUG ID")</f>
        <v>please select a BUG ID</v>
      </c>
      <c r="J688" s="85"/>
      <c r="K688" s="85"/>
    </row>
    <row r="689">
      <c r="A689" s="85"/>
      <c r="B689" s="59"/>
      <c r="C689" s="51" t="str">
        <f>IFERROR(VLOOKUP(A689,Internal_lists_bugs!$A$2:$T1058,20,FALSE()),"please select a BUG ID")</f>
        <v>please select a BUG ID</v>
      </c>
      <c r="D689" s="93"/>
      <c r="E689" s="85"/>
      <c r="F689" s="62"/>
      <c r="G689" s="63"/>
      <c r="H689" s="85"/>
      <c r="I689" s="51" t="str">
        <f>IFERROR(VLOOKUP(A689,Internal_lists_bugs!$A$2:$G1058,7,FALSE()),"please select a BUG ID")</f>
        <v>please select a BUG ID</v>
      </c>
      <c r="J689" s="85"/>
      <c r="K689" s="85"/>
    </row>
    <row r="690">
      <c r="A690" s="85"/>
      <c r="B690" s="59"/>
      <c r="C690" s="51" t="str">
        <f>IFERROR(VLOOKUP(A690,Internal_lists_bugs!$A$2:$T1058,20,FALSE()),"please select a BUG ID")</f>
        <v>please select a BUG ID</v>
      </c>
      <c r="D690" s="93"/>
      <c r="E690" s="85"/>
      <c r="F690" s="62"/>
      <c r="G690" s="63"/>
      <c r="H690" s="85"/>
      <c r="I690" s="51" t="str">
        <f>IFERROR(VLOOKUP(A690,Internal_lists_bugs!$A$2:$G1058,7,FALSE()),"please select a BUG ID")</f>
        <v>please select a BUG ID</v>
      </c>
      <c r="J690" s="85"/>
      <c r="K690" s="85"/>
    </row>
    <row r="691">
      <c r="A691" s="85"/>
      <c r="B691" s="59"/>
      <c r="C691" s="51" t="str">
        <f>IFERROR(VLOOKUP(A691,Internal_lists_bugs!$A$2:$T1058,20,FALSE()),"please select a BUG ID")</f>
        <v>please select a BUG ID</v>
      </c>
      <c r="D691" s="93"/>
      <c r="E691" s="85"/>
      <c r="F691" s="62"/>
      <c r="G691" s="63"/>
      <c r="H691" s="85"/>
      <c r="I691" s="51" t="str">
        <f>IFERROR(VLOOKUP(A691,Internal_lists_bugs!$A$2:$G1058,7,FALSE()),"please select a BUG ID")</f>
        <v>please select a BUG ID</v>
      </c>
      <c r="J691" s="85"/>
      <c r="K691" s="85"/>
    </row>
    <row r="692">
      <c r="A692" s="85"/>
      <c r="B692" s="59"/>
      <c r="C692" s="51" t="str">
        <f>IFERROR(VLOOKUP(A692,Internal_lists_bugs!$A$2:$T1058,20,FALSE()),"please select a BUG ID")</f>
        <v>please select a BUG ID</v>
      </c>
      <c r="D692" s="93"/>
      <c r="E692" s="85"/>
      <c r="F692" s="62"/>
      <c r="G692" s="63"/>
      <c r="H692" s="85"/>
      <c r="I692" s="51" t="str">
        <f>IFERROR(VLOOKUP(A692,Internal_lists_bugs!$A$2:$G1058,7,FALSE()),"please select a BUG ID")</f>
        <v>please select a BUG ID</v>
      </c>
      <c r="J692" s="85"/>
      <c r="K692" s="85"/>
    </row>
    <row r="693">
      <c r="A693" s="85"/>
      <c r="B693" s="59"/>
      <c r="C693" s="51" t="str">
        <f>IFERROR(VLOOKUP(A693,Internal_lists_bugs!$A$2:$T1058,20,FALSE()),"please select a BUG ID")</f>
        <v>please select a BUG ID</v>
      </c>
      <c r="D693" s="93"/>
      <c r="E693" s="85"/>
      <c r="F693" s="62"/>
      <c r="G693" s="63"/>
      <c r="H693" s="85"/>
      <c r="I693" s="51" t="str">
        <f>IFERROR(VLOOKUP(A693,Internal_lists_bugs!$A$2:$G1058,7,FALSE()),"please select a BUG ID")</f>
        <v>please select a BUG ID</v>
      </c>
      <c r="J693" s="85"/>
      <c r="K693" s="85"/>
    </row>
    <row r="694">
      <c r="A694" s="85"/>
      <c r="B694" s="59"/>
      <c r="C694" s="51" t="str">
        <f>IFERROR(VLOOKUP(A694,Internal_lists_bugs!$A$2:$T1058,20,FALSE()),"please select a BUG ID")</f>
        <v>please select a BUG ID</v>
      </c>
      <c r="D694" s="93"/>
      <c r="E694" s="85"/>
      <c r="F694" s="62"/>
      <c r="G694" s="63"/>
      <c r="H694" s="85"/>
      <c r="I694" s="51" t="str">
        <f>IFERROR(VLOOKUP(A694,Internal_lists_bugs!$A$2:$G1058,7,FALSE()),"please select a BUG ID")</f>
        <v>please select a BUG ID</v>
      </c>
      <c r="J694" s="85"/>
      <c r="K694" s="85"/>
    </row>
    <row r="695">
      <c r="A695" s="85"/>
      <c r="B695" s="59"/>
      <c r="C695" s="51" t="str">
        <f>IFERROR(VLOOKUP(A695,Internal_lists_bugs!$A$2:$T1058,20,FALSE()),"please select a BUG ID")</f>
        <v>please select a BUG ID</v>
      </c>
      <c r="D695" s="93"/>
      <c r="E695" s="85"/>
      <c r="F695" s="62"/>
      <c r="G695" s="63"/>
      <c r="H695" s="85"/>
      <c r="I695" s="51" t="str">
        <f>IFERROR(VLOOKUP(A695,Internal_lists_bugs!$A$2:$G1058,7,FALSE()),"please select a BUG ID")</f>
        <v>please select a BUG ID</v>
      </c>
      <c r="J695" s="85"/>
      <c r="K695" s="85"/>
    </row>
    <row r="696">
      <c r="A696" s="85"/>
      <c r="B696" s="59"/>
      <c r="C696" s="51" t="str">
        <f>IFERROR(VLOOKUP(A696,Internal_lists_bugs!$A$2:$T1058,20,FALSE()),"please select a BUG ID")</f>
        <v>please select a BUG ID</v>
      </c>
      <c r="D696" s="93"/>
      <c r="E696" s="85"/>
      <c r="F696" s="62"/>
      <c r="G696" s="63"/>
      <c r="H696" s="85"/>
      <c r="I696" s="51" t="str">
        <f>IFERROR(VLOOKUP(A696,Internal_lists_bugs!$A$2:$G1058,7,FALSE()),"please select a BUG ID")</f>
        <v>please select a BUG ID</v>
      </c>
      <c r="J696" s="85"/>
      <c r="K696" s="85"/>
    </row>
    <row r="697">
      <c r="A697" s="85"/>
      <c r="B697" s="59"/>
      <c r="C697" s="51" t="str">
        <f>IFERROR(VLOOKUP(A697,Internal_lists_bugs!$A$2:$T1058,20,FALSE()),"please select a BUG ID")</f>
        <v>please select a BUG ID</v>
      </c>
      <c r="D697" s="93"/>
      <c r="E697" s="85"/>
      <c r="F697" s="62"/>
      <c r="G697" s="63"/>
      <c r="H697" s="85"/>
      <c r="I697" s="51" t="str">
        <f>IFERROR(VLOOKUP(A697,Internal_lists_bugs!$A$2:$G1058,7,FALSE()),"please select a BUG ID")</f>
        <v>please select a BUG ID</v>
      </c>
      <c r="J697" s="85"/>
      <c r="K697" s="85"/>
    </row>
    <row r="698">
      <c r="A698" s="85"/>
      <c r="B698" s="59"/>
      <c r="C698" s="51" t="str">
        <f>IFERROR(VLOOKUP(A698,Internal_lists_bugs!$A$2:$T1058,20,FALSE()),"please select a BUG ID")</f>
        <v>please select a BUG ID</v>
      </c>
      <c r="D698" s="93"/>
      <c r="E698" s="85"/>
      <c r="F698" s="62"/>
      <c r="G698" s="63"/>
      <c r="H698" s="85"/>
      <c r="I698" s="51" t="str">
        <f>IFERROR(VLOOKUP(A698,Internal_lists_bugs!$A$2:$G1058,7,FALSE()),"please select a BUG ID")</f>
        <v>please select a BUG ID</v>
      </c>
      <c r="J698" s="85"/>
      <c r="K698" s="85"/>
    </row>
    <row r="699">
      <c r="A699" s="85"/>
      <c r="B699" s="59"/>
      <c r="C699" s="51" t="str">
        <f>IFERROR(VLOOKUP(A699,Internal_lists_bugs!$A$2:$T1058,20,FALSE()),"please select a BUG ID")</f>
        <v>please select a BUG ID</v>
      </c>
      <c r="D699" s="93"/>
      <c r="E699" s="85"/>
      <c r="F699" s="62"/>
      <c r="G699" s="63"/>
      <c r="H699" s="85"/>
      <c r="I699" s="51" t="str">
        <f>IFERROR(VLOOKUP(A699,Internal_lists_bugs!$A$2:$G1058,7,FALSE()),"please select a BUG ID")</f>
        <v>please select a BUG ID</v>
      </c>
      <c r="J699" s="85"/>
      <c r="K699" s="85"/>
    </row>
    <row r="700">
      <c r="A700" s="85"/>
      <c r="B700" s="59"/>
      <c r="C700" s="51" t="str">
        <f>IFERROR(VLOOKUP(A700,Internal_lists_bugs!$A$2:$T1058,20,FALSE()),"please select a BUG ID")</f>
        <v>please select a BUG ID</v>
      </c>
      <c r="D700" s="93"/>
      <c r="E700" s="85"/>
      <c r="F700" s="62"/>
      <c r="G700" s="63"/>
      <c r="H700" s="85"/>
      <c r="I700" s="51" t="str">
        <f>IFERROR(VLOOKUP(A700,Internal_lists_bugs!$A$2:$G1058,7,FALSE()),"please select a BUG ID")</f>
        <v>please select a BUG ID</v>
      </c>
      <c r="J700" s="85"/>
      <c r="K700" s="85"/>
    </row>
    <row r="701">
      <c r="A701" s="85"/>
      <c r="B701" s="59"/>
      <c r="C701" s="51" t="str">
        <f>IFERROR(VLOOKUP(A701,Internal_lists_bugs!$A$2:$T1058,20,FALSE()),"please select a BUG ID")</f>
        <v>please select a BUG ID</v>
      </c>
      <c r="D701" s="93"/>
      <c r="E701" s="85"/>
      <c r="F701" s="62"/>
      <c r="G701" s="63"/>
      <c r="H701" s="85"/>
      <c r="I701" s="51" t="str">
        <f>IFERROR(VLOOKUP(A701,Internal_lists_bugs!$A$2:$G1058,7,FALSE()),"please select a BUG ID")</f>
        <v>please select a BUG ID</v>
      </c>
      <c r="J701" s="85"/>
      <c r="K701" s="85"/>
    </row>
    <row r="702">
      <c r="A702" s="85"/>
      <c r="B702" s="59"/>
      <c r="C702" s="51" t="str">
        <f>IFERROR(VLOOKUP(A702,Internal_lists_bugs!$A$2:$T1058,20,FALSE()),"please select a BUG ID")</f>
        <v>please select a BUG ID</v>
      </c>
      <c r="D702" s="93"/>
      <c r="E702" s="85"/>
      <c r="F702" s="62"/>
      <c r="G702" s="63"/>
      <c r="H702" s="85"/>
      <c r="I702" s="51" t="str">
        <f>IFERROR(VLOOKUP(A702,Internal_lists_bugs!$A$2:$G1058,7,FALSE()),"please select a BUG ID")</f>
        <v>please select a BUG ID</v>
      </c>
      <c r="J702" s="85"/>
      <c r="K702" s="85"/>
    </row>
    <row r="703">
      <c r="A703" s="85"/>
      <c r="B703" s="59"/>
      <c r="C703" s="51" t="str">
        <f>IFERROR(VLOOKUP(A703,Internal_lists_bugs!$A$2:$T1058,20,FALSE()),"please select a BUG ID")</f>
        <v>please select a BUG ID</v>
      </c>
      <c r="D703" s="93"/>
      <c r="E703" s="85"/>
      <c r="F703" s="62"/>
      <c r="G703" s="63"/>
      <c r="H703" s="85"/>
      <c r="I703" s="51" t="str">
        <f>IFERROR(VLOOKUP(A703,Internal_lists_bugs!$A$2:$G1058,7,FALSE()),"please select a BUG ID")</f>
        <v>please select a BUG ID</v>
      </c>
      <c r="J703" s="85"/>
      <c r="K703" s="85"/>
    </row>
    <row r="704">
      <c r="A704" s="85"/>
      <c r="B704" s="59"/>
      <c r="C704" s="51" t="str">
        <f>IFERROR(VLOOKUP(A704,Internal_lists_bugs!$A$2:$T1058,20,FALSE()),"please select a BUG ID")</f>
        <v>please select a BUG ID</v>
      </c>
      <c r="D704" s="93"/>
      <c r="E704" s="85"/>
      <c r="F704" s="62"/>
      <c r="G704" s="63"/>
      <c r="H704" s="85"/>
      <c r="I704" s="51" t="str">
        <f>IFERROR(VLOOKUP(A704,Internal_lists_bugs!$A$2:$G1058,7,FALSE()),"please select a BUG ID")</f>
        <v>please select a BUG ID</v>
      </c>
      <c r="J704" s="85"/>
      <c r="K704" s="85"/>
    </row>
    <row r="705">
      <c r="A705" s="85"/>
      <c r="B705" s="59"/>
      <c r="C705" s="51" t="str">
        <f>IFERROR(VLOOKUP(A705,Internal_lists_bugs!$A$2:$T1058,20,FALSE()),"please select a BUG ID")</f>
        <v>please select a BUG ID</v>
      </c>
      <c r="D705" s="93"/>
      <c r="E705" s="85"/>
      <c r="F705" s="62"/>
      <c r="G705" s="63"/>
      <c r="H705" s="85"/>
      <c r="I705" s="51" t="str">
        <f>IFERROR(VLOOKUP(A705,Internal_lists_bugs!$A$2:$G1058,7,FALSE()),"please select a BUG ID")</f>
        <v>please select a BUG ID</v>
      </c>
      <c r="J705" s="85"/>
      <c r="K705" s="85"/>
    </row>
    <row r="706">
      <c r="A706" s="85"/>
      <c r="B706" s="59"/>
      <c r="C706" s="51" t="str">
        <f>IFERROR(VLOOKUP(A706,Internal_lists_bugs!$A$2:$T1058,20,FALSE()),"please select a BUG ID")</f>
        <v>please select a BUG ID</v>
      </c>
      <c r="D706" s="93"/>
      <c r="E706" s="85"/>
      <c r="F706" s="62"/>
      <c r="G706" s="63"/>
      <c r="H706" s="85"/>
      <c r="I706" s="51" t="str">
        <f>IFERROR(VLOOKUP(A706,Internal_lists_bugs!$A$2:$G1058,7,FALSE()),"please select a BUG ID")</f>
        <v>please select a BUG ID</v>
      </c>
      <c r="J706" s="85"/>
      <c r="K706" s="85"/>
    </row>
    <row r="707">
      <c r="A707" s="85"/>
      <c r="B707" s="59"/>
      <c r="C707" s="51" t="str">
        <f>IFERROR(VLOOKUP(A707,Internal_lists_bugs!$A$2:$T1058,20,FALSE()),"please select a BUG ID")</f>
        <v>please select a BUG ID</v>
      </c>
      <c r="D707" s="93"/>
      <c r="E707" s="85"/>
      <c r="F707" s="62"/>
      <c r="G707" s="63"/>
      <c r="H707" s="85"/>
      <c r="I707" s="51" t="str">
        <f>IFERROR(VLOOKUP(A707,Internal_lists_bugs!$A$2:$G1058,7,FALSE()),"please select a BUG ID")</f>
        <v>please select a BUG ID</v>
      </c>
      <c r="J707" s="85"/>
      <c r="K707" s="85"/>
    </row>
    <row r="708">
      <c r="A708" s="85"/>
      <c r="B708" s="59"/>
      <c r="C708" s="51" t="str">
        <f>IFERROR(VLOOKUP(A708,Internal_lists_bugs!$A$2:$T1058,20,FALSE()),"please select a BUG ID")</f>
        <v>please select a BUG ID</v>
      </c>
      <c r="D708" s="93"/>
      <c r="E708" s="85"/>
      <c r="F708" s="62"/>
      <c r="G708" s="63"/>
      <c r="H708" s="85"/>
      <c r="I708" s="51" t="str">
        <f>IFERROR(VLOOKUP(A708,Internal_lists_bugs!$A$2:$G1058,7,FALSE()),"please select a BUG ID")</f>
        <v>please select a BUG ID</v>
      </c>
      <c r="J708" s="85"/>
      <c r="K708" s="85"/>
    </row>
    <row r="709">
      <c r="A709" s="85"/>
      <c r="B709" s="59"/>
      <c r="C709" s="51" t="str">
        <f>IFERROR(VLOOKUP(A709,Internal_lists_bugs!$A$2:$T1058,20,FALSE()),"please select a BUG ID")</f>
        <v>please select a BUG ID</v>
      </c>
      <c r="D709" s="93"/>
      <c r="E709" s="85"/>
      <c r="F709" s="62"/>
      <c r="G709" s="63"/>
      <c r="H709" s="85"/>
      <c r="I709" s="51" t="str">
        <f>IFERROR(VLOOKUP(A709,Internal_lists_bugs!$A$2:$G1058,7,FALSE()),"please select a BUG ID")</f>
        <v>please select a BUG ID</v>
      </c>
      <c r="J709" s="85"/>
      <c r="K709" s="85"/>
    </row>
    <row r="710">
      <c r="A710" s="85"/>
      <c r="B710" s="59"/>
      <c r="C710" s="51" t="str">
        <f>IFERROR(VLOOKUP(A710,Internal_lists_bugs!$A$2:$T1058,20,FALSE()),"please select a BUG ID")</f>
        <v>please select a BUG ID</v>
      </c>
      <c r="D710" s="93"/>
      <c r="E710" s="85"/>
      <c r="F710" s="62"/>
      <c r="G710" s="63"/>
      <c r="H710" s="85"/>
      <c r="I710" s="51" t="str">
        <f>IFERROR(VLOOKUP(A710,Internal_lists_bugs!$A$2:$G1058,7,FALSE()),"please select a BUG ID")</f>
        <v>please select a BUG ID</v>
      </c>
      <c r="J710" s="85"/>
      <c r="K710" s="85"/>
    </row>
    <row r="711">
      <c r="A711" s="85"/>
      <c r="B711" s="59"/>
      <c r="C711" s="51" t="str">
        <f>IFERROR(VLOOKUP(A711,Internal_lists_bugs!$A$2:$T1058,20,FALSE()),"please select a BUG ID")</f>
        <v>please select a BUG ID</v>
      </c>
      <c r="D711" s="93"/>
      <c r="E711" s="85"/>
      <c r="F711" s="62"/>
      <c r="G711" s="63"/>
      <c r="H711" s="85"/>
      <c r="I711" s="51" t="str">
        <f>IFERROR(VLOOKUP(A711,Internal_lists_bugs!$A$2:$G1058,7,FALSE()),"please select a BUG ID")</f>
        <v>please select a BUG ID</v>
      </c>
      <c r="J711" s="85"/>
      <c r="K711" s="85"/>
    </row>
    <row r="712">
      <c r="A712" s="85"/>
      <c r="B712" s="59"/>
      <c r="C712" s="51" t="str">
        <f>IFERROR(VLOOKUP(A712,Internal_lists_bugs!$A$2:$T1058,20,FALSE()),"please select a BUG ID")</f>
        <v>please select a BUG ID</v>
      </c>
      <c r="D712" s="93"/>
      <c r="E712" s="85"/>
      <c r="F712" s="62"/>
      <c r="G712" s="63"/>
      <c r="H712" s="85"/>
      <c r="I712" s="51" t="str">
        <f>IFERROR(VLOOKUP(A712,Internal_lists_bugs!$A$2:$G1058,7,FALSE()),"please select a BUG ID")</f>
        <v>please select a BUG ID</v>
      </c>
      <c r="J712" s="85"/>
      <c r="K712" s="85"/>
    </row>
    <row r="713">
      <c r="A713" s="85"/>
      <c r="B713" s="59"/>
      <c r="C713" s="51" t="str">
        <f>IFERROR(VLOOKUP(A713,Internal_lists_bugs!$A$2:$T1058,20,FALSE()),"please select a BUG ID")</f>
        <v>please select a BUG ID</v>
      </c>
      <c r="D713" s="93"/>
      <c r="E713" s="85"/>
      <c r="F713" s="62"/>
      <c r="G713" s="63"/>
      <c r="H713" s="85"/>
      <c r="I713" s="51" t="str">
        <f>IFERROR(VLOOKUP(A713,Internal_lists_bugs!$A$2:$G1058,7,FALSE()),"please select a BUG ID")</f>
        <v>please select a BUG ID</v>
      </c>
      <c r="J713" s="85"/>
      <c r="K713" s="85"/>
    </row>
    <row r="714">
      <c r="A714" s="85"/>
      <c r="B714" s="59"/>
      <c r="C714" s="51" t="str">
        <f>IFERROR(VLOOKUP(A714,Internal_lists_bugs!$A$2:$T1058,20,FALSE()),"please select a BUG ID")</f>
        <v>please select a BUG ID</v>
      </c>
      <c r="D714" s="93"/>
      <c r="E714" s="85"/>
      <c r="F714" s="62"/>
      <c r="G714" s="63"/>
      <c r="H714" s="85"/>
      <c r="I714" s="51" t="str">
        <f>IFERROR(VLOOKUP(A714,Internal_lists_bugs!$A$2:$G1058,7,FALSE()),"please select a BUG ID")</f>
        <v>please select a BUG ID</v>
      </c>
      <c r="J714" s="85"/>
      <c r="K714" s="85"/>
    </row>
    <row r="715">
      <c r="A715" s="85"/>
      <c r="B715" s="59"/>
      <c r="C715" s="51" t="str">
        <f>IFERROR(VLOOKUP(A715,Internal_lists_bugs!$A$2:$T1058,20,FALSE()),"please select a BUG ID")</f>
        <v>please select a BUG ID</v>
      </c>
      <c r="D715" s="93"/>
      <c r="E715" s="85"/>
      <c r="F715" s="62"/>
      <c r="G715" s="63"/>
      <c r="H715" s="85"/>
      <c r="I715" s="51" t="str">
        <f>IFERROR(VLOOKUP(A715,Internal_lists_bugs!$A$2:$G1058,7,FALSE()),"please select a BUG ID")</f>
        <v>please select a BUG ID</v>
      </c>
      <c r="J715" s="85"/>
      <c r="K715" s="85"/>
    </row>
    <row r="716">
      <c r="A716" s="85"/>
      <c r="B716" s="59"/>
      <c r="C716" s="51" t="str">
        <f>IFERROR(VLOOKUP(A716,Internal_lists_bugs!$A$2:$T1058,20,FALSE()),"please select a BUG ID")</f>
        <v>please select a BUG ID</v>
      </c>
      <c r="D716" s="93"/>
      <c r="E716" s="85"/>
      <c r="F716" s="62"/>
      <c r="G716" s="63"/>
      <c r="H716" s="85"/>
      <c r="I716" s="51" t="str">
        <f>IFERROR(VLOOKUP(A716,Internal_lists_bugs!$A$2:$G1058,7,FALSE()),"please select a BUG ID")</f>
        <v>please select a BUG ID</v>
      </c>
      <c r="J716" s="85"/>
      <c r="K716" s="85"/>
    </row>
    <row r="717">
      <c r="A717" s="85"/>
      <c r="B717" s="59"/>
      <c r="C717" s="51" t="str">
        <f>IFERROR(VLOOKUP(A717,Internal_lists_bugs!$A$2:$T1058,20,FALSE()),"please select a BUG ID")</f>
        <v>please select a BUG ID</v>
      </c>
      <c r="D717" s="93"/>
      <c r="E717" s="85"/>
      <c r="F717" s="62"/>
      <c r="G717" s="63"/>
      <c r="H717" s="85"/>
      <c r="I717" s="51" t="str">
        <f>IFERROR(VLOOKUP(A717,Internal_lists_bugs!$A$2:$G1058,7,FALSE()),"please select a BUG ID")</f>
        <v>please select a BUG ID</v>
      </c>
      <c r="J717" s="85"/>
      <c r="K717" s="85"/>
    </row>
    <row r="718">
      <c r="A718" s="85"/>
      <c r="B718" s="59"/>
      <c r="C718" s="51" t="str">
        <f>IFERROR(VLOOKUP(A718,Internal_lists_bugs!$A$2:$T1058,20,FALSE()),"please select a BUG ID")</f>
        <v>please select a BUG ID</v>
      </c>
      <c r="D718" s="93"/>
      <c r="E718" s="85"/>
      <c r="F718" s="62"/>
      <c r="G718" s="63"/>
      <c r="H718" s="85"/>
      <c r="I718" s="51" t="str">
        <f>IFERROR(VLOOKUP(A718,Internal_lists_bugs!$A$2:$G1058,7,FALSE()),"please select a BUG ID")</f>
        <v>please select a BUG ID</v>
      </c>
      <c r="J718" s="85"/>
      <c r="K718" s="85"/>
    </row>
    <row r="719">
      <c r="A719" s="85"/>
      <c r="B719" s="59"/>
      <c r="C719" s="51" t="str">
        <f>IFERROR(VLOOKUP(A719,Internal_lists_bugs!$A$2:$T1058,20,FALSE()),"please select a BUG ID")</f>
        <v>please select a BUG ID</v>
      </c>
      <c r="D719" s="93"/>
      <c r="E719" s="85"/>
      <c r="F719" s="62"/>
      <c r="G719" s="63"/>
      <c r="H719" s="85"/>
      <c r="I719" s="51" t="str">
        <f>IFERROR(VLOOKUP(A719,Internal_lists_bugs!$A$2:$G1058,7,FALSE()),"please select a BUG ID")</f>
        <v>please select a BUG ID</v>
      </c>
      <c r="J719" s="85"/>
      <c r="K719" s="85"/>
    </row>
    <row r="720">
      <c r="A720" s="85"/>
      <c r="B720" s="59"/>
      <c r="C720" s="51" t="str">
        <f>IFERROR(VLOOKUP(A720,Internal_lists_bugs!$A$2:$T1058,20,FALSE()),"please select a BUG ID")</f>
        <v>please select a BUG ID</v>
      </c>
      <c r="D720" s="93"/>
      <c r="E720" s="85"/>
      <c r="F720" s="62"/>
      <c r="G720" s="63"/>
      <c r="H720" s="85"/>
      <c r="I720" s="51" t="str">
        <f>IFERROR(VLOOKUP(A720,Internal_lists_bugs!$A$2:$G1058,7,FALSE()),"please select a BUG ID")</f>
        <v>please select a BUG ID</v>
      </c>
      <c r="J720" s="85"/>
      <c r="K720" s="85"/>
    </row>
    <row r="721">
      <c r="A721" s="85"/>
      <c r="B721" s="59"/>
      <c r="C721" s="51" t="str">
        <f>IFERROR(VLOOKUP(A721,Internal_lists_bugs!$A$2:$T1058,20,FALSE()),"please select a BUG ID")</f>
        <v>please select a BUG ID</v>
      </c>
      <c r="D721" s="93"/>
      <c r="E721" s="85"/>
      <c r="F721" s="62"/>
      <c r="G721" s="63"/>
      <c r="H721" s="85"/>
      <c r="I721" s="51" t="str">
        <f>IFERROR(VLOOKUP(A721,Internal_lists_bugs!$A$2:$G1058,7,FALSE()),"please select a BUG ID")</f>
        <v>please select a BUG ID</v>
      </c>
      <c r="J721" s="85"/>
      <c r="K721" s="85"/>
    </row>
    <row r="722">
      <c r="A722" s="85"/>
      <c r="B722" s="59"/>
      <c r="C722" s="51" t="str">
        <f>IFERROR(VLOOKUP(A722,Internal_lists_bugs!$A$2:$T1058,20,FALSE()),"please select a BUG ID")</f>
        <v>please select a BUG ID</v>
      </c>
      <c r="D722" s="93"/>
      <c r="E722" s="85"/>
      <c r="F722" s="62"/>
      <c r="G722" s="63"/>
      <c r="H722" s="85"/>
      <c r="I722" s="51" t="str">
        <f>IFERROR(VLOOKUP(A722,Internal_lists_bugs!$A$2:$G1058,7,FALSE()),"please select a BUG ID")</f>
        <v>please select a BUG ID</v>
      </c>
      <c r="J722" s="85"/>
      <c r="K722" s="85"/>
    </row>
    <row r="723">
      <c r="A723" s="85"/>
      <c r="B723" s="59"/>
      <c r="C723" s="51" t="str">
        <f>IFERROR(VLOOKUP(A723,Internal_lists_bugs!$A$2:$T1058,20,FALSE()),"please select a BUG ID")</f>
        <v>please select a BUG ID</v>
      </c>
      <c r="D723" s="93"/>
      <c r="E723" s="85"/>
      <c r="F723" s="62"/>
      <c r="G723" s="63"/>
      <c r="H723" s="85"/>
      <c r="I723" s="51" t="str">
        <f>IFERROR(VLOOKUP(A723,Internal_lists_bugs!$A$2:$G1058,7,FALSE()),"please select a BUG ID")</f>
        <v>please select a BUG ID</v>
      </c>
      <c r="J723" s="85"/>
      <c r="K723" s="85"/>
    </row>
    <row r="724">
      <c r="A724" s="85"/>
      <c r="B724" s="59"/>
      <c r="C724" s="51" t="str">
        <f>IFERROR(VLOOKUP(A724,Internal_lists_bugs!$A$2:$T1058,20,FALSE()),"please select a BUG ID")</f>
        <v>please select a BUG ID</v>
      </c>
      <c r="D724" s="93"/>
      <c r="E724" s="85"/>
      <c r="F724" s="62"/>
      <c r="G724" s="63"/>
      <c r="H724" s="85"/>
      <c r="I724" s="51" t="str">
        <f>IFERROR(VLOOKUP(A724,Internal_lists_bugs!$A$2:$G1058,7,FALSE()),"please select a BUG ID")</f>
        <v>please select a BUG ID</v>
      </c>
      <c r="J724" s="85"/>
      <c r="K724" s="85"/>
    </row>
    <row r="725">
      <c r="A725" s="85"/>
      <c r="B725" s="59"/>
      <c r="C725" s="51" t="str">
        <f>IFERROR(VLOOKUP(A725,Internal_lists_bugs!$A$2:$T1058,20,FALSE()),"please select a BUG ID")</f>
        <v>please select a BUG ID</v>
      </c>
      <c r="D725" s="93"/>
      <c r="E725" s="85"/>
      <c r="F725" s="62"/>
      <c r="G725" s="63"/>
      <c r="H725" s="85"/>
      <c r="I725" s="51" t="str">
        <f>IFERROR(VLOOKUP(A725,Internal_lists_bugs!$A$2:$G1058,7,FALSE()),"please select a BUG ID")</f>
        <v>please select a BUG ID</v>
      </c>
      <c r="J725" s="85"/>
      <c r="K725" s="85"/>
    </row>
    <row r="726">
      <c r="A726" s="85"/>
      <c r="B726" s="59"/>
      <c r="C726" s="51" t="str">
        <f>IFERROR(VLOOKUP(A726,Internal_lists_bugs!$A$2:$T1058,20,FALSE()),"please select a BUG ID")</f>
        <v>please select a BUG ID</v>
      </c>
      <c r="D726" s="93"/>
      <c r="E726" s="85"/>
      <c r="F726" s="62"/>
      <c r="G726" s="63"/>
      <c r="H726" s="85"/>
      <c r="I726" s="51" t="str">
        <f>IFERROR(VLOOKUP(A726,Internal_lists_bugs!$A$2:$G1058,7,FALSE()),"please select a BUG ID")</f>
        <v>please select a BUG ID</v>
      </c>
      <c r="J726" s="85"/>
      <c r="K726" s="85"/>
    </row>
    <row r="727">
      <c r="A727" s="85"/>
      <c r="B727" s="59"/>
      <c r="C727" s="51" t="str">
        <f>IFERROR(VLOOKUP(A727,Internal_lists_bugs!$A$2:$T1058,20,FALSE()),"please select a BUG ID")</f>
        <v>please select a BUG ID</v>
      </c>
      <c r="D727" s="93"/>
      <c r="E727" s="85"/>
      <c r="F727" s="62"/>
      <c r="G727" s="63"/>
      <c r="H727" s="85"/>
      <c r="I727" s="51" t="str">
        <f>IFERROR(VLOOKUP(A727,Internal_lists_bugs!$A$2:$G1058,7,FALSE()),"please select a BUG ID")</f>
        <v>please select a BUG ID</v>
      </c>
      <c r="J727" s="85"/>
      <c r="K727" s="85"/>
    </row>
    <row r="728">
      <c r="A728" s="85"/>
      <c r="B728" s="59"/>
      <c r="C728" s="51" t="str">
        <f>IFERROR(VLOOKUP(A728,Internal_lists_bugs!$A$2:$T1058,20,FALSE()),"please select a BUG ID")</f>
        <v>please select a BUG ID</v>
      </c>
      <c r="D728" s="93"/>
      <c r="E728" s="85"/>
      <c r="F728" s="62"/>
      <c r="G728" s="63"/>
      <c r="H728" s="85"/>
      <c r="I728" s="51" t="str">
        <f>IFERROR(VLOOKUP(A728,Internal_lists_bugs!$A$2:$G1058,7,FALSE()),"please select a BUG ID")</f>
        <v>please select a BUG ID</v>
      </c>
      <c r="J728" s="85"/>
      <c r="K728" s="85"/>
    </row>
    <row r="729">
      <c r="A729" s="85"/>
      <c r="B729" s="59"/>
      <c r="C729" s="51" t="str">
        <f>IFERROR(VLOOKUP(A729,Internal_lists_bugs!$A$2:$T1058,20,FALSE()),"please select a BUG ID")</f>
        <v>please select a BUG ID</v>
      </c>
      <c r="D729" s="93"/>
      <c r="E729" s="85"/>
      <c r="F729" s="62"/>
      <c r="G729" s="63"/>
      <c r="H729" s="85"/>
      <c r="I729" s="51" t="str">
        <f>IFERROR(VLOOKUP(A729,Internal_lists_bugs!$A$2:$G1058,7,FALSE()),"please select a BUG ID")</f>
        <v>please select a BUG ID</v>
      </c>
      <c r="J729" s="85"/>
      <c r="K729" s="85"/>
    </row>
    <row r="730">
      <c r="A730" s="85"/>
      <c r="B730" s="59"/>
      <c r="C730" s="51" t="str">
        <f>IFERROR(VLOOKUP(A730,Internal_lists_bugs!$A$2:$T1058,20,FALSE()),"please select a BUG ID")</f>
        <v>please select a BUG ID</v>
      </c>
      <c r="D730" s="93"/>
      <c r="E730" s="85"/>
      <c r="F730" s="62"/>
      <c r="G730" s="63"/>
      <c r="H730" s="85"/>
      <c r="I730" s="51" t="str">
        <f>IFERROR(VLOOKUP(A730,Internal_lists_bugs!$A$2:$G1058,7,FALSE()),"please select a BUG ID")</f>
        <v>please select a BUG ID</v>
      </c>
      <c r="J730" s="85"/>
      <c r="K730" s="85"/>
    </row>
    <row r="731">
      <c r="A731" s="85"/>
      <c r="B731" s="59"/>
      <c r="C731" s="51" t="str">
        <f>IFERROR(VLOOKUP(A731,Internal_lists_bugs!$A$2:$T1058,20,FALSE()),"please select a BUG ID")</f>
        <v>please select a BUG ID</v>
      </c>
      <c r="D731" s="93"/>
      <c r="E731" s="85"/>
      <c r="F731" s="62"/>
      <c r="G731" s="63"/>
      <c r="H731" s="85"/>
      <c r="I731" s="51" t="str">
        <f>IFERROR(VLOOKUP(A731,Internal_lists_bugs!$A$2:$G1058,7,FALSE()),"please select a BUG ID")</f>
        <v>please select a BUG ID</v>
      </c>
      <c r="J731" s="85"/>
      <c r="K731" s="85"/>
    </row>
    <row r="732">
      <c r="A732" s="85"/>
      <c r="B732" s="59"/>
      <c r="C732" s="51" t="str">
        <f>IFERROR(VLOOKUP(A732,Internal_lists_bugs!$A$2:$T1058,20,FALSE()),"please select a BUG ID")</f>
        <v>please select a BUG ID</v>
      </c>
      <c r="D732" s="93"/>
      <c r="E732" s="85"/>
      <c r="F732" s="62"/>
      <c r="G732" s="63"/>
      <c r="H732" s="85"/>
      <c r="I732" s="51" t="str">
        <f>IFERROR(VLOOKUP(A732,Internal_lists_bugs!$A$2:$G1058,7,FALSE()),"please select a BUG ID")</f>
        <v>please select a BUG ID</v>
      </c>
      <c r="J732" s="85"/>
      <c r="K732" s="85"/>
    </row>
    <row r="733">
      <c r="A733" s="85"/>
      <c r="B733" s="59"/>
      <c r="C733" s="51" t="str">
        <f>IFERROR(VLOOKUP(A733,Internal_lists_bugs!$A$2:$T1058,20,FALSE()),"please select a BUG ID")</f>
        <v>please select a BUG ID</v>
      </c>
      <c r="D733" s="93"/>
      <c r="E733" s="85"/>
      <c r="F733" s="62"/>
      <c r="G733" s="63"/>
      <c r="H733" s="85"/>
      <c r="I733" s="51" t="str">
        <f>IFERROR(VLOOKUP(A733,Internal_lists_bugs!$A$2:$G1058,7,FALSE()),"please select a BUG ID")</f>
        <v>please select a BUG ID</v>
      </c>
      <c r="J733" s="85"/>
      <c r="K733" s="85"/>
    </row>
    <row r="734">
      <c r="A734" s="85"/>
      <c r="B734" s="59"/>
      <c r="C734" s="51" t="str">
        <f>IFERROR(VLOOKUP(A734,Internal_lists_bugs!$A$2:$T1058,20,FALSE()),"please select a BUG ID")</f>
        <v>please select a BUG ID</v>
      </c>
      <c r="D734" s="93"/>
      <c r="E734" s="85"/>
      <c r="F734" s="62"/>
      <c r="G734" s="63"/>
      <c r="H734" s="85"/>
      <c r="I734" s="51" t="str">
        <f>IFERROR(VLOOKUP(A734,Internal_lists_bugs!$A$2:$G1058,7,FALSE()),"please select a BUG ID")</f>
        <v>please select a BUG ID</v>
      </c>
      <c r="J734" s="85"/>
      <c r="K734" s="85"/>
    </row>
    <row r="735">
      <c r="A735" s="85"/>
      <c r="B735" s="59"/>
      <c r="C735" s="51" t="str">
        <f>IFERROR(VLOOKUP(A735,Internal_lists_bugs!$A$2:$T1058,20,FALSE()),"please select a BUG ID")</f>
        <v>please select a BUG ID</v>
      </c>
      <c r="D735" s="93"/>
      <c r="E735" s="85"/>
      <c r="F735" s="62"/>
      <c r="G735" s="63"/>
      <c r="H735" s="85"/>
      <c r="I735" s="51" t="str">
        <f>IFERROR(VLOOKUP(A735,Internal_lists_bugs!$A$2:$G1058,7,FALSE()),"please select a BUG ID")</f>
        <v>please select a BUG ID</v>
      </c>
      <c r="J735" s="85"/>
      <c r="K735" s="85"/>
    </row>
    <row r="736">
      <c r="A736" s="85"/>
      <c r="B736" s="59"/>
      <c r="C736" s="51" t="str">
        <f>IFERROR(VLOOKUP(A736,Internal_lists_bugs!$A$2:$T1058,20,FALSE()),"please select a BUG ID")</f>
        <v>please select a BUG ID</v>
      </c>
      <c r="D736" s="93"/>
      <c r="E736" s="85"/>
      <c r="F736" s="62"/>
      <c r="G736" s="63"/>
      <c r="H736" s="85"/>
      <c r="I736" s="51" t="str">
        <f>IFERROR(VLOOKUP(A736,Internal_lists_bugs!$A$2:$G1058,7,FALSE()),"please select a BUG ID")</f>
        <v>please select a BUG ID</v>
      </c>
      <c r="J736" s="85"/>
      <c r="K736" s="85"/>
    </row>
    <row r="737">
      <c r="A737" s="85"/>
      <c r="B737" s="59"/>
      <c r="C737" s="51" t="str">
        <f>IFERROR(VLOOKUP(A737,Internal_lists_bugs!$A$2:$T1058,20,FALSE()),"please select a BUG ID")</f>
        <v>please select a BUG ID</v>
      </c>
      <c r="D737" s="93"/>
      <c r="E737" s="85"/>
      <c r="F737" s="62"/>
      <c r="G737" s="63"/>
      <c r="H737" s="85"/>
      <c r="I737" s="51" t="str">
        <f>IFERROR(VLOOKUP(A737,Internal_lists_bugs!$A$2:$G1058,7,FALSE()),"please select a BUG ID")</f>
        <v>please select a BUG ID</v>
      </c>
      <c r="J737" s="85"/>
      <c r="K737" s="85"/>
    </row>
    <row r="738">
      <c r="A738" s="85"/>
      <c r="B738" s="59"/>
      <c r="C738" s="51" t="str">
        <f>IFERROR(VLOOKUP(A738,Internal_lists_bugs!$A$2:$T1058,20,FALSE()),"please select a BUG ID")</f>
        <v>please select a BUG ID</v>
      </c>
      <c r="D738" s="93"/>
      <c r="E738" s="85"/>
      <c r="F738" s="62"/>
      <c r="G738" s="63"/>
      <c r="H738" s="85"/>
      <c r="I738" s="51" t="str">
        <f>IFERROR(VLOOKUP(A738,Internal_lists_bugs!$A$2:$G1058,7,FALSE()),"please select a BUG ID")</f>
        <v>please select a BUG ID</v>
      </c>
      <c r="J738" s="85"/>
      <c r="K738" s="85"/>
    </row>
    <row r="739">
      <c r="A739" s="85"/>
      <c r="B739" s="59"/>
      <c r="C739" s="51" t="str">
        <f>IFERROR(VLOOKUP(A739,Internal_lists_bugs!$A$2:$T1058,20,FALSE()),"please select a BUG ID")</f>
        <v>please select a BUG ID</v>
      </c>
      <c r="D739" s="93"/>
      <c r="E739" s="85"/>
      <c r="F739" s="62"/>
      <c r="G739" s="63"/>
      <c r="H739" s="85"/>
      <c r="I739" s="51" t="str">
        <f>IFERROR(VLOOKUP(A739,Internal_lists_bugs!$A$2:$G1058,7,FALSE()),"please select a BUG ID")</f>
        <v>please select a BUG ID</v>
      </c>
      <c r="J739" s="85"/>
      <c r="K739" s="85"/>
    </row>
    <row r="740">
      <c r="A740" s="85"/>
      <c r="B740" s="59"/>
      <c r="C740" s="51" t="str">
        <f>IFERROR(VLOOKUP(A740,Internal_lists_bugs!$A$2:$T1058,20,FALSE()),"please select a BUG ID")</f>
        <v>please select a BUG ID</v>
      </c>
      <c r="D740" s="93"/>
      <c r="E740" s="85"/>
      <c r="F740" s="62"/>
      <c r="G740" s="63"/>
      <c r="H740" s="85"/>
      <c r="I740" s="51" t="str">
        <f>IFERROR(VLOOKUP(A740,Internal_lists_bugs!$A$2:$G1058,7,FALSE()),"please select a BUG ID")</f>
        <v>please select a BUG ID</v>
      </c>
      <c r="J740" s="85"/>
      <c r="K740" s="85"/>
    </row>
    <row r="741">
      <c r="A741" s="85"/>
      <c r="B741" s="59"/>
      <c r="C741" s="51" t="str">
        <f>IFERROR(VLOOKUP(A741,Internal_lists_bugs!$A$2:$T1058,20,FALSE()),"please select a BUG ID")</f>
        <v>please select a BUG ID</v>
      </c>
      <c r="D741" s="93"/>
      <c r="E741" s="85"/>
      <c r="F741" s="62"/>
      <c r="G741" s="63"/>
      <c r="H741" s="85"/>
      <c r="I741" s="51" t="str">
        <f>IFERROR(VLOOKUP(A741,Internal_lists_bugs!$A$2:$G1058,7,FALSE()),"please select a BUG ID")</f>
        <v>please select a BUG ID</v>
      </c>
      <c r="J741" s="85"/>
      <c r="K741" s="85"/>
    </row>
    <row r="742">
      <c r="A742" s="85"/>
      <c r="B742" s="59"/>
      <c r="C742" s="51" t="str">
        <f>IFERROR(VLOOKUP(A742,Internal_lists_bugs!$A$2:$T1058,20,FALSE()),"please select a BUG ID")</f>
        <v>please select a BUG ID</v>
      </c>
      <c r="D742" s="93"/>
      <c r="E742" s="85"/>
      <c r="F742" s="62"/>
      <c r="G742" s="63"/>
      <c r="H742" s="85"/>
      <c r="I742" s="51" t="str">
        <f>IFERROR(VLOOKUP(A742,Internal_lists_bugs!$A$2:$G1058,7,FALSE()),"please select a BUG ID")</f>
        <v>please select a BUG ID</v>
      </c>
      <c r="J742" s="85"/>
      <c r="K742" s="85"/>
    </row>
    <row r="743">
      <c r="A743" s="85"/>
      <c r="B743" s="59"/>
      <c r="C743" s="51" t="str">
        <f>IFERROR(VLOOKUP(A743,Internal_lists_bugs!$A$2:$T1058,20,FALSE()),"please select a BUG ID")</f>
        <v>please select a BUG ID</v>
      </c>
      <c r="D743" s="93"/>
      <c r="E743" s="85"/>
      <c r="F743" s="62"/>
      <c r="G743" s="63"/>
      <c r="H743" s="85"/>
      <c r="I743" s="51" t="str">
        <f>IFERROR(VLOOKUP(A743,Internal_lists_bugs!$A$2:$G1058,7,FALSE()),"please select a BUG ID")</f>
        <v>please select a BUG ID</v>
      </c>
      <c r="J743" s="85"/>
      <c r="K743" s="85"/>
    </row>
    <row r="744">
      <c r="A744" s="85"/>
      <c r="B744" s="59"/>
      <c r="C744" s="51" t="str">
        <f>IFERROR(VLOOKUP(A744,Internal_lists_bugs!$A$2:$T1058,20,FALSE()),"please select a BUG ID")</f>
        <v>please select a BUG ID</v>
      </c>
      <c r="D744" s="93"/>
      <c r="E744" s="85"/>
      <c r="F744" s="62"/>
      <c r="G744" s="63"/>
      <c r="H744" s="85"/>
      <c r="I744" s="51" t="str">
        <f>IFERROR(VLOOKUP(A744,Internal_lists_bugs!$A$2:$G1058,7,FALSE()),"please select a BUG ID")</f>
        <v>please select a BUG ID</v>
      </c>
      <c r="J744" s="85"/>
      <c r="K744" s="85"/>
    </row>
    <row r="745">
      <c r="A745" s="85"/>
      <c r="B745" s="59"/>
      <c r="C745" s="51" t="str">
        <f>IFERROR(VLOOKUP(A745,Internal_lists_bugs!$A$2:$T1058,20,FALSE()),"please select a BUG ID")</f>
        <v>please select a BUG ID</v>
      </c>
      <c r="D745" s="93"/>
      <c r="E745" s="85"/>
      <c r="F745" s="62"/>
      <c r="G745" s="63"/>
      <c r="H745" s="85"/>
      <c r="I745" s="51" t="str">
        <f>IFERROR(VLOOKUP(A745,Internal_lists_bugs!$A$2:$G1058,7,FALSE()),"please select a BUG ID")</f>
        <v>please select a BUG ID</v>
      </c>
      <c r="J745" s="85"/>
      <c r="K745" s="85"/>
    </row>
    <row r="746">
      <c r="A746" s="85"/>
      <c r="B746" s="59"/>
      <c r="C746" s="51" t="str">
        <f>IFERROR(VLOOKUP(A746,Internal_lists_bugs!$A$2:$T1058,20,FALSE()),"please select a BUG ID")</f>
        <v>please select a BUG ID</v>
      </c>
      <c r="D746" s="93"/>
      <c r="E746" s="85"/>
      <c r="F746" s="62"/>
      <c r="G746" s="63"/>
      <c r="H746" s="85"/>
      <c r="I746" s="51" t="str">
        <f>IFERROR(VLOOKUP(A746,Internal_lists_bugs!$A$2:$G1058,7,FALSE()),"please select a BUG ID")</f>
        <v>please select a BUG ID</v>
      </c>
      <c r="J746" s="85"/>
      <c r="K746" s="85"/>
    </row>
    <row r="747">
      <c r="A747" s="85"/>
      <c r="B747" s="59"/>
      <c r="C747" s="51" t="str">
        <f>IFERROR(VLOOKUP(A747,Internal_lists_bugs!$A$2:$T1058,20,FALSE()),"please select a BUG ID")</f>
        <v>please select a BUG ID</v>
      </c>
      <c r="D747" s="93"/>
      <c r="E747" s="85"/>
      <c r="F747" s="62"/>
      <c r="G747" s="63"/>
      <c r="H747" s="85"/>
      <c r="I747" s="51" t="str">
        <f>IFERROR(VLOOKUP(A747,Internal_lists_bugs!$A$2:$G1058,7,FALSE()),"please select a BUG ID")</f>
        <v>please select a BUG ID</v>
      </c>
      <c r="J747" s="85"/>
      <c r="K747" s="85"/>
    </row>
    <row r="748">
      <c r="A748" s="85"/>
      <c r="B748" s="59"/>
      <c r="C748" s="51" t="str">
        <f>IFERROR(VLOOKUP(A748,Internal_lists_bugs!$A$2:$T1058,20,FALSE()),"please select a BUG ID")</f>
        <v>please select a BUG ID</v>
      </c>
      <c r="D748" s="93"/>
      <c r="E748" s="85"/>
      <c r="F748" s="62"/>
      <c r="G748" s="63"/>
      <c r="H748" s="85"/>
      <c r="I748" s="51" t="str">
        <f>IFERROR(VLOOKUP(A748,Internal_lists_bugs!$A$2:$G1058,7,FALSE()),"please select a BUG ID")</f>
        <v>please select a BUG ID</v>
      </c>
      <c r="J748" s="85"/>
      <c r="K748" s="85"/>
    </row>
    <row r="749">
      <c r="A749" s="85"/>
      <c r="B749" s="59"/>
      <c r="C749" s="51" t="str">
        <f>IFERROR(VLOOKUP(A749,Internal_lists_bugs!$A$2:$T1058,20,FALSE()),"please select a BUG ID")</f>
        <v>please select a BUG ID</v>
      </c>
      <c r="D749" s="93"/>
      <c r="E749" s="85"/>
      <c r="F749" s="62"/>
      <c r="G749" s="63"/>
      <c r="H749" s="85"/>
      <c r="I749" s="51" t="str">
        <f>IFERROR(VLOOKUP(A749,Internal_lists_bugs!$A$2:$G1058,7,FALSE()),"please select a BUG ID")</f>
        <v>please select a BUG ID</v>
      </c>
      <c r="J749" s="85"/>
      <c r="K749" s="85"/>
    </row>
    <row r="750">
      <c r="A750" s="85"/>
      <c r="B750" s="59"/>
      <c r="C750" s="51" t="str">
        <f>IFERROR(VLOOKUP(A750,Internal_lists_bugs!$A$2:$T1058,20,FALSE()),"please select a BUG ID")</f>
        <v>please select a BUG ID</v>
      </c>
      <c r="D750" s="93"/>
      <c r="E750" s="85"/>
      <c r="F750" s="62"/>
      <c r="G750" s="63"/>
      <c r="H750" s="85"/>
      <c r="I750" s="51" t="str">
        <f>IFERROR(VLOOKUP(A750,Internal_lists_bugs!$A$2:$G1058,7,FALSE()),"please select a BUG ID")</f>
        <v>please select a BUG ID</v>
      </c>
      <c r="J750" s="85"/>
      <c r="K750" s="85"/>
    </row>
    <row r="751">
      <c r="A751" s="85"/>
      <c r="B751" s="59"/>
      <c r="C751" s="51" t="str">
        <f>IFERROR(VLOOKUP(A751,Internal_lists_bugs!$A$2:$T1058,20,FALSE()),"please select a BUG ID")</f>
        <v>please select a BUG ID</v>
      </c>
      <c r="D751" s="93"/>
      <c r="E751" s="85"/>
      <c r="F751" s="62"/>
      <c r="G751" s="63"/>
      <c r="H751" s="85"/>
      <c r="I751" s="51" t="str">
        <f>IFERROR(VLOOKUP(A751,Internal_lists_bugs!$A$2:$G1058,7,FALSE()),"please select a BUG ID")</f>
        <v>please select a BUG ID</v>
      </c>
      <c r="J751" s="85"/>
      <c r="K751" s="85"/>
    </row>
    <row r="752">
      <c r="A752" s="85"/>
      <c r="B752" s="59"/>
      <c r="C752" s="51" t="str">
        <f>IFERROR(VLOOKUP(A752,Internal_lists_bugs!$A$2:$T1058,20,FALSE()),"please select a BUG ID")</f>
        <v>please select a BUG ID</v>
      </c>
      <c r="D752" s="93"/>
      <c r="E752" s="85"/>
      <c r="F752" s="62"/>
      <c r="G752" s="63"/>
      <c r="H752" s="85"/>
      <c r="I752" s="51" t="str">
        <f>IFERROR(VLOOKUP(A752,Internal_lists_bugs!$A$2:$G1058,7,FALSE()),"please select a BUG ID")</f>
        <v>please select a BUG ID</v>
      </c>
      <c r="J752" s="85"/>
      <c r="K752" s="85"/>
    </row>
    <row r="753">
      <c r="A753" s="85"/>
      <c r="B753" s="59"/>
      <c r="C753" s="51" t="str">
        <f>IFERROR(VLOOKUP(A753,Internal_lists_bugs!$A$2:$T1058,20,FALSE()),"please select a BUG ID")</f>
        <v>please select a BUG ID</v>
      </c>
      <c r="D753" s="93"/>
      <c r="E753" s="85"/>
      <c r="F753" s="62"/>
      <c r="G753" s="63"/>
      <c r="H753" s="85"/>
      <c r="I753" s="51" t="str">
        <f>IFERROR(VLOOKUP(A753,Internal_lists_bugs!$A$2:$G1058,7,FALSE()),"please select a BUG ID")</f>
        <v>please select a BUG ID</v>
      </c>
      <c r="J753" s="85"/>
      <c r="K753" s="85"/>
    </row>
    <row r="754">
      <c r="A754" s="85"/>
      <c r="B754" s="59"/>
      <c r="C754" s="51" t="str">
        <f>IFERROR(VLOOKUP(A754,Internal_lists_bugs!$A$2:$T1058,20,FALSE()),"please select a BUG ID")</f>
        <v>please select a BUG ID</v>
      </c>
      <c r="D754" s="93"/>
      <c r="E754" s="85"/>
      <c r="F754" s="62"/>
      <c r="G754" s="63"/>
      <c r="H754" s="85"/>
      <c r="I754" s="51" t="str">
        <f>IFERROR(VLOOKUP(A754,Internal_lists_bugs!$A$2:$G1058,7,FALSE()),"please select a BUG ID")</f>
        <v>please select a BUG ID</v>
      </c>
      <c r="J754" s="85"/>
      <c r="K754" s="85"/>
    </row>
    <row r="755">
      <c r="A755" s="85"/>
      <c r="B755" s="59"/>
      <c r="C755" s="51" t="str">
        <f>IFERROR(VLOOKUP(A755,Internal_lists_bugs!$A$2:$T1058,20,FALSE()),"please select a BUG ID")</f>
        <v>please select a BUG ID</v>
      </c>
      <c r="D755" s="93"/>
      <c r="E755" s="85"/>
      <c r="F755" s="62"/>
      <c r="G755" s="63"/>
      <c r="H755" s="85"/>
      <c r="I755" s="51" t="str">
        <f>IFERROR(VLOOKUP(A755,Internal_lists_bugs!$A$2:$G1058,7,FALSE()),"please select a BUG ID")</f>
        <v>please select a BUG ID</v>
      </c>
      <c r="J755" s="85"/>
      <c r="K755" s="85"/>
    </row>
    <row r="756">
      <c r="A756" s="85"/>
      <c r="B756" s="59"/>
      <c r="C756" s="51" t="str">
        <f>IFERROR(VLOOKUP(A756,Internal_lists_bugs!$A$2:$T1058,20,FALSE()),"please select a BUG ID")</f>
        <v>please select a BUG ID</v>
      </c>
      <c r="D756" s="93"/>
      <c r="E756" s="85"/>
      <c r="F756" s="62"/>
      <c r="G756" s="63"/>
      <c r="H756" s="85"/>
      <c r="I756" s="51" t="str">
        <f>IFERROR(VLOOKUP(A756,Internal_lists_bugs!$A$2:$G1058,7,FALSE()),"please select a BUG ID")</f>
        <v>please select a BUG ID</v>
      </c>
      <c r="J756" s="85"/>
      <c r="K756" s="85"/>
    </row>
    <row r="757">
      <c r="A757" s="85"/>
      <c r="B757" s="59"/>
      <c r="C757" s="51" t="str">
        <f>IFERROR(VLOOKUP(A757,Internal_lists_bugs!$A$2:$T1058,20,FALSE()),"please select a BUG ID")</f>
        <v>please select a BUG ID</v>
      </c>
      <c r="D757" s="93"/>
      <c r="E757" s="85"/>
      <c r="F757" s="62"/>
      <c r="G757" s="63"/>
      <c r="H757" s="85"/>
      <c r="I757" s="51" t="str">
        <f>IFERROR(VLOOKUP(A757,Internal_lists_bugs!$A$2:$G1058,7,FALSE()),"please select a BUG ID")</f>
        <v>please select a BUG ID</v>
      </c>
      <c r="J757" s="85"/>
      <c r="K757" s="85"/>
    </row>
    <row r="758">
      <c r="A758" s="85"/>
      <c r="B758" s="59"/>
      <c r="C758" s="51" t="str">
        <f>IFERROR(VLOOKUP(A758,Internal_lists_bugs!$A$2:$T1058,20,FALSE()),"please select a BUG ID")</f>
        <v>please select a BUG ID</v>
      </c>
      <c r="D758" s="93"/>
      <c r="E758" s="85"/>
      <c r="F758" s="62"/>
      <c r="G758" s="63"/>
      <c r="H758" s="85"/>
      <c r="I758" s="51" t="str">
        <f>IFERROR(VLOOKUP(A758,Internal_lists_bugs!$A$2:$G1058,7,FALSE()),"please select a BUG ID")</f>
        <v>please select a BUG ID</v>
      </c>
      <c r="J758" s="85"/>
      <c r="K758" s="85"/>
    </row>
    <row r="759">
      <c r="A759" s="85"/>
      <c r="B759" s="59"/>
      <c r="C759" s="51" t="str">
        <f>IFERROR(VLOOKUP(A759,Internal_lists_bugs!$A$2:$T1058,20,FALSE()),"please select a BUG ID")</f>
        <v>please select a BUG ID</v>
      </c>
      <c r="D759" s="93"/>
      <c r="E759" s="85"/>
      <c r="F759" s="62"/>
      <c r="G759" s="63"/>
      <c r="H759" s="85"/>
      <c r="I759" s="51" t="str">
        <f>IFERROR(VLOOKUP(A759,Internal_lists_bugs!$A$2:$G1058,7,FALSE()),"please select a BUG ID")</f>
        <v>please select a BUG ID</v>
      </c>
      <c r="J759" s="85"/>
      <c r="K759" s="85"/>
    </row>
    <row r="760">
      <c r="A760" s="85"/>
      <c r="B760" s="59"/>
      <c r="C760" s="51" t="str">
        <f>IFERROR(VLOOKUP(A760,Internal_lists_bugs!$A$2:$T1058,20,FALSE()),"please select a BUG ID")</f>
        <v>please select a BUG ID</v>
      </c>
      <c r="D760" s="93"/>
      <c r="E760" s="85"/>
      <c r="F760" s="62"/>
      <c r="G760" s="63"/>
      <c r="H760" s="85"/>
      <c r="I760" s="51" t="str">
        <f>IFERROR(VLOOKUP(A760,Internal_lists_bugs!$A$2:$G1058,7,FALSE()),"please select a BUG ID")</f>
        <v>please select a BUG ID</v>
      </c>
      <c r="J760" s="85"/>
      <c r="K760" s="85"/>
    </row>
    <row r="761">
      <c r="A761" s="85"/>
      <c r="B761" s="59"/>
      <c r="C761" s="51" t="str">
        <f>IFERROR(VLOOKUP(A761,Internal_lists_bugs!$A$2:$T1058,20,FALSE()),"please select a BUG ID")</f>
        <v>please select a BUG ID</v>
      </c>
      <c r="D761" s="93"/>
      <c r="E761" s="85"/>
      <c r="F761" s="62"/>
      <c r="G761" s="63"/>
      <c r="H761" s="85"/>
      <c r="I761" s="51" t="str">
        <f>IFERROR(VLOOKUP(A761,Internal_lists_bugs!$A$2:$G1058,7,FALSE()),"please select a BUG ID")</f>
        <v>please select a BUG ID</v>
      </c>
      <c r="J761" s="85"/>
      <c r="K761" s="85"/>
    </row>
    <row r="762">
      <c r="A762" s="85"/>
      <c r="B762" s="59"/>
      <c r="C762" s="51" t="str">
        <f>IFERROR(VLOOKUP(A762,Internal_lists_bugs!$A$2:$T1058,20,FALSE()),"please select a BUG ID")</f>
        <v>please select a BUG ID</v>
      </c>
      <c r="D762" s="93"/>
      <c r="E762" s="85"/>
      <c r="F762" s="62"/>
      <c r="G762" s="63"/>
      <c r="H762" s="85"/>
      <c r="I762" s="51" t="str">
        <f>IFERROR(VLOOKUP(A762,Internal_lists_bugs!$A$2:$G1058,7,FALSE()),"please select a BUG ID")</f>
        <v>please select a BUG ID</v>
      </c>
      <c r="J762" s="85"/>
      <c r="K762" s="85"/>
    </row>
    <row r="763">
      <c r="A763" s="85"/>
      <c r="B763" s="59"/>
      <c r="C763" s="51" t="str">
        <f>IFERROR(VLOOKUP(A763,Internal_lists_bugs!$A$2:$T1058,20,FALSE()),"please select a BUG ID")</f>
        <v>please select a BUG ID</v>
      </c>
      <c r="D763" s="93"/>
      <c r="E763" s="85"/>
      <c r="F763" s="62"/>
      <c r="G763" s="63"/>
      <c r="H763" s="85"/>
      <c r="I763" s="51" t="str">
        <f>IFERROR(VLOOKUP(A763,Internal_lists_bugs!$A$2:$G1058,7,FALSE()),"please select a BUG ID")</f>
        <v>please select a BUG ID</v>
      </c>
      <c r="J763" s="85"/>
      <c r="K763" s="85"/>
    </row>
    <row r="764">
      <c r="A764" s="85"/>
      <c r="B764" s="59"/>
      <c r="C764" s="51" t="str">
        <f>IFERROR(VLOOKUP(A764,Internal_lists_bugs!$A$2:$T1058,20,FALSE()),"please select a BUG ID")</f>
        <v>please select a BUG ID</v>
      </c>
      <c r="D764" s="93"/>
      <c r="E764" s="85"/>
      <c r="F764" s="62"/>
      <c r="G764" s="63"/>
      <c r="H764" s="85"/>
      <c r="I764" s="51" t="str">
        <f>IFERROR(VLOOKUP(A764,Internal_lists_bugs!$A$2:$G1058,7,FALSE()),"please select a BUG ID")</f>
        <v>please select a BUG ID</v>
      </c>
      <c r="J764" s="85"/>
      <c r="K764" s="85"/>
    </row>
    <row r="765">
      <c r="A765" s="85"/>
      <c r="B765" s="59"/>
      <c r="C765" s="51" t="str">
        <f>IFERROR(VLOOKUP(A765,Internal_lists_bugs!$A$2:$T1058,20,FALSE()),"please select a BUG ID")</f>
        <v>please select a BUG ID</v>
      </c>
      <c r="D765" s="93"/>
      <c r="E765" s="85"/>
      <c r="F765" s="62"/>
      <c r="G765" s="63"/>
      <c r="H765" s="85"/>
      <c r="I765" s="51" t="str">
        <f>IFERROR(VLOOKUP(A765,Internal_lists_bugs!$A$2:$G1058,7,FALSE()),"please select a BUG ID")</f>
        <v>please select a BUG ID</v>
      </c>
      <c r="J765" s="85"/>
      <c r="K765" s="85"/>
    </row>
    <row r="766">
      <c r="A766" s="85"/>
      <c r="B766" s="59"/>
      <c r="C766" s="51" t="str">
        <f>IFERROR(VLOOKUP(A766,Internal_lists_bugs!$A$2:$T1058,20,FALSE()),"please select a BUG ID")</f>
        <v>please select a BUG ID</v>
      </c>
      <c r="D766" s="93"/>
      <c r="E766" s="85"/>
      <c r="F766" s="62"/>
      <c r="G766" s="63"/>
      <c r="H766" s="85"/>
      <c r="I766" s="51" t="str">
        <f>IFERROR(VLOOKUP(A766,Internal_lists_bugs!$A$2:$G1058,7,FALSE()),"please select a BUG ID")</f>
        <v>please select a BUG ID</v>
      </c>
      <c r="J766" s="85"/>
      <c r="K766" s="85"/>
    </row>
    <row r="767">
      <c r="A767" s="85"/>
      <c r="B767" s="59"/>
      <c r="C767" s="51" t="str">
        <f>IFERROR(VLOOKUP(A767,Internal_lists_bugs!$A$2:$T1058,20,FALSE()),"please select a BUG ID")</f>
        <v>please select a BUG ID</v>
      </c>
      <c r="D767" s="93"/>
      <c r="E767" s="85"/>
      <c r="F767" s="62"/>
      <c r="G767" s="63"/>
      <c r="H767" s="85"/>
      <c r="I767" s="51" t="str">
        <f>IFERROR(VLOOKUP(A767,Internal_lists_bugs!$A$2:$G1058,7,FALSE()),"please select a BUG ID")</f>
        <v>please select a BUG ID</v>
      </c>
      <c r="J767" s="85"/>
      <c r="K767" s="85"/>
    </row>
    <row r="768">
      <c r="A768" s="85"/>
      <c r="B768" s="59"/>
      <c r="C768" s="51" t="str">
        <f>IFERROR(VLOOKUP(A768,Internal_lists_bugs!$A$2:$T1058,20,FALSE()),"please select a BUG ID")</f>
        <v>please select a BUG ID</v>
      </c>
      <c r="D768" s="93"/>
      <c r="E768" s="85"/>
      <c r="F768" s="62"/>
      <c r="G768" s="63"/>
      <c r="H768" s="85"/>
      <c r="I768" s="51" t="str">
        <f>IFERROR(VLOOKUP(A768,Internal_lists_bugs!$A$2:$G1058,7,FALSE()),"please select a BUG ID")</f>
        <v>please select a BUG ID</v>
      </c>
      <c r="J768" s="85"/>
      <c r="K768" s="85"/>
    </row>
    <row r="769">
      <c r="A769" s="85"/>
      <c r="B769" s="59"/>
      <c r="C769" s="51" t="str">
        <f>IFERROR(VLOOKUP(A769,Internal_lists_bugs!$A$2:$T1058,20,FALSE()),"please select a BUG ID")</f>
        <v>please select a BUG ID</v>
      </c>
      <c r="D769" s="93"/>
      <c r="E769" s="85"/>
      <c r="F769" s="62"/>
      <c r="G769" s="63"/>
      <c r="H769" s="85"/>
      <c r="I769" s="51" t="str">
        <f>IFERROR(VLOOKUP(A769,Internal_lists_bugs!$A$2:$G1058,7,FALSE()),"please select a BUG ID")</f>
        <v>please select a BUG ID</v>
      </c>
      <c r="J769" s="85"/>
      <c r="K769" s="85"/>
    </row>
    <row r="770">
      <c r="A770" s="85"/>
      <c r="B770" s="59"/>
      <c r="C770" s="51" t="str">
        <f>IFERROR(VLOOKUP(A770,Internal_lists_bugs!$A$2:$T1058,20,FALSE()),"please select a BUG ID")</f>
        <v>please select a BUG ID</v>
      </c>
      <c r="D770" s="93"/>
      <c r="E770" s="85"/>
      <c r="F770" s="62"/>
      <c r="G770" s="63"/>
      <c r="H770" s="85"/>
      <c r="I770" s="51" t="str">
        <f>IFERROR(VLOOKUP(A770,Internal_lists_bugs!$A$2:$G1058,7,FALSE()),"please select a BUG ID")</f>
        <v>please select a BUG ID</v>
      </c>
      <c r="J770" s="85"/>
      <c r="K770" s="85"/>
    </row>
    <row r="771">
      <c r="A771" s="85"/>
      <c r="B771" s="59"/>
      <c r="C771" s="51" t="str">
        <f>IFERROR(VLOOKUP(A771,Internal_lists_bugs!$A$2:$T1058,20,FALSE()),"please select a BUG ID")</f>
        <v>please select a BUG ID</v>
      </c>
      <c r="D771" s="93"/>
      <c r="E771" s="85"/>
      <c r="F771" s="62"/>
      <c r="G771" s="63"/>
      <c r="H771" s="85"/>
      <c r="I771" s="51" t="str">
        <f>IFERROR(VLOOKUP(A771,Internal_lists_bugs!$A$2:$G1058,7,FALSE()),"please select a BUG ID")</f>
        <v>please select a BUG ID</v>
      </c>
      <c r="J771" s="85"/>
      <c r="K771" s="85"/>
    </row>
    <row r="772">
      <c r="A772" s="85"/>
      <c r="B772" s="59"/>
      <c r="C772" s="51" t="str">
        <f>IFERROR(VLOOKUP(A772,Internal_lists_bugs!$A$2:$T1058,20,FALSE()),"please select a BUG ID")</f>
        <v>please select a BUG ID</v>
      </c>
      <c r="D772" s="93"/>
      <c r="E772" s="85"/>
      <c r="F772" s="62"/>
      <c r="G772" s="63"/>
      <c r="H772" s="85"/>
      <c r="I772" s="51" t="str">
        <f>IFERROR(VLOOKUP(A772,Internal_lists_bugs!$A$2:$G1058,7,FALSE()),"please select a BUG ID")</f>
        <v>please select a BUG ID</v>
      </c>
      <c r="J772" s="85"/>
      <c r="K772" s="85"/>
    </row>
    <row r="773">
      <c r="A773" s="85"/>
      <c r="B773" s="59"/>
      <c r="C773" s="51" t="str">
        <f>IFERROR(VLOOKUP(A773,Internal_lists_bugs!$A$2:$T1058,20,FALSE()),"please select a BUG ID")</f>
        <v>please select a BUG ID</v>
      </c>
      <c r="D773" s="93"/>
      <c r="E773" s="85"/>
      <c r="F773" s="62"/>
      <c r="G773" s="63"/>
      <c r="H773" s="85"/>
      <c r="I773" s="51" t="str">
        <f>IFERROR(VLOOKUP(A773,Internal_lists_bugs!$A$2:$G1058,7,FALSE()),"please select a BUG ID")</f>
        <v>please select a BUG ID</v>
      </c>
      <c r="J773" s="85"/>
      <c r="K773" s="85"/>
    </row>
    <row r="774">
      <c r="A774" s="85"/>
      <c r="B774" s="59"/>
      <c r="C774" s="51" t="str">
        <f>IFERROR(VLOOKUP(A774,Internal_lists_bugs!$A$2:$T1058,20,FALSE()),"please select a BUG ID")</f>
        <v>please select a BUG ID</v>
      </c>
      <c r="D774" s="93"/>
      <c r="E774" s="85"/>
      <c r="F774" s="62"/>
      <c r="G774" s="63"/>
      <c r="H774" s="85"/>
      <c r="I774" s="51" t="str">
        <f>IFERROR(VLOOKUP(A774,Internal_lists_bugs!$A$2:$G1058,7,FALSE()),"please select a BUG ID")</f>
        <v>please select a BUG ID</v>
      </c>
      <c r="J774" s="85"/>
      <c r="K774" s="85"/>
    </row>
    <row r="775">
      <c r="A775" s="85"/>
      <c r="B775" s="59"/>
      <c r="C775" s="51" t="str">
        <f>IFERROR(VLOOKUP(A775,Internal_lists_bugs!$A$2:$T1058,20,FALSE()),"please select a BUG ID")</f>
        <v>please select a BUG ID</v>
      </c>
      <c r="D775" s="93"/>
      <c r="E775" s="85"/>
      <c r="F775" s="62"/>
      <c r="G775" s="63"/>
      <c r="H775" s="85"/>
      <c r="I775" s="51" t="str">
        <f>IFERROR(VLOOKUP(A775,Internal_lists_bugs!$A$2:$G1058,7,FALSE()),"please select a BUG ID")</f>
        <v>please select a BUG ID</v>
      </c>
      <c r="J775" s="85"/>
      <c r="K775" s="85"/>
    </row>
    <row r="776">
      <c r="A776" s="85"/>
      <c r="B776" s="59"/>
      <c r="C776" s="51" t="str">
        <f>IFERROR(VLOOKUP(A776,Internal_lists_bugs!$A$2:$T1058,20,FALSE()),"please select a BUG ID")</f>
        <v>please select a BUG ID</v>
      </c>
      <c r="D776" s="93"/>
      <c r="E776" s="85"/>
      <c r="F776" s="62"/>
      <c r="G776" s="63"/>
      <c r="H776" s="85"/>
      <c r="I776" s="51" t="str">
        <f>IFERROR(VLOOKUP(A776,Internal_lists_bugs!$A$2:$G1058,7,FALSE()),"please select a BUG ID")</f>
        <v>please select a BUG ID</v>
      </c>
      <c r="J776" s="85"/>
      <c r="K776" s="85"/>
    </row>
    <row r="777">
      <c r="A777" s="85"/>
      <c r="B777" s="59"/>
      <c r="C777" s="51" t="str">
        <f>IFERROR(VLOOKUP(A777,Internal_lists_bugs!$A$2:$T1058,20,FALSE()),"please select a BUG ID")</f>
        <v>please select a BUG ID</v>
      </c>
      <c r="D777" s="93"/>
      <c r="E777" s="85"/>
      <c r="F777" s="62"/>
      <c r="G777" s="63"/>
      <c r="H777" s="85"/>
      <c r="I777" s="51" t="str">
        <f>IFERROR(VLOOKUP(A777,Internal_lists_bugs!$A$2:$G1058,7,FALSE()),"please select a BUG ID")</f>
        <v>please select a BUG ID</v>
      </c>
      <c r="J777" s="85"/>
      <c r="K777" s="85"/>
    </row>
    <row r="778">
      <c r="A778" s="85"/>
      <c r="B778" s="59"/>
      <c r="C778" s="51" t="str">
        <f>IFERROR(VLOOKUP(A778,Internal_lists_bugs!$A$2:$T1058,20,FALSE()),"please select a BUG ID")</f>
        <v>please select a BUG ID</v>
      </c>
      <c r="D778" s="93"/>
      <c r="E778" s="85"/>
      <c r="F778" s="62"/>
      <c r="G778" s="63"/>
      <c r="H778" s="85"/>
      <c r="I778" s="51" t="str">
        <f>IFERROR(VLOOKUP(A778,Internal_lists_bugs!$A$2:$G1058,7,FALSE()),"please select a BUG ID")</f>
        <v>please select a BUG ID</v>
      </c>
      <c r="J778" s="85"/>
      <c r="K778" s="85"/>
    </row>
    <row r="779">
      <c r="A779" s="85"/>
      <c r="B779" s="59"/>
      <c r="C779" s="51" t="str">
        <f>IFERROR(VLOOKUP(A779,Internal_lists_bugs!$A$2:$T1058,20,FALSE()),"please select a BUG ID")</f>
        <v>please select a BUG ID</v>
      </c>
      <c r="D779" s="93"/>
      <c r="E779" s="85"/>
      <c r="F779" s="62"/>
      <c r="G779" s="63"/>
      <c r="H779" s="85"/>
      <c r="I779" s="51" t="str">
        <f>IFERROR(VLOOKUP(A779,Internal_lists_bugs!$A$2:$G1058,7,FALSE()),"please select a BUG ID")</f>
        <v>please select a BUG ID</v>
      </c>
      <c r="J779" s="85"/>
      <c r="K779" s="85"/>
    </row>
    <row r="780">
      <c r="A780" s="85"/>
      <c r="B780" s="59"/>
      <c r="C780" s="51" t="str">
        <f>IFERROR(VLOOKUP(A780,Internal_lists_bugs!$A$2:$T1058,20,FALSE()),"please select a BUG ID")</f>
        <v>please select a BUG ID</v>
      </c>
      <c r="D780" s="93"/>
      <c r="E780" s="85"/>
      <c r="F780" s="62"/>
      <c r="G780" s="63"/>
      <c r="H780" s="85"/>
      <c r="I780" s="51" t="str">
        <f>IFERROR(VLOOKUP(A780,Internal_lists_bugs!$A$2:$G1058,7,FALSE()),"please select a BUG ID")</f>
        <v>please select a BUG ID</v>
      </c>
      <c r="J780" s="85"/>
      <c r="K780" s="85"/>
    </row>
    <row r="781">
      <c r="A781" s="85"/>
      <c r="B781" s="59"/>
      <c r="C781" s="51" t="str">
        <f>IFERROR(VLOOKUP(A781,Internal_lists_bugs!$A$2:$T1058,20,FALSE()),"please select a BUG ID")</f>
        <v>please select a BUG ID</v>
      </c>
      <c r="D781" s="93"/>
      <c r="E781" s="85"/>
      <c r="F781" s="62"/>
      <c r="G781" s="63"/>
      <c r="H781" s="85"/>
      <c r="I781" s="51" t="str">
        <f>IFERROR(VLOOKUP(A781,Internal_lists_bugs!$A$2:$G1058,7,FALSE()),"please select a BUG ID")</f>
        <v>please select a BUG ID</v>
      </c>
      <c r="J781" s="85"/>
      <c r="K781" s="85"/>
    </row>
    <row r="782">
      <c r="A782" s="85"/>
      <c r="B782" s="59"/>
      <c r="C782" s="51" t="str">
        <f>IFERROR(VLOOKUP(A782,Internal_lists_bugs!$A$2:$T1058,20,FALSE()),"please select a BUG ID")</f>
        <v>please select a BUG ID</v>
      </c>
      <c r="D782" s="93"/>
      <c r="E782" s="85"/>
      <c r="F782" s="62"/>
      <c r="G782" s="63"/>
      <c r="H782" s="85"/>
      <c r="I782" s="51" t="str">
        <f>IFERROR(VLOOKUP(A782,Internal_lists_bugs!$A$2:$G1058,7,FALSE()),"please select a BUG ID")</f>
        <v>please select a BUG ID</v>
      </c>
      <c r="J782" s="85"/>
      <c r="K782" s="85"/>
    </row>
    <row r="783">
      <c r="A783" s="85"/>
      <c r="B783" s="59"/>
      <c r="C783" s="51" t="str">
        <f>IFERROR(VLOOKUP(A783,Internal_lists_bugs!$A$2:$T1058,20,FALSE()),"please select a BUG ID")</f>
        <v>please select a BUG ID</v>
      </c>
      <c r="D783" s="93"/>
      <c r="E783" s="85"/>
      <c r="F783" s="62"/>
      <c r="G783" s="63"/>
      <c r="H783" s="85"/>
      <c r="I783" s="51" t="str">
        <f>IFERROR(VLOOKUP(A783,Internal_lists_bugs!$A$2:$G1058,7,FALSE()),"please select a BUG ID")</f>
        <v>please select a BUG ID</v>
      </c>
      <c r="J783" s="85"/>
      <c r="K783" s="85"/>
    </row>
    <row r="784">
      <c r="A784" s="85"/>
      <c r="B784" s="59"/>
      <c r="C784" s="51" t="str">
        <f>IFERROR(VLOOKUP(A784,Internal_lists_bugs!$A$2:$T1058,20,FALSE()),"please select a BUG ID")</f>
        <v>please select a BUG ID</v>
      </c>
      <c r="D784" s="93"/>
      <c r="E784" s="85"/>
      <c r="F784" s="62"/>
      <c r="G784" s="63"/>
      <c r="H784" s="85"/>
      <c r="I784" s="51" t="str">
        <f>IFERROR(VLOOKUP(A784,Internal_lists_bugs!$A$2:$G1058,7,FALSE()),"please select a BUG ID")</f>
        <v>please select a BUG ID</v>
      </c>
      <c r="J784" s="85"/>
      <c r="K784" s="85"/>
    </row>
    <row r="785">
      <c r="A785" s="85"/>
      <c r="B785" s="59"/>
      <c r="C785" s="51" t="str">
        <f>IFERROR(VLOOKUP(A785,Internal_lists_bugs!$A$2:$T1058,20,FALSE()),"please select a BUG ID")</f>
        <v>please select a BUG ID</v>
      </c>
      <c r="D785" s="93"/>
      <c r="E785" s="85"/>
      <c r="F785" s="62"/>
      <c r="G785" s="63"/>
      <c r="H785" s="85"/>
      <c r="I785" s="51" t="str">
        <f>IFERROR(VLOOKUP(A785,Internal_lists_bugs!$A$2:$G1058,7,FALSE()),"please select a BUG ID")</f>
        <v>please select a BUG ID</v>
      </c>
      <c r="J785" s="85"/>
      <c r="K785" s="85"/>
    </row>
    <row r="786">
      <c r="A786" s="85"/>
      <c r="B786" s="59"/>
      <c r="C786" s="51" t="str">
        <f>IFERROR(VLOOKUP(A786,Internal_lists_bugs!$A$2:$T1058,20,FALSE()),"please select a BUG ID")</f>
        <v>please select a BUG ID</v>
      </c>
      <c r="D786" s="93"/>
      <c r="E786" s="85"/>
      <c r="F786" s="62"/>
      <c r="G786" s="63"/>
      <c r="H786" s="85"/>
      <c r="I786" s="51" t="str">
        <f>IFERROR(VLOOKUP(A786,Internal_lists_bugs!$A$2:$G1058,7,FALSE()),"please select a BUG ID")</f>
        <v>please select a BUG ID</v>
      </c>
      <c r="J786" s="85"/>
      <c r="K786" s="85"/>
    </row>
    <row r="787">
      <c r="A787" s="85"/>
      <c r="B787" s="59"/>
      <c r="C787" s="51" t="str">
        <f>IFERROR(VLOOKUP(A787,Internal_lists_bugs!$A$2:$T1058,20,FALSE()),"please select a BUG ID")</f>
        <v>please select a BUG ID</v>
      </c>
      <c r="D787" s="93"/>
      <c r="E787" s="85"/>
      <c r="F787" s="62"/>
      <c r="G787" s="63"/>
      <c r="H787" s="85"/>
      <c r="I787" s="51" t="str">
        <f>IFERROR(VLOOKUP(A787,Internal_lists_bugs!$A$2:$G1058,7,FALSE()),"please select a BUG ID")</f>
        <v>please select a BUG ID</v>
      </c>
      <c r="J787" s="85"/>
      <c r="K787" s="85"/>
    </row>
    <row r="788">
      <c r="A788" s="85"/>
      <c r="B788" s="59"/>
      <c r="C788" s="51" t="str">
        <f>IFERROR(VLOOKUP(A788,Internal_lists_bugs!$A$2:$T1058,20,FALSE()),"please select a BUG ID")</f>
        <v>please select a BUG ID</v>
      </c>
      <c r="D788" s="93"/>
      <c r="E788" s="85"/>
      <c r="F788" s="62"/>
      <c r="G788" s="63"/>
      <c r="H788" s="85"/>
      <c r="I788" s="51" t="str">
        <f>IFERROR(VLOOKUP(A788,Internal_lists_bugs!$A$2:$G1058,7,FALSE()),"please select a BUG ID")</f>
        <v>please select a BUG ID</v>
      </c>
      <c r="J788" s="85"/>
      <c r="K788" s="85"/>
    </row>
    <row r="789">
      <c r="A789" s="85"/>
      <c r="B789" s="59"/>
      <c r="C789" s="51" t="str">
        <f>IFERROR(VLOOKUP(A789,Internal_lists_bugs!$A$2:$T1058,20,FALSE()),"please select a BUG ID")</f>
        <v>please select a BUG ID</v>
      </c>
      <c r="D789" s="93"/>
      <c r="E789" s="85"/>
      <c r="F789" s="62"/>
      <c r="G789" s="63"/>
      <c r="H789" s="85"/>
      <c r="I789" s="51" t="str">
        <f>IFERROR(VLOOKUP(A789,Internal_lists_bugs!$A$2:$G1058,7,FALSE()),"please select a BUG ID")</f>
        <v>please select a BUG ID</v>
      </c>
      <c r="J789" s="85"/>
      <c r="K789" s="85"/>
    </row>
    <row r="790">
      <c r="A790" s="85"/>
      <c r="B790" s="59"/>
      <c r="C790" s="51" t="str">
        <f>IFERROR(VLOOKUP(A790,Internal_lists_bugs!$A$2:$T1058,20,FALSE()),"please select a BUG ID")</f>
        <v>please select a BUG ID</v>
      </c>
      <c r="D790" s="93"/>
      <c r="E790" s="85"/>
      <c r="F790" s="62"/>
      <c r="G790" s="63"/>
      <c r="H790" s="85"/>
      <c r="I790" s="51" t="str">
        <f>IFERROR(VLOOKUP(A790,Internal_lists_bugs!$A$2:$G1058,7,FALSE()),"please select a BUG ID")</f>
        <v>please select a BUG ID</v>
      </c>
      <c r="J790" s="85"/>
      <c r="K790" s="85"/>
    </row>
    <row r="791">
      <c r="A791" s="85"/>
      <c r="B791" s="59"/>
      <c r="C791" s="51" t="str">
        <f>IFERROR(VLOOKUP(A791,Internal_lists_bugs!$A$2:$T1058,20,FALSE()),"please select a BUG ID")</f>
        <v>please select a BUG ID</v>
      </c>
      <c r="D791" s="93"/>
      <c r="E791" s="85"/>
      <c r="F791" s="62"/>
      <c r="G791" s="63"/>
      <c r="H791" s="85"/>
      <c r="I791" s="51" t="str">
        <f>IFERROR(VLOOKUP(A791,Internal_lists_bugs!$A$2:$G1058,7,FALSE()),"please select a BUG ID")</f>
        <v>please select a BUG ID</v>
      </c>
      <c r="J791" s="85"/>
      <c r="K791" s="85"/>
    </row>
    <row r="792">
      <c r="A792" s="85"/>
      <c r="B792" s="59"/>
      <c r="C792" s="51" t="str">
        <f>IFERROR(VLOOKUP(A792,Internal_lists_bugs!$A$2:$T1058,20,FALSE()),"please select a BUG ID")</f>
        <v>please select a BUG ID</v>
      </c>
      <c r="D792" s="93"/>
      <c r="E792" s="85"/>
      <c r="F792" s="62"/>
      <c r="G792" s="63"/>
      <c r="H792" s="85"/>
      <c r="I792" s="51" t="str">
        <f>IFERROR(VLOOKUP(A792,Internal_lists_bugs!$A$2:$G1058,7,FALSE()),"please select a BUG ID")</f>
        <v>please select a BUG ID</v>
      </c>
      <c r="J792" s="85"/>
      <c r="K792" s="85"/>
    </row>
    <row r="793">
      <c r="A793" s="85"/>
      <c r="B793" s="59"/>
      <c r="C793" s="51" t="str">
        <f>IFERROR(VLOOKUP(A793,Internal_lists_bugs!$A$2:$T1058,20,FALSE()),"please select a BUG ID")</f>
        <v>please select a BUG ID</v>
      </c>
      <c r="D793" s="93"/>
      <c r="E793" s="85"/>
      <c r="F793" s="62"/>
      <c r="G793" s="63"/>
      <c r="H793" s="85"/>
      <c r="I793" s="51" t="str">
        <f>IFERROR(VLOOKUP(A793,Internal_lists_bugs!$A$2:$G1058,7,FALSE()),"please select a BUG ID")</f>
        <v>please select a BUG ID</v>
      </c>
      <c r="J793" s="85"/>
      <c r="K793" s="85"/>
    </row>
    <row r="794">
      <c r="A794" s="85"/>
      <c r="B794" s="59"/>
      <c r="C794" s="51" t="str">
        <f>IFERROR(VLOOKUP(A794,Internal_lists_bugs!$A$2:$T1058,20,FALSE()),"please select a BUG ID")</f>
        <v>please select a BUG ID</v>
      </c>
      <c r="D794" s="93"/>
      <c r="E794" s="85"/>
      <c r="F794" s="62"/>
      <c r="G794" s="63"/>
      <c r="H794" s="85"/>
      <c r="I794" s="51" t="str">
        <f>IFERROR(VLOOKUP(A794,Internal_lists_bugs!$A$2:$G1058,7,FALSE()),"please select a BUG ID")</f>
        <v>please select a BUG ID</v>
      </c>
      <c r="J794" s="85"/>
      <c r="K794" s="85"/>
    </row>
    <row r="795">
      <c r="A795" s="85"/>
      <c r="B795" s="59"/>
      <c r="C795" s="51" t="str">
        <f>IFERROR(VLOOKUP(A795,Internal_lists_bugs!$A$2:$T1058,20,FALSE()),"please select a BUG ID")</f>
        <v>please select a BUG ID</v>
      </c>
      <c r="D795" s="93"/>
      <c r="E795" s="85"/>
      <c r="F795" s="62"/>
      <c r="G795" s="63"/>
      <c r="H795" s="85"/>
      <c r="I795" s="51" t="str">
        <f>IFERROR(VLOOKUP(A795,Internal_lists_bugs!$A$2:$G1058,7,FALSE()),"please select a BUG ID")</f>
        <v>please select a BUG ID</v>
      </c>
      <c r="J795" s="85"/>
      <c r="K795" s="85"/>
    </row>
    <row r="796">
      <c r="A796" s="85"/>
      <c r="B796" s="59"/>
      <c r="C796" s="51" t="str">
        <f>IFERROR(VLOOKUP(A796,Internal_lists_bugs!$A$2:$T1058,20,FALSE()),"please select a BUG ID")</f>
        <v>please select a BUG ID</v>
      </c>
      <c r="D796" s="93"/>
      <c r="E796" s="85"/>
      <c r="F796" s="62"/>
      <c r="G796" s="63"/>
      <c r="H796" s="85"/>
      <c r="I796" s="51" t="str">
        <f>IFERROR(VLOOKUP(A796,Internal_lists_bugs!$A$2:$G1058,7,FALSE()),"please select a BUG ID")</f>
        <v>please select a BUG ID</v>
      </c>
      <c r="J796" s="85"/>
      <c r="K796" s="85"/>
    </row>
    <row r="797">
      <c r="A797" s="85"/>
      <c r="B797" s="59"/>
      <c r="C797" s="51" t="str">
        <f>IFERROR(VLOOKUP(A797,Internal_lists_bugs!$A$2:$T1058,20,FALSE()),"please select a BUG ID")</f>
        <v>please select a BUG ID</v>
      </c>
      <c r="D797" s="93"/>
      <c r="E797" s="85"/>
      <c r="F797" s="62"/>
      <c r="G797" s="63"/>
      <c r="H797" s="85"/>
      <c r="I797" s="51" t="str">
        <f>IFERROR(VLOOKUP(A797,Internal_lists_bugs!$A$2:$G1058,7,FALSE()),"please select a BUG ID")</f>
        <v>please select a BUG ID</v>
      </c>
      <c r="J797" s="85"/>
      <c r="K797" s="85"/>
    </row>
    <row r="798">
      <c r="A798" s="85"/>
      <c r="B798" s="59"/>
      <c r="C798" s="51" t="str">
        <f>IFERROR(VLOOKUP(A798,Internal_lists_bugs!$A$2:$T1058,20,FALSE()),"please select a BUG ID")</f>
        <v>please select a BUG ID</v>
      </c>
      <c r="D798" s="93"/>
      <c r="E798" s="85"/>
      <c r="F798" s="62"/>
      <c r="G798" s="63"/>
      <c r="H798" s="85"/>
      <c r="I798" s="51" t="str">
        <f>IFERROR(VLOOKUP(A798,Internal_lists_bugs!$A$2:$G1058,7,FALSE()),"please select a BUG ID")</f>
        <v>please select a BUG ID</v>
      </c>
      <c r="J798" s="85"/>
      <c r="K798" s="85"/>
    </row>
    <row r="799">
      <c r="A799" s="85"/>
      <c r="B799" s="59"/>
      <c r="C799" s="51" t="str">
        <f>IFERROR(VLOOKUP(A799,Internal_lists_bugs!$A$2:$T1058,20,FALSE()),"please select a BUG ID")</f>
        <v>please select a BUG ID</v>
      </c>
      <c r="D799" s="93"/>
      <c r="E799" s="85"/>
      <c r="F799" s="62"/>
      <c r="G799" s="63"/>
      <c r="H799" s="85"/>
      <c r="I799" s="51" t="str">
        <f>IFERROR(VLOOKUP(A799,Internal_lists_bugs!$A$2:$G1058,7,FALSE()),"please select a BUG ID")</f>
        <v>please select a BUG ID</v>
      </c>
      <c r="J799" s="85"/>
      <c r="K799" s="85"/>
    </row>
    <row r="800">
      <c r="A800" s="85"/>
      <c r="B800" s="59"/>
      <c r="C800" s="51" t="str">
        <f>IFERROR(VLOOKUP(A800,Internal_lists_bugs!$A$2:$T1058,20,FALSE()),"please select a BUG ID")</f>
        <v>please select a BUG ID</v>
      </c>
      <c r="D800" s="93"/>
      <c r="E800" s="85"/>
      <c r="F800" s="62"/>
      <c r="G800" s="63"/>
      <c r="H800" s="85"/>
      <c r="I800" s="51" t="str">
        <f>IFERROR(VLOOKUP(A800,Internal_lists_bugs!$A$2:$G1058,7,FALSE()),"please select a BUG ID")</f>
        <v>please select a BUG ID</v>
      </c>
      <c r="J800" s="85"/>
      <c r="K800" s="85"/>
    </row>
    <row r="801">
      <c r="A801" s="85"/>
      <c r="B801" s="59"/>
      <c r="C801" s="51" t="str">
        <f>IFERROR(VLOOKUP(A801,Internal_lists_bugs!$A$2:$T1058,20,FALSE()),"please select a BUG ID")</f>
        <v>please select a BUG ID</v>
      </c>
      <c r="D801" s="93"/>
      <c r="E801" s="85"/>
      <c r="F801" s="62"/>
      <c r="G801" s="63"/>
      <c r="H801" s="85"/>
      <c r="I801" s="51" t="str">
        <f>IFERROR(VLOOKUP(A801,Internal_lists_bugs!$A$2:$G1058,7,FALSE()),"please select a BUG ID")</f>
        <v>please select a BUG ID</v>
      </c>
      <c r="J801" s="85"/>
      <c r="K801" s="85"/>
    </row>
    <row r="802">
      <c r="A802" s="85"/>
      <c r="B802" s="59"/>
      <c r="C802" s="51" t="str">
        <f>IFERROR(VLOOKUP(A802,Internal_lists_bugs!$A$2:$T1058,20,FALSE()),"please select a BUG ID")</f>
        <v>please select a BUG ID</v>
      </c>
      <c r="D802" s="93"/>
      <c r="E802" s="85"/>
      <c r="F802" s="62"/>
      <c r="G802" s="63"/>
      <c r="H802" s="85"/>
      <c r="I802" s="51" t="str">
        <f>IFERROR(VLOOKUP(A802,Internal_lists_bugs!$A$2:$G1058,7,FALSE()),"please select a BUG ID")</f>
        <v>please select a BUG ID</v>
      </c>
      <c r="J802" s="85"/>
      <c r="K802" s="85"/>
    </row>
    <row r="803">
      <c r="A803" s="85"/>
      <c r="B803" s="59"/>
      <c r="C803" s="51" t="str">
        <f>IFERROR(VLOOKUP(A803,Internal_lists_bugs!$A$2:$T1058,20,FALSE()),"please select a BUG ID")</f>
        <v>please select a BUG ID</v>
      </c>
      <c r="D803" s="93"/>
      <c r="E803" s="85"/>
      <c r="F803" s="62"/>
      <c r="G803" s="63"/>
      <c r="H803" s="85"/>
      <c r="I803" s="51" t="str">
        <f>IFERROR(VLOOKUP(A803,Internal_lists_bugs!$A$2:$G1058,7,FALSE()),"please select a BUG ID")</f>
        <v>please select a BUG ID</v>
      </c>
      <c r="J803" s="85"/>
      <c r="K803" s="85"/>
    </row>
    <row r="804">
      <c r="A804" s="85"/>
      <c r="B804" s="59"/>
      <c r="C804" s="51" t="str">
        <f>IFERROR(VLOOKUP(A804,Internal_lists_bugs!$A$2:$T1058,20,FALSE()),"please select a BUG ID")</f>
        <v>please select a BUG ID</v>
      </c>
      <c r="D804" s="93"/>
      <c r="E804" s="85"/>
      <c r="F804" s="62"/>
      <c r="G804" s="63"/>
      <c r="H804" s="85"/>
      <c r="I804" s="51" t="str">
        <f>IFERROR(VLOOKUP(A804,Internal_lists_bugs!$A$2:$G1058,7,FALSE()),"please select a BUG ID")</f>
        <v>please select a BUG ID</v>
      </c>
      <c r="J804" s="85"/>
      <c r="K804" s="85"/>
    </row>
    <row r="805">
      <c r="A805" s="85"/>
      <c r="B805" s="59"/>
      <c r="C805" s="51" t="str">
        <f>IFERROR(VLOOKUP(A805,Internal_lists_bugs!$A$2:$T1058,20,FALSE()),"please select a BUG ID")</f>
        <v>please select a BUG ID</v>
      </c>
      <c r="D805" s="93"/>
      <c r="E805" s="85"/>
      <c r="F805" s="62"/>
      <c r="G805" s="63"/>
      <c r="H805" s="85"/>
      <c r="I805" s="51" t="str">
        <f>IFERROR(VLOOKUP(A805,Internal_lists_bugs!$A$2:$G1058,7,FALSE()),"please select a BUG ID")</f>
        <v>please select a BUG ID</v>
      </c>
      <c r="J805" s="85"/>
      <c r="K805" s="85"/>
    </row>
    <row r="806">
      <c r="A806" s="85"/>
      <c r="B806" s="59"/>
      <c r="C806" s="51" t="str">
        <f>IFERROR(VLOOKUP(A806,Internal_lists_bugs!$A$2:$T1058,20,FALSE()),"please select a BUG ID")</f>
        <v>please select a BUG ID</v>
      </c>
      <c r="D806" s="93"/>
      <c r="E806" s="85"/>
      <c r="F806" s="62"/>
      <c r="G806" s="63"/>
      <c r="H806" s="85"/>
      <c r="I806" s="51" t="str">
        <f>IFERROR(VLOOKUP(A806,Internal_lists_bugs!$A$2:$G1058,7,FALSE()),"please select a BUG ID")</f>
        <v>please select a BUG ID</v>
      </c>
      <c r="J806" s="85"/>
      <c r="K806" s="85"/>
    </row>
    <row r="807">
      <c r="A807" s="85"/>
      <c r="B807" s="59"/>
      <c r="C807" s="51" t="str">
        <f>IFERROR(VLOOKUP(A807,Internal_lists_bugs!$A$2:$T1058,20,FALSE()),"please select a BUG ID")</f>
        <v>please select a BUG ID</v>
      </c>
      <c r="D807" s="93"/>
      <c r="E807" s="85"/>
      <c r="F807" s="62"/>
      <c r="G807" s="63"/>
      <c r="H807" s="85"/>
      <c r="I807" s="51" t="str">
        <f>IFERROR(VLOOKUP(A807,Internal_lists_bugs!$A$2:$G1058,7,FALSE()),"please select a BUG ID")</f>
        <v>please select a BUG ID</v>
      </c>
      <c r="J807" s="85"/>
      <c r="K807" s="85"/>
    </row>
    <row r="808">
      <c r="A808" s="85"/>
      <c r="B808" s="59"/>
      <c r="C808" s="51" t="str">
        <f>IFERROR(VLOOKUP(A808,Internal_lists_bugs!$A$2:$T1058,20,FALSE()),"please select a BUG ID")</f>
        <v>please select a BUG ID</v>
      </c>
      <c r="D808" s="93"/>
      <c r="E808" s="85"/>
      <c r="F808" s="62"/>
      <c r="G808" s="63"/>
      <c r="H808" s="85"/>
      <c r="I808" s="51" t="str">
        <f>IFERROR(VLOOKUP(A808,Internal_lists_bugs!$A$2:$G1058,7,FALSE()),"please select a BUG ID")</f>
        <v>please select a BUG ID</v>
      </c>
      <c r="J808" s="85"/>
      <c r="K808" s="85"/>
    </row>
    <row r="809">
      <c r="A809" s="85"/>
      <c r="B809" s="59"/>
      <c r="C809" s="51" t="str">
        <f>IFERROR(VLOOKUP(A809,Internal_lists_bugs!$A$2:$T1058,20,FALSE()),"please select a BUG ID")</f>
        <v>please select a BUG ID</v>
      </c>
      <c r="D809" s="93"/>
      <c r="E809" s="85"/>
      <c r="F809" s="62"/>
      <c r="G809" s="63"/>
      <c r="H809" s="85"/>
      <c r="I809" s="51" t="str">
        <f>IFERROR(VLOOKUP(A809,Internal_lists_bugs!$A$2:$G1058,7,FALSE()),"please select a BUG ID")</f>
        <v>please select a BUG ID</v>
      </c>
      <c r="J809" s="85"/>
      <c r="K809" s="85"/>
    </row>
    <row r="810">
      <c r="A810" s="85"/>
      <c r="B810" s="59"/>
      <c r="C810" s="51" t="str">
        <f>IFERROR(VLOOKUP(A810,Internal_lists_bugs!$A$2:$T1058,20,FALSE()),"please select a BUG ID")</f>
        <v>please select a BUG ID</v>
      </c>
      <c r="D810" s="93"/>
      <c r="E810" s="85"/>
      <c r="F810" s="62"/>
      <c r="G810" s="63"/>
      <c r="H810" s="85"/>
      <c r="I810" s="51" t="str">
        <f>IFERROR(VLOOKUP(A810,Internal_lists_bugs!$A$2:$G1058,7,FALSE()),"please select a BUG ID")</f>
        <v>please select a BUG ID</v>
      </c>
      <c r="J810" s="85"/>
      <c r="K810" s="85"/>
    </row>
    <row r="811">
      <c r="A811" s="85"/>
      <c r="B811" s="59"/>
      <c r="C811" s="51" t="str">
        <f>IFERROR(VLOOKUP(A811,Internal_lists_bugs!$A$2:$T1058,20,FALSE()),"please select a BUG ID")</f>
        <v>please select a BUG ID</v>
      </c>
      <c r="D811" s="93"/>
      <c r="E811" s="85"/>
      <c r="F811" s="62"/>
      <c r="G811" s="63"/>
      <c r="H811" s="85"/>
      <c r="I811" s="51" t="str">
        <f>IFERROR(VLOOKUP(A811,Internal_lists_bugs!$A$2:$G1058,7,FALSE()),"please select a BUG ID")</f>
        <v>please select a BUG ID</v>
      </c>
      <c r="J811" s="85"/>
      <c r="K811" s="85"/>
    </row>
    <row r="812">
      <c r="A812" s="85"/>
      <c r="B812" s="59"/>
      <c r="C812" s="51" t="str">
        <f>IFERROR(VLOOKUP(A812,Internal_lists_bugs!$A$2:$T1058,20,FALSE()),"please select a BUG ID")</f>
        <v>please select a BUG ID</v>
      </c>
      <c r="D812" s="93"/>
      <c r="E812" s="85"/>
      <c r="F812" s="62"/>
      <c r="G812" s="63"/>
      <c r="H812" s="85"/>
      <c r="I812" s="51" t="str">
        <f>IFERROR(VLOOKUP(A812,Internal_lists_bugs!$A$2:$G1058,7,FALSE()),"please select a BUG ID")</f>
        <v>please select a BUG ID</v>
      </c>
      <c r="J812" s="85"/>
      <c r="K812" s="85"/>
    </row>
    <row r="813">
      <c r="A813" s="85"/>
      <c r="B813" s="59"/>
      <c r="C813" s="51" t="str">
        <f>IFERROR(VLOOKUP(A813,Internal_lists_bugs!$A$2:$T1058,20,FALSE()),"please select a BUG ID")</f>
        <v>please select a BUG ID</v>
      </c>
      <c r="D813" s="93"/>
      <c r="E813" s="85"/>
      <c r="F813" s="62"/>
      <c r="G813" s="63"/>
      <c r="H813" s="85"/>
      <c r="I813" s="51" t="str">
        <f>IFERROR(VLOOKUP(A813,Internal_lists_bugs!$A$2:$G1058,7,FALSE()),"please select a BUG ID")</f>
        <v>please select a BUG ID</v>
      </c>
      <c r="J813" s="85"/>
      <c r="K813" s="85"/>
    </row>
    <row r="814">
      <c r="A814" s="85"/>
      <c r="B814" s="59"/>
      <c r="C814" s="51" t="str">
        <f>IFERROR(VLOOKUP(A814,Internal_lists_bugs!$A$2:$T1058,20,FALSE()),"please select a BUG ID")</f>
        <v>please select a BUG ID</v>
      </c>
      <c r="D814" s="93"/>
      <c r="E814" s="85"/>
      <c r="F814" s="62"/>
      <c r="G814" s="63"/>
      <c r="H814" s="85"/>
      <c r="I814" s="51" t="str">
        <f>IFERROR(VLOOKUP(A814,Internal_lists_bugs!$A$2:$G1058,7,FALSE()),"please select a BUG ID")</f>
        <v>please select a BUG ID</v>
      </c>
      <c r="J814" s="85"/>
      <c r="K814" s="85"/>
    </row>
    <row r="815">
      <c r="A815" s="85"/>
      <c r="B815" s="59"/>
      <c r="C815" s="51" t="str">
        <f>IFERROR(VLOOKUP(A815,Internal_lists_bugs!$A$2:$T1058,20,FALSE()),"please select a BUG ID")</f>
        <v>please select a BUG ID</v>
      </c>
      <c r="D815" s="93"/>
      <c r="E815" s="85"/>
      <c r="F815" s="62"/>
      <c r="G815" s="63"/>
      <c r="H815" s="85"/>
      <c r="I815" s="51" t="str">
        <f>IFERROR(VLOOKUP(A815,Internal_lists_bugs!$A$2:$G1058,7,FALSE()),"please select a BUG ID")</f>
        <v>please select a BUG ID</v>
      </c>
      <c r="J815" s="85"/>
      <c r="K815" s="85"/>
    </row>
    <row r="816">
      <c r="A816" s="85"/>
      <c r="B816" s="59"/>
      <c r="C816" s="51" t="str">
        <f>IFERROR(VLOOKUP(A816,Internal_lists_bugs!$A$2:$T1058,20,FALSE()),"please select a BUG ID")</f>
        <v>please select a BUG ID</v>
      </c>
      <c r="D816" s="93"/>
      <c r="E816" s="85"/>
      <c r="F816" s="62"/>
      <c r="G816" s="63"/>
      <c r="H816" s="85"/>
      <c r="I816" s="51" t="str">
        <f>IFERROR(VLOOKUP(A816,Internal_lists_bugs!$A$2:$G1058,7,FALSE()),"please select a BUG ID")</f>
        <v>please select a BUG ID</v>
      </c>
      <c r="J816" s="85"/>
      <c r="K816" s="85"/>
    </row>
    <row r="817">
      <c r="A817" s="85"/>
      <c r="B817" s="59"/>
      <c r="C817" s="51" t="str">
        <f>IFERROR(VLOOKUP(A817,Internal_lists_bugs!$A$2:$T1058,20,FALSE()),"please select a BUG ID")</f>
        <v>please select a BUG ID</v>
      </c>
      <c r="D817" s="93"/>
      <c r="E817" s="85"/>
      <c r="F817" s="62"/>
      <c r="G817" s="63"/>
      <c r="H817" s="85"/>
      <c r="I817" s="51" t="str">
        <f>IFERROR(VLOOKUP(A817,Internal_lists_bugs!$A$2:$G1058,7,FALSE()),"please select a BUG ID")</f>
        <v>please select a BUG ID</v>
      </c>
      <c r="J817" s="85"/>
      <c r="K817" s="85"/>
    </row>
    <row r="818">
      <c r="A818" s="85"/>
      <c r="B818" s="59"/>
      <c r="C818" s="51" t="str">
        <f>IFERROR(VLOOKUP(A818,Internal_lists_bugs!$A$2:$T1058,20,FALSE()),"please select a BUG ID")</f>
        <v>please select a BUG ID</v>
      </c>
      <c r="D818" s="93"/>
      <c r="E818" s="85"/>
      <c r="F818" s="62"/>
      <c r="G818" s="63"/>
      <c r="H818" s="85"/>
      <c r="I818" s="51" t="str">
        <f>IFERROR(VLOOKUP(A818,Internal_lists_bugs!$A$2:$G1058,7,FALSE()),"please select a BUG ID")</f>
        <v>please select a BUG ID</v>
      </c>
      <c r="J818" s="85"/>
      <c r="K818" s="85"/>
    </row>
    <row r="819">
      <c r="A819" s="85"/>
      <c r="B819" s="59"/>
      <c r="C819" s="51" t="str">
        <f>IFERROR(VLOOKUP(A819,Internal_lists_bugs!$A$2:$T1058,20,FALSE()),"please select a BUG ID")</f>
        <v>please select a BUG ID</v>
      </c>
      <c r="D819" s="93"/>
      <c r="E819" s="85"/>
      <c r="F819" s="62"/>
      <c r="G819" s="63"/>
      <c r="H819" s="85"/>
      <c r="I819" s="51" t="str">
        <f>IFERROR(VLOOKUP(A819,Internal_lists_bugs!$A$2:$G1058,7,FALSE()),"please select a BUG ID")</f>
        <v>please select a BUG ID</v>
      </c>
      <c r="J819" s="85"/>
      <c r="K819" s="85"/>
    </row>
    <row r="820">
      <c r="A820" s="85"/>
      <c r="B820" s="59"/>
      <c r="C820" s="51" t="str">
        <f>IFERROR(VLOOKUP(A820,Internal_lists_bugs!$A$2:$T1058,20,FALSE()),"please select a BUG ID")</f>
        <v>please select a BUG ID</v>
      </c>
      <c r="D820" s="93"/>
      <c r="E820" s="85"/>
      <c r="F820" s="62"/>
      <c r="G820" s="63"/>
      <c r="H820" s="85"/>
      <c r="I820" s="51" t="str">
        <f>IFERROR(VLOOKUP(A820,Internal_lists_bugs!$A$2:$G1058,7,FALSE()),"please select a BUG ID")</f>
        <v>please select a BUG ID</v>
      </c>
      <c r="J820" s="85"/>
      <c r="K820" s="85"/>
    </row>
    <row r="821">
      <c r="A821" s="85"/>
      <c r="B821" s="59"/>
      <c r="C821" s="51" t="str">
        <f>IFERROR(VLOOKUP(A821,Internal_lists_bugs!$A$2:$T1058,20,FALSE()),"please select a BUG ID")</f>
        <v>please select a BUG ID</v>
      </c>
      <c r="D821" s="93"/>
      <c r="E821" s="85"/>
      <c r="F821" s="62"/>
      <c r="G821" s="63"/>
      <c r="H821" s="85"/>
      <c r="I821" s="51" t="str">
        <f>IFERROR(VLOOKUP(A821,Internal_lists_bugs!$A$2:$G1058,7,FALSE()),"please select a BUG ID")</f>
        <v>please select a BUG ID</v>
      </c>
      <c r="J821" s="85"/>
      <c r="K821" s="85"/>
    </row>
    <row r="822">
      <c r="A822" s="85"/>
      <c r="B822" s="59"/>
      <c r="C822" s="51" t="str">
        <f>IFERROR(VLOOKUP(A822,Internal_lists_bugs!$A$2:$T1058,20,FALSE()),"please select a BUG ID")</f>
        <v>please select a BUG ID</v>
      </c>
      <c r="D822" s="93"/>
      <c r="E822" s="85"/>
      <c r="F822" s="62"/>
      <c r="G822" s="63"/>
      <c r="H822" s="85"/>
      <c r="I822" s="51" t="str">
        <f>IFERROR(VLOOKUP(A822,Internal_lists_bugs!$A$2:$G1058,7,FALSE()),"please select a BUG ID")</f>
        <v>please select a BUG ID</v>
      </c>
      <c r="J822" s="85"/>
      <c r="K822" s="85"/>
    </row>
    <row r="823">
      <c r="A823" s="85"/>
      <c r="B823" s="59"/>
      <c r="C823" s="51" t="str">
        <f>IFERROR(VLOOKUP(A823,Internal_lists_bugs!$A$2:$T1058,20,FALSE()),"please select a BUG ID")</f>
        <v>please select a BUG ID</v>
      </c>
      <c r="D823" s="93"/>
      <c r="E823" s="85"/>
      <c r="F823" s="62"/>
      <c r="G823" s="63"/>
      <c r="H823" s="85"/>
      <c r="I823" s="51" t="str">
        <f>IFERROR(VLOOKUP(A823,Internal_lists_bugs!$A$2:$G1058,7,FALSE()),"please select a BUG ID")</f>
        <v>please select a BUG ID</v>
      </c>
      <c r="J823" s="85"/>
      <c r="K823" s="85"/>
    </row>
    <row r="824">
      <c r="A824" s="85"/>
      <c r="B824" s="59"/>
      <c r="C824" s="51" t="str">
        <f>IFERROR(VLOOKUP(A824,Internal_lists_bugs!$A$2:$T1058,20,FALSE()),"please select a BUG ID")</f>
        <v>please select a BUG ID</v>
      </c>
      <c r="D824" s="93"/>
      <c r="E824" s="85"/>
      <c r="F824" s="62"/>
      <c r="G824" s="63"/>
      <c r="H824" s="85"/>
      <c r="I824" s="51" t="str">
        <f>IFERROR(VLOOKUP(A824,Internal_lists_bugs!$A$2:$G1058,7,FALSE()),"please select a BUG ID")</f>
        <v>please select a BUG ID</v>
      </c>
      <c r="J824" s="85"/>
      <c r="K824" s="85"/>
    </row>
    <row r="825">
      <c r="A825" s="85"/>
      <c r="B825" s="59"/>
      <c r="C825" s="51" t="str">
        <f>IFERROR(VLOOKUP(A825,Internal_lists_bugs!$A$2:$T1058,20,FALSE()),"please select a BUG ID")</f>
        <v>please select a BUG ID</v>
      </c>
      <c r="D825" s="93"/>
      <c r="E825" s="85"/>
      <c r="F825" s="62"/>
      <c r="G825" s="63"/>
      <c r="H825" s="85"/>
      <c r="I825" s="51" t="str">
        <f>IFERROR(VLOOKUP(A825,Internal_lists_bugs!$A$2:$G1058,7,FALSE()),"please select a BUG ID")</f>
        <v>please select a BUG ID</v>
      </c>
      <c r="J825" s="85"/>
      <c r="K825" s="85"/>
    </row>
    <row r="826">
      <c r="A826" s="85"/>
      <c r="B826" s="59"/>
      <c r="C826" s="51" t="str">
        <f>IFERROR(VLOOKUP(A826,Internal_lists_bugs!$A$2:$T1058,20,FALSE()),"please select a BUG ID")</f>
        <v>please select a BUG ID</v>
      </c>
      <c r="D826" s="93"/>
      <c r="E826" s="85"/>
      <c r="F826" s="62"/>
      <c r="G826" s="63"/>
      <c r="H826" s="85"/>
      <c r="I826" s="51" t="str">
        <f>IFERROR(VLOOKUP(A826,Internal_lists_bugs!$A$2:$G1058,7,FALSE()),"please select a BUG ID")</f>
        <v>please select a BUG ID</v>
      </c>
      <c r="J826" s="85"/>
      <c r="K826" s="85"/>
    </row>
    <row r="827">
      <c r="A827" s="85"/>
      <c r="B827" s="59"/>
      <c r="C827" s="51" t="str">
        <f>IFERROR(VLOOKUP(A827,Internal_lists_bugs!$A$2:$T1058,20,FALSE()),"please select a BUG ID")</f>
        <v>please select a BUG ID</v>
      </c>
      <c r="D827" s="93"/>
      <c r="E827" s="85"/>
      <c r="F827" s="62"/>
      <c r="G827" s="63"/>
      <c r="H827" s="85"/>
      <c r="I827" s="51" t="str">
        <f>IFERROR(VLOOKUP(A827,Internal_lists_bugs!$A$2:$G1058,7,FALSE()),"please select a BUG ID")</f>
        <v>please select a BUG ID</v>
      </c>
      <c r="J827" s="85"/>
      <c r="K827" s="85"/>
    </row>
    <row r="828">
      <c r="A828" s="85"/>
      <c r="B828" s="59"/>
      <c r="C828" s="51" t="str">
        <f>IFERROR(VLOOKUP(A828,Internal_lists_bugs!$A$2:$T1058,20,FALSE()),"please select a BUG ID")</f>
        <v>please select a BUG ID</v>
      </c>
      <c r="D828" s="93"/>
      <c r="E828" s="85"/>
      <c r="F828" s="62"/>
      <c r="G828" s="63"/>
      <c r="H828" s="85"/>
      <c r="I828" s="51" t="str">
        <f>IFERROR(VLOOKUP(A828,Internal_lists_bugs!$A$2:$G1058,7,FALSE()),"please select a BUG ID")</f>
        <v>please select a BUG ID</v>
      </c>
      <c r="J828" s="85"/>
      <c r="K828" s="85"/>
    </row>
    <row r="829">
      <c r="A829" s="85"/>
      <c r="B829" s="59"/>
      <c r="C829" s="51" t="str">
        <f>IFERROR(VLOOKUP(A829,Internal_lists_bugs!$A$2:$T1058,20,FALSE()),"please select a BUG ID")</f>
        <v>please select a BUG ID</v>
      </c>
      <c r="D829" s="93"/>
      <c r="E829" s="85"/>
      <c r="F829" s="62"/>
      <c r="G829" s="63"/>
      <c r="H829" s="85"/>
      <c r="I829" s="51" t="str">
        <f>IFERROR(VLOOKUP(A829,Internal_lists_bugs!$A$2:$G1058,7,FALSE()),"please select a BUG ID")</f>
        <v>please select a BUG ID</v>
      </c>
      <c r="J829" s="85"/>
      <c r="K829" s="85"/>
    </row>
    <row r="830">
      <c r="A830" s="85"/>
      <c r="B830" s="59"/>
      <c r="C830" s="51" t="str">
        <f>IFERROR(VLOOKUP(A830,Internal_lists_bugs!$A$2:$T1058,20,FALSE()),"please select a BUG ID")</f>
        <v>please select a BUG ID</v>
      </c>
      <c r="D830" s="93"/>
      <c r="E830" s="85"/>
      <c r="F830" s="62"/>
      <c r="G830" s="63"/>
      <c r="H830" s="85"/>
      <c r="I830" s="51" t="str">
        <f>IFERROR(VLOOKUP(A830,Internal_lists_bugs!$A$2:$G1058,7,FALSE()),"please select a BUG ID")</f>
        <v>please select a BUG ID</v>
      </c>
      <c r="J830" s="85"/>
      <c r="K830" s="85"/>
    </row>
    <row r="831">
      <c r="A831" s="85"/>
      <c r="B831" s="59"/>
      <c r="C831" s="51" t="str">
        <f>IFERROR(VLOOKUP(A831,Internal_lists_bugs!$A$2:$T1058,20,FALSE()),"please select a BUG ID")</f>
        <v>please select a BUG ID</v>
      </c>
      <c r="D831" s="93"/>
      <c r="E831" s="85"/>
      <c r="F831" s="62"/>
      <c r="G831" s="63"/>
      <c r="H831" s="85"/>
      <c r="I831" s="51" t="str">
        <f>IFERROR(VLOOKUP(A831,Internal_lists_bugs!$A$2:$G1058,7,FALSE()),"please select a BUG ID")</f>
        <v>please select a BUG ID</v>
      </c>
      <c r="J831" s="85"/>
      <c r="K831" s="85"/>
    </row>
    <row r="832">
      <c r="A832" s="85"/>
      <c r="B832" s="59"/>
      <c r="C832" s="51" t="str">
        <f>IFERROR(VLOOKUP(A832,Internal_lists_bugs!$A$2:$T1058,20,FALSE()),"please select a BUG ID")</f>
        <v>please select a BUG ID</v>
      </c>
      <c r="D832" s="93"/>
      <c r="E832" s="85"/>
      <c r="F832" s="62"/>
      <c r="G832" s="63"/>
      <c r="H832" s="85"/>
      <c r="I832" s="51" t="str">
        <f>IFERROR(VLOOKUP(A832,Internal_lists_bugs!$A$2:$G1058,7,FALSE()),"please select a BUG ID")</f>
        <v>please select a BUG ID</v>
      </c>
      <c r="J832" s="85"/>
      <c r="K832" s="85"/>
    </row>
    <row r="833">
      <c r="A833" s="85"/>
      <c r="B833" s="59"/>
      <c r="C833" s="51" t="str">
        <f>IFERROR(VLOOKUP(A833,Internal_lists_bugs!$A$2:$T1058,20,FALSE()),"please select a BUG ID")</f>
        <v>please select a BUG ID</v>
      </c>
      <c r="D833" s="93"/>
      <c r="E833" s="85"/>
      <c r="F833" s="62"/>
      <c r="G833" s="63"/>
      <c r="H833" s="85"/>
      <c r="I833" s="51" t="str">
        <f>IFERROR(VLOOKUP(A833,Internal_lists_bugs!$A$2:$G1058,7,FALSE()),"please select a BUG ID")</f>
        <v>please select a BUG ID</v>
      </c>
      <c r="J833" s="85"/>
      <c r="K833" s="85"/>
    </row>
    <row r="834">
      <c r="A834" s="85"/>
      <c r="B834" s="59"/>
      <c r="C834" s="51" t="str">
        <f>IFERROR(VLOOKUP(A834,Internal_lists_bugs!$A$2:$T1058,20,FALSE()),"please select a BUG ID")</f>
        <v>please select a BUG ID</v>
      </c>
      <c r="D834" s="93"/>
      <c r="E834" s="85"/>
      <c r="F834" s="62"/>
      <c r="G834" s="63"/>
      <c r="H834" s="85"/>
      <c r="I834" s="51" t="str">
        <f>IFERROR(VLOOKUP(A834,Internal_lists_bugs!$A$2:$G1058,7,FALSE()),"please select a BUG ID")</f>
        <v>please select a BUG ID</v>
      </c>
      <c r="J834" s="85"/>
      <c r="K834" s="85"/>
    </row>
    <row r="835">
      <c r="A835" s="85"/>
      <c r="B835" s="59"/>
      <c r="C835" s="51" t="str">
        <f>IFERROR(VLOOKUP(A835,Internal_lists_bugs!$A$2:$T1058,20,FALSE()),"please select a BUG ID")</f>
        <v>please select a BUG ID</v>
      </c>
      <c r="D835" s="93"/>
      <c r="E835" s="85"/>
      <c r="F835" s="62"/>
      <c r="G835" s="63"/>
      <c r="H835" s="85"/>
      <c r="I835" s="51" t="str">
        <f>IFERROR(VLOOKUP(A835,Internal_lists_bugs!$A$2:$G1058,7,FALSE()),"please select a BUG ID")</f>
        <v>please select a BUG ID</v>
      </c>
      <c r="J835" s="85"/>
      <c r="K835" s="85"/>
    </row>
    <row r="836">
      <c r="A836" s="85"/>
      <c r="B836" s="59"/>
      <c r="C836" s="51" t="str">
        <f>IFERROR(VLOOKUP(A836,Internal_lists_bugs!$A$2:$T1058,20,FALSE()),"please select a BUG ID")</f>
        <v>please select a BUG ID</v>
      </c>
      <c r="D836" s="93"/>
      <c r="E836" s="85"/>
      <c r="F836" s="62"/>
      <c r="G836" s="63"/>
      <c r="H836" s="85"/>
      <c r="I836" s="51" t="str">
        <f>IFERROR(VLOOKUP(A836,Internal_lists_bugs!$A$2:$G1058,7,FALSE()),"please select a BUG ID")</f>
        <v>please select a BUG ID</v>
      </c>
      <c r="J836" s="85"/>
      <c r="K836" s="85"/>
    </row>
    <row r="837">
      <c r="A837" s="85"/>
      <c r="B837" s="59"/>
      <c r="C837" s="51" t="str">
        <f>IFERROR(VLOOKUP(A837,Internal_lists_bugs!$A$2:$T1058,20,FALSE()),"please select a BUG ID")</f>
        <v>please select a BUG ID</v>
      </c>
      <c r="D837" s="93"/>
      <c r="E837" s="85"/>
      <c r="F837" s="62"/>
      <c r="G837" s="63"/>
      <c r="H837" s="85"/>
      <c r="I837" s="51" t="str">
        <f>IFERROR(VLOOKUP(A837,Internal_lists_bugs!$A$2:$G1058,7,FALSE()),"please select a BUG ID")</f>
        <v>please select a BUG ID</v>
      </c>
      <c r="J837" s="85"/>
      <c r="K837" s="85"/>
    </row>
    <row r="838">
      <c r="A838" s="85"/>
      <c r="B838" s="59"/>
      <c r="C838" s="51" t="str">
        <f>IFERROR(VLOOKUP(A838,Internal_lists_bugs!$A$2:$T1058,20,FALSE()),"please select a BUG ID")</f>
        <v>please select a BUG ID</v>
      </c>
      <c r="D838" s="93"/>
      <c r="E838" s="85"/>
      <c r="F838" s="62"/>
      <c r="G838" s="63"/>
      <c r="H838" s="85"/>
      <c r="I838" s="51" t="str">
        <f>IFERROR(VLOOKUP(A838,Internal_lists_bugs!$A$2:$G1058,7,FALSE()),"please select a BUG ID")</f>
        <v>please select a BUG ID</v>
      </c>
      <c r="J838" s="85"/>
      <c r="K838" s="85"/>
    </row>
    <row r="839">
      <c r="A839" s="85"/>
      <c r="B839" s="59"/>
      <c r="C839" s="51" t="str">
        <f>IFERROR(VLOOKUP(A839,Internal_lists_bugs!$A$2:$T1058,20,FALSE()),"please select a BUG ID")</f>
        <v>please select a BUG ID</v>
      </c>
      <c r="D839" s="93"/>
      <c r="E839" s="85"/>
      <c r="F839" s="62"/>
      <c r="G839" s="63"/>
      <c r="H839" s="85"/>
      <c r="I839" s="51" t="str">
        <f>IFERROR(VLOOKUP(A839,Internal_lists_bugs!$A$2:$G1058,7,FALSE()),"please select a BUG ID")</f>
        <v>please select a BUG ID</v>
      </c>
      <c r="J839" s="85"/>
      <c r="K839" s="85"/>
    </row>
    <row r="840">
      <c r="A840" s="85"/>
      <c r="B840" s="59"/>
      <c r="C840" s="51" t="str">
        <f>IFERROR(VLOOKUP(A840,Internal_lists_bugs!$A$2:$T1058,20,FALSE()),"please select a BUG ID")</f>
        <v>please select a BUG ID</v>
      </c>
      <c r="D840" s="93"/>
      <c r="E840" s="85"/>
      <c r="F840" s="62"/>
      <c r="G840" s="63"/>
      <c r="H840" s="85"/>
      <c r="I840" s="51" t="str">
        <f>IFERROR(VLOOKUP(A840,Internal_lists_bugs!$A$2:$G1058,7,FALSE()),"please select a BUG ID")</f>
        <v>please select a BUG ID</v>
      </c>
      <c r="J840" s="85"/>
      <c r="K840" s="85"/>
    </row>
    <row r="841">
      <c r="A841" s="85"/>
      <c r="B841" s="59"/>
      <c r="C841" s="51" t="str">
        <f>IFERROR(VLOOKUP(A841,Internal_lists_bugs!$A$2:$T1058,20,FALSE()),"please select a BUG ID")</f>
        <v>please select a BUG ID</v>
      </c>
      <c r="D841" s="93"/>
      <c r="E841" s="85"/>
      <c r="F841" s="62"/>
      <c r="G841" s="63"/>
      <c r="H841" s="85"/>
      <c r="I841" s="51" t="str">
        <f>IFERROR(VLOOKUP(A841,Internal_lists_bugs!$A$2:$G1058,7,FALSE()),"please select a BUG ID")</f>
        <v>please select a BUG ID</v>
      </c>
      <c r="J841" s="85"/>
      <c r="K841" s="85"/>
    </row>
    <row r="842">
      <c r="A842" s="85"/>
      <c r="B842" s="59"/>
      <c r="C842" s="51" t="str">
        <f>IFERROR(VLOOKUP(A842,Internal_lists_bugs!$A$2:$T1058,20,FALSE()),"please select a BUG ID")</f>
        <v>please select a BUG ID</v>
      </c>
      <c r="D842" s="93"/>
      <c r="E842" s="85"/>
      <c r="F842" s="62"/>
      <c r="G842" s="63"/>
      <c r="H842" s="85"/>
      <c r="I842" s="51" t="str">
        <f>IFERROR(VLOOKUP(A842,Internal_lists_bugs!$A$2:$G1058,7,FALSE()),"please select a BUG ID")</f>
        <v>please select a BUG ID</v>
      </c>
      <c r="J842" s="85"/>
      <c r="K842" s="85"/>
    </row>
    <row r="843">
      <c r="A843" s="85"/>
      <c r="B843" s="59"/>
      <c r="C843" s="51" t="str">
        <f>IFERROR(VLOOKUP(A843,Internal_lists_bugs!$A$2:$T1058,20,FALSE()),"please select a BUG ID")</f>
        <v>please select a BUG ID</v>
      </c>
      <c r="D843" s="93"/>
      <c r="E843" s="85"/>
      <c r="F843" s="62"/>
      <c r="G843" s="63"/>
      <c r="H843" s="85"/>
      <c r="I843" s="51" t="str">
        <f>IFERROR(VLOOKUP(A843,Internal_lists_bugs!$A$2:$G1058,7,FALSE()),"please select a BUG ID")</f>
        <v>please select a BUG ID</v>
      </c>
      <c r="J843" s="85"/>
      <c r="K843" s="85"/>
    </row>
    <row r="844">
      <c r="A844" s="85"/>
      <c r="B844" s="59"/>
      <c r="C844" s="51" t="str">
        <f>IFERROR(VLOOKUP(A844,Internal_lists_bugs!$A$2:$T1058,20,FALSE()),"please select a BUG ID")</f>
        <v>please select a BUG ID</v>
      </c>
      <c r="D844" s="93"/>
      <c r="E844" s="85"/>
      <c r="F844" s="62"/>
      <c r="G844" s="63"/>
      <c r="H844" s="85"/>
      <c r="I844" s="51" t="str">
        <f>IFERROR(VLOOKUP(A844,Internal_lists_bugs!$A$2:$G1058,7,FALSE()),"please select a BUG ID")</f>
        <v>please select a BUG ID</v>
      </c>
      <c r="J844" s="85"/>
      <c r="K844" s="85"/>
    </row>
    <row r="845">
      <c r="A845" s="85"/>
      <c r="B845" s="59"/>
      <c r="C845" s="51" t="str">
        <f>IFERROR(VLOOKUP(A845,Internal_lists_bugs!$A$2:$T1058,20,FALSE()),"please select a BUG ID")</f>
        <v>please select a BUG ID</v>
      </c>
      <c r="D845" s="93"/>
      <c r="E845" s="85"/>
      <c r="F845" s="62"/>
      <c r="G845" s="63"/>
      <c r="H845" s="85"/>
      <c r="I845" s="51" t="str">
        <f>IFERROR(VLOOKUP(A845,Internal_lists_bugs!$A$2:$G1058,7,FALSE()),"please select a BUG ID")</f>
        <v>please select a BUG ID</v>
      </c>
      <c r="J845" s="85"/>
      <c r="K845" s="85"/>
    </row>
    <row r="846">
      <c r="A846" s="85"/>
      <c r="B846" s="59"/>
      <c r="C846" s="51" t="str">
        <f>IFERROR(VLOOKUP(A846,Internal_lists_bugs!$A$2:$T1058,20,FALSE()),"please select a BUG ID")</f>
        <v>please select a BUG ID</v>
      </c>
      <c r="D846" s="93"/>
      <c r="E846" s="85"/>
      <c r="F846" s="62"/>
      <c r="G846" s="63"/>
      <c r="H846" s="85"/>
      <c r="I846" s="51" t="str">
        <f>IFERROR(VLOOKUP(A846,Internal_lists_bugs!$A$2:$G1058,7,FALSE()),"please select a BUG ID")</f>
        <v>please select a BUG ID</v>
      </c>
      <c r="J846" s="85"/>
      <c r="K846" s="85"/>
    </row>
    <row r="847">
      <c r="A847" s="85"/>
      <c r="B847" s="59"/>
      <c r="C847" s="51" t="str">
        <f>IFERROR(VLOOKUP(A847,Internal_lists_bugs!$A$2:$T1058,20,FALSE()),"please select a BUG ID")</f>
        <v>please select a BUG ID</v>
      </c>
      <c r="D847" s="93"/>
      <c r="E847" s="85"/>
      <c r="F847" s="62"/>
      <c r="G847" s="63"/>
      <c r="H847" s="85"/>
      <c r="I847" s="51" t="str">
        <f>IFERROR(VLOOKUP(A847,Internal_lists_bugs!$A$2:$G1058,7,FALSE()),"please select a BUG ID")</f>
        <v>please select a BUG ID</v>
      </c>
      <c r="J847" s="85"/>
      <c r="K847" s="85"/>
    </row>
    <row r="848">
      <c r="A848" s="85"/>
      <c r="B848" s="59"/>
      <c r="C848" s="51" t="str">
        <f>IFERROR(VLOOKUP(A848,Internal_lists_bugs!$A$2:$T1058,20,FALSE()),"please select a BUG ID")</f>
        <v>please select a BUG ID</v>
      </c>
      <c r="D848" s="93"/>
      <c r="E848" s="85"/>
      <c r="F848" s="62"/>
      <c r="G848" s="63"/>
      <c r="H848" s="85"/>
      <c r="I848" s="51" t="str">
        <f>IFERROR(VLOOKUP(A848,Internal_lists_bugs!$A$2:$G1058,7,FALSE()),"please select a BUG ID")</f>
        <v>please select a BUG ID</v>
      </c>
      <c r="J848" s="85"/>
      <c r="K848" s="85"/>
    </row>
    <row r="849">
      <c r="A849" s="85"/>
      <c r="B849" s="59"/>
      <c r="C849" s="51" t="str">
        <f>IFERROR(VLOOKUP(A849,Internal_lists_bugs!$A$2:$T1058,20,FALSE()),"please select a BUG ID")</f>
        <v>please select a BUG ID</v>
      </c>
      <c r="D849" s="93"/>
      <c r="E849" s="85"/>
      <c r="F849" s="62"/>
      <c r="G849" s="63"/>
      <c r="H849" s="85"/>
      <c r="I849" s="51" t="str">
        <f>IFERROR(VLOOKUP(A849,Internal_lists_bugs!$A$2:$G1058,7,FALSE()),"please select a BUG ID")</f>
        <v>please select a BUG ID</v>
      </c>
      <c r="J849" s="85"/>
      <c r="K849" s="85"/>
    </row>
    <row r="850">
      <c r="A850" s="85"/>
      <c r="B850" s="59"/>
      <c r="C850" s="51" t="str">
        <f>IFERROR(VLOOKUP(A850,Internal_lists_bugs!$A$2:$T1058,20,FALSE()),"please select a BUG ID")</f>
        <v>please select a BUG ID</v>
      </c>
      <c r="D850" s="93"/>
      <c r="E850" s="85"/>
      <c r="F850" s="62"/>
      <c r="G850" s="63"/>
      <c r="H850" s="85"/>
      <c r="I850" s="51" t="str">
        <f>IFERROR(VLOOKUP(A850,Internal_lists_bugs!$A$2:$G1058,7,FALSE()),"please select a BUG ID")</f>
        <v>please select a BUG ID</v>
      </c>
      <c r="J850" s="85"/>
      <c r="K850" s="85"/>
    </row>
    <row r="851">
      <c r="A851" s="85"/>
      <c r="B851" s="59"/>
      <c r="C851" s="51" t="str">
        <f>IFERROR(VLOOKUP(A851,Internal_lists_bugs!$A$2:$T1058,20,FALSE()),"please select a BUG ID")</f>
        <v>please select a BUG ID</v>
      </c>
      <c r="D851" s="93"/>
      <c r="E851" s="85"/>
      <c r="F851" s="62"/>
      <c r="G851" s="63"/>
      <c r="H851" s="85"/>
      <c r="I851" s="51" t="str">
        <f>IFERROR(VLOOKUP(A851,Internal_lists_bugs!$A$2:$G1058,7,FALSE()),"please select a BUG ID")</f>
        <v>please select a BUG ID</v>
      </c>
      <c r="J851" s="85"/>
      <c r="K851" s="85"/>
    </row>
    <row r="852">
      <c r="A852" s="85"/>
      <c r="B852" s="59"/>
      <c r="C852" s="51" t="str">
        <f>IFERROR(VLOOKUP(A852,Internal_lists_bugs!$A$2:$T1058,20,FALSE()),"please select a BUG ID")</f>
        <v>please select a BUG ID</v>
      </c>
      <c r="D852" s="93"/>
      <c r="E852" s="85"/>
      <c r="F852" s="62"/>
      <c r="G852" s="63"/>
      <c r="H852" s="85"/>
      <c r="I852" s="51" t="str">
        <f>IFERROR(VLOOKUP(A852,Internal_lists_bugs!$A$2:$G1058,7,FALSE()),"please select a BUG ID")</f>
        <v>please select a BUG ID</v>
      </c>
      <c r="J852" s="85"/>
      <c r="K852" s="85"/>
    </row>
    <row r="853">
      <c r="A853" s="85"/>
      <c r="B853" s="59"/>
      <c r="C853" s="51" t="str">
        <f>IFERROR(VLOOKUP(A853,Internal_lists_bugs!$A$2:$T1058,20,FALSE()),"please select a BUG ID")</f>
        <v>please select a BUG ID</v>
      </c>
      <c r="D853" s="93"/>
      <c r="E853" s="85"/>
      <c r="F853" s="62"/>
      <c r="G853" s="63"/>
      <c r="H853" s="85"/>
      <c r="I853" s="51" t="str">
        <f>IFERROR(VLOOKUP(A853,Internal_lists_bugs!$A$2:$G1058,7,FALSE()),"please select a BUG ID")</f>
        <v>please select a BUG ID</v>
      </c>
      <c r="J853" s="85"/>
      <c r="K853" s="85"/>
    </row>
    <row r="854">
      <c r="A854" s="85"/>
      <c r="B854" s="59"/>
      <c r="C854" s="51" t="str">
        <f>IFERROR(VLOOKUP(A854,Internal_lists_bugs!$A$2:$T1058,20,FALSE()),"please select a BUG ID")</f>
        <v>please select a BUG ID</v>
      </c>
      <c r="D854" s="93"/>
      <c r="E854" s="85"/>
      <c r="F854" s="62"/>
      <c r="G854" s="63"/>
      <c r="H854" s="85"/>
      <c r="I854" s="51" t="str">
        <f>IFERROR(VLOOKUP(A854,Internal_lists_bugs!$A$2:$G1058,7,FALSE()),"please select a BUG ID")</f>
        <v>please select a BUG ID</v>
      </c>
      <c r="J854" s="85"/>
      <c r="K854" s="85"/>
    </row>
    <row r="855">
      <c r="A855" s="85"/>
      <c r="B855" s="59"/>
      <c r="C855" s="51" t="str">
        <f>IFERROR(VLOOKUP(A855,Internal_lists_bugs!$A$2:$T1058,20,FALSE()),"please select a BUG ID")</f>
        <v>please select a BUG ID</v>
      </c>
      <c r="D855" s="93"/>
      <c r="E855" s="85"/>
      <c r="F855" s="62"/>
      <c r="G855" s="63"/>
      <c r="H855" s="85"/>
      <c r="I855" s="51" t="str">
        <f>IFERROR(VLOOKUP(A855,Internal_lists_bugs!$A$2:$G1058,7,FALSE()),"please select a BUG ID")</f>
        <v>please select a BUG ID</v>
      </c>
      <c r="J855" s="85"/>
      <c r="K855" s="85"/>
    </row>
    <row r="856">
      <c r="A856" s="85"/>
      <c r="B856" s="59"/>
      <c r="C856" s="51" t="str">
        <f>IFERROR(VLOOKUP(A856,Internal_lists_bugs!$A$2:$T1058,20,FALSE()),"please select a BUG ID")</f>
        <v>please select a BUG ID</v>
      </c>
      <c r="D856" s="93"/>
      <c r="E856" s="85"/>
      <c r="F856" s="62"/>
      <c r="G856" s="63"/>
      <c r="H856" s="85"/>
      <c r="I856" s="51" t="str">
        <f>IFERROR(VLOOKUP(A856,Internal_lists_bugs!$A$2:$G1058,7,FALSE()),"please select a BUG ID")</f>
        <v>please select a BUG ID</v>
      </c>
      <c r="J856" s="85"/>
      <c r="K856" s="85"/>
    </row>
    <row r="857">
      <c r="A857" s="85"/>
      <c r="B857" s="59"/>
      <c r="C857" s="51" t="str">
        <f>IFERROR(VLOOKUP(A857,Internal_lists_bugs!$A$2:$T1058,20,FALSE()),"please select a BUG ID")</f>
        <v>please select a BUG ID</v>
      </c>
      <c r="D857" s="93"/>
      <c r="E857" s="85"/>
      <c r="F857" s="62"/>
      <c r="G857" s="63"/>
      <c r="H857" s="85"/>
      <c r="I857" s="51" t="str">
        <f>IFERROR(VLOOKUP(A857,Internal_lists_bugs!$A$2:$G1058,7,FALSE()),"please select a BUG ID")</f>
        <v>please select a BUG ID</v>
      </c>
      <c r="J857" s="85"/>
      <c r="K857" s="85"/>
    </row>
    <row r="858">
      <c r="A858" s="85"/>
      <c r="B858" s="59"/>
      <c r="C858" s="51" t="str">
        <f>IFERROR(VLOOKUP(A858,Internal_lists_bugs!$A$2:$T1058,20,FALSE()),"please select a BUG ID")</f>
        <v>please select a BUG ID</v>
      </c>
      <c r="D858" s="93"/>
      <c r="E858" s="85"/>
      <c r="F858" s="62"/>
      <c r="G858" s="63"/>
      <c r="H858" s="85"/>
      <c r="I858" s="51" t="str">
        <f>IFERROR(VLOOKUP(A858,Internal_lists_bugs!$A$2:$G1058,7,FALSE()),"please select a BUG ID")</f>
        <v>please select a BUG ID</v>
      </c>
      <c r="J858" s="85"/>
      <c r="K858" s="85"/>
    </row>
    <row r="859">
      <c r="A859" s="85"/>
      <c r="B859" s="59"/>
      <c r="C859" s="51" t="str">
        <f>IFERROR(VLOOKUP(A859,Internal_lists_bugs!$A$2:$T1058,20,FALSE()),"please select a BUG ID")</f>
        <v>please select a BUG ID</v>
      </c>
      <c r="D859" s="93"/>
      <c r="E859" s="85"/>
      <c r="F859" s="62"/>
      <c r="G859" s="63"/>
      <c r="H859" s="85"/>
      <c r="I859" s="51" t="str">
        <f>IFERROR(VLOOKUP(A859,Internal_lists_bugs!$A$2:$G1058,7,FALSE()),"please select a BUG ID")</f>
        <v>please select a BUG ID</v>
      </c>
      <c r="J859" s="85"/>
      <c r="K859" s="85"/>
    </row>
    <row r="860">
      <c r="A860" s="85"/>
      <c r="B860" s="59"/>
      <c r="C860" s="51" t="str">
        <f>IFERROR(VLOOKUP(A860,Internal_lists_bugs!$A$2:$T1058,20,FALSE()),"please select a BUG ID")</f>
        <v>please select a BUG ID</v>
      </c>
      <c r="D860" s="93"/>
      <c r="E860" s="85"/>
      <c r="F860" s="62"/>
      <c r="G860" s="63"/>
      <c r="H860" s="85"/>
      <c r="I860" s="51" t="str">
        <f>IFERROR(VLOOKUP(A860,Internal_lists_bugs!$A$2:$G1058,7,FALSE()),"please select a BUG ID")</f>
        <v>please select a BUG ID</v>
      </c>
      <c r="J860" s="85"/>
      <c r="K860" s="85"/>
    </row>
    <row r="861">
      <c r="A861" s="85"/>
      <c r="B861" s="59"/>
      <c r="C861" s="51" t="str">
        <f>IFERROR(VLOOKUP(A861,Internal_lists_bugs!$A$2:$T1058,20,FALSE()),"please select a BUG ID")</f>
        <v>please select a BUG ID</v>
      </c>
      <c r="D861" s="93"/>
      <c r="E861" s="85"/>
      <c r="F861" s="62"/>
      <c r="G861" s="63"/>
      <c r="H861" s="85"/>
      <c r="I861" s="51" t="str">
        <f>IFERROR(VLOOKUP(A861,Internal_lists_bugs!$A$2:$G1058,7,FALSE()),"please select a BUG ID")</f>
        <v>please select a BUG ID</v>
      </c>
      <c r="J861" s="85"/>
      <c r="K861" s="85"/>
    </row>
    <row r="862">
      <c r="A862" s="85"/>
      <c r="B862" s="59"/>
      <c r="C862" s="51" t="str">
        <f>IFERROR(VLOOKUP(A862,Internal_lists_bugs!$A$2:$T1058,20,FALSE()),"please select a BUG ID")</f>
        <v>please select a BUG ID</v>
      </c>
      <c r="D862" s="93"/>
      <c r="E862" s="85"/>
      <c r="F862" s="62"/>
      <c r="G862" s="63"/>
      <c r="H862" s="85"/>
      <c r="I862" s="51" t="str">
        <f>IFERROR(VLOOKUP(A862,Internal_lists_bugs!$A$2:$G1058,7,FALSE()),"please select a BUG ID")</f>
        <v>please select a BUG ID</v>
      </c>
      <c r="J862" s="85"/>
      <c r="K862" s="85"/>
    </row>
    <row r="863">
      <c r="A863" s="85"/>
      <c r="B863" s="59"/>
      <c r="C863" s="51" t="str">
        <f>IFERROR(VLOOKUP(A863,Internal_lists_bugs!$A$2:$T1058,20,FALSE()),"please select a BUG ID")</f>
        <v>please select a BUG ID</v>
      </c>
      <c r="D863" s="93"/>
      <c r="E863" s="85"/>
      <c r="F863" s="62"/>
      <c r="G863" s="63"/>
      <c r="H863" s="85"/>
      <c r="I863" s="51" t="str">
        <f>IFERROR(VLOOKUP(A863,Internal_lists_bugs!$A$2:$G1058,7,FALSE()),"please select a BUG ID")</f>
        <v>please select a BUG ID</v>
      </c>
      <c r="J863" s="85"/>
      <c r="K863" s="85"/>
    </row>
    <row r="864">
      <c r="A864" s="85"/>
      <c r="B864" s="59"/>
      <c r="C864" s="51" t="str">
        <f>IFERROR(VLOOKUP(A864,Internal_lists_bugs!$A$2:$T1058,20,FALSE()),"please select a BUG ID")</f>
        <v>please select a BUG ID</v>
      </c>
      <c r="D864" s="93"/>
      <c r="E864" s="85"/>
      <c r="F864" s="62"/>
      <c r="G864" s="63"/>
      <c r="H864" s="85"/>
      <c r="I864" s="51" t="str">
        <f>IFERROR(VLOOKUP(A864,Internal_lists_bugs!$A$2:$G1058,7,FALSE()),"please select a BUG ID")</f>
        <v>please select a BUG ID</v>
      </c>
      <c r="J864" s="85"/>
      <c r="K864" s="85"/>
    </row>
    <row r="865">
      <c r="A865" s="85"/>
      <c r="B865" s="59"/>
      <c r="C865" s="51" t="str">
        <f>IFERROR(VLOOKUP(A865,Internal_lists_bugs!$A$2:$T1058,20,FALSE()),"please select a BUG ID")</f>
        <v>please select a BUG ID</v>
      </c>
      <c r="D865" s="93"/>
      <c r="E865" s="85"/>
      <c r="F865" s="62"/>
      <c r="G865" s="63"/>
      <c r="H865" s="85"/>
      <c r="I865" s="51" t="str">
        <f>IFERROR(VLOOKUP(A865,Internal_lists_bugs!$A$2:$G1058,7,FALSE()),"please select a BUG ID")</f>
        <v>please select a BUG ID</v>
      </c>
      <c r="J865" s="85"/>
      <c r="K865" s="85"/>
    </row>
    <row r="866">
      <c r="A866" s="85"/>
      <c r="B866" s="59"/>
      <c r="C866" s="51" t="str">
        <f>IFERROR(VLOOKUP(A866,Internal_lists_bugs!$A$2:$T1058,20,FALSE()),"please select a BUG ID")</f>
        <v>please select a BUG ID</v>
      </c>
      <c r="D866" s="93"/>
      <c r="E866" s="85"/>
      <c r="F866" s="62"/>
      <c r="G866" s="63"/>
      <c r="H866" s="85"/>
      <c r="I866" s="51" t="str">
        <f>IFERROR(VLOOKUP(A866,Internal_lists_bugs!$A$2:$G1058,7,FALSE()),"please select a BUG ID")</f>
        <v>please select a BUG ID</v>
      </c>
      <c r="J866" s="85"/>
      <c r="K866" s="85"/>
    </row>
    <row r="867">
      <c r="A867" s="85"/>
      <c r="B867" s="59"/>
      <c r="C867" s="51" t="str">
        <f>IFERROR(VLOOKUP(A867,Internal_lists_bugs!$A$2:$T1058,20,FALSE()),"please select a BUG ID")</f>
        <v>please select a BUG ID</v>
      </c>
      <c r="D867" s="93"/>
      <c r="E867" s="85"/>
      <c r="F867" s="62"/>
      <c r="G867" s="63"/>
      <c r="H867" s="85"/>
      <c r="I867" s="51" t="str">
        <f>IFERROR(VLOOKUP(A867,Internal_lists_bugs!$A$2:$G1058,7,FALSE()),"please select a BUG ID")</f>
        <v>please select a BUG ID</v>
      </c>
      <c r="J867" s="85"/>
      <c r="K867" s="85"/>
    </row>
    <row r="868">
      <c r="A868" s="85"/>
      <c r="B868" s="59"/>
      <c r="C868" s="51" t="str">
        <f>IFERROR(VLOOKUP(A868,Internal_lists_bugs!$A$2:$T1058,20,FALSE()),"please select a BUG ID")</f>
        <v>please select a BUG ID</v>
      </c>
      <c r="D868" s="93"/>
      <c r="E868" s="85"/>
      <c r="F868" s="62"/>
      <c r="G868" s="63"/>
      <c r="H868" s="85"/>
      <c r="I868" s="51" t="str">
        <f>IFERROR(VLOOKUP(A868,Internal_lists_bugs!$A$2:$G1058,7,FALSE()),"please select a BUG ID")</f>
        <v>please select a BUG ID</v>
      </c>
      <c r="J868" s="85"/>
      <c r="K868" s="85"/>
    </row>
    <row r="869">
      <c r="A869" s="85"/>
      <c r="B869" s="59"/>
      <c r="C869" s="51" t="str">
        <f>IFERROR(VLOOKUP(A869,Internal_lists_bugs!$A$2:$T1058,20,FALSE()),"please select a BUG ID")</f>
        <v>please select a BUG ID</v>
      </c>
      <c r="D869" s="93"/>
      <c r="E869" s="85"/>
      <c r="F869" s="62"/>
      <c r="G869" s="63"/>
      <c r="H869" s="85"/>
      <c r="I869" s="51" t="str">
        <f>IFERROR(VLOOKUP(A869,Internal_lists_bugs!$A$2:$G1058,7,FALSE()),"please select a BUG ID")</f>
        <v>please select a BUG ID</v>
      </c>
      <c r="J869" s="85"/>
      <c r="K869" s="85"/>
    </row>
    <row r="870">
      <c r="A870" s="85"/>
      <c r="B870" s="59"/>
      <c r="C870" s="51" t="str">
        <f>IFERROR(VLOOKUP(A870,Internal_lists_bugs!$A$2:$T1058,20,FALSE()),"please select a BUG ID")</f>
        <v>please select a BUG ID</v>
      </c>
      <c r="D870" s="93"/>
      <c r="E870" s="85"/>
      <c r="F870" s="62"/>
      <c r="G870" s="63"/>
      <c r="H870" s="85"/>
      <c r="I870" s="51" t="str">
        <f>IFERROR(VLOOKUP(A870,Internal_lists_bugs!$A$2:$G1058,7,FALSE()),"please select a BUG ID")</f>
        <v>please select a BUG ID</v>
      </c>
      <c r="J870" s="85"/>
      <c r="K870" s="85"/>
    </row>
    <row r="871">
      <c r="A871" s="85"/>
      <c r="B871" s="59"/>
      <c r="C871" s="51" t="str">
        <f>IFERROR(VLOOKUP(A871,Internal_lists_bugs!$A$2:$T1058,20,FALSE()),"please select a BUG ID")</f>
        <v>please select a BUG ID</v>
      </c>
      <c r="D871" s="93"/>
      <c r="E871" s="85"/>
      <c r="F871" s="62"/>
      <c r="G871" s="63"/>
      <c r="H871" s="85"/>
      <c r="I871" s="51" t="str">
        <f>IFERROR(VLOOKUP(A871,Internal_lists_bugs!$A$2:$G1058,7,FALSE()),"please select a BUG ID")</f>
        <v>please select a BUG ID</v>
      </c>
      <c r="J871" s="85"/>
      <c r="K871" s="85"/>
    </row>
    <row r="872">
      <c r="A872" s="85"/>
      <c r="B872" s="59"/>
      <c r="C872" s="51" t="str">
        <f>IFERROR(VLOOKUP(A872,Internal_lists_bugs!$A$2:$T1058,20,FALSE()),"please select a BUG ID")</f>
        <v>please select a BUG ID</v>
      </c>
      <c r="D872" s="93"/>
      <c r="E872" s="85"/>
      <c r="F872" s="62"/>
      <c r="G872" s="63"/>
      <c r="H872" s="85"/>
      <c r="I872" s="51" t="str">
        <f>IFERROR(VLOOKUP(A872,Internal_lists_bugs!$A$2:$G1058,7,FALSE()),"please select a BUG ID")</f>
        <v>please select a BUG ID</v>
      </c>
      <c r="J872" s="85"/>
      <c r="K872" s="85"/>
    </row>
    <row r="873">
      <c r="A873" s="85"/>
      <c r="B873" s="59"/>
      <c r="C873" s="51" t="str">
        <f>IFERROR(VLOOKUP(A873,Internal_lists_bugs!$A$2:$T1058,20,FALSE()),"please select a BUG ID")</f>
        <v>please select a BUG ID</v>
      </c>
      <c r="D873" s="93"/>
      <c r="E873" s="85"/>
      <c r="F873" s="62"/>
      <c r="G873" s="63"/>
      <c r="H873" s="85"/>
      <c r="I873" s="51" t="str">
        <f>IFERROR(VLOOKUP(A873,Internal_lists_bugs!$A$2:$G1058,7,FALSE()),"please select a BUG ID")</f>
        <v>please select a BUG ID</v>
      </c>
      <c r="J873" s="85"/>
      <c r="K873" s="85"/>
    </row>
    <row r="874">
      <c r="A874" s="85"/>
      <c r="B874" s="59"/>
      <c r="C874" s="51" t="str">
        <f>IFERROR(VLOOKUP(A874,Internal_lists_bugs!$A$2:$T1058,20,FALSE()),"please select a BUG ID")</f>
        <v>please select a BUG ID</v>
      </c>
      <c r="D874" s="93"/>
      <c r="E874" s="85"/>
      <c r="F874" s="62"/>
      <c r="G874" s="63"/>
      <c r="H874" s="85"/>
      <c r="I874" s="51" t="str">
        <f>IFERROR(VLOOKUP(A874,Internal_lists_bugs!$A$2:$G1058,7,FALSE()),"please select a BUG ID")</f>
        <v>please select a BUG ID</v>
      </c>
      <c r="J874" s="85"/>
      <c r="K874" s="85"/>
    </row>
    <row r="875">
      <c r="A875" s="85"/>
      <c r="B875" s="59"/>
      <c r="C875" s="51" t="str">
        <f>IFERROR(VLOOKUP(A875,Internal_lists_bugs!$A$2:$T1058,20,FALSE()),"please select a BUG ID")</f>
        <v>please select a BUG ID</v>
      </c>
      <c r="D875" s="93"/>
      <c r="E875" s="85"/>
      <c r="F875" s="62"/>
      <c r="G875" s="63"/>
      <c r="H875" s="85"/>
      <c r="I875" s="51" t="str">
        <f>IFERROR(VLOOKUP(A875,Internal_lists_bugs!$A$2:$G1058,7,FALSE()),"please select a BUG ID")</f>
        <v>please select a BUG ID</v>
      </c>
      <c r="J875" s="85"/>
      <c r="K875" s="85"/>
    </row>
    <row r="876">
      <c r="A876" s="85"/>
      <c r="B876" s="59"/>
      <c r="C876" s="51" t="str">
        <f>IFERROR(VLOOKUP(A876,Internal_lists_bugs!$A$2:$T1058,20,FALSE()),"please select a BUG ID")</f>
        <v>please select a BUG ID</v>
      </c>
      <c r="D876" s="93"/>
      <c r="E876" s="85"/>
      <c r="F876" s="62"/>
      <c r="G876" s="63"/>
      <c r="H876" s="85"/>
      <c r="I876" s="51" t="str">
        <f>IFERROR(VLOOKUP(A876,Internal_lists_bugs!$A$2:$G1058,7,FALSE()),"please select a BUG ID")</f>
        <v>please select a BUG ID</v>
      </c>
      <c r="J876" s="85"/>
      <c r="K876" s="85"/>
    </row>
    <row r="877">
      <c r="A877" s="85"/>
      <c r="B877" s="59"/>
      <c r="C877" s="51" t="str">
        <f>IFERROR(VLOOKUP(A877,Internal_lists_bugs!$A$2:$T1058,20,FALSE()),"please select a BUG ID")</f>
        <v>please select a BUG ID</v>
      </c>
      <c r="D877" s="93"/>
      <c r="E877" s="85"/>
      <c r="F877" s="62"/>
      <c r="G877" s="63"/>
      <c r="H877" s="85"/>
      <c r="I877" s="51" t="str">
        <f>IFERROR(VLOOKUP(A877,Internal_lists_bugs!$A$2:$G1058,7,FALSE()),"please select a BUG ID")</f>
        <v>please select a BUG ID</v>
      </c>
      <c r="J877" s="85"/>
      <c r="K877" s="85"/>
    </row>
    <row r="878">
      <c r="A878" s="85"/>
      <c r="B878" s="59"/>
      <c r="C878" s="51" t="str">
        <f>IFERROR(VLOOKUP(A878,Internal_lists_bugs!$A$2:$T1058,20,FALSE()),"please select a BUG ID")</f>
        <v>please select a BUG ID</v>
      </c>
      <c r="D878" s="93"/>
      <c r="E878" s="85"/>
      <c r="F878" s="62"/>
      <c r="G878" s="63"/>
      <c r="H878" s="85"/>
      <c r="I878" s="51" t="str">
        <f>IFERROR(VLOOKUP(A878,Internal_lists_bugs!$A$2:$G1058,7,FALSE()),"please select a BUG ID")</f>
        <v>please select a BUG ID</v>
      </c>
      <c r="J878" s="85"/>
      <c r="K878" s="85"/>
    </row>
    <row r="879">
      <c r="A879" s="85"/>
      <c r="B879" s="59"/>
      <c r="C879" s="51" t="str">
        <f>IFERROR(VLOOKUP(A879,Internal_lists_bugs!$A$2:$T1058,20,FALSE()),"please select a BUG ID")</f>
        <v>please select a BUG ID</v>
      </c>
      <c r="D879" s="93"/>
      <c r="E879" s="85"/>
      <c r="F879" s="62"/>
      <c r="G879" s="63"/>
      <c r="H879" s="85"/>
      <c r="I879" s="51" t="str">
        <f>IFERROR(VLOOKUP(A879,Internal_lists_bugs!$A$2:$G1058,7,FALSE()),"please select a BUG ID")</f>
        <v>please select a BUG ID</v>
      </c>
      <c r="J879" s="85"/>
      <c r="K879" s="85"/>
    </row>
    <row r="880">
      <c r="A880" s="85"/>
      <c r="B880" s="59"/>
      <c r="C880" s="51" t="str">
        <f>IFERROR(VLOOKUP(A880,Internal_lists_bugs!$A$2:$T1058,20,FALSE()),"please select a BUG ID")</f>
        <v>please select a BUG ID</v>
      </c>
      <c r="D880" s="93"/>
      <c r="E880" s="85"/>
      <c r="F880" s="62"/>
      <c r="G880" s="63"/>
      <c r="H880" s="85"/>
      <c r="I880" s="51" t="str">
        <f>IFERROR(VLOOKUP(A880,Internal_lists_bugs!$A$2:$G1058,7,FALSE()),"please select a BUG ID")</f>
        <v>please select a BUG ID</v>
      </c>
      <c r="J880" s="85"/>
      <c r="K880" s="85"/>
    </row>
    <row r="881">
      <c r="A881" s="85"/>
      <c r="B881" s="59"/>
      <c r="C881" s="51" t="str">
        <f>IFERROR(VLOOKUP(A881,Internal_lists_bugs!$A$2:$T1058,20,FALSE()),"please select a BUG ID")</f>
        <v>please select a BUG ID</v>
      </c>
      <c r="D881" s="93"/>
      <c r="E881" s="85"/>
      <c r="F881" s="62"/>
      <c r="G881" s="63"/>
      <c r="H881" s="85"/>
      <c r="I881" s="51" t="str">
        <f>IFERROR(VLOOKUP(A881,Internal_lists_bugs!$A$2:$G1058,7,FALSE()),"please select a BUG ID")</f>
        <v>please select a BUG ID</v>
      </c>
      <c r="J881" s="85"/>
      <c r="K881" s="85"/>
    </row>
    <row r="882">
      <c r="A882" s="85"/>
      <c r="B882" s="59"/>
      <c r="C882" s="51" t="str">
        <f>IFERROR(VLOOKUP(A882,Internal_lists_bugs!$A$2:$T1058,20,FALSE()),"please select a BUG ID")</f>
        <v>please select a BUG ID</v>
      </c>
      <c r="D882" s="93"/>
      <c r="E882" s="85"/>
      <c r="F882" s="62"/>
      <c r="G882" s="63"/>
      <c r="H882" s="85"/>
      <c r="I882" s="51" t="str">
        <f>IFERROR(VLOOKUP(A882,Internal_lists_bugs!$A$2:$G1058,7,FALSE()),"please select a BUG ID")</f>
        <v>please select a BUG ID</v>
      </c>
      <c r="J882" s="85"/>
      <c r="K882" s="85"/>
    </row>
    <row r="883">
      <c r="A883" s="85"/>
      <c r="B883" s="59"/>
      <c r="C883" s="51" t="str">
        <f>IFERROR(VLOOKUP(A883,Internal_lists_bugs!$A$2:$T1058,20,FALSE()),"please select a BUG ID")</f>
        <v>please select a BUG ID</v>
      </c>
      <c r="D883" s="93"/>
      <c r="E883" s="85"/>
      <c r="F883" s="62"/>
      <c r="G883" s="63"/>
      <c r="H883" s="85"/>
      <c r="I883" s="51" t="str">
        <f>IFERROR(VLOOKUP(A883,Internal_lists_bugs!$A$2:$G1058,7,FALSE()),"please select a BUG ID")</f>
        <v>please select a BUG ID</v>
      </c>
      <c r="J883" s="85"/>
      <c r="K883" s="85"/>
    </row>
    <row r="884">
      <c r="A884" s="85"/>
      <c r="B884" s="59"/>
      <c r="C884" s="51" t="str">
        <f>IFERROR(VLOOKUP(A884,Internal_lists_bugs!$A$2:$T1058,20,FALSE()),"please select a BUG ID")</f>
        <v>please select a BUG ID</v>
      </c>
      <c r="D884" s="93"/>
      <c r="E884" s="85"/>
      <c r="F884" s="62"/>
      <c r="G884" s="63"/>
      <c r="H884" s="85"/>
      <c r="I884" s="51" t="str">
        <f>IFERROR(VLOOKUP(A884,Internal_lists_bugs!$A$2:$G1058,7,FALSE()),"please select a BUG ID")</f>
        <v>please select a BUG ID</v>
      </c>
      <c r="J884" s="85"/>
      <c r="K884" s="85"/>
    </row>
    <row r="885">
      <c r="A885" s="85"/>
      <c r="B885" s="59"/>
      <c r="C885" s="51" t="str">
        <f>IFERROR(VLOOKUP(A885,Internal_lists_bugs!$A$2:$T1058,20,FALSE()),"please select a BUG ID")</f>
        <v>please select a BUG ID</v>
      </c>
      <c r="D885" s="93"/>
      <c r="E885" s="85"/>
      <c r="F885" s="62"/>
      <c r="G885" s="63"/>
      <c r="H885" s="85"/>
      <c r="I885" s="51" t="str">
        <f>IFERROR(VLOOKUP(A885,Internal_lists_bugs!$A$2:$G1058,7,FALSE()),"please select a BUG ID")</f>
        <v>please select a BUG ID</v>
      </c>
      <c r="J885" s="85"/>
      <c r="K885" s="85"/>
    </row>
    <row r="886">
      <c r="A886" s="85"/>
      <c r="B886" s="59"/>
      <c r="C886" s="51" t="str">
        <f>IFERROR(VLOOKUP(A886,Internal_lists_bugs!$A$2:$T1058,20,FALSE()),"please select a BUG ID")</f>
        <v>please select a BUG ID</v>
      </c>
      <c r="D886" s="93"/>
      <c r="E886" s="85"/>
      <c r="F886" s="62"/>
      <c r="G886" s="63"/>
      <c r="H886" s="85"/>
      <c r="I886" s="51" t="str">
        <f>IFERROR(VLOOKUP(A886,Internal_lists_bugs!$A$2:$G1058,7,FALSE()),"please select a BUG ID")</f>
        <v>please select a BUG ID</v>
      </c>
      <c r="J886" s="85"/>
      <c r="K886" s="85"/>
    </row>
    <row r="887">
      <c r="A887" s="85"/>
      <c r="B887" s="59"/>
      <c r="C887" s="51" t="str">
        <f>IFERROR(VLOOKUP(A887,Internal_lists_bugs!$A$2:$T1058,20,FALSE()),"please select a BUG ID")</f>
        <v>please select a BUG ID</v>
      </c>
      <c r="D887" s="93"/>
      <c r="E887" s="85"/>
      <c r="F887" s="62"/>
      <c r="G887" s="63"/>
      <c r="H887" s="85"/>
      <c r="I887" s="51" t="str">
        <f>IFERROR(VLOOKUP(A887,Internal_lists_bugs!$A$2:$G1058,7,FALSE()),"please select a BUG ID")</f>
        <v>please select a BUG ID</v>
      </c>
      <c r="J887" s="85"/>
      <c r="K887" s="85"/>
    </row>
    <row r="888">
      <c r="A888" s="85"/>
      <c r="B888" s="59"/>
      <c r="C888" s="51" t="str">
        <f>IFERROR(VLOOKUP(A888,Internal_lists_bugs!$A$2:$T1058,20,FALSE()),"please select a BUG ID")</f>
        <v>please select a BUG ID</v>
      </c>
      <c r="D888" s="93"/>
      <c r="E888" s="85"/>
      <c r="F888" s="62"/>
      <c r="G888" s="63"/>
      <c r="H888" s="85"/>
      <c r="I888" s="51" t="str">
        <f>IFERROR(VLOOKUP(A888,Internal_lists_bugs!$A$2:$G1058,7,FALSE()),"please select a BUG ID")</f>
        <v>please select a BUG ID</v>
      </c>
      <c r="J888" s="85"/>
      <c r="K888" s="85"/>
    </row>
    <row r="889">
      <c r="A889" s="85"/>
      <c r="B889" s="59"/>
      <c r="C889" s="51" t="str">
        <f>IFERROR(VLOOKUP(A889,Internal_lists_bugs!$A$2:$T1058,20,FALSE()),"please select a BUG ID")</f>
        <v>please select a BUG ID</v>
      </c>
      <c r="D889" s="93"/>
      <c r="E889" s="85"/>
      <c r="F889" s="62"/>
      <c r="G889" s="63"/>
      <c r="H889" s="85"/>
      <c r="I889" s="51" t="str">
        <f>IFERROR(VLOOKUP(A889,Internal_lists_bugs!$A$2:$G1058,7,FALSE()),"please select a BUG ID")</f>
        <v>please select a BUG ID</v>
      </c>
      <c r="J889" s="85"/>
      <c r="K889" s="85"/>
    </row>
    <row r="890">
      <c r="A890" s="85"/>
      <c r="B890" s="59"/>
      <c r="C890" s="51" t="str">
        <f>IFERROR(VLOOKUP(A890,Internal_lists_bugs!$A$2:$T1058,20,FALSE()),"please select a BUG ID")</f>
        <v>please select a BUG ID</v>
      </c>
      <c r="D890" s="93"/>
      <c r="E890" s="85"/>
      <c r="F890" s="62"/>
      <c r="G890" s="63"/>
      <c r="H890" s="85"/>
      <c r="I890" s="51" t="str">
        <f>IFERROR(VLOOKUP(A890,Internal_lists_bugs!$A$2:$G1058,7,FALSE()),"please select a BUG ID")</f>
        <v>please select a BUG ID</v>
      </c>
      <c r="J890" s="85"/>
      <c r="K890" s="85"/>
    </row>
    <row r="891">
      <c r="A891" s="85"/>
      <c r="B891" s="59"/>
      <c r="C891" s="51" t="str">
        <f>IFERROR(VLOOKUP(A891,Internal_lists_bugs!$A$2:$T1058,20,FALSE()),"please select a BUG ID")</f>
        <v>please select a BUG ID</v>
      </c>
      <c r="D891" s="93"/>
      <c r="E891" s="85"/>
      <c r="F891" s="62"/>
      <c r="G891" s="63"/>
      <c r="H891" s="85"/>
      <c r="I891" s="51" t="str">
        <f>IFERROR(VLOOKUP(A891,Internal_lists_bugs!$A$2:$G1058,7,FALSE()),"please select a BUG ID")</f>
        <v>please select a BUG ID</v>
      </c>
      <c r="J891" s="85"/>
      <c r="K891" s="85"/>
    </row>
    <row r="892">
      <c r="A892" s="85"/>
      <c r="B892" s="59"/>
      <c r="C892" s="51" t="str">
        <f>IFERROR(VLOOKUP(A892,Internal_lists_bugs!$A$2:$T1058,20,FALSE()),"please select a BUG ID")</f>
        <v>please select a BUG ID</v>
      </c>
      <c r="D892" s="93"/>
      <c r="E892" s="85"/>
      <c r="F892" s="62"/>
      <c r="G892" s="63"/>
      <c r="H892" s="85"/>
      <c r="I892" s="51" t="str">
        <f>IFERROR(VLOOKUP(A892,Internal_lists_bugs!$A$2:$G1058,7,FALSE()),"please select a BUG ID")</f>
        <v>please select a BUG ID</v>
      </c>
      <c r="J892" s="85"/>
      <c r="K892" s="85"/>
    </row>
    <row r="893">
      <c r="A893" s="85"/>
      <c r="B893" s="59"/>
      <c r="C893" s="51" t="str">
        <f>IFERROR(VLOOKUP(A893,Internal_lists_bugs!$A$2:$T1058,20,FALSE()),"please select a BUG ID")</f>
        <v>please select a BUG ID</v>
      </c>
      <c r="D893" s="93"/>
      <c r="E893" s="85"/>
      <c r="F893" s="62"/>
      <c r="G893" s="63"/>
      <c r="H893" s="85"/>
      <c r="I893" s="51" t="str">
        <f>IFERROR(VLOOKUP(A893,Internal_lists_bugs!$A$2:$G1058,7,FALSE()),"please select a BUG ID")</f>
        <v>please select a BUG ID</v>
      </c>
      <c r="J893" s="85"/>
      <c r="K893" s="85"/>
    </row>
    <row r="894">
      <c r="A894" s="85"/>
      <c r="B894" s="59"/>
      <c r="C894" s="51" t="str">
        <f>IFERROR(VLOOKUP(A894,Internal_lists_bugs!$A$2:$T1058,20,FALSE()),"please select a BUG ID")</f>
        <v>please select a BUG ID</v>
      </c>
      <c r="D894" s="93"/>
      <c r="E894" s="85"/>
      <c r="F894" s="62"/>
      <c r="G894" s="63"/>
      <c r="H894" s="85"/>
      <c r="I894" s="51" t="str">
        <f>IFERROR(VLOOKUP(A894,Internal_lists_bugs!$A$2:$G1058,7,FALSE()),"please select a BUG ID")</f>
        <v>please select a BUG ID</v>
      </c>
      <c r="J894" s="85"/>
      <c r="K894" s="85"/>
    </row>
    <row r="895">
      <c r="A895" s="85"/>
      <c r="B895" s="59"/>
      <c r="C895" s="51" t="str">
        <f>IFERROR(VLOOKUP(A895,Internal_lists_bugs!$A$2:$T1058,20,FALSE()),"please select a BUG ID")</f>
        <v>please select a BUG ID</v>
      </c>
      <c r="D895" s="93"/>
      <c r="E895" s="85"/>
      <c r="F895" s="62"/>
      <c r="G895" s="63"/>
      <c r="H895" s="85"/>
      <c r="I895" s="51" t="str">
        <f>IFERROR(VLOOKUP(A895,Internal_lists_bugs!$A$2:$G1058,7,FALSE()),"please select a BUG ID")</f>
        <v>please select a BUG ID</v>
      </c>
      <c r="J895" s="85"/>
      <c r="K895" s="85"/>
    </row>
    <row r="896">
      <c r="A896" s="85"/>
      <c r="B896" s="59"/>
      <c r="C896" s="51" t="str">
        <f>IFERROR(VLOOKUP(A896,Internal_lists_bugs!$A$2:$T1058,20,FALSE()),"please select a BUG ID")</f>
        <v>please select a BUG ID</v>
      </c>
      <c r="D896" s="93"/>
      <c r="E896" s="85"/>
      <c r="F896" s="62"/>
      <c r="G896" s="63"/>
      <c r="H896" s="85"/>
      <c r="I896" s="51" t="str">
        <f>IFERROR(VLOOKUP(A896,Internal_lists_bugs!$A$2:$G1058,7,FALSE()),"please select a BUG ID")</f>
        <v>please select a BUG ID</v>
      </c>
      <c r="J896" s="85"/>
      <c r="K896" s="85"/>
    </row>
    <row r="897">
      <c r="A897" s="85"/>
      <c r="B897" s="59"/>
      <c r="C897" s="51" t="str">
        <f>IFERROR(VLOOKUP(A897,Internal_lists_bugs!$A$2:$T1058,20,FALSE()),"please select a BUG ID")</f>
        <v>please select a BUG ID</v>
      </c>
      <c r="D897" s="93"/>
      <c r="E897" s="85"/>
      <c r="F897" s="62"/>
      <c r="G897" s="63"/>
      <c r="H897" s="85"/>
      <c r="I897" s="51" t="str">
        <f>IFERROR(VLOOKUP(A897,Internal_lists_bugs!$A$2:$G1058,7,FALSE()),"please select a BUG ID")</f>
        <v>please select a BUG ID</v>
      </c>
      <c r="J897" s="85"/>
      <c r="K897" s="85"/>
    </row>
    <row r="898">
      <c r="A898" s="85"/>
      <c r="B898" s="59"/>
      <c r="C898" s="51" t="str">
        <f>IFERROR(VLOOKUP(A898,Internal_lists_bugs!$A$2:$T1058,20,FALSE()),"please select a BUG ID")</f>
        <v>please select a BUG ID</v>
      </c>
      <c r="D898" s="93"/>
      <c r="E898" s="85"/>
      <c r="F898" s="62"/>
      <c r="G898" s="63"/>
      <c r="H898" s="85"/>
      <c r="I898" s="51" t="str">
        <f>IFERROR(VLOOKUP(A898,Internal_lists_bugs!$A$2:$G1058,7,FALSE()),"please select a BUG ID")</f>
        <v>please select a BUG ID</v>
      </c>
      <c r="J898" s="85"/>
      <c r="K898" s="85"/>
    </row>
    <row r="899">
      <c r="A899" s="85"/>
      <c r="B899" s="59"/>
      <c r="C899" s="51" t="str">
        <f>IFERROR(VLOOKUP(A899,Internal_lists_bugs!$A$2:$T1058,20,FALSE()),"please select a BUG ID")</f>
        <v>please select a BUG ID</v>
      </c>
      <c r="D899" s="93"/>
      <c r="E899" s="85"/>
      <c r="F899" s="62"/>
      <c r="G899" s="63"/>
      <c r="H899" s="85"/>
      <c r="I899" s="51" t="str">
        <f>IFERROR(VLOOKUP(A899,Internal_lists_bugs!$A$2:$G1058,7,FALSE()),"please select a BUG ID")</f>
        <v>please select a BUG ID</v>
      </c>
      <c r="J899" s="85"/>
      <c r="K899" s="85"/>
    </row>
    <row r="900">
      <c r="A900" s="85"/>
      <c r="B900" s="59"/>
      <c r="C900" s="51" t="str">
        <f>IFERROR(VLOOKUP(A900,Internal_lists_bugs!$A$2:$T1058,20,FALSE()),"please select a BUG ID")</f>
        <v>please select a BUG ID</v>
      </c>
      <c r="D900" s="93"/>
      <c r="E900" s="85"/>
      <c r="F900" s="62"/>
      <c r="G900" s="63"/>
      <c r="H900" s="85"/>
      <c r="I900" s="51" t="str">
        <f>IFERROR(VLOOKUP(A900,Internal_lists_bugs!$A$2:$G1058,7,FALSE()),"please select a BUG ID")</f>
        <v>please select a BUG ID</v>
      </c>
      <c r="J900" s="85"/>
      <c r="K900" s="85"/>
    </row>
    <row r="901">
      <c r="A901" s="85"/>
      <c r="B901" s="59"/>
      <c r="C901" s="51" t="str">
        <f>IFERROR(VLOOKUP(A901,Internal_lists_bugs!$A$2:$T1058,20,FALSE()),"please select a BUG ID")</f>
        <v>please select a BUG ID</v>
      </c>
      <c r="D901" s="93"/>
      <c r="E901" s="85"/>
      <c r="F901" s="62"/>
      <c r="G901" s="63"/>
      <c r="H901" s="85"/>
      <c r="I901" s="51" t="str">
        <f>IFERROR(VLOOKUP(A901,Internal_lists_bugs!$A$2:$G1058,7,FALSE()),"please select a BUG ID")</f>
        <v>please select a BUG ID</v>
      </c>
      <c r="J901" s="85"/>
      <c r="K901" s="85"/>
    </row>
    <row r="902">
      <c r="A902" s="85"/>
      <c r="B902" s="59"/>
      <c r="C902" s="51" t="str">
        <f>IFERROR(VLOOKUP(A902,Internal_lists_bugs!$A$2:$T1058,20,FALSE()),"please select a BUG ID")</f>
        <v>please select a BUG ID</v>
      </c>
      <c r="D902" s="93"/>
      <c r="E902" s="85"/>
      <c r="F902" s="62"/>
      <c r="G902" s="63"/>
      <c r="H902" s="85"/>
      <c r="I902" s="51" t="str">
        <f>IFERROR(VLOOKUP(A902,Internal_lists_bugs!$A$2:$G1058,7,FALSE()),"please select a BUG ID")</f>
        <v>please select a BUG ID</v>
      </c>
      <c r="J902" s="85"/>
      <c r="K902" s="85"/>
    </row>
    <row r="903">
      <c r="A903" s="85"/>
      <c r="B903" s="59"/>
      <c r="C903" s="51" t="str">
        <f>IFERROR(VLOOKUP(A903,Internal_lists_bugs!$A$2:$T1058,20,FALSE()),"please select a BUG ID")</f>
        <v>please select a BUG ID</v>
      </c>
      <c r="D903" s="93"/>
      <c r="E903" s="85"/>
      <c r="F903" s="62"/>
      <c r="G903" s="63"/>
      <c r="H903" s="85"/>
      <c r="I903" s="51" t="str">
        <f>IFERROR(VLOOKUP(A903,Internal_lists_bugs!$A$2:$G1058,7,FALSE()),"please select a BUG ID")</f>
        <v>please select a BUG ID</v>
      </c>
      <c r="J903" s="85"/>
      <c r="K903" s="85"/>
    </row>
    <row r="904">
      <c r="A904" s="85"/>
      <c r="B904" s="59"/>
      <c r="C904" s="51" t="str">
        <f>IFERROR(VLOOKUP(A904,Internal_lists_bugs!$A$2:$T1058,20,FALSE()),"please select a BUG ID")</f>
        <v>please select a BUG ID</v>
      </c>
      <c r="D904" s="93"/>
      <c r="E904" s="85"/>
      <c r="F904" s="62"/>
      <c r="G904" s="63"/>
      <c r="H904" s="85"/>
      <c r="I904" s="51" t="str">
        <f>IFERROR(VLOOKUP(A904,Internal_lists_bugs!$A$2:$G1058,7,FALSE()),"please select a BUG ID")</f>
        <v>please select a BUG ID</v>
      </c>
      <c r="J904" s="85"/>
      <c r="K904" s="85"/>
    </row>
    <row r="905">
      <c r="A905" s="85"/>
      <c r="B905" s="59"/>
      <c r="C905" s="51" t="str">
        <f>IFERROR(VLOOKUP(A905,Internal_lists_bugs!$A$2:$T1058,20,FALSE()),"please select a BUG ID")</f>
        <v>please select a BUG ID</v>
      </c>
      <c r="D905" s="93"/>
      <c r="E905" s="85"/>
      <c r="F905" s="62"/>
      <c r="G905" s="63"/>
      <c r="H905" s="85"/>
      <c r="I905" s="51" t="str">
        <f>IFERROR(VLOOKUP(A905,Internal_lists_bugs!$A$2:$G1058,7,FALSE()),"please select a BUG ID")</f>
        <v>please select a BUG ID</v>
      </c>
      <c r="J905" s="85"/>
      <c r="K905" s="85"/>
    </row>
    <row r="906">
      <c r="A906" s="85"/>
      <c r="B906" s="59"/>
      <c r="C906" s="51" t="str">
        <f>IFERROR(VLOOKUP(A906,Internal_lists_bugs!$A$2:$T1058,20,FALSE()),"please select a BUG ID")</f>
        <v>please select a BUG ID</v>
      </c>
      <c r="D906" s="93"/>
      <c r="E906" s="85"/>
      <c r="F906" s="62"/>
      <c r="G906" s="63"/>
      <c r="H906" s="85"/>
      <c r="I906" s="51" t="str">
        <f>IFERROR(VLOOKUP(A906,Internal_lists_bugs!$A$2:$G1058,7,FALSE()),"please select a BUG ID")</f>
        <v>please select a BUG ID</v>
      </c>
      <c r="J906" s="85"/>
      <c r="K906" s="85"/>
    </row>
    <row r="907">
      <c r="A907" s="85"/>
      <c r="B907" s="59"/>
      <c r="C907" s="51" t="str">
        <f>IFERROR(VLOOKUP(A907,Internal_lists_bugs!$A$2:$T1058,20,FALSE()),"please select a BUG ID")</f>
        <v>please select a BUG ID</v>
      </c>
      <c r="D907" s="93"/>
      <c r="E907" s="85"/>
      <c r="F907" s="62"/>
      <c r="G907" s="63"/>
      <c r="H907" s="85"/>
      <c r="I907" s="51" t="str">
        <f>IFERROR(VLOOKUP(A907,Internal_lists_bugs!$A$2:$G1058,7,FALSE()),"please select a BUG ID")</f>
        <v>please select a BUG ID</v>
      </c>
      <c r="J907" s="85"/>
      <c r="K907" s="85"/>
    </row>
    <row r="908">
      <c r="A908" s="85"/>
      <c r="B908" s="59"/>
      <c r="C908" s="51" t="str">
        <f>IFERROR(VLOOKUP(A908,Internal_lists_bugs!$A$2:$T1058,20,FALSE()),"please select a BUG ID")</f>
        <v>please select a BUG ID</v>
      </c>
      <c r="D908" s="93"/>
      <c r="E908" s="85"/>
      <c r="F908" s="62"/>
      <c r="G908" s="63"/>
      <c r="H908" s="85"/>
      <c r="I908" s="51" t="str">
        <f>IFERROR(VLOOKUP(A908,Internal_lists_bugs!$A$2:$G1058,7,FALSE()),"please select a BUG ID")</f>
        <v>please select a BUG ID</v>
      </c>
      <c r="J908" s="85"/>
      <c r="K908" s="85"/>
    </row>
    <row r="909">
      <c r="A909" s="85"/>
      <c r="B909" s="59"/>
      <c r="C909" s="51" t="str">
        <f>IFERROR(VLOOKUP(A909,Internal_lists_bugs!$A$2:$T1058,20,FALSE()),"please select a BUG ID")</f>
        <v>please select a BUG ID</v>
      </c>
      <c r="D909" s="93"/>
      <c r="E909" s="85"/>
      <c r="F909" s="62"/>
      <c r="G909" s="63"/>
      <c r="H909" s="85"/>
      <c r="I909" s="51" t="str">
        <f>IFERROR(VLOOKUP(A909,Internal_lists_bugs!$A$2:$G1058,7,FALSE()),"please select a BUG ID")</f>
        <v>please select a BUG ID</v>
      </c>
      <c r="J909" s="85"/>
      <c r="K909" s="85"/>
    </row>
    <row r="910">
      <c r="A910" s="85"/>
      <c r="B910" s="59"/>
      <c r="C910" s="51" t="str">
        <f>IFERROR(VLOOKUP(A910,Internal_lists_bugs!$A$2:$T1058,20,FALSE()),"please select a BUG ID")</f>
        <v>please select a BUG ID</v>
      </c>
      <c r="D910" s="93"/>
      <c r="E910" s="85"/>
      <c r="F910" s="62"/>
      <c r="G910" s="63"/>
      <c r="H910" s="85"/>
      <c r="I910" s="51" t="str">
        <f>IFERROR(VLOOKUP(A910,Internal_lists_bugs!$A$2:$G1058,7,FALSE()),"please select a BUG ID")</f>
        <v>please select a BUG ID</v>
      </c>
      <c r="J910" s="85"/>
      <c r="K910" s="85"/>
    </row>
    <row r="911">
      <c r="A911" s="85"/>
      <c r="B911" s="59"/>
      <c r="C911" s="51" t="str">
        <f>IFERROR(VLOOKUP(A911,Internal_lists_bugs!$A$2:$T1058,20,FALSE()),"please select a BUG ID")</f>
        <v>please select a BUG ID</v>
      </c>
      <c r="D911" s="93"/>
      <c r="E911" s="85"/>
      <c r="F911" s="62"/>
      <c r="G911" s="63"/>
      <c r="H911" s="85"/>
      <c r="I911" s="51" t="str">
        <f>IFERROR(VLOOKUP(A911,Internal_lists_bugs!$A$2:$G1058,7,FALSE()),"please select a BUG ID")</f>
        <v>please select a BUG ID</v>
      </c>
      <c r="J911" s="85"/>
      <c r="K911" s="85"/>
    </row>
    <row r="912">
      <c r="A912" s="85"/>
      <c r="B912" s="59"/>
      <c r="C912" s="51" t="str">
        <f>IFERROR(VLOOKUP(A912,Internal_lists_bugs!$A$2:$T1058,20,FALSE()),"please select a BUG ID")</f>
        <v>please select a BUG ID</v>
      </c>
      <c r="D912" s="93"/>
      <c r="E912" s="85"/>
      <c r="F912" s="62"/>
      <c r="G912" s="63"/>
      <c r="H912" s="85"/>
      <c r="I912" s="51" t="str">
        <f>IFERROR(VLOOKUP(A912,Internal_lists_bugs!$A$2:$G1058,7,FALSE()),"please select a BUG ID")</f>
        <v>please select a BUG ID</v>
      </c>
      <c r="J912" s="85"/>
      <c r="K912" s="85"/>
    </row>
    <row r="913">
      <c r="A913" s="85"/>
      <c r="B913" s="59"/>
      <c r="C913" s="51" t="str">
        <f>IFERROR(VLOOKUP(A913,Internal_lists_bugs!$A$2:$T1058,20,FALSE()),"please select a BUG ID")</f>
        <v>please select a BUG ID</v>
      </c>
      <c r="D913" s="93"/>
      <c r="E913" s="85"/>
      <c r="F913" s="62"/>
      <c r="G913" s="63"/>
      <c r="H913" s="85"/>
      <c r="I913" s="51" t="str">
        <f>IFERROR(VLOOKUP(A913,Internal_lists_bugs!$A$2:$G1058,7,FALSE()),"please select a BUG ID")</f>
        <v>please select a BUG ID</v>
      </c>
      <c r="J913" s="85"/>
      <c r="K913" s="85"/>
    </row>
    <row r="914">
      <c r="A914" s="85"/>
      <c r="B914" s="59"/>
      <c r="C914" s="51" t="str">
        <f>IFERROR(VLOOKUP(A914,Internal_lists_bugs!$A$2:$T1058,20,FALSE()),"please select a BUG ID")</f>
        <v>please select a BUG ID</v>
      </c>
      <c r="D914" s="93"/>
      <c r="E914" s="85"/>
      <c r="F914" s="62"/>
      <c r="G914" s="63"/>
      <c r="H914" s="85"/>
      <c r="I914" s="51" t="str">
        <f>IFERROR(VLOOKUP(A914,Internal_lists_bugs!$A$2:$G1058,7,FALSE()),"please select a BUG ID")</f>
        <v>please select a BUG ID</v>
      </c>
      <c r="J914" s="85"/>
      <c r="K914" s="85"/>
    </row>
    <row r="915">
      <c r="A915" s="85"/>
      <c r="B915" s="59"/>
      <c r="C915" s="51" t="str">
        <f>IFERROR(VLOOKUP(A915,Internal_lists_bugs!$A$2:$T1058,20,FALSE()),"please select a BUG ID")</f>
        <v>please select a BUG ID</v>
      </c>
      <c r="D915" s="93"/>
      <c r="E915" s="85"/>
      <c r="F915" s="62"/>
      <c r="G915" s="63"/>
      <c r="H915" s="85"/>
      <c r="I915" s="51" t="str">
        <f>IFERROR(VLOOKUP(A915,Internal_lists_bugs!$A$2:$G1058,7,FALSE()),"please select a BUG ID")</f>
        <v>please select a BUG ID</v>
      </c>
      <c r="J915" s="85"/>
      <c r="K915" s="85"/>
    </row>
    <row r="916">
      <c r="A916" s="85"/>
      <c r="B916" s="59"/>
      <c r="C916" s="51" t="str">
        <f>IFERROR(VLOOKUP(A916,Internal_lists_bugs!$A$2:$T1058,20,FALSE()),"please select a BUG ID")</f>
        <v>please select a BUG ID</v>
      </c>
      <c r="D916" s="93"/>
      <c r="E916" s="85"/>
      <c r="F916" s="62"/>
      <c r="G916" s="63"/>
      <c r="H916" s="85"/>
      <c r="I916" s="51" t="str">
        <f>IFERROR(VLOOKUP(A916,Internal_lists_bugs!$A$2:$G1058,7,FALSE()),"please select a BUG ID")</f>
        <v>please select a BUG ID</v>
      </c>
      <c r="J916" s="85"/>
      <c r="K916" s="85"/>
    </row>
    <row r="917">
      <c r="A917" s="85"/>
      <c r="B917" s="59"/>
      <c r="C917" s="51" t="str">
        <f>IFERROR(VLOOKUP(A917,Internal_lists_bugs!$A$2:$T1058,20,FALSE()),"please select a BUG ID")</f>
        <v>please select a BUG ID</v>
      </c>
      <c r="D917" s="93"/>
      <c r="E917" s="85"/>
      <c r="F917" s="62"/>
      <c r="G917" s="63"/>
      <c r="H917" s="85"/>
      <c r="I917" s="51" t="str">
        <f>IFERROR(VLOOKUP(A917,Internal_lists_bugs!$A$2:$G1058,7,FALSE()),"please select a BUG ID")</f>
        <v>please select a BUG ID</v>
      </c>
      <c r="J917" s="85"/>
      <c r="K917" s="85"/>
    </row>
    <row r="918">
      <c r="A918" s="85"/>
      <c r="B918" s="59"/>
      <c r="C918" s="51" t="str">
        <f>IFERROR(VLOOKUP(A918,Internal_lists_bugs!$A$2:$T1058,20,FALSE()),"please select a BUG ID")</f>
        <v>please select a BUG ID</v>
      </c>
      <c r="D918" s="93"/>
      <c r="E918" s="85"/>
      <c r="F918" s="62"/>
      <c r="G918" s="63"/>
      <c r="H918" s="85"/>
      <c r="I918" s="51" t="str">
        <f>IFERROR(VLOOKUP(A918,Internal_lists_bugs!$A$2:$G1058,7,FALSE()),"please select a BUG ID")</f>
        <v>please select a BUG ID</v>
      </c>
      <c r="J918" s="85"/>
      <c r="K918" s="85"/>
    </row>
    <row r="919">
      <c r="A919" s="85"/>
      <c r="B919" s="59"/>
      <c r="C919" s="51" t="str">
        <f>IFERROR(VLOOKUP(A919,Internal_lists_bugs!$A$2:$T1058,20,FALSE()),"please select a BUG ID")</f>
        <v>please select a BUG ID</v>
      </c>
      <c r="D919" s="93"/>
      <c r="E919" s="85"/>
      <c r="F919" s="62"/>
      <c r="G919" s="63"/>
      <c r="H919" s="85"/>
      <c r="I919" s="51" t="str">
        <f>IFERROR(VLOOKUP(A919,Internal_lists_bugs!$A$2:$G1058,7,FALSE()),"please select a BUG ID")</f>
        <v>please select a BUG ID</v>
      </c>
      <c r="J919" s="85"/>
      <c r="K919" s="85"/>
    </row>
    <row r="920">
      <c r="A920" s="85"/>
      <c r="B920" s="59"/>
      <c r="C920" s="51" t="str">
        <f>IFERROR(VLOOKUP(A920,Internal_lists_bugs!$A$2:$T1058,20,FALSE()),"please select a BUG ID")</f>
        <v>please select a BUG ID</v>
      </c>
      <c r="D920" s="93"/>
      <c r="E920" s="85"/>
      <c r="F920" s="62"/>
      <c r="G920" s="63"/>
      <c r="H920" s="85"/>
      <c r="I920" s="51" t="str">
        <f>IFERROR(VLOOKUP(A920,Internal_lists_bugs!$A$2:$G1058,7,FALSE()),"please select a BUG ID")</f>
        <v>please select a BUG ID</v>
      </c>
      <c r="J920" s="85"/>
      <c r="K920" s="85"/>
    </row>
    <row r="921">
      <c r="A921" s="85"/>
      <c r="B921" s="59"/>
      <c r="C921" s="51" t="str">
        <f>IFERROR(VLOOKUP(A921,Internal_lists_bugs!$A$2:$T1058,20,FALSE()),"please select a BUG ID")</f>
        <v>please select a BUG ID</v>
      </c>
      <c r="D921" s="93"/>
      <c r="E921" s="85"/>
      <c r="F921" s="62"/>
      <c r="G921" s="63"/>
      <c r="H921" s="85"/>
      <c r="I921" s="51" t="str">
        <f>IFERROR(VLOOKUP(A921,Internal_lists_bugs!$A$2:$G1058,7,FALSE()),"please select a BUG ID")</f>
        <v>please select a BUG ID</v>
      </c>
      <c r="J921" s="85"/>
      <c r="K921" s="85"/>
    </row>
    <row r="922">
      <c r="A922" s="85"/>
      <c r="B922" s="59"/>
      <c r="C922" s="51" t="str">
        <f>IFERROR(VLOOKUP(A922,Internal_lists_bugs!$A$2:$T1058,20,FALSE()),"please select a BUG ID")</f>
        <v>please select a BUG ID</v>
      </c>
      <c r="D922" s="93"/>
      <c r="E922" s="85"/>
      <c r="F922" s="62"/>
      <c r="G922" s="63"/>
      <c r="H922" s="85"/>
      <c r="I922" s="51" t="str">
        <f>IFERROR(VLOOKUP(A922,Internal_lists_bugs!$A$2:$G1058,7,FALSE()),"please select a BUG ID")</f>
        <v>please select a BUG ID</v>
      </c>
      <c r="J922" s="85"/>
      <c r="K922" s="85"/>
    </row>
    <row r="923">
      <c r="A923" s="85"/>
      <c r="B923" s="59"/>
      <c r="C923" s="51" t="str">
        <f>IFERROR(VLOOKUP(A923,Internal_lists_bugs!$A$2:$T1058,20,FALSE()),"please select a BUG ID")</f>
        <v>please select a BUG ID</v>
      </c>
      <c r="D923" s="93"/>
      <c r="E923" s="85"/>
      <c r="F923" s="62"/>
      <c r="G923" s="63"/>
      <c r="H923" s="85"/>
      <c r="I923" s="51" t="str">
        <f>IFERROR(VLOOKUP(A923,Internal_lists_bugs!$A$2:$G1058,7,FALSE()),"please select a BUG ID")</f>
        <v>please select a BUG ID</v>
      </c>
      <c r="J923" s="85"/>
      <c r="K923" s="85"/>
    </row>
    <row r="924">
      <c r="A924" s="85"/>
      <c r="B924" s="59"/>
      <c r="C924" s="51" t="str">
        <f>IFERROR(VLOOKUP(A924,Internal_lists_bugs!$A$2:$T1058,20,FALSE()),"please select a BUG ID")</f>
        <v>please select a BUG ID</v>
      </c>
      <c r="D924" s="93"/>
      <c r="E924" s="85"/>
      <c r="F924" s="62"/>
      <c r="G924" s="63"/>
      <c r="H924" s="85"/>
      <c r="I924" s="51" t="str">
        <f>IFERROR(VLOOKUP(A924,Internal_lists_bugs!$A$2:$G1058,7,FALSE()),"please select a BUG ID")</f>
        <v>please select a BUG ID</v>
      </c>
      <c r="J924" s="85"/>
      <c r="K924" s="85"/>
    </row>
    <row r="925">
      <c r="A925" s="85"/>
      <c r="B925" s="59"/>
      <c r="C925" s="51" t="str">
        <f>IFERROR(VLOOKUP(A925,Internal_lists_bugs!$A$2:$T1058,20,FALSE()),"please select a BUG ID")</f>
        <v>please select a BUG ID</v>
      </c>
      <c r="D925" s="93"/>
      <c r="E925" s="85"/>
      <c r="F925" s="62"/>
      <c r="G925" s="63"/>
      <c r="H925" s="85"/>
      <c r="I925" s="51" t="str">
        <f>IFERROR(VLOOKUP(A925,Internal_lists_bugs!$A$2:$G1058,7,FALSE()),"please select a BUG ID")</f>
        <v>please select a BUG ID</v>
      </c>
      <c r="J925" s="85"/>
      <c r="K925" s="85"/>
    </row>
    <row r="926">
      <c r="A926" s="85"/>
      <c r="B926" s="59"/>
      <c r="C926" s="51" t="str">
        <f>IFERROR(VLOOKUP(A926,Internal_lists_bugs!$A$2:$T1058,20,FALSE()),"please select a BUG ID")</f>
        <v>please select a BUG ID</v>
      </c>
      <c r="D926" s="93"/>
      <c r="E926" s="85"/>
      <c r="F926" s="62"/>
      <c r="G926" s="63"/>
      <c r="H926" s="85"/>
      <c r="I926" s="51" t="str">
        <f>IFERROR(VLOOKUP(A926,Internal_lists_bugs!$A$2:$G1058,7,FALSE()),"please select a BUG ID")</f>
        <v>please select a BUG ID</v>
      </c>
      <c r="J926" s="85"/>
      <c r="K926" s="85"/>
    </row>
    <row r="927">
      <c r="A927" s="85"/>
      <c r="B927" s="59"/>
      <c r="C927" s="51" t="str">
        <f>IFERROR(VLOOKUP(A927,Internal_lists_bugs!$A$2:$T1058,20,FALSE()),"please select a BUG ID")</f>
        <v>please select a BUG ID</v>
      </c>
      <c r="D927" s="93"/>
      <c r="E927" s="85"/>
      <c r="F927" s="62"/>
      <c r="G927" s="63"/>
      <c r="H927" s="85"/>
      <c r="I927" s="51" t="str">
        <f>IFERROR(VLOOKUP(A927,Internal_lists_bugs!$A$2:$G1058,7,FALSE()),"please select a BUG ID")</f>
        <v>please select a BUG ID</v>
      </c>
      <c r="J927" s="85"/>
      <c r="K927" s="85"/>
    </row>
    <row r="928">
      <c r="A928" s="85"/>
      <c r="B928" s="59"/>
      <c r="C928" s="51" t="str">
        <f>IFERROR(VLOOKUP(A928,Internal_lists_bugs!$A$2:$T1058,20,FALSE()),"please select a BUG ID")</f>
        <v>please select a BUG ID</v>
      </c>
      <c r="D928" s="93"/>
      <c r="E928" s="85"/>
      <c r="F928" s="62"/>
      <c r="G928" s="63"/>
      <c r="H928" s="85"/>
      <c r="I928" s="51" t="str">
        <f>IFERROR(VLOOKUP(A928,Internal_lists_bugs!$A$2:$G1058,7,FALSE()),"please select a BUG ID")</f>
        <v>please select a BUG ID</v>
      </c>
      <c r="J928" s="85"/>
      <c r="K928" s="85"/>
    </row>
    <row r="929">
      <c r="A929" s="85"/>
      <c r="B929" s="59"/>
      <c r="C929" s="51" t="str">
        <f>IFERROR(VLOOKUP(A929,Internal_lists_bugs!$A$2:$T1058,20,FALSE()),"please select a BUG ID")</f>
        <v>please select a BUG ID</v>
      </c>
      <c r="D929" s="93"/>
      <c r="E929" s="85"/>
      <c r="F929" s="62"/>
      <c r="G929" s="63"/>
      <c r="H929" s="85"/>
      <c r="I929" s="51" t="str">
        <f>IFERROR(VLOOKUP(A929,Internal_lists_bugs!$A$2:$G1058,7,FALSE()),"please select a BUG ID")</f>
        <v>please select a BUG ID</v>
      </c>
      <c r="J929" s="85"/>
      <c r="K929" s="85"/>
    </row>
    <row r="930">
      <c r="A930" s="85"/>
      <c r="B930" s="59"/>
      <c r="C930" s="51" t="str">
        <f>IFERROR(VLOOKUP(A930,Internal_lists_bugs!$A$2:$T1058,20,FALSE()),"please select a BUG ID")</f>
        <v>please select a BUG ID</v>
      </c>
      <c r="D930" s="93"/>
      <c r="E930" s="85"/>
      <c r="F930" s="62"/>
      <c r="G930" s="63"/>
      <c r="H930" s="85"/>
      <c r="I930" s="51" t="str">
        <f>IFERROR(VLOOKUP(A930,Internal_lists_bugs!$A$2:$G1058,7,FALSE()),"please select a BUG ID")</f>
        <v>please select a BUG ID</v>
      </c>
      <c r="J930" s="85"/>
      <c r="K930" s="85"/>
    </row>
    <row r="931">
      <c r="A931" s="85"/>
      <c r="B931" s="59"/>
      <c r="C931" s="51" t="str">
        <f>IFERROR(VLOOKUP(A931,Internal_lists_bugs!$A$2:$T1058,20,FALSE()),"please select a BUG ID")</f>
        <v>please select a BUG ID</v>
      </c>
      <c r="D931" s="93"/>
      <c r="E931" s="85"/>
      <c r="F931" s="62"/>
      <c r="G931" s="63"/>
      <c r="H931" s="85"/>
      <c r="I931" s="51" t="str">
        <f>IFERROR(VLOOKUP(A931,Internal_lists_bugs!$A$2:$G1058,7,FALSE()),"please select a BUG ID")</f>
        <v>please select a BUG ID</v>
      </c>
      <c r="J931" s="85"/>
      <c r="K931" s="85"/>
    </row>
    <row r="932">
      <c r="A932" s="85"/>
      <c r="B932" s="59"/>
      <c r="C932" s="51" t="str">
        <f>IFERROR(VLOOKUP(A932,Internal_lists_bugs!$A$2:$T1058,20,FALSE()),"please select a BUG ID")</f>
        <v>please select a BUG ID</v>
      </c>
      <c r="D932" s="93"/>
      <c r="E932" s="85"/>
      <c r="F932" s="62"/>
      <c r="G932" s="63"/>
      <c r="H932" s="85"/>
      <c r="I932" s="51" t="str">
        <f>IFERROR(VLOOKUP(A932,Internal_lists_bugs!$A$2:$G1058,7,FALSE()),"please select a BUG ID")</f>
        <v>please select a BUG ID</v>
      </c>
      <c r="J932" s="85"/>
      <c r="K932" s="85"/>
    </row>
    <row r="933">
      <c r="A933" s="85"/>
      <c r="B933" s="59"/>
      <c r="C933" s="51" t="str">
        <f>IFERROR(VLOOKUP(A933,Internal_lists_bugs!$A$2:$T1058,20,FALSE()),"please select a BUG ID")</f>
        <v>please select a BUG ID</v>
      </c>
      <c r="D933" s="93"/>
      <c r="E933" s="85"/>
      <c r="F933" s="62"/>
      <c r="G933" s="63"/>
      <c r="H933" s="85"/>
      <c r="I933" s="51" t="str">
        <f>IFERROR(VLOOKUP(A933,Internal_lists_bugs!$A$2:$G1058,7,FALSE()),"please select a BUG ID")</f>
        <v>please select a BUG ID</v>
      </c>
      <c r="J933" s="85"/>
      <c r="K933" s="85"/>
    </row>
    <row r="934">
      <c r="A934" s="85"/>
      <c r="B934" s="59"/>
      <c r="C934" s="51" t="str">
        <f>IFERROR(VLOOKUP(A934,Internal_lists_bugs!$A$2:$T1058,20,FALSE()),"please select a BUG ID")</f>
        <v>please select a BUG ID</v>
      </c>
      <c r="D934" s="93"/>
      <c r="E934" s="85"/>
      <c r="F934" s="62"/>
      <c r="G934" s="63"/>
      <c r="H934" s="85"/>
      <c r="I934" s="51" t="str">
        <f>IFERROR(VLOOKUP(A934,Internal_lists_bugs!$A$2:$G1058,7,FALSE()),"please select a BUG ID")</f>
        <v>please select a BUG ID</v>
      </c>
      <c r="J934" s="85"/>
      <c r="K934" s="85"/>
    </row>
    <row r="935">
      <c r="A935" s="85"/>
      <c r="B935" s="59"/>
      <c r="C935" s="51" t="str">
        <f>IFERROR(VLOOKUP(A935,Internal_lists_bugs!$A$2:$T1058,20,FALSE()),"please select a BUG ID")</f>
        <v>please select a BUG ID</v>
      </c>
      <c r="D935" s="93"/>
      <c r="E935" s="85"/>
      <c r="F935" s="62"/>
      <c r="G935" s="63"/>
      <c r="H935" s="85"/>
      <c r="I935" s="51" t="str">
        <f>IFERROR(VLOOKUP(A935,Internal_lists_bugs!$A$2:$G1058,7,FALSE()),"please select a BUG ID")</f>
        <v>please select a BUG ID</v>
      </c>
      <c r="J935" s="85"/>
      <c r="K935" s="85"/>
    </row>
    <row r="936">
      <c r="A936" s="85"/>
      <c r="B936" s="59"/>
      <c r="C936" s="51" t="str">
        <f>IFERROR(VLOOKUP(A936,Internal_lists_bugs!$A$2:$T1058,20,FALSE()),"please select a BUG ID")</f>
        <v>please select a BUG ID</v>
      </c>
      <c r="D936" s="93"/>
      <c r="E936" s="85"/>
      <c r="F936" s="62"/>
      <c r="G936" s="63"/>
      <c r="H936" s="85"/>
      <c r="I936" s="51" t="str">
        <f>IFERROR(VLOOKUP(A936,Internal_lists_bugs!$A$2:$G1058,7,FALSE()),"please select a BUG ID")</f>
        <v>please select a BUG ID</v>
      </c>
      <c r="J936" s="85"/>
      <c r="K936" s="85"/>
    </row>
    <row r="937">
      <c r="A937" s="85"/>
      <c r="B937" s="59"/>
      <c r="C937" s="51" t="str">
        <f>IFERROR(VLOOKUP(A937,Internal_lists_bugs!$A$2:$T1058,20,FALSE()),"please select a BUG ID")</f>
        <v>please select a BUG ID</v>
      </c>
      <c r="D937" s="93"/>
      <c r="E937" s="85"/>
      <c r="F937" s="62"/>
      <c r="G937" s="63"/>
      <c r="H937" s="85"/>
      <c r="I937" s="51" t="str">
        <f>IFERROR(VLOOKUP(A937,Internal_lists_bugs!$A$2:$G1058,7,FALSE()),"please select a BUG ID")</f>
        <v>please select a BUG ID</v>
      </c>
      <c r="J937" s="85"/>
      <c r="K937" s="85"/>
    </row>
    <row r="938">
      <c r="A938" s="85"/>
      <c r="B938" s="59"/>
      <c r="C938" s="51" t="str">
        <f>IFERROR(VLOOKUP(A938,Internal_lists_bugs!$A$2:$T1058,20,FALSE()),"please select a BUG ID")</f>
        <v>please select a BUG ID</v>
      </c>
      <c r="D938" s="93"/>
      <c r="E938" s="85"/>
      <c r="F938" s="62"/>
      <c r="G938" s="63"/>
      <c r="H938" s="85"/>
      <c r="I938" s="51" t="str">
        <f>IFERROR(VLOOKUP(A938,Internal_lists_bugs!$A$2:$G1058,7,FALSE()),"please select a BUG ID")</f>
        <v>please select a BUG ID</v>
      </c>
      <c r="J938" s="85"/>
      <c r="K938" s="85"/>
    </row>
    <row r="939">
      <c r="A939" s="85"/>
      <c r="B939" s="59"/>
      <c r="C939" s="51" t="str">
        <f>IFERROR(VLOOKUP(A939,Internal_lists_bugs!$A$2:$T1058,20,FALSE()),"please select a BUG ID")</f>
        <v>please select a BUG ID</v>
      </c>
      <c r="D939" s="93"/>
      <c r="E939" s="85"/>
      <c r="F939" s="62"/>
      <c r="G939" s="63"/>
      <c r="H939" s="85"/>
      <c r="I939" s="51" t="str">
        <f>IFERROR(VLOOKUP(A939,Internal_lists_bugs!$A$2:$G1058,7,FALSE()),"please select a BUG ID")</f>
        <v>please select a BUG ID</v>
      </c>
      <c r="J939" s="85"/>
      <c r="K939" s="85"/>
    </row>
    <row r="940">
      <c r="A940" s="85"/>
      <c r="B940" s="59"/>
      <c r="C940" s="51" t="str">
        <f>IFERROR(VLOOKUP(A940,Internal_lists_bugs!$A$2:$T1058,20,FALSE()),"please select a BUG ID")</f>
        <v>please select a BUG ID</v>
      </c>
      <c r="D940" s="93"/>
      <c r="E940" s="85"/>
      <c r="F940" s="62"/>
      <c r="G940" s="63"/>
      <c r="H940" s="85"/>
      <c r="I940" s="51" t="str">
        <f>IFERROR(VLOOKUP(A940,Internal_lists_bugs!$A$2:$G1058,7,FALSE()),"please select a BUG ID")</f>
        <v>please select a BUG ID</v>
      </c>
      <c r="J940" s="85"/>
      <c r="K940" s="85"/>
    </row>
    <row r="941">
      <c r="A941" s="85"/>
      <c r="B941" s="59"/>
      <c r="C941" s="51" t="str">
        <f>IFERROR(VLOOKUP(A941,Internal_lists_bugs!$A$2:$T1058,20,FALSE()),"please select a BUG ID")</f>
        <v>please select a BUG ID</v>
      </c>
      <c r="D941" s="93"/>
      <c r="E941" s="85"/>
      <c r="F941" s="62"/>
      <c r="G941" s="63"/>
      <c r="H941" s="85"/>
      <c r="I941" s="51" t="str">
        <f>IFERROR(VLOOKUP(A941,Internal_lists_bugs!$A$2:$G1058,7,FALSE()),"please select a BUG ID")</f>
        <v>please select a BUG ID</v>
      </c>
      <c r="J941" s="85"/>
      <c r="K941" s="85"/>
    </row>
    <row r="942">
      <c r="A942" s="85"/>
      <c r="B942" s="59"/>
      <c r="C942" s="51" t="str">
        <f>IFERROR(VLOOKUP(A942,Internal_lists_bugs!$A$2:$T1058,20,FALSE()),"please select a BUG ID")</f>
        <v>please select a BUG ID</v>
      </c>
      <c r="D942" s="93"/>
      <c r="E942" s="85"/>
      <c r="F942" s="62"/>
      <c r="G942" s="63"/>
      <c r="H942" s="85"/>
      <c r="I942" s="51" t="str">
        <f>IFERROR(VLOOKUP(A942,Internal_lists_bugs!$A$2:$G1058,7,FALSE()),"please select a BUG ID")</f>
        <v>please select a BUG ID</v>
      </c>
      <c r="J942" s="85"/>
      <c r="K942" s="85"/>
    </row>
    <row r="943">
      <c r="A943" s="85"/>
      <c r="B943" s="59"/>
      <c r="C943" s="51" t="str">
        <f>IFERROR(VLOOKUP(A943,Internal_lists_bugs!$A$2:$T1058,20,FALSE()),"please select a BUG ID")</f>
        <v>please select a BUG ID</v>
      </c>
      <c r="D943" s="93"/>
      <c r="E943" s="85"/>
      <c r="F943" s="62"/>
      <c r="G943" s="63"/>
      <c r="H943" s="85"/>
      <c r="I943" s="51" t="str">
        <f>IFERROR(VLOOKUP(A943,Internal_lists_bugs!$A$2:$G1058,7,FALSE()),"please select a BUG ID")</f>
        <v>please select a BUG ID</v>
      </c>
      <c r="J943" s="85"/>
      <c r="K943" s="85"/>
    </row>
    <row r="944">
      <c r="A944" s="85"/>
      <c r="B944" s="59"/>
      <c r="C944" s="51" t="str">
        <f>IFERROR(VLOOKUP(A944,Internal_lists_bugs!$A$2:$T1058,20,FALSE()),"please select a BUG ID")</f>
        <v>please select a BUG ID</v>
      </c>
      <c r="D944" s="93"/>
      <c r="E944" s="85"/>
      <c r="F944" s="62"/>
      <c r="G944" s="63"/>
      <c r="H944" s="85"/>
      <c r="I944" s="51" t="str">
        <f>IFERROR(VLOOKUP(A944,Internal_lists_bugs!$A$2:$G1058,7,FALSE()),"please select a BUG ID")</f>
        <v>please select a BUG ID</v>
      </c>
      <c r="J944" s="85"/>
      <c r="K944" s="85"/>
    </row>
    <row r="945">
      <c r="A945" s="85"/>
      <c r="B945" s="59"/>
      <c r="C945" s="51" t="str">
        <f>IFERROR(VLOOKUP(A945,Internal_lists_bugs!$A$2:$T1058,20,FALSE()),"please select a BUG ID")</f>
        <v>please select a BUG ID</v>
      </c>
      <c r="D945" s="93"/>
      <c r="E945" s="85"/>
      <c r="F945" s="62"/>
      <c r="G945" s="63"/>
      <c r="H945" s="85"/>
      <c r="I945" s="51" t="str">
        <f>IFERROR(VLOOKUP(A945,Internal_lists_bugs!$A$2:$G1058,7,FALSE()),"please select a BUG ID")</f>
        <v>please select a BUG ID</v>
      </c>
      <c r="J945" s="85"/>
      <c r="K945" s="85"/>
    </row>
    <row r="946">
      <c r="A946" s="85"/>
      <c r="B946" s="59"/>
      <c r="C946" s="51" t="str">
        <f>IFERROR(VLOOKUP(A946,Internal_lists_bugs!$A$2:$T1058,20,FALSE()),"please select a BUG ID")</f>
        <v>please select a BUG ID</v>
      </c>
      <c r="D946" s="93"/>
      <c r="E946" s="85"/>
      <c r="F946" s="62"/>
      <c r="G946" s="63"/>
      <c r="H946" s="85"/>
      <c r="I946" s="51" t="str">
        <f>IFERROR(VLOOKUP(A946,Internal_lists_bugs!$A$2:$G1058,7,FALSE()),"please select a BUG ID")</f>
        <v>please select a BUG ID</v>
      </c>
      <c r="J946" s="85"/>
      <c r="K946" s="85"/>
    </row>
    <row r="947">
      <c r="A947" s="85"/>
      <c r="B947" s="59"/>
      <c r="C947" s="51" t="str">
        <f>IFERROR(VLOOKUP(A947,Internal_lists_bugs!$A$2:$T1058,20,FALSE()),"please select a BUG ID")</f>
        <v>please select a BUG ID</v>
      </c>
      <c r="D947" s="93"/>
      <c r="E947" s="85"/>
      <c r="F947" s="62"/>
      <c r="G947" s="63"/>
      <c r="H947" s="85"/>
      <c r="I947" s="51" t="str">
        <f>IFERROR(VLOOKUP(A947,Internal_lists_bugs!$A$2:$G1058,7,FALSE()),"please select a BUG ID")</f>
        <v>please select a BUG ID</v>
      </c>
      <c r="J947" s="85"/>
      <c r="K947" s="85"/>
    </row>
    <row r="948">
      <c r="A948" s="85"/>
      <c r="B948" s="59"/>
      <c r="C948" s="51" t="str">
        <f>IFERROR(VLOOKUP(A948,Internal_lists_bugs!$A$2:$T1058,20,FALSE()),"please select a BUG ID")</f>
        <v>please select a BUG ID</v>
      </c>
      <c r="D948" s="93"/>
      <c r="E948" s="85"/>
      <c r="F948" s="62"/>
      <c r="G948" s="63"/>
      <c r="H948" s="85"/>
      <c r="I948" s="51" t="str">
        <f>IFERROR(VLOOKUP(A948,Internal_lists_bugs!$A$2:$G1058,7,FALSE()),"please select a BUG ID")</f>
        <v>please select a BUG ID</v>
      </c>
      <c r="J948" s="85"/>
      <c r="K948" s="85"/>
    </row>
    <row r="949">
      <c r="A949" s="85"/>
      <c r="B949" s="59"/>
      <c r="C949" s="51" t="str">
        <f>IFERROR(VLOOKUP(A949,Internal_lists_bugs!$A$2:$T1058,20,FALSE()),"please select a BUG ID")</f>
        <v>please select a BUG ID</v>
      </c>
      <c r="D949" s="93"/>
      <c r="E949" s="85"/>
      <c r="F949" s="62"/>
      <c r="G949" s="63"/>
      <c r="H949" s="85"/>
      <c r="I949" s="51" t="str">
        <f>IFERROR(VLOOKUP(A949,Internal_lists_bugs!$A$2:$G1058,7,FALSE()),"please select a BUG ID")</f>
        <v>please select a BUG ID</v>
      </c>
      <c r="J949" s="85"/>
      <c r="K949" s="85"/>
    </row>
    <row r="950">
      <c r="A950" s="85"/>
      <c r="B950" s="59"/>
      <c r="C950" s="51" t="str">
        <f>IFERROR(VLOOKUP(A950,Internal_lists_bugs!$A$2:$T1058,20,FALSE()),"please select a BUG ID")</f>
        <v>please select a BUG ID</v>
      </c>
      <c r="D950" s="93"/>
      <c r="E950" s="85"/>
      <c r="F950" s="62"/>
      <c r="G950" s="63"/>
      <c r="H950" s="85"/>
      <c r="I950" s="51" t="str">
        <f>IFERROR(VLOOKUP(A950,Internal_lists_bugs!$A$2:$G1058,7,FALSE()),"please select a BUG ID")</f>
        <v>please select a BUG ID</v>
      </c>
      <c r="J950" s="85"/>
      <c r="K950" s="85"/>
    </row>
    <row r="951">
      <c r="A951" s="85"/>
      <c r="B951" s="59"/>
      <c r="C951" s="51" t="str">
        <f>IFERROR(VLOOKUP(A951,Internal_lists_bugs!$A$2:$T1058,20,FALSE()),"please select a BUG ID")</f>
        <v>please select a BUG ID</v>
      </c>
      <c r="D951" s="93"/>
      <c r="E951" s="85"/>
      <c r="F951" s="62"/>
      <c r="G951" s="63"/>
      <c r="H951" s="85"/>
      <c r="I951" s="51" t="str">
        <f>IFERROR(VLOOKUP(A951,Internal_lists_bugs!$A$2:$G1058,7,FALSE()),"please select a BUG ID")</f>
        <v>please select a BUG ID</v>
      </c>
      <c r="J951" s="85"/>
      <c r="K951" s="85"/>
    </row>
    <row r="952">
      <c r="A952" s="85"/>
      <c r="B952" s="59"/>
      <c r="C952" s="51" t="str">
        <f>IFERROR(VLOOKUP(A952,Internal_lists_bugs!$A$2:$T1058,20,FALSE()),"please select a BUG ID")</f>
        <v>please select a BUG ID</v>
      </c>
      <c r="D952" s="93"/>
      <c r="E952" s="85"/>
      <c r="F952" s="62"/>
      <c r="G952" s="63"/>
      <c r="H952" s="85"/>
      <c r="I952" s="51" t="str">
        <f>IFERROR(VLOOKUP(A952,Internal_lists_bugs!$A$2:$G1058,7,FALSE()),"please select a BUG ID")</f>
        <v>please select a BUG ID</v>
      </c>
      <c r="J952" s="85"/>
      <c r="K952" s="85"/>
    </row>
    <row r="953">
      <c r="A953" s="85"/>
      <c r="B953" s="59"/>
      <c r="C953" s="51" t="str">
        <f>IFERROR(VLOOKUP(A953,Internal_lists_bugs!$A$2:$T1058,20,FALSE()),"please select a BUG ID")</f>
        <v>please select a BUG ID</v>
      </c>
      <c r="D953" s="93"/>
      <c r="E953" s="85"/>
      <c r="F953" s="62"/>
      <c r="G953" s="63"/>
      <c r="H953" s="85"/>
      <c r="I953" s="51" t="str">
        <f>IFERROR(VLOOKUP(A953,Internal_lists_bugs!$A$2:$G1058,7,FALSE()),"please select a BUG ID")</f>
        <v>please select a BUG ID</v>
      </c>
      <c r="J953" s="85"/>
      <c r="K953" s="85"/>
    </row>
    <row r="954">
      <c r="A954" s="85"/>
      <c r="B954" s="59"/>
      <c r="C954" s="51" t="str">
        <f>IFERROR(VLOOKUP(A954,Internal_lists_bugs!$A$2:$T1058,20,FALSE()),"please select a BUG ID")</f>
        <v>please select a BUG ID</v>
      </c>
      <c r="D954" s="93"/>
      <c r="E954" s="85"/>
      <c r="F954" s="62"/>
      <c r="G954" s="63"/>
      <c r="H954" s="85"/>
      <c r="I954" s="51" t="str">
        <f>IFERROR(VLOOKUP(A954,Internal_lists_bugs!$A$2:$G1058,7,FALSE()),"please select a BUG ID")</f>
        <v>please select a BUG ID</v>
      </c>
      <c r="J954" s="85"/>
      <c r="K954" s="85"/>
    </row>
    <row r="955">
      <c r="A955" s="85"/>
      <c r="B955" s="59"/>
      <c r="C955" s="51" t="str">
        <f>IFERROR(VLOOKUP(A955,Internal_lists_bugs!$A$2:$T1058,20,FALSE()),"please select a BUG ID")</f>
        <v>please select a BUG ID</v>
      </c>
      <c r="D955" s="93"/>
      <c r="E955" s="85"/>
      <c r="F955" s="62"/>
      <c r="G955" s="63"/>
      <c r="H955" s="85"/>
      <c r="I955" s="51" t="str">
        <f>IFERROR(VLOOKUP(A955,Internal_lists_bugs!$A$2:$G1058,7,FALSE()),"please select a BUG ID")</f>
        <v>please select a BUG ID</v>
      </c>
      <c r="J955" s="85"/>
      <c r="K955" s="85"/>
    </row>
    <row r="956">
      <c r="A956" s="85"/>
      <c r="B956" s="59"/>
      <c r="C956" s="51" t="str">
        <f>IFERROR(VLOOKUP(A956,Internal_lists_bugs!$A$2:$T1058,20,FALSE()),"please select a BUG ID")</f>
        <v>please select a BUG ID</v>
      </c>
      <c r="D956" s="93"/>
      <c r="E956" s="85"/>
      <c r="F956" s="62"/>
      <c r="G956" s="63"/>
      <c r="H956" s="85"/>
      <c r="I956" s="51" t="str">
        <f>IFERROR(VLOOKUP(A956,Internal_lists_bugs!$A$2:$G1058,7,FALSE()),"please select a BUG ID")</f>
        <v>please select a BUG ID</v>
      </c>
      <c r="J956" s="85"/>
      <c r="K956" s="85"/>
    </row>
    <row r="957">
      <c r="A957" s="85"/>
      <c r="B957" s="59"/>
      <c r="C957" s="51" t="str">
        <f>IFERROR(VLOOKUP(A957,Internal_lists_bugs!$A$2:$T1058,20,FALSE()),"please select a BUG ID")</f>
        <v>please select a BUG ID</v>
      </c>
      <c r="D957" s="93"/>
      <c r="E957" s="85"/>
      <c r="F957" s="62"/>
      <c r="G957" s="63"/>
      <c r="H957" s="85"/>
      <c r="I957" s="51" t="str">
        <f>IFERROR(VLOOKUP(A957,Internal_lists_bugs!$A$2:$G1058,7,FALSE()),"please select a BUG ID")</f>
        <v>please select a BUG ID</v>
      </c>
      <c r="J957" s="85"/>
      <c r="K957" s="85"/>
    </row>
    <row r="958">
      <c r="A958" s="85"/>
      <c r="B958" s="59"/>
      <c r="C958" s="51" t="str">
        <f>IFERROR(VLOOKUP(A958,Internal_lists_bugs!$A$2:$T1058,20,FALSE()),"please select a BUG ID")</f>
        <v>please select a BUG ID</v>
      </c>
      <c r="D958" s="93"/>
      <c r="E958" s="85"/>
      <c r="F958" s="62"/>
      <c r="G958" s="63"/>
      <c r="H958" s="85"/>
      <c r="I958" s="51" t="str">
        <f>IFERROR(VLOOKUP(A958,Internal_lists_bugs!$A$2:$G1058,7,FALSE()),"please select a BUG ID")</f>
        <v>please select a BUG ID</v>
      </c>
      <c r="J958" s="85"/>
      <c r="K958" s="85"/>
    </row>
    <row r="959">
      <c r="A959" s="85"/>
      <c r="B959" s="59"/>
      <c r="C959" s="51" t="str">
        <f>IFERROR(VLOOKUP(A959,Internal_lists_bugs!$A$2:$T1058,20,FALSE()),"please select a BUG ID")</f>
        <v>please select a BUG ID</v>
      </c>
      <c r="D959" s="93"/>
      <c r="E959" s="85"/>
      <c r="F959" s="62"/>
      <c r="G959" s="63"/>
      <c r="H959" s="85"/>
      <c r="I959" s="51" t="str">
        <f>IFERROR(VLOOKUP(A959,Internal_lists_bugs!$A$2:$G1058,7,FALSE()),"please select a BUG ID")</f>
        <v>please select a BUG ID</v>
      </c>
      <c r="J959" s="85"/>
      <c r="K959" s="85"/>
    </row>
    <row r="960">
      <c r="A960" s="85"/>
      <c r="B960" s="59"/>
      <c r="C960" s="51" t="str">
        <f>IFERROR(VLOOKUP(A960,Internal_lists_bugs!$A$2:$T1058,20,FALSE()),"please select a BUG ID")</f>
        <v>please select a BUG ID</v>
      </c>
      <c r="D960" s="93"/>
      <c r="E960" s="85"/>
      <c r="F960" s="62"/>
      <c r="G960" s="63"/>
      <c r="H960" s="85"/>
      <c r="I960" s="51" t="str">
        <f>IFERROR(VLOOKUP(A960,Internal_lists_bugs!$A$2:$G1058,7,FALSE()),"please select a BUG ID")</f>
        <v>please select a BUG ID</v>
      </c>
      <c r="J960" s="85"/>
      <c r="K960" s="85"/>
    </row>
    <row r="961">
      <c r="A961" s="85"/>
      <c r="B961" s="59"/>
      <c r="C961" s="51" t="str">
        <f>IFERROR(VLOOKUP(A961,Internal_lists_bugs!$A$2:$T1058,20,FALSE()),"please select a BUG ID")</f>
        <v>please select a BUG ID</v>
      </c>
      <c r="D961" s="93"/>
      <c r="E961" s="85"/>
      <c r="F961" s="62"/>
      <c r="G961" s="63"/>
      <c r="H961" s="85"/>
      <c r="I961" s="51" t="str">
        <f>IFERROR(VLOOKUP(A961,Internal_lists_bugs!$A$2:$G1058,7,FALSE()),"please select a BUG ID")</f>
        <v>please select a BUG ID</v>
      </c>
      <c r="J961" s="85"/>
      <c r="K961" s="85"/>
    </row>
    <row r="962">
      <c r="A962" s="85"/>
      <c r="B962" s="59"/>
      <c r="C962" s="51" t="str">
        <f>IFERROR(VLOOKUP(A962,Internal_lists_bugs!$A$2:$T1058,20,FALSE()),"please select a BUG ID")</f>
        <v>please select a BUG ID</v>
      </c>
      <c r="D962" s="93"/>
      <c r="E962" s="85"/>
      <c r="F962" s="62"/>
      <c r="G962" s="63"/>
      <c r="H962" s="85"/>
      <c r="I962" s="51" t="str">
        <f>IFERROR(VLOOKUP(A962,Internal_lists_bugs!$A$2:$G1058,7,FALSE()),"please select a BUG ID")</f>
        <v>please select a BUG ID</v>
      </c>
      <c r="J962" s="85"/>
      <c r="K962" s="85"/>
    </row>
    <row r="963">
      <c r="A963" s="85"/>
      <c r="B963" s="59"/>
      <c r="C963" s="51" t="str">
        <f>IFERROR(VLOOKUP(A963,Internal_lists_bugs!$A$2:$T1058,20,FALSE()),"please select a BUG ID")</f>
        <v>please select a BUG ID</v>
      </c>
      <c r="D963" s="93"/>
      <c r="E963" s="85"/>
      <c r="F963" s="62"/>
      <c r="G963" s="63"/>
      <c r="H963" s="85"/>
      <c r="I963" s="51" t="str">
        <f>IFERROR(VLOOKUP(A963,Internal_lists_bugs!$A$2:$G1058,7,FALSE()),"please select a BUG ID")</f>
        <v>please select a BUG ID</v>
      </c>
      <c r="J963" s="85"/>
      <c r="K963" s="85"/>
    </row>
    <row r="964">
      <c r="A964" s="85"/>
      <c r="B964" s="59"/>
      <c r="C964" s="51" t="str">
        <f>IFERROR(VLOOKUP(A964,Internal_lists_bugs!$A$2:$T1058,20,FALSE()),"please select a BUG ID")</f>
        <v>please select a BUG ID</v>
      </c>
      <c r="D964" s="93"/>
      <c r="E964" s="85"/>
      <c r="F964" s="62"/>
      <c r="G964" s="63"/>
      <c r="H964" s="85"/>
      <c r="I964" s="51" t="str">
        <f>IFERROR(VLOOKUP(A964,Internal_lists_bugs!$A$2:$G1058,7,FALSE()),"please select a BUG ID")</f>
        <v>please select a BUG ID</v>
      </c>
      <c r="J964" s="85"/>
      <c r="K964" s="85"/>
    </row>
    <row r="965">
      <c r="A965" s="85"/>
      <c r="B965" s="59"/>
      <c r="C965" s="51" t="str">
        <f>IFERROR(VLOOKUP(A965,Internal_lists_bugs!$A$2:$T1058,20,FALSE()),"please select a BUG ID")</f>
        <v>please select a BUG ID</v>
      </c>
      <c r="D965" s="93"/>
      <c r="E965" s="85"/>
      <c r="F965" s="62"/>
      <c r="G965" s="63"/>
      <c r="H965" s="85"/>
      <c r="I965" s="51" t="str">
        <f>IFERROR(VLOOKUP(A965,Internal_lists_bugs!$A$2:$G1058,7,FALSE()),"please select a BUG ID")</f>
        <v>please select a BUG ID</v>
      </c>
      <c r="J965" s="85"/>
      <c r="K965" s="85"/>
    </row>
    <row r="966">
      <c r="A966" s="85"/>
      <c r="B966" s="59"/>
      <c r="C966" s="51" t="str">
        <f>IFERROR(VLOOKUP(A966,Internal_lists_bugs!$A$2:$T1058,20,FALSE()),"please select a BUG ID")</f>
        <v>please select a BUG ID</v>
      </c>
      <c r="D966" s="93"/>
      <c r="E966" s="85"/>
      <c r="F966" s="62"/>
      <c r="G966" s="63"/>
      <c r="H966" s="85"/>
      <c r="I966" s="51" t="str">
        <f>IFERROR(VLOOKUP(A966,Internal_lists_bugs!$A$2:$G1058,7,FALSE()),"please select a BUG ID")</f>
        <v>please select a BUG ID</v>
      </c>
      <c r="J966" s="85"/>
      <c r="K966" s="85"/>
    </row>
    <row r="967">
      <c r="A967" s="85"/>
      <c r="B967" s="59"/>
      <c r="C967" s="51" t="str">
        <f>IFERROR(VLOOKUP(A967,Internal_lists_bugs!$A$2:$T1058,20,FALSE()),"please select a BUG ID")</f>
        <v>please select a BUG ID</v>
      </c>
      <c r="D967" s="93"/>
      <c r="E967" s="85"/>
      <c r="F967" s="62"/>
      <c r="G967" s="63"/>
      <c r="H967" s="85"/>
      <c r="I967" s="51" t="str">
        <f>IFERROR(VLOOKUP(A967,Internal_lists_bugs!$A$2:$G1058,7,FALSE()),"please select a BUG ID")</f>
        <v>please select a BUG ID</v>
      </c>
      <c r="J967" s="85"/>
      <c r="K967" s="85"/>
    </row>
    <row r="968">
      <c r="A968" s="85"/>
      <c r="B968" s="59"/>
      <c r="C968" s="51" t="str">
        <f>IFERROR(VLOOKUP(A968,Internal_lists_bugs!$A$2:$T1058,20,FALSE()),"please select a BUG ID")</f>
        <v>please select a BUG ID</v>
      </c>
      <c r="D968" s="93"/>
      <c r="E968" s="85"/>
      <c r="F968" s="62"/>
      <c r="G968" s="63"/>
      <c r="H968" s="85"/>
      <c r="I968" s="51" t="str">
        <f>IFERROR(VLOOKUP(A968,Internal_lists_bugs!$A$2:$G1058,7,FALSE()),"please select a BUG ID")</f>
        <v>please select a BUG ID</v>
      </c>
      <c r="J968" s="85"/>
      <c r="K968" s="85"/>
    </row>
    <row r="969">
      <c r="A969" s="85"/>
      <c r="B969" s="59"/>
      <c r="C969" s="51" t="str">
        <f>IFERROR(VLOOKUP(A969,Internal_lists_bugs!$A$2:$T1058,20,FALSE()),"please select a BUG ID")</f>
        <v>please select a BUG ID</v>
      </c>
      <c r="D969" s="93"/>
      <c r="E969" s="85"/>
      <c r="F969" s="62"/>
      <c r="G969" s="63"/>
      <c r="H969" s="85"/>
      <c r="I969" s="51" t="str">
        <f>IFERROR(VLOOKUP(A969,Internal_lists_bugs!$A$2:$G1058,7,FALSE()),"please select a BUG ID")</f>
        <v>please select a BUG ID</v>
      </c>
      <c r="J969" s="85"/>
      <c r="K969" s="85"/>
    </row>
    <row r="970">
      <c r="A970" s="85"/>
      <c r="B970" s="59"/>
      <c r="C970" s="51" t="str">
        <f>IFERROR(VLOOKUP(A970,Internal_lists_bugs!$A$2:$T1058,20,FALSE()),"please select a BUG ID")</f>
        <v>please select a BUG ID</v>
      </c>
      <c r="D970" s="93"/>
      <c r="E970" s="85"/>
      <c r="F970" s="62"/>
      <c r="G970" s="63"/>
      <c r="H970" s="85"/>
      <c r="I970" s="51" t="str">
        <f>IFERROR(VLOOKUP(A970,Internal_lists_bugs!$A$2:$G1058,7,FALSE()),"please select a BUG ID")</f>
        <v>please select a BUG ID</v>
      </c>
      <c r="J970" s="85"/>
      <c r="K970" s="85"/>
    </row>
    <row r="971">
      <c r="A971" s="85"/>
      <c r="B971" s="59"/>
      <c r="C971" s="51" t="str">
        <f>IFERROR(VLOOKUP(A971,Internal_lists_bugs!$A$2:$T1058,20,FALSE()),"please select a BUG ID")</f>
        <v>please select a BUG ID</v>
      </c>
      <c r="D971" s="93"/>
      <c r="E971" s="85"/>
      <c r="F971" s="62"/>
      <c r="G971" s="63"/>
      <c r="H971" s="85"/>
      <c r="I971" s="51" t="str">
        <f>IFERROR(VLOOKUP(A971,Internal_lists_bugs!$A$2:$G1058,7,FALSE()),"please select a BUG ID")</f>
        <v>please select a BUG ID</v>
      </c>
      <c r="J971" s="85"/>
      <c r="K971" s="85"/>
    </row>
    <row r="972">
      <c r="A972" s="85"/>
      <c r="B972" s="59"/>
      <c r="C972" s="51" t="str">
        <f>IFERROR(VLOOKUP(A972,Internal_lists_bugs!$A$2:$T1058,20,FALSE()),"please select a BUG ID")</f>
        <v>please select a BUG ID</v>
      </c>
      <c r="D972" s="93"/>
      <c r="E972" s="85"/>
      <c r="F972" s="62"/>
      <c r="G972" s="63"/>
      <c r="H972" s="85"/>
      <c r="I972" s="51" t="str">
        <f>IFERROR(VLOOKUP(A972,Internal_lists_bugs!$A$2:$G1058,7,FALSE()),"please select a BUG ID")</f>
        <v>please select a BUG ID</v>
      </c>
      <c r="J972" s="85"/>
      <c r="K972" s="85"/>
    </row>
    <row r="973">
      <c r="A973" s="85"/>
      <c r="B973" s="59"/>
      <c r="C973" s="51" t="str">
        <f>IFERROR(VLOOKUP(A973,Internal_lists_bugs!$A$2:$T1058,20,FALSE()),"please select a BUG ID")</f>
        <v>please select a BUG ID</v>
      </c>
      <c r="D973" s="93"/>
      <c r="E973" s="85"/>
      <c r="F973" s="62"/>
      <c r="G973" s="63"/>
      <c r="H973" s="85"/>
      <c r="I973" s="51" t="str">
        <f>IFERROR(VLOOKUP(A973,Internal_lists_bugs!$A$2:$G1058,7,FALSE()),"please select a BUG ID")</f>
        <v>please select a BUG ID</v>
      </c>
      <c r="J973" s="85"/>
      <c r="K973" s="85"/>
    </row>
    <row r="974">
      <c r="A974" s="85"/>
      <c r="B974" s="59"/>
      <c r="C974" s="51" t="str">
        <f>IFERROR(VLOOKUP(A974,Internal_lists_bugs!$A$2:$T1058,20,FALSE()),"please select a BUG ID")</f>
        <v>please select a BUG ID</v>
      </c>
      <c r="D974" s="93"/>
      <c r="E974" s="85"/>
      <c r="F974" s="62"/>
      <c r="G974" s="63"/>
      <c r="H974" s="85"/>
      <c r="I974" s="51" t="str">
        <f>IFERROR(VLOOKUP(A974,Internal_lists_bugs!$A$2:$G1058,7,FALSE()),"please select a BUG ID")</f>
        <v>please select a BUG ID</v>
      </c>
      <c r="J974" s="85"/>
      <c r="K974" s="85"/>
    </row>
    <row r="975">
      <c r="A975" s="85"/>
      <c r="B975" s="59"/>
      <c r="C975" s="51" t="str">
        <f>IFERROR(VLOOKUP(A975,Internal_lists_bugs!$A$2:$T1058,20,FALSE()),"please select a BUG ID")</f>
        <v>please select a BUG ID</v>
      </c>
      <c r="D975" s="93"/>
      <c r="E975" s="85"/>
      <c r="F975" s="62"/>
      <c r="G975" s="63"/>
      <c r="H975" s="85"/>
      <c r="I975" s="51" t="str">
        <f>IFERROR(VLOOKUP(A975,Internal_lists_bugs!$A$2:$G1058,7,FALSE()),"please select a BUG ID")</f>
        <v>please select a BUG ID</v>
      </c>
      <c r="J975" s="85"/>
      <c r="K975" s="85"/>
    </row>
    <row r="976">
      <c r="A976" s="85"/>
      <c r="B976" s="59"/>
      <c r="C976" s="51" t="str">
        <f>IFERROR(VLOOKUP(A976,Internal_lists_bugs!$A$2:$T1058,20,FALSE()),"please select a BUG ID")</f>
        <v>please select a BUG ID</v>
      </c>
      <c r="D976" s="93"/>
      <c r="E976" s="85"/>
      <c r="F976" s="62"/>
      <c r="G976" s="63"/>
      <c r="H976" s="85"/>
      <c r="I976" s="51" t="str">
        <f>IFERROR(VLOOKUP(A976,Internal_lists_bugs!$A$2:$G1058,7,FALSE()),"please select a BUG ID")</f>
        <v>please select a BUG ID</v>
      </c>
      <c r="J976" s="85"/>
      <c r="K976" s="85"/>
    </row>
    <row r="977">
      <c r="A977" s="85"/>
      <c r="B977" s="59"/>
      <c r="C977" s="51" t="str">
        <f>IFERROR(VLOOKUP(A977,Internal_lists_bugs!$A$2:$T1058,20,FALSE()),"please select a BUG ID")</f>
        <v>please select a BUG ID</v>
      </c>
      <c r="D977" s="93"/>
      <c r="E977" s="85"/>
      <c r="F977" s="62"/>
      <c r="G977" s="63"/>
      <c r="H977" s="85"/>
      <c r="I977" s="51" t="str">
        <f>IFERROR(VLOOKUP(A977,Internal_lists_bugs!$A$2:$G1058,7,FALSE()),"please select a BUG ID")</f>
        <v>please select a BUG ID</v>
      </c>
      <c r="J977" s="85"/>
      <c r="K977" s="85"/>
    </row>
    <row r="978">
      <c r="A978" s="85"/>
      <c r="B978" s="59"/>
      <c r="C978" s="51" t="str">
        <f>IFERROR(VLOOKUP(A978,Internal_lists_bugs!$A$2:$T1058,20,FALSE()),"please select a BUG ID")</f>
        <v>please select a BUG ID</v>
      </c>
      <c r="D978" s="93"/>
      <c r="E978" s="85"/>
      <c r="F978" s="62"/>
      <c r="G978" s="63"/>
      <c r="H978" s="85"/>
      <c r="I978" s="51" t="str">
        <f>IFERROR(VLOOKUP(A978,Internal_lists_bugs!$A$2:$G1058,7,FALSE()),"please select a BUG ID")</f>
        <v>please select a BUG ID</v>
      </c>
      <c r="J978" s="85"/>
      <c r="K978" s="85"/>
    </row>
    <row r="979">
      <c r="A979" s="85"/>
      <c r="B979" s="59"/>
      <c r="C979" s="51" t="str">
        <f>IFERROR(VLOOKUP(A979,Internal_lists_bugs!$A$2:$T1058,20,FALSE()),"please select a BUG ID")</f>
        <v>please select a BUG ID</v>
      </c>
      <c r="D979" s="93"/>
      <c r="E979" s="85"/>
      <c r="F979" s="62"/>
      <c r="G979" s="63"/>
      <c r="H979" s="85"/>
      <c r="I979" s="51" t="str">
        <f>IFERROR(VLOOKUP(A979,Internal_lists_bugs!$A$2:$G1058,7,FALSE()),"please select a BUG ID")</f>
        <v>please select a BUG ID</v>
      </c>
      <c r="J979" s="85"/>
      <c r="K979" s="85"/>
    </row>
    <row r="980">
      <c r="A980" s="85"/>
      <c r="B980" s="59"/>
      <c r="C980" s="51" t="str">
        <f>IFERROR(VLOOKUP(A980,Internal_lists_bugs!$A$2:$T1058,20,FALSE()),"please select a BUG ID")</f>
        <v>please select a BUG ID</v>
      </c>
      <c r="D980" s="93"/>
      <c r="E980" s="85"/>
      <c r="F980" s="62"/>
      <c r="G980" s="63"/>
      <c r="H980" s="85"/>
      <c r="I980" s="51" t="str">
        <f>IFERROR(VLOOKUP(A980,Internal_lists_bugs!$A$2:$G1058,7,FALSE()),"please select a BUG ID")</f>
        <v>please select a BUG ID</v>
      </c>
      <c r="J980" s="85"/>
      <c r="K980" s="85"/>
    </row>
    <row r="981">
      <c r="A981" s="85"/>
      <c r="B981" s="59"/>
      <c r="C981" s="51" t="str">
        <f>IFERROR(VLOOKUP(A981,Internal_lists_bugs!$A$2:$T1058,20,FALSE()),"please select a BUG ID")</f>
        <v>please select a BUG ID</v>
      </c>
      <c r="D981" s="93"/>
      <c r="E981" s="85"/>
      <c r="F981" s="62"/>
      <c r="G981" s="63"/>
      <c r="H981" s="85"/>
      <c r="I981" s="51" t="str">
        <f>IFERROR(VLOOKUP(A981,Internal_lists_bugs!$A$2:$G1058,7,FALSE()),"please select a BUG ID")</f>
        <v>please select a BUG ID</v>
      </c>
      <c r="J981" s="85"/>
      <c r="K981" s="85"/>
    </row>
    <row r="982">
      <c r="A982" s="85"/>
      <c r="B982" s="59"/>
      <c r="C982" s="51" t="str">
        <f>IFERROR(VLOOKUP(A982,Internal_lists_bugs!$A$2:$T1058,20,FALSE()),"please select a BUG ID")</f>
        <v>please select a BUG ID</v>
      </c>
      <c r="D982" s="93"/>
      <c r="E982" s="85"/>
      <c r="F982" s="62"/>
      <c r="G982" s="63"/>
      <c r="H982" s="85"/>
      <c r="I982" s="51" t="str">
        <f>IFERROR(VLOOKUP(A982,Internal_lists_bugs!$A$2:$G1058,7,FALSE()),"please select a BUG ID")</f>
        <v>please select a BUG ID</v>
      </c>
      <c r="J982" s="85"/>
      <c r="K982" s="85"/>
    </row>
    <row r="983">
      <c r="A983" s="85"/>
      <c r="B983" s="59"/>
      <c r="C983" s="51" t="str">
        <f>IFERROR(VLOOKUP(A983,Internal_lists_bugs!$A$2:$T1058,20,FALSE()),"please select a BUG ID")</f>
        <v>please select a BUG ID</v>
      </c>
      <c r="D983" s="93"/>
      <c r="E983" s="85"/>
      <c r="F983" s="62"/>
      <c r="G983" s="63"/>
      <c r="H983" s="85"/>
      <c r="I983" s="51" t="str">
        <f>IFERROR(VLOOKUP(A983,Internal_lists_bugs!$A$2:$G1058,7,FALSE()),"please select a BUG ID")</f>
        <v>please select a BUG ID</v>
      </c>
      <c r="J983" s="85"/>
      <c r="K983" s="85"/>
    </row>
    <row r="984">
      <c r="A984" s="85"/>
      <c r="B984" s="59"/>
      <c r="C984" s="51" t="str">
        <f>IFERROR(VLOOKUP(A984,Internal_lists_bugs!$A$2:$T1058,20,FALSE()),"please select a BUG ID")</f>
        <v>please select a BUG ID</v>
      </c>
      <c r="D984" s="93"/>
      <c r="E984" s="85"/>
      <c r="F984" s="62"/>
      <c r="G984" s="63"/>
      <c r="H984" s="85"/>
      <c r="I984" s="51" t="str">
        <f>IFERROR(VLOOKUP(A984,Internal_lists_bugs!$A$2:$G1058,7,FALSE()),"please select a BUG ID")</f>
        <v>please select a BUG ID</v>
      </c>
      <c r="J984" s="85"/>
      <c r="K984" s="85"/>
    </row>
    <row r="985">
      <c r="A985" s="85"/>
      <c r="B985" s="59"/>
      <c r="C985" s="51" t="str">
        <f>IFERROR(VLOOKUP(A985,Internal_lists_bugs!$A$2:$T1058,20,FALSE()),"please select a BUG ID")</f>
        <v>please select a BUG ID</v>
      </c>
      <c r="D985" s="93"/>
      <c r="E985" s="85"/>
      <c r="F985" s="62"/>
      <c r="G985" s="63"/>
      <c r="H985" s="85"/>
      <c r="I985" s="51" t="str">
        <f>IFERROR(VLOOKUP(A985,Internal_lists_bugs!$A$2:$G1058,7,FALSE()),"please select a BUG ID")</f>
        <v>please select a BUG ID</v>
      </c>
      <c r="J985" s="85"/>
      <c r="K985" s="85"/>
    </row>
    <row r="986">
      <c r="A986" s="85"/>
      <c r="B986" s="59"/>
      <c r="C986" s="51" t="str">
        <f>IFERROR(VLOOKUP(A986,Internal_lists_bugs!$A$2:$T1058,20,FALSE()),"please select a BUG ID")</f>
        <v>please select a BUG ID</v>
      </c>
      <c r="D986" s="93"/>
      <c r="E986" s="85"/>
      <c r="F986" s="62"/>
      <c r="G986" s="63"/>
      <c r="H986" s="85"/>
      <c r="I986" s="51" t="str">
        <f>IFERROR(VLOOKUP(A986,Internal_lists_bugs!$A$2:$G1058,7,FALSE()),"please select a BUG ID")</f>
        <v>please select a BUG ID</v>
      </c>
      <c r="J986" s="85"/>
      <c r="K986" s="85"/>
    </row>
    <row r="987">
      <c r="A987" s="85"/>
      <c r="B987" s="59"/>
      <c r="C987" s="51" t="str">
        <f>IFERROR(VLOOKUP(A987,Internal_lists_bugs!$A$2:$T1058,20,FALSE()),"please select a BUG ID")</f>
        <v>please select a BUG ID</v>
      </c>
      <c r="D987" s="93"/>
      <c r="E987" s="85"/>
      <c r="F987" s="62"/>
      <c r="G987" s="63"/>
      <c r="H987" s="85"/>
      <c r="I987" s="51" t="str">
        <f>IFERROR(VLOOKUP(A987,Internal_lists_bugs!$A$2:$G1058,7,FALSE()),"please select a BUG ID")</f>
        <v>please select a BUG ID</v>
      </c>
      <c r="J987" s="85"/>
      <c r="K987" s="85"/>
    </row>
    <row r="988">
      <c r="A988" s="85"/>
      <c r="B988" s="59"/>
      <c r="C988" s="51" t="str">
        <f>IFERROR(VLOOKUP(A988,Internal_lists_bugs!$A$2:$T1058,20,FALSE()),"please select a BUG ID")</f>
        <v>please select a BUG ID</v>
      </c>
      <c r="D988" s="93"/>
      <c r="E988" s="85"/>
      <c r="F988" s="62"/>
      <c r="G988" s="63"/>
      <c r="H988" s="85"/>
      <c r="I988" s="51" t="str">
        <f>IFERROR(VLOOKUP(A988,Internal_lists_bugs!$A$2:$G1058,7,FALSE()),"please select a BUG ID")</f>
        <v>please select a BUG ID</v>
      </c>
      <c r="J988" s="85"/>
      <c r="K988" s="85"/>
    </row>
    <row r="989">
      <c r="A989" s="85"/>
      <c r="B989" s="59"/>
      <c r="C989" s="51" t="str">
        <f>IFERROR(VLOOKUP(A989,Internal_lists_bugs!$A$2:$T1058,20,FALSE()),"please select a BUG ID")</f>
        <v>please select a BUG ID</v>
      </c>
      <c r="D989" s="93"/>
      <c r="E989" s="85"/>
      <c r="F989" s="62"/>
      <c r="G989" s="63"/>
      <c r="H989" s="85"/>
      <c r="I989" s="51" t="str">
        <f>IFERROR(VLOOKUP(A989,Internal_lists_bugs!$A$2:$G1058,7,FALSE()),"please select a BUG ID")</f>
        <v>please select a BUG ID</v>
      </c>
      <c r="J989" s="85"/>
      <c r="K989" s="85"/>
    </row>
    <row r="990">
      <c r="A990" s="85"/>
      <c r="B990" s="59"/>
      <c r="C990" s="51" t="str">
        <f>IFERROR(VLOOKUP(A990,Internal_lists_bugs!$A$2:$T1058,20,FALSE()),"please select a BUG ID")</f>
        <v>please select a BUG ID</v>
      </c>
      <c r="D990" s="93"/>
      <c r="E990" s="85"/>
      <c r="F990" s="62"/>
      <c r="G990" s="63"/>
      <c r="H990" s="85"/>
      <c r="I990" s="51" t="str">
        <f>IFERROR(VLOOKUP(A990,Internal_lists_bugs!$A$2:$G1058,7,FALSE()),"please select a BUG ID")</f>
        <v>please select a BUG ID</v>
      </c>
      <c r="J990" s="85"/>
      <c r="K990" s="85"/>
    </row>
    <row r="991">
      <c r="A991" s="85"/>
      <c r="B991" s="59"/>
      <c r="C991" s="51" t="str">
        <f>IFERROR(VLOOKUP(A991,Internal_lists_bugs!$A$2:$T1058,20,FALSE()),"please select a BUG ID")</f>
        <v>please select a BUG ID</v>
      </c>
      <c r="D991" s="93"/>
      <c r="E991" s="85"/>
      <c r="F991" s="62"/>
      <c r="G991" s="63"/>
      <c r="H991" s="85"/>
      <c r="I991" s="51" t="str">
        <f>IFERROR(VLOOKUP(A991,Internal_lists_bugs!$A$2:$G1058,7,FALSE()),"please select a BUG ID")</f>
        <v>please select a BUG ID</v>
      </c>
      <c r="J991" s="85"/>
      <c r="K991" s="85"/>
    </row>
    <row r="992">
      <c r="A992" s="85"/>
      <c r="B992" s="59"/>
      <c r="C992" s="51" t="str">
        <f>IFERROR(VLOOKUP(A992,Internal_lists_bugs!$A$2:$T1058,20,FALSE()),"please select a BUG ID")</f>
        <v>please select a BUG ID</v>
      </c>
      <c r="D992" s="93"/>
      <c r="E992" s="85"/>
      <c r="F992" s="62"/>
      <c r="G992" s="63"/>
      <c r="H992" s="85"/>
      <c r="I992" s="51" t="str">
        <f>IFERROR(VLOOKUP(A992,Internal_lists_bugs!$A$2:$G1058,7,FALSE()),"please select a BUG ID")</f>
        <v>please select a BUG ID</v>
      </c>
      <c r="J992" s="85"/>
      <c r="K992" s="85"/>
    </row>
    <row r="993">
      <c r="A993" s="85"/>
      <c r="B993" s="59"/>
      <c r="C993" s="51" t="str">
        <f>IFERROR(VLOOKUP(A993,Internal_lists_bugs!$A$2:$T1058,20,FALSE()),"please select a BUG ID")</f>
        <v>please select a BUG ID</v>
      </c>
      <c r="D993" s="93"/>
      <c r="E993" s="85"/>
      <c r="F993" s="62"/>
      <c r="G993" s="63"/>
      <c r="H993" s="85"/>
      <c r="I993" s="51" t="str">
        <f>IFERROR(VLOOKUP(A993,Internal_lists_bugs!$A$2:$G1058,7,FALSE()),"please select a BUG ID")</f>
        <v>please select a BUG ID</v>
      </c>
      <c r="J993" s="85"/>
      <c r="K993" s="85"/>
    </row>
    <row r="994">
      <c r="A994" s="85"/>
      <c r="B994" s="59"/>
      <c r="C994" s="51" t="str">
        <f>IFERROR(VLOOKUP(A994,Internal_lists_bugs!$A$2:$T1058,20,FALSE()),"please select a BUG ID")</f>
        <v>please select a BUG ID</v>
      </c>
      <c r="D994" s="93"/>
      <c r="E994" s="85"/>
      <c r="F994" s="62"/>
      <c r="G994" s="63"/>
      <c r="H994" s="85"/>
      <c r="I994" s="51" t="str">
        <f>IFERROR(VLOOKUP(A994,Internal_lists_bugs!$A$2:$G1058,7,FALSE()),"please select a BUG ID")</f>
        <v>please select a BUG ID</v>
      </c>
      <c r="J994" s="85"/>
      <c r="K994" s="85"/>
    </row>
    <row r="995">
      <c r="A995" s="85"/>
      <c r="B995" s="59"/>
      <c r="C995" s="51" t="str">
        <f>IFERROR(VLOOKUP(A995,Internal_lists_bugs!$A$2:$T1058,20,FALSE()),"please select a BUG ID")</f>
        <v>please select a BUG ID</v>
      </c>
      <c r="D995" s="93"/>
      <c r="E995" s="85"/>
      <c r="F995" s="62"/>
      <c r="G995" s="63"/>
      <c r="H995" s="85"/>
      <c r="I995" s="51" t="str">
        <f>IFERROR(VLOOKUP(A995,Internal_lists_bugs!$A$2:$G1058,7,FALSE()),"please select a BUG ID")</f>
        <v>please select a BUG ID</v>
      </c>
      <c r="J995" s="85"/>
      <c r="K995" s="85"/>
    </row>
    <row r="996">
      <c r="A996" s="85"/>
      <c r="B996" s="59"/>
      <c r="C996" s="51" t="str">
        <f>IFERROR(VLOOKUP(A996,Internal_lists_bugs!$A$2:$T1058,20,FALSE()),"please select a BUG ID")</f>
        <v>please select a BUG ID</v>
      </c>
      <c r="D996" s="93"/>
      <c r="E996" s="85"/>
      <c r="F996" s="62"/>
      <c r="G996" s="63"/>
      <c r="H996" s="85"/>
      <c r="I996" s="51" t="str">
        <f>IFERROR(VLOOKUP(A996,Internal_lists_bugs!$A$2:$G1058,7,FALSE()),"please select a BUG ID")</f>
        <v>please select a BUG ID</v>
      </c>
      <c r="J996" s="85"/>
      <c r="K996" s="85"/>
    </row>
    <row r="997">
      <c r="A997" s="85"/>
      <c r="B997" s="59"/>
      <c r="C997" s="51" t="str">
        <f>IFERROR(VLOOKUP(A997,Internal_lists_bugs!$A$2:$T1058,20,FALSE()),"please select a BUG ID")</f>
        <v>please select a BUG ID</v>
      </c>
      <c r="D997" s="93"/>
      <c r="E997" s="85"/>
      <c r="F997" s="62"/>
      <c r="G997" s="63"/>
      <c r="H997" s="85"/>
      <c r="I997" s="51" t="str">
        <f>IFERROR(VLOOKUP(A997,Internal_lists_bugs!$A$2:$G1058,7,FALSE()),"please select a BUG ID")</f>
        <v>please select a BUG ID</v>
      </c>
      <c r="J997" s="85"/>
      <c r="K997" s="85"/>
    </row>
    <row r="998">
      <c r="A998" s="85"/>
      <c r="B998" s="59"/>
      <c r="C998" s="51" t="str">
        <f>IFERROR(VLOOKUP(A998,Internal_lists_bugs!$A$2:$T1058,20,FALSE()),"please select a BUG ID")</f>
        <v>please select a BUG ID</v>
      </c>
      <c r="D998" s="93"/>
      <c r="E998" s="85"/>
      <c r="F998" s="62"/>
      <c r="G998" s="63"/>
      <c r="H998" s="85"/>
      <c r="I998" s="51" t="str">
        <f>IFERROR(VLOOKUP(A998,Internal_lists_bugs!$A$2:$G1058,7,FALSE()),"please select a BUG ID")</f>
        <v>please select a BUG ID</v>
      </c>
      <c r="J998" s="85"/>
      <c r="K998" s="85"/>
    </row>
    <row r="999">
      <c r="A999" s="85"/>
      <c r="B999" s="59"/>
      <c r="C999" s="51" t="str">
        <f>IFERROR(VLOOKUP(A999,Internal_lists_bugs!$A$2:$T1058,20,FALSE()),"please select a BUG ID")</f>
        <v>please select a BUG ID</v>
      </c>
      <c r="D999" s="93"/>
      <c r="E999" s="85"/>
      <c r="F999" s="62"/>
      <c r="G999" s="63"/>
      <c r="H999" s="85"/>
      <c r="I999" s="51" t="str">
        <f>IFERROR(VLOOKUP(A999,Internal_lists_bugs!$A$2:$G1058,7,FALSE()),"please select a BUG ID")</f>
        <v>please select a BUG ID</v>
      </c>
      <c r="J999" s="85"/>
      <c r="K999" s="85"/>
    </row>
    <row r="1000">
      <c r="A1000" s="85"/>
      <c r="B1000" s="59"/>
      <c r="C1000" s="51" t="str">
        <f>IFERROR(VLOOKUP(A1000,Internal_lists_bugs!$A$2:$T1058,20,FALSE()),"please select a BUG ID")</f>
        <v>please select a BUG ID</v>
      </c>
      <c r="D1000" s="93"/>
      <c r="E1000" s="85"/>
      <c r="F1000" s="62"/>
      <c r="G1000" s="63"/>
      <c r="H1000" s="85"/>
      <c r="I1000" s="51" t="str">
        <f>IFERROR(VLOOKUP(A1000,Internal_lists_bugs!$A$2:$G1058,7,FALSE()),"please select a BUG ID")</f>
        <v>please select a BUG ID</v>
      </c>
      <c r="J1000" s="85"/>
      <c r="K1000" s="85"/>
    </row>
    <row r="1001">
      <c r="A1001" s="85"/>
      <c r="B1001" s="59"/>
      <c r="C1001" s="51" t="str">
        <f>IFERROR(VLOOKUP(A1001,Internal_lists_bugs!$A$2:$T1058,20,FALSE()),"please select a BUG ID")</f>
        <v>please select a BUG ID</v>
      </c>
      <c r="D1001" s="93"/>
      <c r="E1001" s="85"/>
      <c r="F1001" s="62"/>
      <c r="G1001" s="63"/>
      <c r="H1001" s="85"/>
      <c r="I1001" s="51" t="str">
        <f>IFERROR(VLOOKUP(A1001,Internal_lists_bugs!$A$2:$G1058,7,FALSE()),"please select a BUG ID")</f>
        <v>please select a BUG ID</v>
      </c>
      <c r="J1001" s="85"/>
      <c r="K1001" s="85"/>
    </row>
    <row r="1002">
      <c r="A1002" s="85"/>
      <c r="B1002" s="59"/>
      <c r="C1002" s="51" t="str">
        <f>IFERROR(VLOOKUP(A1002,Internal_lists_bugs!$A$2:$T1058,20,FALSE()),"please select a BUG ID")</f>
        <v>please select a BUG ID</v>
      </c>
      <c r="D1002" s="93"/>
      <c r="E1002" s="85"/>
      <c r="F1002" s="62"/>
      <c r="G1002" s="63"/>
      <c r="H1002" s="85"/>
      <c r="I1002" s="51" t="str">
        <f>IFERROR(VLOOKUP(A1002,Internal_lists_bugs!$A$2:$G1058,7,FALSE()),"please select a BUG ID")</f>
        <v>please select a BUG ID</v>
      </c>
      <c r="J1002" s="85"/>
      <c r="K1002" s="85"/>
    </row>
    <row r="1003">
      <c r="A1003" s="85"/>
      <c r="B1003" s="59"/>
      <c r="C1003" s="51" t="str">
        <f>IFERROR(VLOOKUP(A1003,Internal_lists_bugs!$A$2:$T1058,20,FALSE()),"please select a BUG ID")</f>
        <v>please select a BUG ID</v>
      </c>
      <c r="D1003" s="93"/>
      <c r="E1003" s="85"/>
      <c r="F1003" s="62"/>
      <c r="G1003" s="63"/>
      <c r="H1003" s="85"/>
      <c r="I1003" s="51" t="str">
        <f>IFERROR(VLOOKUP(A1003,Internal_lists_bugs!$A$2:$G1058,7,FALSE()),"please select a BUG ID")</f>
        <v>please select a BUG ID</v>
      </c>
      <c r="J1003" s="85"/>
      <c r="K1003" s="85"/>
    </row>
    <row r="1004">
      <c r="A1004" s="85"/>
      <c r="B1004" s="59"/>
      <c r="C1004" s="51" t="str">
        <f>IFERROR(VLOOKUP(A1004,Internal_lists_bugs!$A$2:$T1058,20,FALSE()),"please select a BUG ID")</f>
        <v>please select a BUG ID</v>
      </c>
      <c r="D1004" s="93"/>
      <c r="E1004" s="85"/>
      <c r="F1004" s="62"/>
      <c r="G1004" s="63"/>
      <c r="H1004" s="85"/>
      <c r="I1004" s="51" t="str">
        <f>IFERROR(VLOOKUP(A1004,Internal_lists_bugs!$A$2:$G1058,7,FALSE()),"please select a BUG ID")</f>
        <v>please select a BUG ID</v>
      </c>
      <c r="J1004" s="85"/>
      <c r="K1004" s="85"/>
    </row>
    <row r="1005">
      <c r="A1005" s="85"/>
      <c r="B1005" s="59"/>
      <c r="C1005" s="51" t="str">
        <f>IFERROR(VLOOKUP(A1005,Internal_lists_bugs!$A$2:$T1058,20,FALSE()),"please select a BUG ID")</f>
        <v>please select a BUG ID</v>
      </c>
      <c r="D1005" s="93"/>
      <c r="E1005" s="85"/>
      <c r="F1005" s="62"/>
      <c r="G1005" s="63"/>
      <c r="H1005" s="85"/>
      <c r="I1005" s="51" t="str">
        <f>IFERROR(VLOOKUP(A1005,Internal_lists_bugs!$A$2:$G1058,7,FALSE()),"please select a BUG ID")</f>
        <v>please select a BUG ID</v>
      </c>
      <c r="J1005" s="85"/>
      <c r="K1005" s="85"/>
    </row>
    <row r="1006">
      <c r="A1006" s="85"/>
      <c r="B1006" s="59"/>
      <c r="C1006" s="51" t="str">
        <f>IFERROR(VLOOKUP(A1006,Internal_lists_bugs!$A$2:$T1058,20,FALSE()),"please select a BUG ID")</f>
        <v>please select a BUG ID</v>
      </c>
      <c r="D1006" s="93"/>
      <c r="E1006" s="85"/>
      <c r="F1006" s="62"/>
      <c r="G1006" s="63"/>
      <c r="H1006" s="85"/>
      <c r="I1006" s="51" t="str">
        <f>IFERROR(VLOOKUP(A1006,Internal_lists_bugs!$A$2:$G1058,7,FALSE()),"please select a BUG ID")</f>
        <v>please select a BUG ID</v>
      </c>
      <c r="J1006" s="85"/>
      <c r="K1006" s="85"/>
    </row>
    <row r="1007">
      <c r="A1007" s="85"/>
      <c r="B1007" s="59"/>
      <c r="C1007" s="51" t="str">
        <f>IFERROR(VLOOKUP(A1007,Internal_lists_bugs!$A$2:$T1058,20,FALSE()),"please select a BUG ID")</f>
        <v>please select a BUG ID</v>
      </c>
      <c r="D1007" s="93"/>
      <c r="E1007" s="85"/>
      <c r="F1007" s="62"/>
      <c r="G1007" s="63"/>
      <c r="H1007" s="85"/>
      <c r="I1007" s="51" t="str">
        <f>IFERROR(VLOOKUP(A1007,Internal_lists_bugs!$A$2:$G1058,7,FALSE()),"please select a BUG ID")</f>
        <v>please select a BUG ID</v>
      </c>
      <c r="J1007" s="85"/>
      <c r="K1007" s="85"/>
    </row>
    <row r="1008">
      <c r="A1008" s="85"/>
      <c r="B1008" s="59"/>
      <c r="C1008" s="51" t="str">
        <f>IFERROR(VLOOKUP(A1008,Internal_lists_bugs!$A$2:$T1058,20,FALSE()),"please select a BUG ID")</f>
        <v>please select a BUG ID</v>
      </c>
      <c r="D1008" s="93"/>
      <c r="E1008" s="85"/>
      <c r="F1008" s="62"/>
      <c r="G1008" s="63"/>
      <c r="H1008" s="85"/>
      <c r="I1008" s="51" t="str">
        <f>IFERROR(VLOOKUP(A1008,Internal_lists_bugs!$A$2:$G1058,7,FALSE()),"please select a BUG ID")</f>
        <v>please select a BUG ID</v>
      </c>
      <c r="J1008" s="85"/>
      <c r="K1008" s="85"/>
    </row>
    <row r="1009">
      <c r="A1009" s="85"/>
      <c r="B1009" s="59"/>
      <c r="C1009" s="51" t="str">
        <f>IFERROR(VLOOKUP(A1009,Internal_lists_bugs!$A$2:$T1058,20,FALSE()),"please select a BUG ID")</f>
        <v>please select a BUG ID</v>
      </c>
      <c r="D1009" s="93"/>
      <c r="E1009" s="85"/>
      <c r="F1009" s="62"/>
      <c r="G1009" s="63"/>
      <c r="H1009" s="85"/>
      <c r="I1009" s="51" t="str">
        <f>IFERROR(VLOOKUP(A1009,Internal_lists_bugs!$A$2:$G1058,7,FALSE()),"please select a BUG ID")</f>
        <v>please select a BUG ID</v>
      </c>
      <c r="J1009" s="85"/>
      <c r="K1009" s="85"/>
    </row>
    <row r="1010">
      <c r="A1010" s="85"/>
      <c r="B1010" s="59"/>
      <c r="C1010" s="51" t="str">
        <f>IFERROR(VLOOKUP(A1010,Internal_lists_bugs!$A$2:$T1058,20,FALSE()),"please select a BUG ID")</f>
        <v>please select a BUG ID</v>
      </c>
      <c r="D1010" s="93"/>
      <c r="E1010" s="85"/>
      <c r="F1010" s="62"/>
      <c r="G1010" s="63"/>
      <c r="H1010" s="85"/>
      <c r="I1010" s="51" t="str">
        <f>IFERROR(VLOOKUP(A1010,Internal_lists_bugs!$A$2:$G1058,7,FALSE()),"please select a BUG ID")</f>
        <v>please select a BUG ID</v>
      </c>
      <c r="J1010" s="85"/>
      <c r="K1010" s="85"/>
    </row>
    <row r="1011">
      <c r="A1011" s="85"/>
      <c r="B1011" s="59"/>
      <c r="C1011" s="51" t="str">
        <f>IFERROR(VLOOKUP(A1011,Internal_lists_bugs!$A$2:$T1058,20,FALSE()),"please select a BUG ID")</f>
        <v>please select a BUG ID</v>
      </c>
      <c r="D1011" s="93"/>
      <c r="E1011" s="85"/>
      <c r="F1011" s="62"/>
      <c r="G1011" s="63"/>
      <c r="H1011" s="85"/>
      <c r="I1011" s="51" t="str">
        <f>IFERROR(VLOOKUP(A1011,Internal_lists_bugs!$A$2:$G1058,7,FALSE()),"please select a BUG ID")</f>
        <v>please select a BUG ID</v>
      </c>
      <c r="J1011" s="85"/>
      <c r="K1011" s="85"/>
    </row>
    <row r="1012">
      <c r="A1012" s="85"/>
      <c r="B1012" s="59"/>
      <c r="C1012" s="51" t="str">
        <f>IFERROR(VLOOKUP(A1012,Internal_lists_bugs!$A$2:$T1058,20,FALSE()),"please select a BUG ID")</f>
        <v>please select a BUG ID</v>
      </c>
      <c r="D1012" s="93"/>
      <c r="E1012" s="85"/>
      <c r="F1012" s="62"/>
      <c r="G1012" s="63"/>
      <c r="H1012" s="85"/>
      <c r="I1012" s="51" t="str">
        <f>IFERROR(VLOOKUP(A1012,Internal_lists_bugs!$A$2:$G1058,7,FALSE()),"please select a BUG ID")</f>
        <v>please select a BUG ID</v>
      </c>
      <c r="J1012" s="85"/>
      <c r="K1012" s="85"/>
    </row>
    <row r="1013">
      <c r="A1013" s="85"/>
      <c r="B1013" s="59"/>
      <c r="C1013" s="51" t="str">
        <f>IFERROR(VLOOKUP(A1013,Internal_lists_bugs!$A$2:$T1058,20,FALSE()),"please select a BUG ID")</f>
        <v>please select a BUG ID</v>
      </c>
      <c r="D1013" s="93"/>
      <c r="E1013" s="85"/>
      <c r="F1013" s="62"/>
      <c r="G1013" s="63"/>
      <c r="H1013" s="85"/>
      <c r="I1013" s="51" t="str">
        <f>IFERROR(VLOOKUP(A1013,Internal_lists_bugs!$A$2:$G1058,7,FALSE()),"please select a BUG ID")</f>
        <v>please select a BUG ID</v>
      </c>
      <c r="J1013" s="85"/>
      <c r="K1013" s="85"/>
    </row>
    <row r="1014">
      <c r="A1014" s="85"/>
      <c r="B1014" s="59"/>
      <c r="C1014" s="51" t="str">
        <f>IFERROR(VLOOKUP(A1014,Internal_lists_bugs!$A$2:$T1058,20,FALSE()),"please select a BUG ID")</f>
        <v>please select a BUG ID</v>
      </c>
      <c r="D1014" s="93"/>
      <c r="E1014" s="85"/>
      <c r="F1014" s="62"/>
      <c r="G1014" s="63"/>
      <c r="H1014" s="85"/>
      <c r="I1014" s="51" t="str">
        <f>IFERROR(VLOOKUP(A1014,Internal_lists_bugs!$A$2:$G1058,7,FALSE()),"please select a BUG ID")</f>
        <v>please select a BUG ID</v>
      </c>
      <c r="J1014" s="85"/>
      <c r="K1014" s="85"/>
    </row>
    <row r="1015">
      <c r="A1015" s="85"/>
      <c r="B1015" s="59"/>
      <c r="C1015" s="51" t="str">
        <f>IFERROR(VLOOKUP(A1015,Internal_lists_bugs!$A$2:$T1058,20,FALSE()),"please select a BUG ID")</f>
        <v>please select a BUG ID</v>
      </c>
      <c r="D1015" s="93"/>
      <c r="E1015" s="85"/>
      <c r="F1015" s="62"/>
      <c r="G1015" s="63"/>
      <c r="H1015" s="85"/>
      <c r="I1015" s="51" t="str">
        <f>IFERROR(VLOOKUP(A1015,Internal_lists_bugs!$A$2:$G1058,7,FALSE()),"please select a BUG ID")</f>
        <v>please select a BUG ID</v>
      </c>
      <c r="J1015" s="85"/>
      <c r="K1015" s="85"/>
    </row>
    <row r="1016">
      <c r="A1016" s="85"/>
      <c r="B1016" s="59"/>
      <c r="C1016" s="51" t="str">
        <f>IFERROR(VLOOKUP(A1016,Internal_lists_bugs!$A$2:$T1058,20,FALSE()),"please select a BUG ID")</f>
        <v>please select a BUG ID</v>
      </c>
      <c r="D1016" s="93"/>
      <c r="E1016" s="85"/>
      <c r="F1016" s="62"/>
      <c r="G1016" s="63"/>
      <c r="H1016" s="85"/>
      <c r="I1016" s="51" t="str">
        <f>IFERROR(VLOOKUP(A1016,Internal_lists_bugs!$A$2:$G1058,7,FALSE()),"please select a BUG ID")</f>
        <v>please select a BUG ID</v>
      </c>
      <c r="J1016" s="85"/>
      <c r="K1016" s="85"/>
    </row>
    <row r="1017">
      <c r="A1017" s="85"/>
      <c r="B1017" s="59"/>
      <c r="C1017" s="51" t="str">
        <f>IFERROR(VLOOKUP(A1017,Internal_lists_bugs!$A$2:$T1058,20,FALSE()),"please select a BUG ID")</f>
        <v>please select a BUG ID</v>
      </c>
      <c r="D1017" s="93"/>
      <c r="E1017" s="85"/>
      <c r="F1017" s="62"/>
      <c r="G1017" s="63"/>
      <c r="H1017" s="85"/>
      <c r="I1017" s="51" t="str">
        <f>IFERROR(VLOOKUP(A1017,Internal_lists_bugs!$A$2:$G1058,7,FALSE()),"please select a BUG ID")</f>
        <v>please select a BUG ID</v>
      </c>
      <c r="J1017" s="85"/>
      <c r="K1017" s="85"/>
    </row>
    <row r="1018">
      <c r="A1018" s="85"/>
      <c r="B1018" s="59"/>
      <c r="C1018" s="51" t="str">
        <f>IFERROR(VLOOKUP(A1018,Internal_lists_bugs!$A$2:$T1058,20,FALSE()),"please select a BUG ID")</f>
        <v>please select a BUG ID</v>
      </c>
      <c r="D1018" s="93"/>
      <c r="E1018" s="85"/>
      <c r="F1018" s="62"/>
      <c r="G1018" s="63"/>
      <c r="H1018" s="85"/>
      <c r="I1018" s="51" t="str">
        <f>IFERROR(VLOOKUP(A1018,Internal_lists_bugs!$A$2:$G1058,7,FALSE()),"please select a BUG ID")</f>
        <v>please select a BUG ID</v>
      </c>
      <c r="J1018" s="85"/>
      <c r="K1018" s="85"/>
    </row>
    <row r="1019">
      <c r="A1019" s="85"/>
      <c r="B1019" s="59"/>
      <c r="C1019" s="51" t="str">
        <f>IFERROR(VLOOKUP(A1019,Internal_lists_bugs!$A$2:$T1058,20,FALSE()),"please select a BUG ID")</f>
        <v>please select a BUG ID</v>
      </c>
      <c r="D1019" s="93"/>
      <c r="E1019" s="85"/>
      <c r="F1019" s="62"/>
      <c r="G1019" s="63"/>
      <c r="H1019" s="85"/>
      <c r="I1019" s="51" t="str">
        <f>IFERROR(VLOOKUP(A1019,Internal_lists_bugs!$A$2:$G1058,7,FALSE()),"please select a BUG ID")</f>
        <v>please select a BUG ID</v>
      </c>
      <c r="J1019" s="85"/>
      <c r="K1019" s="85"/>
    </row>
    <row r="1020">
      <c r="A1020" s="85"/>
      <c r="B1020" s="59"/>
      <c r="C1020" s="51" t="str">
        <f>IFERROR(VLOOKUP(A1020,Internal_lists_bugs!$A$2:$T1058,20,FALSE()),"please select a BUG ID")</f>
        <v>please select a BUG ID</v>
      </c>
      <c r="D1020" s="93"/>
      <c r="E1020" s="85"/>
      <c r="F1020" s="62"/>
      <c r="G1020" s="63"/>
      <c r="H1020" s="85"/>
      <c r="I1020" s="51" t="str">
        <f>IFERROR(VLOOKUP(A1020,Internal_lists_bugs!$A$2:$G1058,7,FALSE()),"please select a BUG ID")</f>
        <v>please select a BUG ID</v>
      </c>
      <c r="J1020" s="85"/>
      <c r="K1020" s="85"/>
    </row>
    <row r="1021">
      <c r="A1021" s="85"/>
      <c r="B1021" s="59"/>
      <c r="C1021" s="51" t="str">
        <f>IFERROR(VLOOKUP(A1021,Internal_lists_bugs!$A$2:$T1058,20,FALSE()),"please select a BUG ID")</f>
        <v>please select a BUG ID</v>
      </c>
      <c r="D1021" s="93"/>
      <c r="E1021" s="85"/>
      <c r="F1021" s="62"/>
      <c r="G1021" s="63"/>
      <c r="H1021" s="85"/>
      <c r="I1021" s="51" t="str">
        <f>IFERROR(VLOOKUP(A1021,Internal_lists_bugs!$A$2:$G1058,7,FALSE()),"please select a BUG ID")</f>
        <v>please select a BUG ID</v>
      </c>
      <c r="J1021" s="85"/>
      <c r="K1021" s="85"/>
    </row>
    <row r="1022">
      <c r="A1022" s="85"/>
      <c r="B1022" s="59"/>
      <c r="C1022" s="51" t="str">
        <f>IFERROR(VLOOKUP(A1022,Internal_lists_bugs!$A$2:$T1058,20,FALSE()),"please select a BUG ID")</f>
        <v>please select a BUG ID</v>
      </c>
      <c r="D1022" s="93"/>
      <c r="E1022" s="85"/>
      <c r="F1022" s="62"/>
      <c r="G1022" s="63"/>
      <c r="H1022" s="85"/>
      <c r="I1022" s="51" t="str">
        <f>IFERROR(VLOOKUP(A1022,Internal_lists_bugs!$A$2:$G1058,7,FALSE()),"please select a BUG ID")</f>
        <v>please select a BUG ID</v>
      </c>
      <c r="J1022" s="85"/>
      <c r="K1022" s="85"/>
    </row>
    <row r="1023">
      <c r="A1023" s="85"/>
      <c r="B1023" s="59"/>
      <c r="C1023" s="51" t="str">
        <f>IFERROR(VLOOKUP(A1023,Internal_lists_bugs!$A$2:$T1058,20,FALSE()),"please select a BUG ID")</f>
        <v>please select a BUG ID</v>
      </c>
      <c r="D1023" s="93"/>
      <c r="E1023" s="85"/>
      <c r="F1023" s="62"/>
      <c r="G1023" s="63"/>
      <c r="H1023" s="85"/>
      <c r="I1023" s="51" t="str">
        <f>IFERROR(VLOOKUP(A1023,Internal_lists_bugs!$A$2:$G1058,7,FALSE()),"please select a BUG ID")</f>
        <v>please select a BUG ID</v>
      </c>
      <c r="J1023" s="85"/>
      <c r="K1023" s="85"/>
    </row>
    <row r="1024">
      <c r="A1024" s="85"/>
      <c r="B1024" s="59"/>
      <c r="C1024" s="51" t="str">
        <f>IFERROR(VLOOKUP(A1024,Internal_lists_bugs!$A$2:$T1058,20,FALSE()),"please select a BUG ID")</f>
        <v>please select a BUG ID</v>
      </c>
      <c r="D1024" s="93"/>
      <c r="E1024" s="85"/>
      <c r="F1024" s="62"/>
      <c r="G1024" s="63"/>
      <c r="H1024" s="85"/>
      <c r="I1024" s="51" t="str">
        <f>IFERROR(VLOOKUP(A1024,Internal_lists_bugs!$A$2:$G1058,7,FALSE()),"please select a BUG ID")</f>
        <v>please select a BUG ID</v>
      </c>
      <c r="J1024" s="85"/>
      <c r="K1024" s="85"/>
    </row>
    <row r="1025">
      <c r="A1025" s="85"/>
      <c r="B1025" s="59"/>
      <c r="C1025" s="51" t="str">
        <f>IFERROR(VLOOKUP(A1025,Internal_lists_bugs!$A$2:$T1058,20,FALSE()),"please select a BUG ID")</f>
        <v>please select a BUG ID</v>
      </c>
      <c r="D1025" s="93"/>
      <c r="E1025" s="85"/>
      <c r="F1025" s="62"/>
      <c r="G1025" s="63"/>
      <c r="H1025" s="85"/>
      <c r="I1025" s="51" t="str">
        <f>IFERROR(VLOOKUP(A1025,Internal_lists_bugs!$A$2:$G1058,7,FALSE()),"please select a BUG ID")</f>
        <v>please select a BUG ID</v>
      </c>
      <c r="J1025" s="85"/>
      <c r="K1025" s="85"/>
    </row>
    <row r="1026">
      <c r="A1026" s="85"/>
      <c r="B1026" s="59"/>
      <c r="C1026" s="51" t="str">
        <f>IFERROR(VLOOKUP(A1026,Internal_lists_bugs!$A$2:$T1058,20,FALSE()),"please select a BUG ID")</f>
        <v>please select a BUG ID</v>
      </c>
      <c r="D1026" s="93"/>
      <c r="E1026" s="85"/>
      <c r="F1026" s="62"/>
      <c r="G1026" s="63"/>
      <c r="H1026" s="85"/>
      <c r="I1026" s="51" t="str">
        <f>IFERROR(VLOOKUP(A1026,Internal_lists_bugs!$A$2:$G1058,7,FALSE()),"please select a BUG ID")</f>
        <v>please select a BUG ID</v>
      </c>
      <c r="J1026" s="85"/>
      <c r="K1026" s="85"/>
    </row>
    <row r="1027">
      <c r="A1027" s="85"/>
      <c r="B1027" s="59"/>
      <c r="C1027" s="51" t="str">
        <f>IFERROR(VLOOKUP(A1027,Internal_lists_bugs!$A$2:$T1058,20,FALSE()),"please select a BUG ID")</f>
        <v>please select a BUG ID</v>
      </c>
      <c r="D1027" s="93"/>
      <c r="E1027" s="85"/>
      <c r="F1027" s="62"/>
      <c r="G1027" s="63"/>
      <c r="H1027" s="85"/>
      <c r="I1027" s="51" t="str">
        <f>IFERROR(VLOOKUP(A1027,Internal_lists_bugs!$A$2:$G1058,7,FALSE()),"please select a BUG ID")</f>
        <v>please select a BUG ID</v>
      </c>
      <c r="J1027" s="85"/>
      <c r="K1027" s="85"/>
    </row>
    <row r="1028">
      <c r="A1028" s="85"/>
      <c r="B1028" s="59"/>
      <c r="C1028" s="51" t="str">
        <f>IFERROR(VLOOKUP(A1028,Internal_lists_bugs!$A$2:$T1058,20,FALSE()),"please select a BUG ID")</f>
        <v>please select a BUG ID</v>
      </c>
      <c r="D1028" s="93"/>
      <c r="E1028" s="85"/>
      <c r="F1028" s="62"/>
      <c r="G1028" s="63"/>
      <c r="H1028" s="85"/>
      <c r="I1028" s="51" t="str">
        <f>IFERROR(VLOOKUP(A1028,Internal_lists_bugs!$A$2:$G1058,7,FALSE()),"please select a BUG ID")</f>
        <v>please select a BUG ID</v>
      </c>
      <c r="J1028" s="85"/>
      <c r="K1028" s="85"/>
    </row>
    <row r="1029">
      <c r="A1029" s="85"/>
      <c r="B1029" s="59"/>
      <c r="C1029" s="51" t="str">
        <f>IFERROR(VLOOKUP(A1029,Internal_lists_bugs!$A$2:$T1058,20,FALSE()),"please select a BUG ID")</f>
        <v>please select a BUG ID</v>
      </c>
      <c r="D1029" s="93"/>
      <c r="E1029" s="85"/>
      <c r="F1029" s="62"/>
      <c r="G1029" s="63"/>
      <c r="H1029" s="85"/>
      <c r="I1029" s="51" t="str">
        <f>IFERROR(VLOOKUP(A1029,Internal_lists_bugs!$A$2:$G1058,7,FALSE()),"please select a BUG ID")</f>
        <v>please select a BUG ID</v>
      </c>
      <c r="J1029" s="85"/>
      <c r="K1029" s="85"/>
    </row>
    <row r="1030">
      <c r="A1030" s="85"/>
      <c r="B1030" s="59"/>
      <c r="C1030" s="51" t="str">
        <f>IFERROR(VLOOKUP(A1030,Internal_lists_bugs!$A$2:$T1058,20,FALSE()),"please select a BUG ID")</f>
        <v>please select a BUG ID</v>
      </c>
      <c r="D1030" s="93"/>
      <c r="E1030" s="85"/>
      <c r="F1030" s="62"/>
      <c r="G1030" s="63"/>
      <c r="H1030" s="85"/>
      <c r="I1030" s="51" t="str">
        <f>IFERROR(VLOOKUP(A1030,Internal_lists_bugs!$A$2:$G1058,7,FALSE()),"please select a BUG ID")</f>
        <v>please select a BUG ID</v>
      </c>
      <c r="J1030" s="85"/>
      <c r="K1030" s="85"/>
    </row>
    <row r="1031">
      <c r="A1031" s="85"/>
      <c r="B1031" s="59"/>
      <c r="C1031" s="51" t="str">
        <f>IFERROR(VLOOKUP(A1031,Internal_lists_bugs!$A$2:$T1058,20,FALSE()),"please select a BUG ID")</f>
        <v>please select a BUG ID</v>
      </c>
      <c r="D1031" s="93"/>
      <c r="E1031" s="85"/>
      <c r="F1031" s="62"/>
      <c r="G1031" s="63"/>
      <c r="H1031" s="85"/>
      <c r="I1031" s="51" t="str">
        <f>IFERROR(VLOOKUP(A1031,Internal_lists_bugs!$A$2:$G1058,7,FALSE()),"please select a BUG ID")</f>
        <v>please select a BUG ID</v>
      </c>
      <c r="J1031" s="85"/>
      <c r="K1031" s="85"/>
    </row>
    <row r="1032">
      <c r="A1032" s="85"/>
      <c r="B1032" s="59"/>
      <c r="C1032" s="51" t="str">
        <f>IFERROR(VLOOKUP(A1032,Internal_lists_bugs!$A$2:$T1058,20,FALSE()),"please select a BUG ID")</f>
        <v>please select a BUG ID</v>
      </c>
      <c r="D1032" s="93"/>
      <c r="E1032" s="85"/>
      <c r="F1032" s="62"/>
      <c r="G1032" s="63"/>
      <c r="H1032" s="85"/>
      <c r="I1032" s="51" t="str">
        <f>IFERROR(VLOOKUP(A1032,Internal_lists_bugs!$A$2:$G1058,7,FALSE()),"please select a BUG ID")</f>
        <v>please select a BUG ID</v>
      </c>
      <c r="J1032" s="85"/>
      <c r="K1032" s="85"/>
    </row>
    <row r="1033">
      <c r="A1033" s="85"/>
      <c r="B1033" s="59"/>
      <c r="C1033" s="51" t="str">
        <f>IFERROR(VLOOKUP(A1033,Internal_lists_bugs!$A$2:$T1058,20,FALSE()),"please select a BUG ID")</f>
        <v>please select a BUG ID</v>
      </c>
      <c r="D1033" s="93"/>
      <c r="E1033" s="85"/>
      <c r="F1033" s="62"/>
      <c r="G1033" s="63"/>
      <c r="H1033" s="85"/>
      <c r="I1033" s="51" t="str">
        <f>IFERROR(VLOOKUP(A1033,Internal_lists_bugs!$A$2:$G1058,7,FALSE()),"please select a BUG ID")</f>
        <v>please select a BUG ID</v>
      </c>
      <c r="J1033" s="85"/>
      <c r="K1033" s="85"/>
    </row>
    <row r="1034">
      <c r="A1034" s="85"/>
      <c r="B1034" s="59"/>
      <c r="C1034" s="51" t="str">
        <f>IFERROR(VLOOKUP(A1034,Internal_lists_bugs!$A$2:$T1058,20,FALSE()),"please select a BUG ID")</f>
        <v>please select a BUG ID</v>
      </c>
      <c r="D1034" s="93"/>
      <c r="E1034" s="85"/>
      <c r="F1034" s="62"/>
      <c r="G1034" s="63"/>
      <c r="H1034" s="85"/>
      <c r="I1034" s="51" t="str">
        <f>IFERROR(VLOOKUP(A1034,Internal_lists_bugs!$A$2:$G1058,7,FALSE()),"please select a BUG ID")</f>
        <v>please select a BUG ID</v>
      </c>
      <c r="J1034" s="85"/>
      <c r="K1034" s="85"/>
    </row>
    <row r="1035">
      <c r="A1035" s="85"/>
      <c r="B1035" s="59"/>
      <c r="C1035" s="51" t="str">
        <f>IFERROR(VLOOKUP(A1035,Internal_lists_bugs!$A$2:$T1058,20,FALSE()),"please select a BUG ID")</f>
        <v>please select a BUG ID</v>
      </c>
      <c r="D1035" s="93"/>
      <c r="E1035" s="85"/>
      <c r="F1035" s="62"/>
      <c r="G1035" s="63"/>
      <c r="H1035" s="85"/>
      <c r="I1035" s="51" t="str">
        <f>IFERROR(VLOOKUP(A1035,Internal_lists_bugs!$A$2:$G1058,7,FALSE()),"please select a BUG ID")</f>
        <v>please select a BUG ID</v>
      </c>
      <c r="J1035" s="85"/>
      <c r="K1035" s="85"/>
    </row>
    <row r="1036">
      <c r="A1036" s="85"/>
      <c r="B1036" s="59"/>
      <c r="C1036" s="51" t="str">
        <f>IFERROR(VLOOKUP(A1036,Internal_lists_bugs!$A$2:$T1058,20,FALSE()),"please select a BUG ID")</f>
        <v>please select a BUG ID</v>
      </c>
      <c r="D1036" s="93"/>
      <c r="E1036" s="85"/>
      <c r="F1036" s="62"/>
      <c r="G1036" s="63"/>
      <c r="H1036" s="85"/>
      <c r="I1036" s="51" t="str">
        <f>IFERROR(VLOOKUP(A1036,Internal_lists_bugs!$A$2:$G1058,7,FALSE()),"please select a BUG ID")</f>
        <v>please select a BUG ID</v>
      </c>
      <c r="J1036" s="85"/>
      <c r="K1036" s="85"/>
    </row>
    <row r="1037">
      <c r="A1037" s="85"/>
      <c r="B1037" s="59"/>
      <c r="C1037" s="51" t="str">
        <f>IFERROR(VLOOKUP(A1037,Internal_lists_bugs!$A$2:$T1058,20,FALSE()),"please select a BUG ID")</f>
        <v>please select a BUG ID</v>
      </c>
      <c r="D1037" s="93"/>
      <c r="E1037" s="85"/>
      <c r="F1037" s="62"/>
      <c r="G1037" s="63"/>
      <c r="H1037" s="85"/>
      <c r="I1037" s="51" t="str">
        <f>IFERROR(VLOOKUP(A1037,Internal_lists_bugs!$A$2:$G1058,7,FALSE()),"please select a BUG ID")</f>
        <v>please select a BUG ID</v>
      </c>
      <c r="J1037" s="85"/>
      <c r="K1037" s="85"/>
    </row>
    <row r="1038">
      <c r="A1038" s="85"/>
      <c r="B1038" s="59"/>
      <c r="C1038" s="51" t="str">
        <f>IFERROR(VLOOKUP(A1038,Internal_lists_bugs!$A$2:$T1058,20,FALSE()),"please select a BUG ID")</f>
        <v>please select a BUG ID</v>
      </c>
      <c r="D1038" s="93"/>
      <c r="E1038" s="85"/>
      <c r="F1038" s="62"/>
      <c r="G1038" s="63"/>
      <c r="H1038" s="85"/>
      <c r="I1038" s="51" t="str">
        <f>IFERROR(VLOOKUP(A1038,Internal_lists_bugs!$A$2:$G1058,7,FALSE()),"please select a BUG ID")</f>
        <v>please select a BUG ID</v>
      </c>
      <c r="J1038" s="85"/>
      <c r="K1038" s="85"/>
    </row>
    <row r="1039">
      <c r="A1039" s="85"/>
      <c r="B1039" s="59"/>
      <c r="C1039" s="51" t="str">
        <f>IFERROR(VLOOKUP(A1039,Internal_lists_bugs!$A$2:$T1058,20,FALSE()),"please select a BUG ID")</f>
        <v>please select a BUG ID</v>
      </c>
      <c r="D1039" s="93"/>
      <c r="E1039" s="85"/>
      <c r="F1039" s="62"/>
      <c r="G1039" s="63"/>
      <c r="H1039" s="85"/>
      <c r="I1039" s="51" t="str">
        <f>IFERROR(VLOOKUP(A1039,Internal_lists_bugs!$A$2:$G1058,7,FALSE()),"please select a BUG ID")</f>
        <v>please select a BUG ID</v>
      </c>
      <c r="J1039" s="85"/>
      <c r="K1039" s="85"/>
    </row>
    <row r="1040">
      <c r="A1040" s="85"/>
      <c r="B1040" s="59"/>
      <c r="C1040" s="51" t="str">
        <f>IFERROR(VLOOKUP(A1040,Internal_lists_bugs!$A$2:$T1058,20,FALSE()),"please select a BUG ID")</f>
        <v>please select a BUG ID</v>
      </c>
      <c r="D1040" s="93"/>
      <c r="E1040" s="85"/>
      <c r="F1040" s="62"/>
      <c r="G1040" s="63"/>
      <c r="H1040" s="85"/>
      <c r="I1040" s="51" t="str">
        <f>IFERROR(VLOOKUP(A1040,Internal_lists_bugs!$A$2:$G1058,7,FALSE()),"please select a BUG ID")</f>
        <v>please select a BUG ID</v>
      </c>
      <c r="J1040" s="85"/>
      <c r="K1040" s="85"/>
    </row>
    <row r="1041">
      <c r="A1041" s="85"/>
      <c r="B1041" s="59"/>
      <c r="C1041" s="51" t="str">
        <f>IFERROR(VLOOKUP(A1041,Internal_lists_bugs!$A$2:$T1058,20,FALSE()),"please select a BUG ID")</f>
        <v>please select a BUG ID</v>
      </c>
      <c r="D1041" s="93"/>
      <c r="E1041" s="85"/>
      <c r="F1041" s="62"/>
      <c r="G1041" s="63"/>
      <c r="H1041" s="85"/>
      <c r="I1041" s="51" t="str">
        <f>IFERROR(VLOOKUP(A1041,Internal_lists_bugs!$A$2:$G1058,7,FALSE()),"please select a BUG ID")</f>
        <v>please select a BUG ID</v>
      </c>
      <c r="J1041" s="85"/>
      <c r="K1041" s="85"/>
    </row>
    <row r="1042">
      <c r="A1042" s="85"/>
      <c r="B1042" s="59"/>
      <c r="C1042" s="51" t="str">
        <f>IFERROR(VLOOKUP(A1042,Internal_lists_bugs!$A$2:$T1058,20,FALSE()),"please select a BUG ID")</f>
        <v>please select a BUG ID</v>
      </c>
      <c r="D1042" s="93"/>
      <c r="E1042" s="85"/>
      <c r="F1042" s="62"/>
      <c r="G1042" s="63"/>
      <c r="H1042" s="85"/>
      <c r="I1042" s="51" t="str">
        <f>IFERROR(VLOOKUP(A1042,Internal_lists_bugs!$A$2:$G1058,7,FALSE()),"please select a BUG ID")</f>
        <v>please select a BUG ID</v>
      </c>
      <c r="J1042" s="85"/>
      <c r="K1042" s="85"/>
    </row>
    <row r="1043">
      <c r="A1043" s="85"/>
      <c r="B1043" s="59"/>
      <c r="C1043" s="51" t="str">
        <f>IFERROR(VLOOKUP(A1043,Internal_lists_bugs!$A$2:$T1058,20,FALSE()),"please select a BUG ID")</f>
        <v>please select a BUG ID</v>
      </c>
      <c r="D1043" s="93"/>
      <c r="E1043" s="85"/>
      <c r="F1043" s="62"/>
      <c r="G1043" s="63"/>
      <c r="H1043" s="85"/>
      <c r="I1043" s="51" t="str">
        <f>IFERROR(VLOOKUP(A1043,Internal_lists_bugs!$A$2:$G1058,7,FALSE()),"please select a BUG ID")</f>
        <v>please select a BUG ID</v>
      </c>
      <c r="J1043" s="85"/>
      <c r="K1043" s="85"/>
    </row>
    <row r="1044">
      <c r="A1044" s="85"/>
      <c r="B1044" s="59"/>
      <c r="C1044" s="51" t="str">
        <f>IFERROR(VLOOKUP(A1044,Internal_lists_bugs!$A$2:$T1058,20,FALSE()),"please select a BUG ID")</f>
        <v>please select a BUG ID</v>
      </c>
      <c r="D1044" s="93"/>
      <c r="E1044" s="85"/>
      <c r="F1044" s="62"/>
      <c r="G1044" s="63"/>
      <c r="H1044" s="85"/>
      <c r="I1044" s="51" t="str">
        <f>IFERROR(VLOOKUP(A1044,Internal_lists_bugs!$A$2:$G1058,7,FALSE()),"please select a BUG ID")</f>
        <v>please select a BUG ID</v>
      </c>
      <c r="J1044" s="85"/>
      <c r="K1044" s="85"/>
    </row>
    <row r="1045">
      <c r="A1045" s="85"/>
      <c r="B1045" s="59"/>
      <c r="C1045" s="51" t="str">
        <f>IFERROR(VLOOKUP(A1045,Internal_lists_bugs!$A$2:$T1058,20,FALSE()),"please select a BUG ID")</f>
        <v>please select a BUG ID</v>
      </c>
      <c r="D1045" s="93"/>
      <c r="E1045" s="85"/>
      <c r="F1045" s="62"/>
      <c r="G1045" s="63"/>
      <c r="H1045" s="85"/>
      <c r="I1045" s="51" t="str">
        <f>IFERROR(VLOOKUP(A1045,Internal_lists_bugs!$A$2:$G1058,7,FALSE()),"please select a BUG ID")</f>
        <v>please select a BUG ID</v>
      </c>
      <c r="J1045" s="85"/>
      <c r="K1045" s="85"/>
    </row>
    <row r="1046">
      <c r="A1046" s="85"/>
      <c r="B1046" s="59"/>
      <c r="C1046" s="51" t="str">
        <f>IFERROR(VLOOKUP(A1046,Internal_lists_bugs!$A$2:$T1058,20,FALSE()),"please select a BUG ID")</f>
        <v>please select a BUG ID</v>
      </c>
      <c r="D1046" s="93"/>
      <c r="E1046" s="85"/>
      <c r="F1046" s="62"/>
      <c r="G1046" s="63"/>
      <c r="H1046" s="85"/>
      <c r="I1046" s="51" t="str">
        <f>IFERROR(VLOOKUP(A1046,Internal_lists_bugs!$A$2:$G1058,7,FALSE()),"please select a BUG ID")</f>
        <v>please select a BUG ID</v>
      </c>
      <c r="J1046" s="85"/>
      <c r="K1046" s="85"/>
    </row>
    <row r="1047">
      <c r="A1047" s="85"/>
      <c r="B1047" s="59"/>
      <c r="C1047" s="51" t="str">
        <f>IFERROR(VLOOKUP(A1047,Internal_lists_bugs!$A$2:$T1058,20,FALSE()),"please select a BUG ID")</f>
        <v>please select a BUG ID</v>
      </c>
      <c r="D1047" s="93"/>
      <c r="E1047" s="85"/>
      <c r="F1047" s="62"/>
      <c r="G1047" s="63"/>
      <c r="H1047" s="85"/>
      <c r="I1047" s="51" t="str">
        <f>IFERROR(VLOOKUP(A1047,Internal_lists_bugs!$A$2:$G1058,7,FALSE()),"please select a BUG ID")</f>
        <v>please select a BUG ID</v>
      </c>
      <c r="J1047" s="85"/>
      <c r="K1047" s="85"/>
    </row>
    <row r="1048">
      <c r="A1048" s="85"/>
      <c r="B1048" s="59"/>
      <c r="C1048" s="51" t="str">
        <f>IFERROR(VLOOKUP(A1048,Internal_lists_bugs!$A$2:$T1058,20,FALSE()),"please select a BUG ID")</f>
        <v>please select a BUG ID</v>
      </c>
      <c r="D1048" s="93"/>
      <c r="E1048" s="85"/>
      <c r="F1048" s="62"/>
      <c r="G1048" s="63"/>
      <c r="H1048" s="85"/>
      <c r="I1048" s="51" t="str">
        <f>IFERROR(VLOOKUP(A1048,Internal_lists_bugs!$A$2:$G1058,7,FALSE()),"please select a BUG ID")</f>
        <v>please select a BUG ID</v>
      </c>
      <c r="J1048" s="85"/>
      <c r="K1048" s="85"/>
    </row>
    <row r="1049">
      <c r="A1049" s="85"/>
      <c r="B1049" s="59"/>
      <c r="C1049" s="51" t="str">
        <f>IFERROR(VLOOKUP(A1049,Internal_lists_bugs!$A$2:$T1058,20,FALSE()),"please select a BUG ID")</f>
        <v>please select a BUG ID</v>
      </c>
      <c r="D1049" s="93"/>
      <c r="E1049" s="85"/>
      <c r="F1049" s="62"/>
      <c r="G1049" s="63"/>
      <c r="H1049" s="85"/>
      <c r="I1049" s="51" t="str">
        <f>IFERROR(VLOOKUP(A1049,Internal_lists_bugs!$A$2:$G1058,7,FALSE()),"please select a BUG ID")</f>
        <v>please select a BUG ID</v>
      </c>
      <c r="J1049" s="85"/>
      <c r="K1049" s="85"/>
    </row>
    <row r="1050">
      <c r="A1050" s="85"/>
      <c r="B1050" s="59"/>
      <c r="C1050" s="51" t="str">
        <f>IFERROR(VLOOKUP(A1050,Internal_lists_bugs!$A$2:$T1058,20,FALSE()),"please select a BUG ID")</f>
        <v>please select a BUG ID</v>
      </c>
      <c r="D1050" s="93"/>
      <c r="E1050" s="85"/>
      <c r="F1050" s="62"/>
      <c r="G1050" s="63"/>
      <c r="H1050" s="85"/>
      <c r="I1050" s="51" t="str">
        <f>IFERROR(VLOOKUP(A1050,Internal_lists_bugs!$A$2:$G1058,7,FALSE()),"please select a BUG ID")</f>
        <v>please select a BUG ID</v>
      </c>
      <c r="J1050" s="85"/>
      <c r="K1050" s="85"/>
    </row>
    <row r="1051">
      <c r="A1051" s="85"/>
      <c r="B1051" s="59"/>
      <c r="C1051" s="51" t="str">
        <f>IFERROR(VLOOKUP(A1051,Internal_lists_bugs!$A$2:$T1058,20,FALSE()),"please select a BUG ID")</f>
        <v>please select a BUG ID</v>
      </c>
      <c r="D1051" s="93"/>
      <c r="E1051" s="85"/>
      <c r="F1051" s="62"/>
      <c r="G1051" s="63"/>
      <c r="H1051" s="85"/>
      <c r="I1051" s="51" t="str">
        <f>IFERROR(VLOOKUP(A1051,Internal_lists_bugs!$A$2:$G1058,7,FALSE()),"please select a BUG ID")</f>
        <v>please select a BUG ID</v>
      </c>
      <c r="J1051" s="85"/>
      <c r="K1051" s="85"/>
    </row>
    <row r="1052">
      <c r="A1052" s="85"/>
      <c r="B1052" s="59"/>
      <c r="C1052" s="51" t="str">
        <f>IFERROR(VLOOKUP(A1052,Internal_lists_bugs!$A$2:$T1058,20,FALSE()),"please select a BUG ID")</f>
        <v>please select a BUG ID</v>
      </c>
      <c r="D1052" s="93"/>
      <c r="E1052" s="85"/>
      <c r="F1052" s="62"/>
      <c r="G1052" s="63"/>
      <c r="H1052" s="85"/>
      <c r="I1052" s="51" t="str">
        <f>IFERROR(VLOOKUP(A1052,Internal_lists_bugs!$A$2:$G1058,7,FALSE()),"please select a BUG ID")</f>
        <v>please select a BUG ID</v>
      </c>
      <c r="J1052" s="85"/>
      <c r="K1052" s="85"/>
    </row>
    <row r="1053">
      <c r="A1053" s="85"/>
      <c r="B1053" s="59"/>
      <c r="C1053" s="51" t="str">
        <f>IFERROR(VLOOKUP(A1053,Internal_lists_bugs!$A$2:$T1058,20,FALSE()),"please select a BUG ID")</f>
        <v>please select a BUG ID</v>
      </c>
      <c r="D1053" s="93"/>
      <c r="E1053" s="85"/>
      <c r="F1053" s="62"/>
      <c r="G1053" s="63"/>
      <c r="H1053" s="85"/>
      <c r="I1053" s="51" t="str">
        <f>IFERROR(VLOOKUP(A1053,Internal_lists_bugs!$A$2:$G1058,7,FALSE()),"please select a BUG ID")</f>
        <v>please select a BUG ID</v>
      </c>
      <c r="J1053" s="85"/>
      <c r="K1053" s="85"/>
    </row>
    <row r="1054">
      <c r="A1054" s="85"/>
      <c r="B1054" s="59"/>
      <c r="C1054" s="51" t="str">
        <f>IFERROR(VLOOKUP(A1054,Internal_lists_bugs!$A$2:$T1058,20,FALSE()),"please select a BUG ID")</f>
        <v>please select a BUG ID</v>
      </c>
      <c r="D1054" s="93"/>
      <c r="E1054" s="85"/>
      <c r="F1054" s="62"/>
      <c r="G1054" s="63"/>
      <c r="H1054" s="85"/>
      <c r="I1054" s="51" t="str">
        <f>IFERROR(VLOOKUP(A1054,Internal_lists_bugs!$A$2:$G1058,7,FALSE()),"please select a BUG ID")</f>
        <v>please select a BUG ID</v>
      </c>
      <c r="J1054" s="85"/>
      <c r="K1054" s="85"/>
    </row>
    <row r="1055">
      <c r="A1055" s="85"/>
      <c r="B1055" s="59"/>
      <c r="C1055" s="51" t="str">
        <f>IFERROR(VLOOKUP(A1055,Internal_lists_bugs!$A$2:$T1058,20,FALSE()),"please select a BUG ID")</f>
        <v>please select a BUG ID</v>
      </c>
      <c r="D1055" s="93"/>
      <c r="E1055" s="85"/>
      <c r="F1055" s="62"/>
      <c r="G1055" s="63"/>
      <c r="H1055" s="85"/>
      <c r="I1055" s="51" t="str">
        <f>IFERROR(VLOOKUP(A1055,Internal_lists_bugs!$A$2:$G1058,7,FALSE()),"please select a BUG ID")</f>
        <v>please select a BUG ID</v>
      </c>
      <c r="J1055" s="85"/>
      <c r="K1055" s="85"/>
    </row>
    <row r="1056">
      <c r="A1056" s="85"/>
      <c r="B1056" s="59"/>
      <c r="C1056" s="51" t="str">
        <f>IFERROR(VLOOKUP(A1056,Internal_lists_bugs!$A$2:$T1058,20,FALSE()),"please select a BUG ID")</f>
        <v>please select a BUG ID</v>
      </c>
      <c r="D1056" s="93"/>
      <c r="E1056" s="85"/>
      <c r="F1056" s="62"/>
      <c r="G1056" s="63"/>
      <c r="H1056" s="85"/>
      <c r="I1056" s="51" t="str">
        <f>IFERROR(VLOOKUP(A1056,Internal_lists_bugs!$A$2:$G1058,7,FALSE()),"please select a BUG ID")</f>
        <v>please select a BUG ID</v>
      </c>
      <c r="J1056" s="85"/>
      <c r="K1056" s="85"/>
    </row>
    <row r="1057">
      <c r="A1057" s="85"/>
      <c r="B1057" s="59"/>
      <c r="C1057" s="51" t="str">
        <f>IFERROR(VLOOKUP(A1057,Internal_lists_bugs!$A$2:$T1058,20,FALSE()),"please select a BUG ID")</f>
        <v>please select a BUG ID</v>
      </c>
      <c r="D1057" s="93"/>
      <c r="E1057" s="85"/>
      <c r="F1057" s="62"/>
      <c r="G1057" s="63"/>
      <c r="H1057" s="85"/>
      <c r="I1057" s="51" t="str">
        <f>IFERROR(VLOOKUP(A1057,Internal_lists_bugs!$A$2:$G1058,7,FALSE()),"please select a BUG ID")</f>
        <v>please select a BUG ID</v>
      </c>
      <c r="J1057" s="85"/>
      <c r="K1057" s="85"/>
    </row>
    <row r="1058">
      <c r="A1058" s="85"/>
      <c r="B1058" s="59"/>
      <c r="C1058" s="51" t="str">
        <f>IFERROR(VLOOKUP(A1058,Internal_lists_bugs!$A$2:$T1058,20,FALSE()),"please select a BUG ID")</f>
        <v>please select a BUG ID</v>
      </c>
      <c r="D1058" s="93"/>
      <c r="E1058" s="85"/>
      <c r="F1058" s="62"/>
      <c r="G1058" s="63"/>
      <c r="H1058" s="85"/>
      <c r="I1058" s="51" t="str">
        <f>IFERROR(VLOOKUP(A1058,Internal_lists_bugs!$A$2:$G1058,7,FALSE()),"please select a BUG ID")</f>
        <v>please select a BUG ID</v>
      </c>
      <c r="J1058" s="85"/>
      <c r="K1058" s="85"/>
    </row>
  </sheetData>
  <mergeCells count="1">
    <mergeCell ref="F1:G1"/>
  </mergeCells>
  <dataValidations>
    <dataValidation type="list" allowBlank="1" sqref="E3:E1058">
      <formula1>Internal_lists_variables!$G$2:$G1058</formula1>
    </dataValidation>
    <dataValidation type="list" allowBlank="1" sqref="F3:F1058">
      <formula1>Internal_lists_variables!$H$2:$H1058</formula1>
    </dataValidation>
    <dataValidation type="list" allowBlank="1" showErrorMessage="1" sqref="H3:H1058">
      <formula1>"Yes, all,Yes, partially,NO,Yes, but NOt with original name,"</formula1>
    </dataValidation>
    <dataValidation type="list" allowBlank="1" showInputMessage="1" showErrorMessage="1" prompt="Project BugID" sqref="A3:A1058">
      <formula1>Internal_lists_bugs!$A$2:$A1058</formula1>
    </dataValidation>
  </dataValidations>
  <hyperlinks>
    <hyperlink r:id="rId2" ref="A1"/>
    <hyperlink r:id="rId3" location="gid=405816964" ref="B1"/>
    <hyperlink r:id="rId4" ref="D3"/>
    <hyperlink r:id="rId5" ref="D4"/>
    <hyperlink r:id="rId6" ref="D5"/>
    <hyperlink r:id="rId7" ref="D6"/>
    <hyperlink r:id="rId8" ref="D7"/>
    <hyperlink r:id="rId9" ref="D8"/>
    <hyperlink r:id="rId10" ref="D9"/>
    <hyperlink r:id="rId11" ref="D10"/>
    <hyperlink r:id="rId12" ref="D11"/>
    <hyperlink r:id="rId13" ref="D12"/>
    <hyperlink r:id="rId14" ref="D13"/>
    <hyperlink r:id="rId15" ref="D14"/>
    <hyperlink r:id="rId16" ref="D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D72"/>
    <hyperlink r:id="rId74" ref="D73"/>
    <hyperlink r:id="rId75" ref="D74"/>
    <hyperlink r:id="rId76" ref="D75"/>
    <hyperlink r:id="rId77" ref="D76"/>
    <hyperlink r:id="rId78" ref="D77"/>
    <hyperlink r:id="rId79" ref="D78"/>
    <hyperlink r:id="rId80" ref="D79"/>
    <hyperlink r:id="rId81" ref="D80"/>
    <hyperlink r:id="rId82" ref="D81"/>
    <hyperlink r:id="rId83" ref="D82"/>
    <hyperlink r:id="rId84" ref="D83"/>
    <hyperlink r:id="rId85" ref="D84"/>
    <hyperlink r:id="rId86" ref="D85"/>
    <hyperlink r:id="rId87" ref="D86"/>
    <hyperlink r:id="rId88" ref="D87"/>
    <hyperlink r:id="rId89" ref="D88"/>
    <hyperlink r:id="rId90" ref="D89"/>
    <hyperlink r:id="rId91" ref="D90"/>
    <hyperlink r:id="rId92" ref="D91"/>
    <hyperlink r:id="rId93" ref="D92"/>
    <hyperlink r:id="rId94" ref="D93"/>
  </hyperlinks>
  <drawing r:id="rId95"/>
  <legacyDrawing r:id="rId9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outlineLevelCol="1"/>
  <cols>
    <col customWidth="1" min="1" max="1" width="24.63"/>
    <col customWidth="1" min="2" max="2" width="27.13"/>
    <col customWidth="1" min="3" max="3" width="19.63"/>
    <col hidden="1" min="4" max="4" width="12.63" outlineLevel="1"/>
    <col customWidth="1" hidden="1" min="5" max="5" width="35.63" outlineLevel="1"/>
    <col customWidth="1" hidden="1" min="6" max="6" width="20.0" outlineLevel="1"/>
    <col customWidth="1" min="7" max="7" width="18.25" outlineLevel="1"/>
    <col customWidth="1" min="8" max="8" width="29.25" outlineLevel="1"/>
    <col customWidth="1" min="9" max="9" width="45.75" outlineLevel="1"/>
    <col customWidth="1" min="10" max="10" width="46.88"/>
  </cols>
  <sheetData>
    <row r="1">
      <c r="A1" s="21" t="s">
        <v>101</v>
      </c>
      <c r="B1" s="21" t="s">
        <v>102</v>
      </c>
      <c r="C1" s="22" t="s">
        <v>103</v>
      </c>
      <c r="D1" s="24" t="s">
        <v>289</v>
      </c>
      <c r="E1" s="94" t="s">
        <v>290</v>
      </c>
      <c r="F1" s="26"/>
      <c r="G1" s="24" t="s">
        <v>291</v>
      </c>
      <c r="H1" s="25" t="s">
        <v>292</v>
      </c>
      <c r="I1" s="26"/>
      <c r="J1" s="22"/>
      <c r="K1" s="16"/>
      <c r="L1" s="16"/>
      <c r="M1" s="16"/>
      <c r="N1" s="16"/>
    </row>
    <row r="2">
      <c r="A2" s="95" t="s">
        <v>109</v>
      </c>
      <c r="B2" s="96" t="s">
        <v>293</v>
      </c>
      <c r="C2" s="97" t="s">
        <v>294</v>
      </c>
      <c r="D2" s="32" t="s">
        <v>295</v>
      </c>
      <c r="E2" s="33" t="s">
        <v>114</v>
      </c>
      <c r="F2" s="98" t="s">
        <v>115</v>
      </c>
      <c r="G2" s="32" t="s">
        <v>296</v>
      </c>
      <c r="H2" s="33" t="s">
        <v>114</v>
      </c>
      <c r="I2" s="98" t="s">
        <v>115</v>
      </c>
      <c r="J2" s="99"/>
      <c r="K2" s="37"/>
      <c r="L2" s="37"/>
      <c r="M2" s="37"/>
      <c r="N2" s="37"/>
    </row>
    <row r="3">
      <c r="A3" s="67" t="s">
        <v>30</v>
      </c>
      <c r="B3" s="100" t="str">
        <f>IFERROR(HYPERLINK(VLOOKUP(A3,Internal_lists_bugs!$A$2:$G1014,7,FALSE()),"Intro.Issues: "&amp;VLOOKUP(A3,Internal_lists_bugs!$A$2:$P1014,16,FALSE())),"please select a BUG ID")</f>
        <v>Intro.Issues: 1180178</v>
      </c>
      <c r="C3" s="101" t="str">
        <f>IFERROR(VLOOKUP(A3,Internal_lists_bugs!$A$2:$X1014,24,FALSE()),"please select a BUG ID")</f>
        <v>https://www.mail-archive.com/openstack-dev@lists.openstack.org/ </v>
      </c>
      <c r="E3" s="41"/>
      <c r="F3" s="102"/>
      <c r="G3" s="16" t="s">
        <v>297</v>
      </c>
      <c r="H3" s="41"/>
      <c r="I3" s="102"/>
      <c r="J3" s="51"/>
    </row>
    <row r="4">
      <c r="A4" s="67" t="s">
        <v>31</v>
      </c>
      <c r="B4" s="100" t="str">
        <f>IFERROR(HYPERLINK(VLOOKUP(A4,Internal_lists_bugs!$A$2:$G1014,7,FALSE()),"Intro.Issues: "&amp;VLOOKUP(A4,Internal_lists_bugs!$A$2:$P1014,16,FALSE())),"please select a BUG ID")</f>
        <v>Intro.Issues: compute-manager-objects-juno</v>
      </c>
      <c r="C4" s="101" t="str">
        <f>IFERROR(VLOOKUP(A4,Internal_lists_bugs!$A$2:$X1014,24,FALSE()),"please select a BUG ID")</f>
        <v>https://www.mail-archive.com/openstack-dev@lists.openstack.org/ </v>
      </c>
      <c r="E4" s="41"/>
      <c r="F4" s="66"/>
      <c r="G4" s="16" t="s">
        <v>298</v>
      </c>
      <c r="H4" s="41" t="s">
        <v>299</v>
      </c>
      <c r="I4" s="66"/>
      <c r="J4" s="51"/>
    </row>
    <row r="5">
      <c r="A5" s="67" t="s">
        <v>31</v>
      </c>
      <c r="B5" s="100" t="str">
        <f>IFERROR(HYPERLINK(VLOOKUP(A5,Internal_lists_bugs!$A$2:$G1014,7,FALSE()),"Intro.Issues: "&amp;VLOOKUP(A5,Internal_lists_bugs!$A$2:$P1014,16,FALSE())),"please select a BUG ID")</f>
        <v>Intro.Issues: compute-manager-objects-juno</v>
      </c>
      <c r="C5" s="101" t="str">
        <f>IFERROR(VLOOKUP(A5,Internal_lists_bugs!$A$2:$X1014,24,FALSE()),"please select a BUG ID")</f>
        <v>https://www.mail-archive.com/openstack-dev@lists.openstack.org/ </v>
      </c>
      <c r="E5" s="41"/>
      <c r="F5" s="66"/>
      <c r="G5" s="16" t="s">
        <v>300</v>
      </c>
      <c r="H5" s="41" t="s">
        <v>301</v>
      </c>
      <c r="I5" s="102"/>
      <c r="J5" s="51"/>
    </row>
    <row r="6">
      <c r="A6" s="103" t="s">
        <v>32</v>
      </c>
      <c r="B6" s="100" t="str">
        <f>IFERROR(HYPERLINK(VLOOKUP(A6,Internal_lists_bugs!$A$2:$G1014,7,FALSE()),"Intro.Issues: "&amp;VLOOKUP(A6,Internal_lists_bugs!$A$2:$P1014,16,FALSE())),"please select a BUG ID")</f>
        <v>Intro.Issues: pci-passthrough-sriov</v>
      </c>
      <c r="C6" s="101" t="str">
        <f>IFERROR(VLOOKUP(A6,Internal_lists_bugs!$A$2:$X1014,24,FALSE()),"please select a BUG ID")</f>
        <v>https://www.mail-archive.com/openstack-dev@lists.openstack.org/ </v>
      </c>
      <c r="E6" s="41"/>
      <c r="F6" s="66"/>
      <c r="G6" s="16" t="s">
        <v>302</v>
      </c>
      <c r="H6" s="41" t="s">
        <v>303</v>
      </c>
      <c r="I6" s="102"/>
      <c r="J6" s="51"/>
    </row>
    <row r="7">
      <c r="A7" s="103" t="s">
        <v>32</v>
      </c>
      <c r="B7" s="100" t="str">
        <f>IFERROR(HYPERLINK(VLOOKUP(A7,Internal_lists_bugs!$A$2:$G1014,7,FALSE()),"Intro.Issues: "&amp;VLOOKUP(A7,Internal_lists_bugs!$A$2:$P1014,16,FALSE())),"please select a BUG ID")</f>
        <v>Intro.Issues: pci-passthrough-sriov</v>
      </c>
      <c r="C7" s="101" t="str">
        <f>IFERROR(VLOOKUP(A7,Internal_lists_bugs!$A$2:$X1014,24,FALSE()),"please select a BUG ID")</f>
        <v>https://www.mail-archive.com/openstack-dev@lists.openstack.org/ </v>
      </c>
      <c r="E7" s="41"/>
      <c r="F7" s="66"/>
      <c r="G7" s="16" t="s">
        <v>302</v>
      </c>
      <c r="H7" s="41" t="s">
        <v>304</v>
      </c>
      <c r="I7" s="102"/>
      <c r="J7" s="51"/>
    </row>
    <row r="8">
      <c r="A8" s="103" t="s">
        <v>32</v>
      </c>
      <c r="B8" s="100" t="str">
        <f>IFERROR(HYPERLINK(VLOOKUP(A8,Internal_lists_bugs!$A$2:$G1014,7,FALSE()),"Intro.Issues: "&amp;VLOOKUP(A8,Internal_lists_bugs!$A$2:$P1014,16,FALSE())),"please select a BUG ID")</f>
        <v>Intro.Issues: pci-passthrough-sriov</v>
      </c>
      <c r="C8" s="101" t="str">
        <f>IFERROR(VLOOKUP(A8,Internal_lists_bugs!$A$2:$X1014,24,FALSE()),"please select a BUG ID")</f>
        <v>https://www.mail-archive.com/openstack-dev@lists.openstack.org/ </v>
      </c>
      <c r="E8" s="41"/>
      <c r="F8" s="66"/>
      <c r="G8" s="16" t="s">
        <v>302</v>
      </c>
      <c r="H8" s="41" t="s">
        <v>305</v>
      </c>
      <c r="I8" s="102"/>
      <c r="J8" s="51"/>
    </row>
    <row r="9">
      <c r="A9" s="103" t="s">
        <v>32</v>
      </c>
      <c r="B9" s="100" t="str">
        <f>IFERROR(HYPERLINK(VLOOKUP(A9,Internal_lists_bugs!$A$2:$G1014,7,FALSE()),"Intro.Issues: "&amp;VLOOKUP(A9,Internal_lists_bugs!$A$2:$P1014,16,FALSE())),"please select a BUG ID")</f>
        <v>Intro.Issues: pci-passthrough-sriov</v>
      </c>
      <c r="C9" s="101" t="str">
        <f>IFERROR(VLOOKUP(A9,Internal_lists_bugs!$A$2:$X1014,24,FALSE()),"please select a BUG ID")</f>
        <v>https://www.mail-archive.com/openstack-dev@lists.openstack.org/ </v>
      </c>
      <c r="E9" s="41"/>
      <c r="F9" s="66"/>
      <c r="G9" s="16" t="s">
        <v>302</v>
      </c>
      <c r="H9" s="41" t="s">
        <v>306</v>
      </c>
      <c r="I9" s="102"/>
      <c r="J9" s="51"/>
    </row>
    <row r="10">
      <c r="A10" s="103" t="s">
        <v>32</v>
      </c>
      <c r="B10" s="100" t="str">
        <f>IFERROR(HYPERLINK(VLOOKUP(A10,Internal_lists_bugs!$A$2:$G1014,7,FALSE()),"Intro.Issues: "&amp;VLOOKUP(A10,Internal_lists_bugs!$A$2:$P1014,16,FALSE())),"please select a BUG ID")</f>
        <v>Intro.Issues: pci-passthrough-sriov</v>
      </c>
      <c r="C10" s="101" t="str">
        <f>IFERROR(VLOOKUP(A10,Internal_lists_bugs!$A$2:$X1014,24,FALSE()),"please select a BUG ID")</f>
        <v>https://www.mail-archive.com/openstack-dev@lists.openstack.org/ </v>
      </c>
      <c r="E10" s="49"/>
      <c r="F10" s="102"/>
      <c r="G10" s="16" t="s">
        <v>307</v>
      </c>
      <c r="H10" s="41" t="s">
        <v>304</v>
      </c>
      <c r="I10" s="102"/>
      <c r="J10" s="51"/>
    </row>
    <row r="11">
      <c r="A11" s="103" t="s">
        <v>32</v>
      </c>
      <c r="B11" s="100" t="str">
        <f>IFERROR(HYPERLINK(VLOOKUP(A11,Internal_lists_bugs!$A$2:$G1014,7,FALSE()),"Intro.Issues: "&amp;VLOOKUP(A11,Internal_lists_bugs!$A$2:$P1014,16,FALSE())),"please select a BUG ID")</f>
        <v>Intro.Issues: pci-passthrough-sriov</v>
      </c>
      <c r="C11" s="101" t="str">
        <f>IFERROR(VLOOKUP(A11,Internal_lists_bugs!$A$2:$X1014,24,FALSE()),"please select a BUG ID")</f>
        <v>https://www.mail-archive.com/openstack-dev@lists.openstack.org/ </v>
      </c>
      <c r="E11" s="49"/>
      <c r="F11" s="102"/>
      <c r="G11" s="16" t="s">
        <v>307</v>
      </c>
      <c r="H11" s="41" t="s">
        <v>306</v>
      </c>
      <c r="I11" s="102"/>
      <c r="J11" s="51"/>
    </row>
    <row r="12">
      <c r="A12" s="103" t="s">
        <v>32</v>
      </c>
      <c r="B12" s="100" t="str">
        <f>IFERROR(HYPERLINK(VLOOKUP(A12,Internal_lists_bugs!$A$2:$G1014,7,FALSE()),"Intro.Issues: "&amp;VLOOKUP(A12,Internal_lists_bugs!$A$2:$P1014,16,FALSE())),"please select a BUG ID")</f>
        <v>Intro.Issues: pci-passthrough-sriov</v>
      </c>
      <c r="C12" s="101" t="str">
        <f>IFERROR(VLOOKUP(A12,Internal_lists_bugs!$A$2:$X1014,24,FALSE()),"please select a BUG ID")</f>
        <v>https://www.mail-archive.com/openstack-dev@lists.openstack.org/ </v>
      </c>
      <c r="E12" s="49"/>
      <c r="F12" s="102"/>
      <c r="G12" s="16" t="s">
        <v>308</v>
      </c>
      <c r="H12" s="41" t="s">
        <v>304</v>
      </c>
      <c r="I12" s="66"/>
      <c r="J12" s="51"/>
    </row>
    <row r="13">
      <c r="A13" s="103" t="s">
        <v>32</v>
      </c>
      <c r="B13" s="100" t="str">
        <f>IFERROR(HYPERLINK(VLOOKUP(A13,Internal_lists_bugs!$A$2:$G1014,7,FALSE()),"Intro.Issues: "&amp;VLOOKUP(A13,Internal_lists_bugs!$A$2:$P1014,16,FALSE())),"please select a BUG ID")</f>
        <v>Intro.Issues: pci-passthrough-sriov</v>
      </c>
      <c r="C13" s="101" t="str">
        <f>IFERROR(VLOOKUP(A13,Internal_lists_bugs!$A$2:$X1014,24,FALSE()),"please select a BUG ID")</f>
        <v>https://www.mail-archive.com/openstack-dev@lists.openstack.org/ </v>
      </c>
      <c r="E13" s="49"/>
      <c r="F13" s="102"/>
      <c r="G13" s="16" t="s">
        <v>308</v>
      </c>
      <c r="H13" s="41" t="s">
        <v>309</v>
      </c>
      <c r="I13" s="66"/>
      <c r="J13" s="51"/>
    </row>
    <row r="14">
      <c r="A14" s="103" t="s">
        <v>32</v>
      </c>
      <c r="B14" s="100" t="str">
        <f>IFERROR(HYPERLINK(VLOOKUP(A14,Internal_lists_bugs!$A$2:$G1014,7,FALSE()),"Intro.Issues: "&amp;VLOOKUP(A14,Internal_lists_bugs!$A$2:$P1014,16,FALSE())),"please select a BUG ID")</f>
        <v>Intro.Issues: pci-passthrough-sriov</v>
      </c>
      <c r="C14" s="101" t="str">
        <f>IFERROR(VLOOKUP(A14,Internal_lists_bugs!$A$2:$X1014,24,FALSE()),"please select a BUG ID")</f>
        <v>https://www.mail-archive.com/openstack-dev@lists.openstack.org/ </v>
      </c>
      <c r="E14" s="49"/>
      <c r="F14" s="102"/>
      <c r="G14" s="16" t="s">
        <v>310</v>
      </c>
      <c r="H14" s="41" t="s">
        <v>311</v>
      </c>
      <c r="I14" s="66"/>
      <c r="J14" s="51"/>
    </row>
    <row r="15">
      <c r="A15" s="103" t="s">
        <v>32</v>
      </c>
      <c r="B15" s="100" t="str">
        <f>IFERROR(HYPERLINK(VLOOKUP(A15,Internal_lists_bugs!$A$2:$G1014,7,FALSE()),"Intro.Issues: "&amp;VLOOKUP(A15,Internal_lists_bugs!$A$2:$P1014,16,FALSE())),"please select a BUG ID")</f>
        <v>Intro.Issues: pci-passthrough-sriov</v>
      </c>
      <c r="C15" s="101" t="str">
        <f>IFERROR(VLOOKUP(A15,Internal_lists_bugs!$A$2:$X1014,24,FALSE()),"please select a BUG ID")</f>
        <v>https://www.mail-archive.com/openstack-dev@lists.openstack.org/ </v>
      </c>
      <c r="E15" s="49"/>
      <c r="F15" s="102"/>
      <c r="G15" s="16" t="s">
        <v>310</v>
      </c>
      <c r="H15" s="41" t="s">
        <v>304</v>
      </c>
      <c r="I15" s="66"/>
      <c r="J15" s="51"/>
    </row>
    <row r="16">
      <c r="A16" s="103" t="s">
        <v>32</v>
      </c>
      <c r="B16" s="100" t="str">
        <f>IFERROR(HYPERLINK(VLOOKUP(A16,Internal_lists_bugs!$A$2:$G1014,7,FALSE()),"Intro.Issues: "&amp;VLOOKUP(A16,Internal_lists_bugs!$A$2:$P1014,16,FALSE())),"please select a BUG ID")</f>
        <v>Intro.Issues: pci-passthrough-sriov</v>
      </c>
      <c r="C16" s="101" t="str">
        <f>IFERROR(VLOOKUP(A16,Internal_lists_bugs!$A$2:$X1014,24,FALSE()),"please select a BUG ID")</f>
        <v>https://www.mail-archive.com/openstack-dev@lists.openstack.org/ </v>
      </c>
      <c r="E16" s="49"/>
      <c r="F16" s="102"/>
      <c r="G16" s="16" t="s">
        <v>312</v>
      </c>
      <c r="H16" s="41" t="s">
        <v>313</v>
      </c>
      <c r="I16" s="66"/>
      <c r="J16" s="51"/>
    </row>
    <row r="17">
      <c r="A17" s="103" t="s">
        <v>32</v>
      </c>
      <c r="B17" s="100" t="str">
        <f>IFERROR(HYPERLINK(VLOOKUP(A17,Internal_lists_bugs!$A$2:$G1014,7,FALSE()),"Intro.Issues: "&amp;VLOOKUP(A17,Internal_lists_bugs!$A$2:$P1014,16,FALSE())),"please select a BUG ID")</f>
        <v>Intro.Issues: pci-passthrough-sriov</v>
      </c>
      <c r="C17" s="101" t="str">
        <f>IFERROR(VLOOKUP(A17,Internal_lists_bugs!$A$2:$X1014,24,FALSE()),"please select a BUG ID")</f>
        <v>https://www.mail-archive.com/openstack-dev@lists.openstack.org/ </v>
      </c>
      <c r="E17" s="49"/>
      <c r="F17" s="102"/>
      <c r="G17" s="16" t="s">
        <v>312</v>
      </c>
      <c r="H17" s="41" t="s">
        <v>314</v>
      </c>
      <c r="I17" s="66"/>
      <c r="J17" s="51"/>
    </row>
    <row r="18">
      <c r="A18" s="103" t="s">
        <v>32</v>
      </c>
      <c r="B18" s="100" t="str">
        <f>IFERROR(HYPERLINK(VLOOKUP(A18,Internal_lists_bugs!$A$2:$G1014,7,FALSE()),"Intro.Issues: "&amp;VLOOKUP(A18,Internal_lists_bugs!$A$2:$P1014,16,FALSE())),"please select a BUG ID")</f>
        <v>Intro.Issues: pci-passthrough-sriov</v>
      </c>
      <c r="C18" s="101" t="str">
        <f>IFERROR(VLOOKUP(A18,Internal_lists_bugs!$A$2:$X1014,24,FALSE()),"please select a BUG ID")</f>
        <v>https://www.mail-archive.com/openstack-dev@lists.openstack.org/ </v>
      </c>
      <c r="E18" s="49"/>
      <c r="F18" s="102"/>
      <c r="G18" s="16" t="s">
        <v>315</v>
      </c>
      <c r="H18" s="41" t="s">
        <v>316</v>
      </c>
      <c r="I18" s="66"/>
      <c r="J18" s="51"/>
    </row>
    <row r="19">
      <c r="A19" s="103" t="s">
        <v>32</v>
      </c>
      <c r="B19" s="100" t="str">
        <f>IFERROR(HYPERLINK(VLOOKUP(A19,Internal_lists_bugs!$A$2:$G1014,7,FALSE()),"Intro.Issues: "&amp;VLOOKUP(A19,Internal_lists_bugs!$A$2:$P1014,16,FALSE())),"please select a BUG ID")</f>
        <v>Intro.Issues: pci-passthrough-sriov</v>
      </c>
      <c r="C19" s="101" t="str">
        <f>IFERROR(VLOOKUP(A19,Internal_lists_bugs!$A$2:$X1014,24,FALSE()),"please select a BUG ID")</f>
        <v>https://www.mail-archive.com/openstack-dev@lists.openstack.org/ </v>
      </c>
      <c r="E19" s="49"/>
      <c r="F19" s="102"/>
      <c r="G19" s="16" t="s">
        <v>317</v>
      </c>
      <c r="H19" s="41" t="s">
        <v>318</v>
      </c>
      <c r="I19" s="102"/>
      <c r="J19" s="51"/>
    </row>
    <row r="20">
      <c r="A20" s="103" t="s">
        <v>32</v>
      </c>
      <c r="B20" s="100" t="str">
        <f>IFERROR(HYPERLINK(VLOOKUP(A20,Internal_lists_bugs!$A$2:$G1014,7,FALSE()),"Intro.Issues: "&amp;VLOOKUP(A20,Internal_lists_bugs!$A$2:$P1014,16,FALSE())),"please select a BUG ID")</f>
        <v>Intro.Issues: pci-passthrough-sriov</v>
      </c>
      <c r="C20" s="101" t="str">
        <f>IFERROR(VLOOKUP(A20,Internal_lists_bugs!$A$2:$X1014,24,FALSE()),"please select a BUG ID")</f>
        <v>https://www.mail-archive.com/openstack-dev@lists.openstack.org/ </v>
      </c>
      <c r="E20" s="49"/>
      <c r="F20" s="102"/>
      <c r="G20" s="16" t="s">
        <v>317</v>
      </c>
      <c r="H20" s="41" t="s">
        <v>319</v>
      </c>
      <c r="I20" s="66"/>
      <c r="J20" s="51"/>
    </row>
    <row r="21">
      <c r="A21" s="103" t="s">
        <v>32</v>
      </c>
      <c r="B21" s="100" t="str">
        <f>IFERROR(HYPERLINK(VLOOKUP(A21,Internal_lists_bugs!$A$2:$G1014,7,FALSE()),"Intro.Issues: "&amp;VLOOKUP(A21,Internal_lists_bugs!$A$2:$P1014,16,FALSE())),"please select a BUG ID")</f>
        <v>Intro.Issues: pci-passthrough-sriov</v>
      </c>
      <c r="C21" s="101" t="str">
        <f>IFERROR(VLOOKUP(A21,Internal_lists_bugs!$A$2:$X1014,24,FALSE()),"please select a BUG ID")</f>
        <v>https://www.mail-archive.com/openstack-dev@lists.openstack.org/ </v>
      </c>
      <c r="E21" s="49"/>
      <c r="F21" s="102"/>
      <c r="G21" s="16" t="s">
        <v>320</v>
      </c>
      <c r="H21" s="41" t="s">
        <v>321</v>
      </c>
      <c r="I21" s="66"/>
      <c r="J21" s="51"/>
    </row>
    <row r="22">
      <c r="A22" s="103" t="s">
        <v>32</v>
      </c>
      <c r="B22" s="100" t="str">
        <f>IFERROR(HYPERLINK(VLOOKUP(A22,Internal_lists_bugs!$A$2:$G1014,7,FALSE()),"Intro.Issues: "&amp;VLOOKUP(A22,Internal_lists_bugs!$A$2:$P1014,16,FALSE())),"please select a BUG ID")</f>
        <v>Intro.Issues: pci-passthrough-sriov</v>
      </c>
      <c r="C22" s="101" t="str">
        <f>IFERROR(VLOOKUP(A22,Internal_lists_bugs!$A$2:$X1014,24,FALSE()),"please select a BUG ID")</f>
        <v>https://www.mail-archive.com/openstack-dev@lists.openstack.org/ </v>
      </c>
      <c r="E22" s="49"/>
      <c r="F22" s="102"/>
      <c r="G22" s="16" t="s">
        <v>322</v>
      </c>
      <c r="H22" s="41" t="s">
        <v>316</v>
      </c>
      <c r="I22" s="66"/>
      <c r="J22" s="51"/>
    </row>
    <row r="23">
      <c r="A23" s="103" t="s">
        <v>32</v>
      </c>
      <c r="B23" s="100" t="str">
        <f>IFERROR(HYPERLINK(VLOOKUP(A23,Internal_lists_bugs!$A$2:$G1014,7,FALSE()),"Intro.Issues: "&amp;VLOOKUP(A23,Internal_lists_bugs!$A$2:$P1014,16,FALSE())),"please select a BUG ID")</f>
        <v>Intro.Issues: pci-passthrough-sriov</v>
      </c>
      <c r="C23" s="101" t="str">
        <f>IFERROR(VLOOKUP(A23,Internal_lists_bugs!$A$2:$X1014,24,FALSE()),"please select a BUG ID")</f>
        <v>https://www.mail-archive.com/openstack-dev@lists.openstack.org/ </v>
      </c>
      <c r="E23" s="49"/>
      <c r="F23" s="102"/>
      <c r="G23" s="16" t="s">
        <v>323</v>
      </c>
      <c r="H23" s="41" t="s">
        <v>304</v>
      </c>
      <c r="I23" s="66"/>
      <c r="J23" s="51"/>
    </row>
    <row r="24">
      <c r="A24" s="103" t="s">
        <v>32</v>
      </c>
      <c r="B24" s="100" t="str">
        <f>IFERROR(HYPERLINK(VLOOKUP(A24,Internal_lists_bugs!$A$2:$G1014,7,FALSE()),"Intro.Issues: "&amp;VLOOKUP(A24,Internal_lists_bugs!$A$2:$P1014,16,FALSE())),"please select a BUG ID")</f>
        <v>Intro.Issues: pci-passthrough-sriov</v>
      </c>
      <c r="C24" s="101" t="str">
        <f>IFERROR(VLOOKUP(A24,Internal_lists_bugs!$A$2:$X1014,24,FALSE()),"please select a BUG ID")</f>
        <v>https://www.mail-archive.com/openstack-dev@lists.openstack.org/ </v>
      </c>
      <c r="E24" s="49"/>
      <c r="F24" s="102"/>
      <c r="G24" s="16" t="s">
        <v>323</v>
      </c>
      <c r="H24" s="41" t="s">
        <v>314</v>
      </c>
      <c r="I24" s="66"/>
      <c r="J24" s="51"/>
    </row>
    <row r="25">
      <c r="A25" s="103" t="s">
        <v>32</v>
      </c>
      <c r="B25" s="100" t="str">
        <f>IFERROR(HYPERLINK(VLOOKUP(A25,Internal_lists_bugs!$A$2:$G1014,7,FALSE()),"Intro.Issues: "&amp;VLOOKUP(A25,Internal_lists_bugs!$A$2:$P1014,16,FALSE())),"please select a BUG ID")</f>
        <v>Intro.Issues: pci-passthrough-sriov</v>
      </c>
      <c r="C25" s="101" t="str">
        <f>IFERROR(VLOOKUP(A25,Internal_lists_bugs!$A$2:$X1014,24,FALSE()),"please select a BUG ID")</f>
        <v>https://www.mail-archive.com/openstack-dev@lists.openstack.org/ </v>
      </c>
      <c r="E25" s="49"/>
      <c r="F25" s="102"/>
      <c r="G25" s="16" t="s">
        <v>324</v>
      </c>
      <c r="H25" s="41" t="s">
        <v>325</v>
      </c>
      <c r="I25" s="66"/>
      <c r="J25" s="51"/>
    </row>
    <row r="26">
      <c r="A26" s="103" t="s">
        <v>32</v>
      </c>
      <c r="B26" s="100" t="str">
        <f>IFERROR(HYPERLINK(VLOOKUP(A26,Internal_lists_bugs!$A$2:$G1014,7,FALSE()),"Intro.Issues: "&amp;VLOOKUP(A26,Internal_lists_bugs!$A$2:$P1014,16,FALSE())),"please select a BUG ID")</f>
        <v>Intro.Issues: pci-passthrough-sriov</v>
      </c>
      <c r="C26" s="101" t="str">
        <f>IFERROR(VLOOKUP(A26,Internal_lists_bugs!$A$2:$X1014,24,FALSE()),"please select a BUG ID")</f>
        <v>https://www.mail-archive.com/openstack-dev@lists.openstack.org/ </v>
      </c>
      <c r="E26" s="49"/>
      <c r="F26" s="102"/>
      <c r="G26" s="16" t="s">
        <v>326</v>
      </c>
      <c r="H26" s="41" t="s">
        <v>327</v>
      </c>
      <c r="I26" s="66"/>
      <c r="J26" s="51"/>
    </row>
    <row r="27">
      <c r="A27" s="103" t="s">
        <v>32</v>
      </c>
      <c r="B27" s="100" t="str">
        <f>IFERROR(HYPERLINK(VLOOKUP(A27,Internal_lists_bugs!$A$2:$G1014,7,FALSE()),"Intro.Issues: "&amp;VLOOKUP(A27,Internal_lists_bugs!$A$2:$P1014,16,FALSE())),"please select a BUG ID")</f>
        <v>Intro.Issues: pci-passthrough-sriov</v>
      </c>
      <c r="C27" s="101" t="str">
        <f>IFERROR(VLOOKUP(A27,Internal_lists_bugs!$A$2:$X1014,24,FALSE()),"please select a BUG ID")</f>
        <v>https://www.mail-archive.com/openstack-dev@lists.openstack.org/ </v>
      </c>
      <c r="E27" s="49"/>
      <c r="F27" s="102"/>
      <c r="G27" s="16" t="s">
        <v>328</v>
      </c>
      <c r="H27" s="41" t="s">
        <v>314</v>
      </c>
      <c r="I27" s="66"/>
      <c r="J27" s="51"/>
    </row>
    <row r="28">
      <c r="A28" s="103" t="s">
        <v>32</v>
      </c>
      <c r="B28" s="100" t="str">
        <f>IFERROR(HYPERLINK(VLOOKUP(A28,Internal_lists_bugs!$A$2:$G1014,7,FALSE()),"Intro.Issues: "&amp;VLOOKUP(A28,Internal_lists_bugs!$A$2:$P1014,16,FALSE())),"please select a BUG ID")</f>
        <v>Intro.Issues: pci-passthrough-sriov</v>
      </c>
      <c r="C28" s="101" t="str">
        <f>IFERROR(VLOOKUP(A28,Internal_lists_bugs!$A$2:$X1014,24,FALSE()),"please select a BUG ID")</f>
        <v>https://www.mail-archive.com/openstack-dev@lists.openstack.org/ </v>
      </c>
      <c r="E28" s="49"/>
      <c r="F28" s="102"/>
      <c r="G28" s="16" t="s">
        <v>329</v>
      </c>
      <c r="H28" s="41" t="s">
        <v>314</v>
      </c>
      <c r="I28" s="66"/>
      <c r="J28" s="51"/>
    </row>
    <row r="29">
      <c r="A29" s="103" t="s">
        <v>32</v>
      </c>
      <c r="B29" s="100" t="str">
        <f>IFERROR(HYPERLINK(VLOOKUP(A29,Internal_lists_bugs!$A$2:$G1014,7,FALSE()),"Intro.Issues: "&amp;VLOOKUP(A29,Internal_lists_bugs!$A$2:$P1014,16,FALSE())),"please select a BUG ID")</f>
        <v>Intro.Issues: pci-passthrough-sriov</v>
      </c>
      <c r="C29" s="101" t="str">
        <f>IFERROR(VLOOKUP(A29,Internal_lists_bugs!$A$2:$X1014,24,FALSE()),"please select a BUG ID")</f>
        <v>https://www.mail-archive.com/openstack-dev@lists.openstack.org/ </v>
      </c>
      <c r="E29" s="49"/>
      <c r="F29" s="102"/>
      <c r="G29" s="16" t="s">
        <v>330</v>
      </c>
      <c r="H29" s="41" t="s">
        <v>331</v>
      </c>
      <c r="I29" s="66"/>
      <c r="J29" s="51"/>
    </row>
    <row r="30">
      <c r="A30" s="103" t="s">
        <v>32</v>
      </c>
      <c r="B30" s="100" t="str">
        <f>IFERROR(HYPERLINK(VLOOKUP(A30,Internal_lists_bugs!$A$2:$G1014,7,FALSE()),"Intro.Issues: "&amp;VLOOKUP(A30,Internal_lists_bugs!$A$2:$P1014,16,FALSE())),"please select a BUG ID")</f>
        <v>Intro.Issues: pci-passthrough-sriov</v>
      </c>
      <c r="C30" s="101" t="str">
        <f>IFERROR(VLOOKUP(A30,Internal_lists_bugs!$A$2:$X1014,24,FALSE()),"please select a BUG ID")</f>
        <v>https://www.mail-archive.com/openstack-dev@lists.openstack.org/ </v>
      </c>
      <c r="E30" s="49"/>
      <c r="F30" s="102"/>
      <c r="G30" s="16" t="s">
        <v>332</v>
      </c>
      <c r="H30" s="41" t="s">
        <v>333</v>
      </c>
      <c r="I30" s="66"/>
      <c r="J30" s="51"/>
    </row>
    <row r="31">
      <c r="A31" s="103" t="s">
        <v>32</v>
      </c>
      <c r="B31" s="100" t="str">
        <f>IFERROR(HYPERLINK(VLOOKUP(A31,Internal_lists_bugs!$A$2:$G1014,7,FALSE()),"Intro.Issues: "&amp;VLOOKUP(A31,Internal_lists_bugs!$A$2:$P1014,16,FALSE())),"please select a BUG ID")</f>
        <v>Intro.Issues: pci-passthrough-sriov</v>
      </c>
      <c r="C31" s="101" t="str">
        <f>IFERROR(VLOOKUP(A31,Internal_lists_bugs!$A$2:$X1014,24,FALSE()),"please select a BUG ID")</f>
        <v>https://www.mail-archive.com/openstack-dev@lists.openstack.org/ </v>
      </c>
      <c r="E31" s="49"/>
      <c r="F31" s="102"/>
      <c r="G31" s="16" t="s">
        <v>334</v>
      </c>
      <c r="H31" s="41" t="s">
        <v>314</v>
      </c>
      <c r="I31" s="66"/>
      <c r="J31" s="51"/>
    </row>
    <row r="32">
      <c r="A32" s="103" t="s">
        <v>32</v>
      </c>
      <c r="B32" s="100" t="str">
        <f>IFERROR(HYPERLINK(VLOOKUP(A32,Internal_lists_bugs!$A$2:$G1014,7,FALSE()),"Intro.Issues: "&amp;VLOOKUP(A32,Internal_lists_bugs!$A$2:$P1014,16,FALSE())),"please select a BUG ID")</f>
        <v>Intro.Issues: pci-passthrough-sriov</v>
      </c>
      <c r="C32" s="101" t="str">
        <f>IFERROR(VLOOKUP(A32,Internal_lists_bugs!$A$2:$X1014,24,FALSE()),"please select a BUG ID")</f>
        <v>https://www.mail-archive.com/openstack-dev@lists.openstack.org/ </v>
      </c>
      <c r="E32" s="49"/>
      <c r="F32" s="102"/>
      <c r="G32" s="16" t="s">
        <v>335</v>
      </c>
      <c r="H32" s="41" t="s">
        <v>314</v>
      </c>
      <c r="I32" s="66"/>
      <c r="J32" s="51"/>
    </row>
    <row r="33">
      <c r="A33" s="103" t="s">
        <v>32</v>
      </c>
      <c r="B33" s="100" t="str">
        <f>IFERROR(HYPERLINK(VLOOKUP(A33,Internal_lists_bugs!$A$2:$G1014,7,FALSE()),"Intro.Issues: "&amp;VLOOKUP(A33,Internal_lists_bugs!$A$2:$P1014,16,FALSE())),"please select a BUG ID")</f>
        <v>Intro.Issues: pci-passthrough-sriov</v>
      </c>
      <c r="C33" s="101" t="str">
        <f>IFERROR(VLOOKUP(A33,Internal_lists_bugs!$A$2:$X1014,24,FALSE()),"please select a BUG ID")</f>
        <v>https://www.mail-archive.com/openstack-dev@lists.openstack.org/ </v>
      </c>
      <c r="E33" s="49"/>
      <c r="F33" s="102"/>
      <c r="G33" s="16" t="s">
        <v>336</v>
      </c>
      <c r="H33" s="41" t="s">
        <v>314</v>
      </c>
      <c r="I33" s="66"/>
      <c r="J33" s="51"/>
    </row>
    <row r="34">
      <c r="A34" s="103" t="s">
        <v>32</v>
      </c>
      <c r="B34" s="100" t="str">
        <f>IFERROR(HYPERLINK(VLOOKUP(A34,Internal_lists_bugs!$A$2:$G1014,7,FALSE()),"Intro.Issues: "&amp;VLOOKUP(A34,Internal_lists_bugs!$A$2:$P1014,16,FALSE())),"please select a BUG ID")</f>
        <v>Intro.Issues: pci-passthrough-sriov</v>
      </c>
      <c r="C34" s="101" t="str">
        <f>IFERROR(VLOOKUP(A34,Internal_lists_bugs!$A$2:$X1014,24,FALSE()),"please select a BUG ID")</f>
        <v>https://www.mail-archive.com/openstack-dev@lists.openstack.org/ </v>
      </c>
      <c r="E34" s="49"/>
      <c r="F34" s="102"/>
      <c r="G34" s="16" t="s">
        <v>337</v>
      </c>
      <c r="H34" s="41" t="s">
        <v>338</v>
      </c>
      <c r="I34" s="66"/>
      <c r="J34" s="51"/>
    </row>
    <row r="35">
      <c r="A35" s="103" t="s">
        <v>32</v>
      </c>
      <c r="B35" s="100" t="str">
        <f>IFERROR(HYPERLINK(VLOOKUP(A35,Internal_lists_bugs!$A$2:$G1014,7,FALSE()),"Intro.Issues: "&amp;VLOOKUP(A35,Internal_lists_bugs!$A$2:$P1014,16,FALSE())),"please select a BUG ID")</f>
        <v>Intro.Issues: pci-passthrough-sriov</v>
      </c>
      <c r="C35" s="101" t="str">
        <f>IFERROR(VLOOKUP(A35,Internal_lists_bugs!$A$2:$X1014,24,FALSE()),"please select a BUG ID")</f>
        <v>https://www.mail-archive.com/openstack-dev@lists.openstack.org/ </v>
      </c>
      <c r="E35" s="49"/>
      <c r="F35" s="102"/>
      <c r="G35" s="16" t="s">
        <v>339</v>
      </c>
      <c r="H35" s="41" t="s">
        <v>340</v>
      </c>
      <c r="I35" s="66"/>
      <c r="J35" s="51"/>
    </row>
    <row r="36">
      <c r="A36" s="103" t="s">
        <v>32</v>
      </c>
      <c r="B36" s="100" t="str">
        <f>IFERROR(HYPERLINK(VLOOKUP(A36,Internal_lists_bugs!$A$2:$G1014,7,FALSE()),"Intro.Issues: "&amp;VLOOKUP(A36,Internal_lists_bugs!$A$2:$P1014,16,FALSE())),"please select a BUG ID")</f>
        <v>Intro.Issues: pci-passthrough-sriov</v>
      </c>
      <c r="C36" s="101" t="str">
        <f>IFERROR(VLOOKUP(A36,Internal_lists_bugs!$A$2:$X1014,24,FALSE()),"please select a BUG ID")</f>
        <v>https://www.mail-archive.com/openstack-dev@lists.openstack.org/ </v>
      </c>
      <c r="E36" s="49"/>
      <c r="F36" s="102"/>
      <c r="G36" s="16" t="s">
        <v>341</v>
      </c>
      <c r="H36" s="41" t="s">
        <v>325</v>
      </c>
      <c r="I36" s="66"/>
      <c r="J36" s="51"/>
    </row>
    <row r="37">
      <c r="A37" s="103" t="s">
        <v>32</v>
      </c>
      <c r="B37" s="100" t="str">
        <f>IFERROR(HYPERLINK(VLOOKUP(A37,Internal_lists_bugs!$A$2:$G1014,7,FALSE()),"Intro.Issues: "&amp;VLOOKUP(A37,Internal_lists_bugs!$A$2:$P1014,16,FALSE())),"please select a BUG ID")</f>
        <v>Intro.Issues: pci-passthrough-sriov</v>
      </c>
      <c r="C37" s="101" t="str">
        <f>IFERROR(VLOOKUP(A37,Internal_lists_bugs!$A$2:$X1014,24,FALSE()),"please select a BUG ID")</f>
        <v>https://www.mail-archive.com/openstack-dev@lists.openstack.org/ </v>
      </c>
      <c r="E37" s="49"/>
      <c r="F37" s="102"/>
      <c r="G37" s="16" t="s">
        <v>342</v>
      </c>
      <c r="H37" s="41" t="s">
        <v>314</v>
      </c>
      <c r="I37" s="66"/>
      <c r="J37" s="51"/>
    </row>
    <row r="38">
      <c r="A38" s="103" t="s">
        <v>32</v>
      </c>
      <c r="B38" s="100" t="str">
        <f>IFERROR(HYPERLINK(VLOOKUP(A38,Internal_lists_bugs!$A$2:$G1014,7,FALSE()),"Intro.Issues: "&amp;VLOOKUP(A38,Internal_lists_bugs!$A$2:$P1014,16,FALSE())),"please select a BUG ID")</f>
        <v>Intro.Issues: pci-passthrough-sriov</v>
      </c>
      <c r="C38" s="101" t="str">
        <f>IFERROR(VLOOKUP(A38,Internal_lists_bugs!$A$2:$X1014,24,FALSE()),"please select a BUG ID")</f>
        <v>https://www.mail-archive.com/openstack-dev@lists.openstack.org/ </v>
      </c>
      <c r="E38" s="49"/>
      <c r="F38" s="102"/>
      <c r="G38" s="16" t="s">
        <v>342</v>
      </c>
      <c r="H38" s="41" t="s">
        <v>343</v>
      </c>
      <c r="I38" s="66"/>
      <c r="J38" s="51"/>
    </row>
    <row r="39">
      <c r="A39" s="103" t="s">
        <v>32</v>
      </c>
      <c r="B39" s="100" t="str">
        <f>IFERROR(HYPERLINK(VLOOKUP(A39,Internal_lists_bugs!$A$2:$G1014,7,FALSE()),"Intro.Issues: "&amp;VLOOKUP(A39,Internal_lists_bugs!$A$2:$P1014,16,FALSE())),"please select a BUG ID")</f>
        <v>Intro.Issues: pci-passthrough-sriov</v>
      </c>
      <c r="C39" s="101" t="str">
        <f>IFERROR(VLOOKUP(A39,Internal_lists_bugs!$A$2:$X1014,24,FALSE()),"please select a BUG ID")</f>
        <v>https://www.mail-archive.com/openstack-dev@lists.openstack.org/ </v>
      </c>
      <c r="E39" s="49"/>
      <c r="F39" s="102"/>
      <c r="G39" s="16" t="s">
        <v>344</v>
      </c>
      <c r="H39" s="41" t="s">
        <v>345</v>
      </c>
      <c r="I39" s="66"/>
      <c r="J39" s="51"/>
    </row>
    <row r="40">
      <c r="A40" s="103" t="s">
        <v>32</v>
      </c>
      <c r="B40" s="100" t="str">
        <f>IFERROR(HYPERLINK(VLOOKUP(A40,Internal_lists_bugs!$A$2:$G1014,7,FALSE()),"Intro.Issues: "&amp;VLOOKUP(A40,Internal_lists_bugs!$A$2:$P1014,16,FALSE())),"please select a BUG ID")</f>
        <v>Intro.Issues: pci-passthrough-sriov</v>
      </c>
      <c r="C40" s="101" t="str">
        <f>IFERROR(VLOOKUP(A40,Internal_lists_bugs!$A$2:$X1014,24,FALSE()),"please select a BUG ID")</f>
        <v>https://www.mail-archive.com/openstack-dev@lists.openstack.org/ </v>
      </c>
      <c r="E40" s="49"/>
      <c r="F40" s="102"/>
      <c r="G40" s="16" t="s">
        <v>344</v>
      </c>
      <c r="H40" s="41" t="s">
        <v>346</v>
      </c>
      <c r="I40" s="102"/>
      <c r="J40" s="51"/>
    </row>
    <row r="41">
      <c r="A41" s="103" t="s">
        <v>32</v>
      </c>
      <c r="B41" s="100" t="str">
        <f>IFERROR(HYPERLINK(VLOOKUP(A41,Internal_lists_bugs!$A$2:$G1014,7,FALSE()),"Intro.Issues: "&amp;VLOOKUP(A41,Internal_lists_bugs!$A$2:$P1014,16,FALSE())),"please select a BUG ID")</f>
        <v>Intro.Issues: pci-passthrough-sriov</v>
      </c>
      <c r="C41" s="101" t="str">
        <f>IFERROR(VLOOKUP(A41,Internal_lists_bugs!$A$2:$X1014,24,FALSE()),"please select a BUG ID")</f>
        <v>https://www.mail-archive.com/openstack-dev@lists.openstack.org/ </v>
      </c>
      <c r="E41" s="49"/>
      <c r="F41" s="102"/>
      <c r="G41" s="16" t="s">
        <v>347</v>
      </c>
      <c r="H41" s="41" t="s">
        <v>348</v>
      </c>
      <c r="I41" s="66"/>
      <c r="J41" s="51"/>
    </row>
    <row r="42">
      <c r="A42" s="103" t="s">
        <v>32</v>
      </c>
      <c r="B42" s="100" t="str">
        <f>IFERROR(HYPERLINK(VLOOKUP(A42,Internal_lists_bugs!$A$2:$G1014,7,FALSE()),"Intro.Issues: "&amp;VLOOKUP(A42,Internal_lists_bugs!$A$2:$P1014,16,FALSE())),"please select a BUG ID")</f>
        <v>Intro.Issues: pci-passthrough-sriov</v>
      </c>
      <c r="C42" s="101" t="str">
        <f>IFERROR(VLOOKUP(A42,Internal_lists_bugs!$A$2:$X1014,24,FALSE()),"please select a BUG ID")</f>
        <v>https://www.mail-archive.com/openstack-dev@lists.openstack.org/ </v>
      </c>
      <c r="E42" s="49"/>
      <c r="F42" s="102"/>
      <c r="G42" s="16" t="s">
        <v>349</v>
      </c>
      <c r="H42" s="41" t="s">
        <v>309</v>
      </c>
      <c r="I42" s="66"/>
      <c r="J42" s="51"/>
    </row>
    <row r="43">
      <c r="A43" s="103" t="s">
        <v>32</v>
      </c>
      <c r="B43" s="100" t="str">
        <f>IFERROR(HYPERLINK(VLOOKUP(A43,Internal_lists_bugs!$A$2:$G1014,7,FALSE()),"Intro.Issues: "&amp;VLOOKUP(A43,Internal_lists_bugs!$A$2:$P1014,16,FALSE())),"please select a BUG ID")</f>
        <v>Intro.Issues: pci-passthrough-sriov</v>
      </c>
      <c r="C43" s="101" t="str">
        <f>IFERROR(VLOOKUP(A43,Internal_lists_bugs!$A$2:$X1014,24,FALSE()),"please select a BUG ID")</f>
        <v>https://www.mail-archive.com/openstack-dev@lists.openstack.org/ </v>
      </c>
      <c r="E43" s="49"/>
      <c r="F43" s="102"/>
      <c r="G43" s="16" t="s">
        <v>349</v>
      </c>
      <c r="H43" s="41" t="s">
        <v>350</v>
      </c>
      <c r="I43" s="66"/>
      <c r="J43" s="51"/>
    </row>
    <row r="44">
      <c r="A44" s="103" t="s">
        <v>32</v>
      </c>
      <c r="B44" s="100" t="str">
        <f>IFERROR(HYPERLINK(VLOOKUP(A44,Internal_lists_bugs!$A$2:$G1014,7,FALSE()),"Intro.Issues: "&amp;VLOOKUP(A44,Internal_lists_bugs!$A$2:$P1014,16,FALSE())),"please select a BUG ID")</f>
        <v>Intro.Issues: pci-passthrough-sriov</v>
      </c>
      <c r="C44" s="101" t="str">
        <f>IFERROR(VLOOKUP(A44,Internal_lists_bugs!$A$2:$X1014,24,FALSE()),"please select a BUG ID")</f>
        <v>https://www.mail-archive.com/openstack-dev@lists.openstack.org/ </v>
      </c>
      <c r="E44" s="49"/>
      <c r="F44" s="102"/>
      <c r="G44" s="16" t="s">
        <v>351</v>
      </c>
      <c r="H44" s="41" t="s">
        <v>352</v>
      </c>
      <c r="I44" s="66"/>
      <c r="J44" s="51"/>
    </row>
    <row r="45">
      <c r="A45" s="103" t="s">
        <v>32</v>
      </c>
      <c r="B45" s="100" t="str">
        <f>IFERROR(HYPERLINK(VLOOKUP(A45,Internal_lists_bugs!$A$2:$G1014,7,FALSE()),"Intro.Issues: "&amp;VLOOKUP(A45,Internal_lists_bugs!$A$2:$P1014,16,FALSE())),"please select a BUG ID")</f>
        <v>Intro.Issues: pci-passthrough-sriov</v>
      </c>
      <c r="C45" s="101" t="str">
        <f>IFERROR(VLOOKUP(A45,Internal_lists_bugs!$A$2:$X1014,24,FALSE()),"please select a BUG ID")</f>
        <v>https://www.mail-archive.com/openstack-dev@lists.openstack.org/ </v>
      </c>
      <c r="E45" s="49"/>
      <c r="F45" s="102"/>
      <c r="G45" s="16" t="s">
        <v>351</v>
      </c>
      <c r="H45" s="41" t="s">
        <v>314</v>
      </c>
      <c r="I45" s="66"/>
      <c r="J45" s="51"/>
    </row>
    <row r="46">
      <c r="A46" s="103" t="s">
        <v>32</v>
      </c>
      <c r="B46" s="100" t="str">
        <f>IFERROR(HYPERLINK(VLOOKUP(A46,Internal_lists_bugs!$A$2:$G1014,7,FALSE()),"Intro.Issues: "&amp;VLOOKUP(A46,Internal_lists_bugs!$A$2:$P1014,16,FALSE())),"please select a BUG ID")</f>
        <v>Intro.Issues: pci-passthrough-sriov</v>
      </c>
      <c r="C46" s="101" t="str">
        <f>IFERROR(VLOOKUP(A46,Internal_lists_bugs!$A$2:$X1014,24,FALSE()),"please select a BUG ID")</f>
        <v>https://www.mail-archive.com/openstack-dev@lists.openstack.org/ </v>
      </c>
      <c r="E46" s="49"/>
      <c r="F46" s="102"/>
      <c r="G46" s="16" t="s">
        <v>353</v>
      </c>
      <c r="H46" s="41" t="s">
        <v>354</v>
      </c>
      <c r="I46" s="66"/>
      <c r="J46" s="51"/>
    </row>
    <row r="47">
      <c r="A47" s="103" t="s">
        <v>32</v>
      </c>
      <c r="B47" s="100" t="str">
        <f>IFERROR(HYPERLINK(VLOOKUP(A47,Internal_lists_bugs!$A$2:$G1014,7,FALSE()),"Intro.Issues: "&amp;VLOOKUP(A47,Internal_lists_bugs!$A$2:$P1014,16,FALSE())),"please select a BUG ID")</f>
        <v>Intro.Issues: pci-passthrough-sriov</v>
      </c>
      <c r="C47" s="101" t="str">
        <f>IFERROR(VLOOKUP(A47,Internal_lists_bugs!$A$2:$X1014,24,FALSE()),"please select a BUG ID")</f>
        <v>https://www.mail-archive.com/openstack-dev@lists.openstack.org/ </v>
      </c>
      <c r="E47" s="49"/>
      <c r="F47" s="102"/>
      <c r="G47" s="16" t="s">
        <v>353</v>
      </c>
      <c r="H47" s="41" t="s">
        <v>355</v>
      </c>
      <c r="I47" s="66"/>
      <c r="J47" s="51"/>
    </row>
    <row r="48">
      <c r="A48" s="103" t="s">
        <v>32</v>
      </c>
      <c r="B48" s="100" t="str">
        <f>IFERROR(HYPERLINK(VLOOKUP(A48,Internal_lists_bugs!$A$2:$G1014,7,FALSE()),"Intro.Issues: "&amp;VLOOKUP(A48,Internal_lists_bugs!$A$2:$P1014,16,FALSE())),"please select a BUG ID")</f>
        <v>Intro.Issues: pci-passthrough-sriov</v>
      </c>
      <c r="C48" s="101" t="str">
        <f>IFERROR(VLOOKUP(A48,Internal_lists_bugs!$A$2:$X1014,24,FALSE()),"please select a BUG ID")</f>
        <v>https://www.mail-archive.com/openstack-dev@lists.openstack.org/ </v>
      </c>
      <c r="E48" s="49"/>
      <c r="F48" s="102"/>
      <c r="G48" s="16" t="s">
        <v>356</v>
      </c>
      <c r="H48" s="41" t="s">
        <v>354</v>
      </c>
      <c r="I48" s="66"/>
      <c r="J48" s="51"/>
    </row>
    <row r="49">
      <c r="A49" s="103" t="s">
        <v>32</v>
      </c>
      <c r="B49" s="100" t="str">
        <f>IFERROR(HYPERLINK(VLOOKUP(A49,Internal_lists_bugs!$A$2:$G1014,7,FALSE()),"Intro.Issues: "&amp;VLOOKUP(A49,Internal_lists_bugs!$A$2:$P1014,16,FALSE())),"please select a BUG ID")</f>
        <v>Intro.Issues: pci-passthrough-sriov</v>
      </c>
      <c r="C49" s="101" t="str">
        <f>IFERROR(VLOOKUP(A49,Internal_lists_bugs!$A$2:$X1014,24,FALSE()),"please select a BUG ID")</f>
        <v>https://www.mail-archive.com/openstack-dev@lists.openstack.org/ </v>
      </c>
      <c r="E49" s="49"/>
      <c r="F49" s="102"/>
      <c r="G49" s="16" t="s">
        <v>357</v>
      </c>
      <c r="H49" s="41" t="s">
        <v>358</v>
      </c>
      <c r="I49" s="66"/>
      <c r="J49" s="51"/>
    </row>
    <row r="50">
      <c r="A50" s="103" t="s">
        <v>32</v>
      </c>
      <c r="B50" s="100" t="str">
        <f>IFERROR(HYPERLINK(VLOOKUP(A50,Internal_lists_bugs!$A$2:$G1014,7,FALSE()),"Intro.Issues: "&amp;VLOOKUP(A50,Internal_lists_bugs!$A$2:$P1014,16,FALSE())),"please select a BUG ID")</f>
        <v>Intro.Issues: pci-passthrough-sriov</v>
      </c>
      <c r="C50" s="101" t="str">
        <f>IFERROR(VLOOKUP(A50,Internal_lists_bugs!$A$2:$X1014,24,FALSE()),"please select a BUG ID")</f>
        <v>https://www.mail-archive.com/openstack-dev@lists.openstack.org/ </v>
      </c>
      <c r="E50" s="49"/>
      <c r="F50" s="102"/>
      <c r="G50" s="16" t="s">
        <v>359</v>
      </c>
      <c r="H50" s="41" t="s">
        <v>360</v>
      </c>
      <c r="I50" s="66"/>
      <c r="J50" s="51"/>
    </row>
    <row r="51">
      <c r="A51" s="103" t="s">
        <v>32</v>
      </c>
      <c r="B51" s="100" t="str">
        <f>IFERROR(HYPERLINK(VLOOKUP(A51,Internal_lists_bugs!$A$2:$G1014,7,FALSE()),"Intro.Issues: "&amp;VLOOKUP(A51,Internal_lists_bugs!$A$2:$P1014,16,FALSE())),"please select a BUG ID")</f>
        <v>Intro.Issues: pci-passthrough-sriov</v>
      </c>
      <c r="C51" s="101" t="str">
        <f>IFERROR(VLOOKUP(A51,Internal_lists_bugs!$A$2:$X1014,24,FALSE()),"please select a BUG ID")</f>
        <v>https://www.mail-archive.com/openstack-dev@lists.openstack.org/ </v>
      </c>
      <c r="E51" s="49"/>
      <c r="F51" s="102"/>
      <c r="G51" s="16" t="s">
        <v>361</v>
      </c>
      <c r="H51" s="41" t="s">
        <v>362</v>
      </c>
      <c r="I51" s="66"/>
      <c r="J51" s="51"/>
    </row>
    <row r="52">
      <c r="A52" s="103" t="s">
        <v>32</v>
      </c>
      <c r="B52" s="100" t="str">
        <f>IFERROR(HYPERLINK(VLOOKUP(A52,Internal_lists_bugs!$A$2:$G1014,7,FALSE()),"Intro.Issues: "&amp;VLOOKUP(A52,Internal_lists_bugs!$A$2:$P1014,16,FALSE())),"please select a BUG ID")</f>
        <v>Intro.Issues: pci-passthrough-sriov</v>
      </c>
      <c r="C52" s="101" t="str">
        <f>IFERROR(VLOOKUP(A52,Internal_lists_bugs!$A$2:$X1014,24,FALSE()),"please select a BUG ID")</f>
        <v>https://www.mail-archive.com/openstack-dev@lists.openstack.org/ </v>
      </c>
      <c r="E52" s="49"/>
      <c r="F52" s="102"/>
      <c r="G52" s="16" t="s">
        <v>363</v>
      </c>
      <c r="H52" s="41" t="s">
        <v>313</v>
      </c>
      <c r="I52" s="66"/>
      <c r="J52" s="51"/>
    </row>
    <row r="53">
      <c r="A53" s="103" t="s">
        <v>32</v>
      </c>
      <c r="B53" s="100" t="str">
        <f>IFERROR(HYPERLINK(VLOOKUP(A53,Internal_lists_bugs!$A$2:$G1014,7,FALSE()),"Intro.Issues: "&amp;VLOOKUP(A53,Internal_lists_bugs!$A$2:$P1014,16,FALSE())),"please select a BUG ID")</f>
        <v>Intro.Issues: pci-passthrough-sriov</v>
      </c>
      <c r="C53" s="101" t="str">
        <f>IFERROR(VLOOKUP(A53,Internal_lists_bugs!$A$2:$X1014,24,FALSE()),"please select a BUG ID")</f>
        <v>https://www.mail-archive.com/openstack-dev@lists.openstack.org/ </v>
      </c>
      <c r="E53" s="49"/>
      <c r="F53" s="102"/>
      <c r="G53" s="16" t="s">
        <v>363</v>
      </c>
      <c r="H53" s="41" t="s">
        <v>309</v>
      </c>
      <c r="I53" s="66"/>
      <c r="J53" s="51"/>
    </row>
    <row r="54">
      <c r="A54" s="103" t="s">
        <v>32</v>
      </c>
      <c r="B54" s="100" t="str">
        <f>IFERROR(HYPERLINK(VLOOKUP(A54,Internal_lists_bugs!$A$2:$G1014,7,FALSE()),"Intro.Issues: "&amp;VLOOKUP(A54,Internal_lists_bugs!$A$2:$P1014,16,FALSE())),"please select a BUG ID")</f>
        <v>Intro.Issues: pci-passthrough-sriov</v>
      </c>
      <c r="C54" s="101" t="str">
        <f>IFERROR(VLOOKUP(A54,Internal_lists_bugs!$A$2:$X1014,24,FALSE()),"please select a BUG ID")</f>
        <v>https://www.mail-archive.com/openstack-dev@lists.openstack.org/ </v>
      </c>
      <c r="E54" s="49"/>
      <c r="F54" s="102"/>
      <c r="G54" s="16" t="s">
        <v>364</v>
      </c>
      <c r="H54" s="41" t="s">
        <v>348</v>
      </c>
      <c r="I54" s="66"/>
      <c r="J54" s="51"/>
    </row>
    <row r="55">
      <c r="A55" s="103" t="s">
        <v>32</v>
      </c>
      <c r="B55" s="100" t="str">
        <f>IFERROR(HYPERLINK(VLOOKUP(A55,Internal_lists_bugs!$A$2:$G1014,7,FALSE()),"Intro.Issues: "&amp;VLOOKUP(A55,Internal_lists_bugs!$A$2:$P1014,16,FALSE())),"please select a BUG ID")</f>
        <v>Intro.Issues: pci-passthrough-sriov</v>
      </c>
      <c r="C55" s="101" t="str">
        <f>IFERROR(VLOOKUP(A55,Internal_lists_bugs!$A$2:$X1014,24,FALSE()),"please select a BUG ID")</f>
        <v>https://www.mail-archive.com/openstack-dev@lists.openstack.org/ </v>
      </c>
      <c r="E55" s="49"/>
      <c r="F55" s="102"/>
      <c r="G55" s="16" t="s">
        <v>365</v>
      </c>
      <c r="H55" s="41" t="s">
        <v>352</v>
      </c>
      <c r="I55" s="66"/>
      <c r="J55" s="51"/>
    </row>
    <row r="56">
      <c r="A56" s="103" t="s">
        <v>32</v>
      </c>
      <c r="B56" s="100" t="str">
        <f>IFERROR(HYPERLINK(VLOOKUP(A56,Internal_lists_bugs!$A$2:$G1014,7,FALSE()),"Intro.Issues: "&amp;VLOOKUP(A56,Internal_lists_bugs!$A$2:$P1014,16,FALSE())),"please select a BUG ID")</f>
        <v>Intro.Issues: pci-passthrough-sriov</v>
      </c>
      <c r="C56" s="101" t="str">
        <f>IFERROR(VLOOKUP(A56,Internal_lists_bugs!$A$2:$X1014,24,FALSE()),"please select a BUG ID")</f>
        <v>https://www.mail-archive.com/openstack-dev@lists.openstack.org/ </v>
      </c>
      <c r="E56" s="49"/>
      <c r="F56" s="102"/>
      <c r="G56" s="16" t="s">
        <v>365</v>
      </c>
      <c r="H56" s="41" t="s">
        <v>350</v>
      </c>
      <c r="I56" s="66"/>
      <c r="J56" s="51"/>
    </row>
    <row r="57">
      <c r="A57" s="103" t="s">
        <v>32</v>
      </c>
      <c r="B57" s="100" t="str">
        <f>IFERROR(HYPERLINK(VLOOKUP(A57,Internal_lists_bugs!$A$2:$G1014,7,FALSE()),"Intro.Issues: "&amp;VLOOKUP(A57,Internal_lists_bugs!$A$2:$P1014,16,FALSE())),"please select a BUG ID")</f>
        <v>Intro.Issues: pci-passthrough-sriov</v>
      </c>
      <c r="C57" s="101" t="str">
        <f>IFERROR(VLOOKUP(A57,Internal_lists_bugs!$A$2:$X1014,24,FALSE()),"please select a BUG ID")</f>
        <v>https://www.mail-archive.com/openstack-dev@lists.openstack.org/ </v>
      </c>
      <c r="E57" s="49"/>
      <c r="F57" s="102"/>
      <c r="G57" s="16" t="s">
        <v>366</v>
      </c>
      <c r="H57" s="41" t="s">
        <v>314</v>
      </c>
      <c r="I57" s="66"/>
      <c r="J57" s="51"/>
    </row>
    <row r="58">
      <c r="A58" s="103" t="s">
        <v>32</v>
      </c>
      <c r="B58" s="100" t="str">
        <f>IFERROR(HYPERLINK(VLOOKUP(A58,Internal_lists_bugs!$A$2:$G1014,7,FALSE()),"Intro.Issues: "&amp;VLOOKUP(A58,Internal_lists_bugs!$A$2:$P1014,16,FALSE())),"please select a BUG ID")</f>
        <v>Intro.Issues: pci-passthrough-sriov</v>
      </c>
      <c r="C58" s="101" t="str">
        <f>IFERROR(VLOOKUP(A58,Internal_lists_bugs!$A$2:$X1014,24,FALSE()),"please select a BUG ID")</f>
        <v>https://www.mail-archive.com/openstack-dev@lists.openstack.org/ </v>
      </c>
      <c r="E58" s="49"/>
      <c r="F58" s="102"/>
      <c r="G58" s="16" t="s">
        <v>367</v>
      </c>
      <c r="H58" s="41" t="s">
        <v>348</v>
      </c>
      <c r="I58" s="66"/>
      <c r="J58" s="51"/>
    </row>
    <row r="59">
      <c r="A59" s="103" t="s">
        <v>32</v>
      </c>
      <c r="B59" s="100" t="str">
        <f>IFERROR(HYPERLINK(VLOOKUP(A59,Internal_lists_bugs!$A$2:$G1014,7,FALSE()),"Intro.Issues: "&amp;VLOOKUP(A59,Internal_lists_bugs!$A$2:$P1014,16,FALSE())),"please select a BUG ID")</f>
        <v>Intro.Issues: pci-passthrough-sriov</v>
      </c>
      <c r="C59" s="101" t="str">
        <f>IFERROR(VLOOKUP(A59,Internal_lists_bugs!$A$2:$X1014,24,FALSE()),"please select a BUG ID")</f>
        <v>https://www.mail-archive.com/openstack-dev@lists.openstack.org/ </v>
      </c>
      <c r="E59" s="49"/>
      <c r="F59" s="102"/>
      <c r="G59" s="16" t="s">
        <v>368</v>
      </c>
      <c r="H59" s="41" t="s">
        <v>314</v>
      </c>
      <c r="I59" s="66"/>
      <c r="J59" s="51"/>
    </row>
    <row r="60">
      <c r="A60" s="103" t="s">
        <v>32</v>
      </c>
      <c r="B60" s="100" t="str">
        <f>IFERROR(HYPERLINK(VLOOKUP(A60,Internal_lists_bugs!$A$2:$G1014,7,FALSE()),"Intro.Issues: "&amp;VLOOKUP(A60,Internal_lists_bugs!$A$2:$P1014,16,FALSE())),"please select a BUG ID")</f>
        <v>Intro.Issues: pci-passthrough-sriov</v>
      </c>
      <c r="C60" s="101" t="str">
        <f>IFERROR(VLOOKUP(A60,Internal_lists_bugs!$A$2:$X1014,24,FALSE()),"please select a BUG ID")</f>
        <v>https://www.mail-archive.com/openstack-dev@lists.openstack.org/ </v>
      </c>
      <c r="E60" s="49"/>
      <c r="F60" s="102"/>
      <c r="G60" s="16" t="s">
        <v>369</v>
      </c>
      <c r="H60" s="41" t="s">
        <v>348</v>
      </c>
      <c r="I60" s="66"/>
      <c r="J60" s="51"/>
    </row>
    <row r="61">
      <c r="A61" s="103" t="s">
        <v>32</v>
      </c>
      <c r="B61" s="100" t="str">
        <f>IFERROR(HYPERLINK(VLOOKUP(A61,Internal_lists_bugs!$A$2:$G1014,7,FALSE()),"Intro.Issues: "&amp;VLOOKUP(A61,Internal_lists_bugs!$A$2:$P1014,16,FALSE())),"please select a BUG ID")</f>
        <v>Intro.Issues: pci-passthrough-sriov</v>
      </c>
      <c r="C61" s="101" t="str">
        <f>IFERROR(VLOOKUP(A61,Internal_lists_bugs!$A$2:$X1014,24,FALSE()),"please select a BUG ID")</f>
        <v>https://www.mail-archive.com/openstack-dev@lists.openstack.org/ </v>
      </c>
      <c r="E61" s="49"/>
      <c r="F61" s="102"/>
      <c r="G61" s="16" t="s">
        <v>370</v>
      </c>
      <c r="H61" s="41" t="s">
        <v>346</v>
      </c>
      <c r="I61" s="66"/>
      <c r="J61" s="51"/>
    </row>
    <row r="62">
      <c r="A62" s="103" t="s">
        <v>32</v>
      </c>
      <c r="B62" s="100" t="str">
        <f>IFERROR(HYPERLINK(VLOOKUP(A62,Internal_lists_bugs!$A$2:$G1014,7,FALSE()),"Intro.Issues: "&amp;VLOOKUP(A62,Internal_lists_bugs!$A$2:$P1014,16,FALSE())),"please select a BUG ID")</f>
        <v>Intro.Issues: pci-passthrough-sriov</v>
      </c>
      <c r="C62" s="101" t="str">
        <f>IFERROR(VLOOKUP(A62,Internal_lists_bugs!$A$2:$X1014,24,FALSE()),"please select a BUG ID")</f>
        <v>https://www.mail-archive.com/openstack-dev@lists.openstack.org/ </v>
      </c>
      <c r="E62" s="49"/>
      <c r="F62" s="102"/>
      <c r="G62" s="16" t="s">
        <v>371</v>
      </c>
      <c r="H62" s="41" t="s">
        <v>372</v>
      </c>
      <c r="I62" s="102"/>
      <c r="J62" s="51"/>
    </row>
    <row r="63">
      <c r="A63" s="103" t="s">
        <v>32</v>
      </c>
      <c r="B63" s="100" t="str">
        <f>IFERROR(HYPERLINK(VLOOKUP(A63,Internal_lists_bugs!$A$2:$G1014,7,FALSE()),"Intro.Issues: "&amp;VLOOKUP(A63,Internal_lists_bugs!$A$2:$P1014,16,FALSE())),"please select a BUG ID")</f>
        <v>Intro.Issues: pci-passthrough-sriov</v>
      </c>
      <c r="C63" s="101" t="str">
        <f>IFERROR(VLOOKUP(A63,Internal_lists_bugs!$A$2:$X1014,24,FALSE()),"please select a BUG ID")</f>
        <v>https://www.mail-archive.com/openstack-dev@lists.openstack.org/ </v>
      </c>
      <c r="E63" s="49"/>
      <c r="F63" s="102"/>
      <c r="G63" s="16" t="s">
        <v>371</v>
      </c>
      <c r="H63" s="41" t="s">
        <v>373</v>
      </c>
      <c r="I63" s="102"/>
      <c r="J63" s="51"/>
    </row>
    <row r="64">
      <c r="A64" s="103" t="s">
        <v>32</v>
      </c>
      <c r="B64" s="100" t="str">
        <f>IFERROR(HYPERLINK(VLOOKUP(A64,Internal_lists_bugs!$A$2:$G1014,7,FALSE()),"Intro.Issues: "&amp;VLOOKUP(A64,Internal_lists_bugs!$A$2:$P1014,16,FALSE())),"please select a BUG ID")</f>
        <v>Intro.Issues: pci-passthrough-sriov</v>
      </c>
      <c r="C64" s="101" t="str">
        <f>IFERROR(VLOOKUP(A64,Internal_lists_bugs!$A$2:$X1014,24,FALSE()),"please select a BUG ID")</f>
        <v>https://www.mail-archive.com/openstack-dev@lists.openstack.org/ </v>
      </c>
      <c r="E64" s="49"/>
      <c r="F64" s="102"/>
      <c r="G64" s="16" t="s">
        <v>374</v>
      </c>
      <c r="H64" s="41" t="s">
        <v>375</v>
      </c>
      <c r="I64" s="66" t="s">
        <v>376</v>
      </c>
      <c r="J64" s="51"/>
    </row>
    <row r="65">
      <c r="A65" s="103" t="s">
        <v>32</v>
      </c>
      <c r="B65" s="100" t="str">
        <f>IFERROR(HYPERLINK(VLOOKUP(A65,Internal_lists_bugs!$A$2:$G1014,7,FALSE()),"Intro.Issues: "&amp;VLOOKUP(A65,Internal_lists_bugs!$A$2:$P1014,16,FALSE())),"please select a BUG ID")</f>
        <v>Intro.Issues: pci-passthrough-sriov</v>
      </c>
      <c r="C65" s="101" t="str">
        <f>IFERROR(VLOOKUP(A65,Internal_lists_bugs!$A$2:$X1014,24,FALSE()),"please select a BUG ID")</f>
        <v>https://www.mail-archive.com/openstack-dev@lists.openstack.org/ </v>
      </c>
      <c r="E65" s="49"/>
      <c r="F65" s="102"/>
      <c r="G65" s="16" t="s">
        <v>374</v>
      </c>
      <c r="H65" s="41" t="s">
        <v>377</v>
      </c>
      <c r="I65" s="66" t="s">
        <v>376</v>
      </c>
      <c r="J65" s="51"/>
    </row>
    <row r="66">
      <c r="A66" s="103" t="s">
        <v>32</v>
      </c>
      <c r="B66" s="100" t="str">
        <f>IFERROR(HYPERLINK(VLOOKUP(A66,Internal_lists_bugs!$A$2:$G1014,7,FALSE()),"Intro.Issues: "&amp;VLOOKUP(A66,Internal_lists_bugs!$A$2:$P1014,16,FALSE())),"please select a BUG ID")</f>
        <v>Intro.Issues: pci-passthrough-sriov</v>
      </c>
      <c r="C66" s="101" t="str">
        <f>IFERROR(VLOOKUP(A66,Internal_lists_bugs!$A$2:$X1014,24,FALSE()),"please select a BUG ID")</f>
        <v>https://www.mail-archive.com/openstack-dev@lists.openstack.org/ </v>
      </c>
      <c r="E66" s="49"/>
      <c r="F66" s="102"/>
      <c r="G66" s="16" t="s">
        <v>374</v>
      </c>
      <c r="H66" s="41" t="s">
        <v>378</v>
      </c>
      <c r="I66" s="66" t="s">
        <v>376</v>
      </c>
      <c r="J66" s="51"/>
    </row>
    <row r="67">
      <c r="A67" s="103" t="s">
        <v>32</v>
      </c>
      <c r="B67" s="100" t="str">
        <f>IFERROR(HYPERLINK(VLOOKUP(A67,Internal_lists_bugs!$A$2:$G1014,7,FALSE()),"Intro.Issues: "&amp;VLOOKUP(A67,Internal_lists_bugs!$A$2:$P1014,16,FALSE())),"please select a BUG ID")</f>
        <v>Intro.Issues: pci-passthrough-sriov</v>
      </c>
      <c r="C67" s="101" t="str">
        <f>IFERROR(VLOOKUP(A67,Internal_lists_bugs!$A$2:$X1014,24,FALSE()),"please select a BUG ID")</f>
        <v>https://www.mail-archive.com/openstack-dev@lists.openstack.org/ </v>
      </c>
      <c r="E67" s="49"/>
      <c r="F67" s="102"/>
      <c r="G67" s="16" t="s">
        <v>374</v>
      </c>
      <c r="H67" s="41" t="s">
        <v>379</v>
      </c>
      <c r="I67" s="66" t="s">
        <v>376</v>
      </c>
      <c r="J67" s="51"/>
    </row>
    <row r="68">
      <c r="A68" s="103" t="s">
        <v>32</v>
      </c>
      <c r="B68" s="100" t="str">
        <f>IFERROR(HYPERLINK(VLOOKUP(A68,Internal_lists_bugs!$A$2:$G1014,7,FALSE()),"Intro.Issues: "&amp;VLOOKUP(A68,Internal_lists_bugs!$A$2:$P1014,16,FALSE())),"please select a BUG ID")</f>
        <v>Intro.Issues: pci-passthrough-sriov</v>
      </c>
      <c r="C68" s="101" t="str">
        <f>IFERROR(VLOOKUP(A68,Internal_lists_bugs!$A$2:$X1014,24,FALSE()),"please select a BUG ID")</f>
        <v>https://www.mail-archive.com/openstack-dev@lists.openstack.org/ </v>
      </c>
      <c r="E68" s="49"/>
      <c r="F68" s="102"/>
      <c r="G68" s="16" t="s">
        <v>380</v>
      </c>
      <c r="H68" s="41" t="s">
        <v>325</v>
      </c>
      <c r="I68" s="66"/>
      <c r="J68" s="51"/>
    </row>
    <row r="69">
      <c r="A69" s="103" t="s">
        <v>32</v>
      </c>
      <c r="B69" s="100" t="str">
        <f>IFERROR(HYPERLINK(VLOOKUP(A69,Internal_lists_bugs!$A$2:$G1014,7,FALSE()),"Intro.Issues: "&amp;VLOOKUP(A69,Internal_lists_bugs!$A$2:$P1014,16,FALSE())),"please select a BUG ID")</f>
        <v>Intro.Issues: pci-passthrough-sriov</v>
      </c>
      <c r="C69" s="101" t="str">
        <f>IFERROR(VLOOKUP(A69,Internal_lists_bugs!$A$2:$X1014,24,FALSE()),"please select a BUG ID")</f>
        <v>https://www.mail-archive.com/openstack-dev@lists.openstack.org/ </v>
      </c>
      <c r="E69" s="49"/>
      <c r="F69" s="102"/>
      <c r="G69" s="16" t="s">
        <v>380</v>
      </c>
      <c r="H69" s="41" t="s">
        <v>381</v>
      </c>
      <c r="I69" s="66"/>
      <c r="J69" s="51"/>
    </row>
    <row r="70">
      <c r="A70" s="103" t="s">
        <v>32</v>
      </c>
      <c r="B70" s="100" t="str">
        <f>IFERROR(HYPERLINK(VLOOKUP(A70,Internal_lists_bugs!$A$2:$G1014,7,FALSE()),"Intro.Issues: "&amp;VLOOKUP(A70,Internal_lists_bugs!$A$2:$P1014,16,FALSE())),"please select a BUG ID")</f>
        <v>Intro.Issues: pci-passthrough-sriov</v>
      </c>
      <c r="C70" s="101" t="str">
        <f>IFERROR(VLOOKUP(A70,Internal_lists_bugs!$A$2:$X1014,24,FALSE()),"please select a BUG ID")</f>
        <v>https://www.mail-archive.com/openstack-dev@lists.openstack.org/ </v>
      </c>
      <c r="E70" s="49"/>
      <c r="F70" s="102"/>
      <c r="G70" s="16" t="s">
        <v>382</v>
      </c>
      <c r="H70" s="41" t="s">
        <v>381</v>
      </c>
      <c r="I70" s="66"/>
      <c r="J70" s="51"/>
    </row>
    <row r="71">
      <c r="A71" s="103" t="s">
        <v>32</v>
      </c>
      <c r="B71" s="100" t="str">
        <f>IFERROR(HYPERLINK(VLOOKUP(A71,Internal_lists_bugs!$A$2:$G1014,7,FALSE()),"Intro.Issues: "&amp;VLOOKUP(A71,Internal_lists_bugs!$A$2:$P1014,16,FALSE())),"please select a BUG ID")</f>
        <v>Intro.Issues: pci-passthrough-sriov</v>
      </c>
      <c r="C71" s="101" t="str">
        <f>IFERROR(VLOOKUP(A71,Internal_lists_bugs!$A$2:$X1014,24,FALSE()),"please select a BUG ID")</f>
        <v>https://www.mail-archive.com/openstack-dev@lists.openstack.org/ </v>
      </c>
      <c r="E71" s="49"/>
      <c r="F71" s="102"/>
      <c r="G71" s="16" t="s">
        <v>383</v>
      </c>
      <c r="H71" s="41" t="s">
        <v>311</v>
      </c>
      <c r="I71" s="66"/>
      <c r="J71" s="51"/>
    </row>
    <row r="72">
      <c r="A72" s="103" t="s">
        <v>32</v>
      </c>
      <c r="B72" s="100" t="str">
        <f>IFERROR(HYPERLINK(VLOOKUP(A72,Internal_lists_bugs!$A$2:$G1014,7,FALSE()),"Intro.Issues: "&amp;VLOOKUP(A72,Internal_lists_bugs!$A$2:$P1014,16,FALSE())),"please select a BUG ID")</f>
        <v>Intro.Issues: pci-passthrough-sriov</v>
      </c>
      <c r="C72" s="101" t="str">
        <f>IFERROR(VLOOKUP(A72,Internal_lists_bugs!$A$2:$X1014,24,FALSE()),"please select a BUG ID")</f>
        <v>https://www.mail-archive.com/openstack-dev@lists.openstack.org/ </v>
      </c>
      <c r="E72" s="49"/>
      <c r="F72" s="102"/>
      <c r="G72" s="16" t="s">
        <v>384</v>
      </c>
      <c r="H72" s="41" t="s">
        <v>385</v>
      </c>
      <c r="I72" s="66"/>
      <c r="J72" s="51"/>
    </row>
    <row r="73">
      <c r="A73" s="103" t="s">
        <v>32</v>
      </c>
      <c r="B73" s="100" t="str">
        <f>IFERROR(HYPERLINK(VLOOKUP(A73,Internal_lists_bugs!$A$2:$G1014,7,FALSE()),"Intro.Issues: "&amp;VLOOKUP(A73,Internal_lists_bugs!$A$2:$P1014,16,FALSE())),"please select a BUG ID")</f>
        <v>Intro.Issues: pci-passthrough-sriov</v>
      </c>
      <c r="C73" s="101" t="str">
        <f>IFERROR(VLOOKUP(A73,Internal_lists_bugs!$A$2:$X1014,24,FALSE()),"please select a BUG ID")</f>
        <v>https://www.mail-archive.com/openstack-dev@lists.openstack.org/ </v>
      </c>
      <c r="E73" s="49"/>
      <c r="F73" s="102"/>
      <c r="G73" s="16" t="s">
        <v>384</v>
      </c>
      <c r="H73" s="41" t="s">
        <v>386</v>
      </c>
      <c r="I73" s="102"/>
      <c r="J73" s="51"/>
    </row>
    <row r="74">
      <c r="A74" s="103" t="s">
        <v>32</v>
      </c>
      <c r="B74" s="100" t="str">
        <f>IFERROR(HYPERLINK(VLOOKUP(A74,Internal_lists_bugs!$A$2:$G1014,7,FALSE()),"Intro.Issues: "&amp;VLOOKUP(A74,Internal_lists_bugs!$A$2:$P1014,16,FALSE())),"please select a BUG ID")</f>
        <v>Intro.Issues: pci-passthrough-sriov</v>
      </c>
      <c r="C74" s="101" t="str">
        <f>IFERROR(VLOOKUP(A74,Internal_lists_bugs!$A$2:$X1014,24,FALSE()),"please select a BUG ID")</f>
        <v>https://www.mail-archive.com/openstack-dev@lists.openstack.org/ </v>
      </c>
      <c r="E74" s="49"/>
      <c r="F74" s="102"/>
      <c r="G74" s="16" t="s">
        <v>384</v>
      </c>
      <c r="H74" s="41" t="s">
        <v>387</v>
      </c>
      <c r="I74" s="66"/>
      <c r="J74" s="51"/>
    </row>
    <row r="75">
      <c r="A75" s="103" t="s">
        <v>32</v>
      </c>
      <c r="B75" s="100" t="str">
        <f>IFERROR(HYPERLINK(VLOOKUP(A75,Internal_lists_bugs!$A$2:$G1014,7,FALSE()),"Intro.Issues: "&amp;VLOOKUP(A75,Internal_lists_bugs!$A$2:$P1014,16,FALSE())),"please select a BUG ID")</f>
        <v>Intro.Issues: pci-passthrough-sriov</v>
      </c>
      <c r="C75" s="101" t="str">
        <f>IFERROR(VLOOKUP(A75,Internal_lists_bugs!$A$2:$X1014,24,FALSE()),"please select a BUG ID")</f>
        <v>https://www.mail-archive.com/openstack-dev@lists.openstack.org/ </v>
      </c>
      <c r="E75" s="49"/>
      <c r="F75" s="102"/>
      <c r="G75" s="16" t="s">
        <v>388</v>
      </c>
      <c r="H75" s="41" t="s">
        <v>389</v>
      </c>
      <c r="I75" s="66"/>
      <c r="J75" s="51"/>
    </row>
    <row r="76">
      <c r="A76" s="103" t="s">
        <v>32</v>
      </c>
      <c r="B76" s="100" t="str">
        <f>IFERROR(HYPERLINK(VLOOKUP(A76,Internal_lists_bugs!$A$2:$G1014,7,FALSE()),"Intro.Issues: "&amp;VLOOKUP(A76,Internal_lists_bugs!$A$2:$P1014,16,FALSE())),"please select a BUG ID")</f>
        <v>Intro.Issues: pci-passthrough-sriov</v>
      </c>
      <c r="C76" s="101" t="str">
        <f>IFERROR(VLOOKUP(A76,Internal_lists_bugs!$A$2:$X1014,24,FALSE()),"please select a BUG ID")</f>
        <v>https://www.mail-archive.com/openstack-dev@lists.openstack.org/ </v>
      </c>
      <c r="E76" s="49"/>
      <c r="F76" s="102"/>
      <c r="G76" s="104" t="s">
        <v>390</v>
      </c>
      <c r="H76" s="41" t="s">
        <v>389</v>
      </c>
      <c r="I76" s="66"/>
      <c r="J76" s="51"/>
    </row>
    <row r="77">
      <c r="A77" s="103" t="s">
        <v>32</v>
      </c>
      <c r="B77" s="100" t="str">
        <f>IFERROR(HYPERLINK(VLOOKUP(A77,Internal_lists_bugs!$A$2:$G1014,7,FALSE()),"Intro.Issues: "&amp;VLOOKUP(A77,Internal_lists_bugs!$A$2:$P1014,16,FALSE())),"please select a BUG ID")</f>
        <v>Intro.Issues: pci-passthrough-sriov</v>
      </c>
      <c r="C77" s="101" t="str">
        <f>IFERROR(VLOOKUP(A77,Internal_lists_bugs!$A$2:$X1014,24,FALSE()),"please select a BUG ID")</f>
        <v>https://www.mail-archive.com/openstack-dev@lists.openstack.org/ </v>
      </c>
      <c r="E77" s="49"/>
      <c r="F77" s="102"/>
      <c r="G77" s="16" t="s">
        <v>391</v>
      </c>
      <c r="H77" s="41" t="s">
        <v>392</v>
      </c>
      <c r="I77" s="66"/>
      <c r="J77" s="51"/>
    </row>
    <row r="78">
      <c r="A78" s="103" t="s">
        <v>32</v>
      </c>
      <c r="B78" s="100" t="str">
        <f>IFERROR(HYPERLINK(VLOOKUP(A78,Internal_lists_bugs!$A$2:$G1014,7,FALSE()),"Intro.Issues: "&amp;VLOOKUP(A78,Internal_lists_bugs!$A$2:$P1014,16,FALSE())),"please select a BUG ID")</f>
        <v>Intro.Issues: pci-passthrough-sriov</v>
      </c>
      <c r="C78" s="101" t="str">
        <f>IFERROR(VLOOKUP(A78,Internal_lists_bugs!$A$2:$X1014,24,FALSE()),"please select a BUG ID")</f>
        <v>https://www.mail-archive.com/openstack-dev@lists.openstack.org/ </v>
      </c>
      <c r="E78" s="49"/>
      <c r="F78" s="102"/>
      <c r="G78" s="16" t="s">
        <v>393</v>
      </c>
      <c r="H78" s="41" t="s">
        <v>394</v>
      </c>
      <c r="I78" s="66"/>
      <c r="J78" s="51"/>
    </row>
    <row r="79">
      <c r="A79" s="103" t="s">
        <v>32</v>
      </c>
      <c r="B79" s="100" t="str">
        <f>IFERROR(HYPERLINK(VLOOKUP(A79,Internal_lists_bugs!$A$2:$G1014,7,FALSE()),"Intro.Issues: "&amp;VLOOKUP(A79,Internal_lists_bugs!$A$2:$P1014,16,FALSE())),"please select a BUG ID")</f>
        <v>Intro.Issues: pci-passthrough-sriov</v>
      </c>
      <c r="C79" s="101" t="str">
        <f>IFERROR(VLOOKUP(A79,Internal_lists_bugs!$A$2:$X1014,24,FALSE()),"please select a BUG ID")</f>
        <v>https://www.mail-archive.com/openstack-dev@lists.openstack.org/ </v>
      </c>
      <c r="E79" s="49"/>
      <c r="F79" s="102"/>
      <c r="G79" s="16" t="s">
        <v>393</v>
      </c>
      <c r="H79" s="41" t="s">
        <v>395</v>
      </c>
      <c r="I79" s="66"/>
      <c r="J79" s="51"/>
    </row>
    <row r="80">
      <c r="A80" s="103" t="s">
        <v>32</v>
      </c>
      <c r="B80" s="100" t="str">
        <f>IFERROR(HYPERLINK(VLOOKUP(A80,Internal_lists_bugs!$A$2:$G1014,7,FALSE()),"Intro.Issues: "&amp;VLOOKUP(A80,Internal_lists_bugs!$A$2:$P1014,16,FALSE())),"please select a BUG ID")</f>
        <v>Intro.Issues: pci-passthrough-sriov</v>
      </c>
      <c r="C80" s="101" t="str">
        <f>IFERROR(VLOOKUP(A80,Internal_lists_bugs!$A$2:$X1014,24,FALSE()),"please select a BUG ID")</f>
        <v>https://www.mail-archive.com/openstack-dev@lists.openstack.org/ </v>
      </c>
      <c r="E80" s="49"/>
      <c r="F80" s="102"/>
      <c r="G80" s="16" t="s">
        <v>396</v>
      </c>
      <c r="H80" s="41" t="s">
        <v>314</v>
      </c>
      <c r="I80" s="66"/>
      <c r="J80" s="51"/>
    </row>
    <row r="81">
      <c r="A81" s="103" t="s">
        <v>32</v>
      </c>
      <c r="B81" s="100" t="str">
        <f>IFERROR(HYPERLINK(VLOOKUP(A81,Internal_lists_bugs!$A$2:$G1014,7,FALSE()),"Intro.Issues: "&amp;VLOOKUP(A81,Internal_lists_bugs!$A$2:$P1014,16,FALSE())),"please select a BUG ID")</f>
        <v>Intro.Issues: pci-passthrough-sriov</v>
      </c>
      <c r="C81" s="101" t="str">
        <f>IFERROR(VLOOKUP(A81,Internal_lists_bugs!$A$2:$X1014,24,FALSE()),"please select a BUG ID")</f>
        <v>https://www.mail-archive.com/openstack-dev@lists.openstack.org/ </v>
      </c>
      <c r="E81" s="49"/>
      <c r="F81" s="102"/>
      <c r="G81" s="16" t="s">
        <v>396</v>
      </c>
      <c r="H81" s="41" t="s">
        <v>397</v>
      </c>
      <c r="I81" s="66"/>
      <c r="J81" s="51"/>
    </row>
    <row r="82">
      <c r="A82" s="103" t="s">
        <v>32</v>
      </c>
      <c r="B82" s="100" t="str">
        <f>IFERROR(HYPERLINK(VLOOKUP(A82,Internal_lists_bugs!$A$2:$G1014,7,FALSE()),"Intro.Issues: "&amp;VLOOKUP(A82,Internal_lists_bugs!$A$2:$P1014,16,FALSE())),"please select a BUG ID")</f>
        <v>Intro.Issues: pci-passthrough-sriov</v>
      </c>
      <c r="C82" s="101" t="str">
        <f>IFERROR(VLOOKUP(A82,Internal_lists_bugs!$A$2:$X1014,24,FALSE()),"please select a BUG ID")</f>
        <v>https://www.mail-archive.com/openstack-dev@lists.openstack.org/ </v>
      </c>
      <c r="E82" s="49"/>
      <c r="F82" s="102"/>
      <c r="G82" s="16" t="s">
        <v>398</v>
      </c>
      <c r="H82" s="41" t="s">
        <v>399</v>
      </c>
      <c r="I82" s="66"/>
      <c r="J82" s="51"/>
    </row>
    <row r="83">
      <c r="A83" s="103" t="s">
        <v>32</v>
      </c>
      <c r="B83" s="100" t="str">
        <f>IFERROR(HYPERLINK(VLOOKUP(A83,Internal_lists_bugs!$A$2:$G1014,7,FALSE()),"Intro.Issues: "&amp;VLOOKUP(A83,Internal_lists_bugs!$A$2:$P1014,16,FALSE())),"please select a BUG ID")</f>
        <v>Intro.Issues: pci-passthrough-sriov</v>
      </c>
      <c r="C83" s="101" t="str">
        <f>IFERROR(VLOOKUP(A83,Internal_lists_bugs!$A$2:$X1014,24,FALSE()),"please select a BUG ID")</f>
        <v>https://www.mail-archive.com/openstack-dev@lists.openstack.org/ </v>
      </c>
      <c r="E83" s="49"/>
      <c r="F83" s="102"/>
      <c r="G83" s="16" t="s">
        <v>398</v>
      </c>
      <c r="H83" s="41" t="s">
        <v>345</v>
      </c>
      <c r="I83" s="66"/>
      <c r="J83" s="51"/>
    </row>
    <row r="84">
      <c r="A84" s="103" t="s">
        <v>32</v>
      </c>
      <c r="B84" s="100" t="str">
        <f>IFERROR(HYPERLINK(VLOOKUP(A84,Internal_lists_bugs!$A$2:$G1014,7,FALSE()),"Intro.Issues: "&amp;VLOOKUP(A84,Internal_lists_bugs!$A$2:$P1014,16,FALSE())),"please select a BUG ID")</f>
        <v>Intro.Issues: pci-passthrough-sriov</v>
      </c>
      <c r="C84" s="101" t="str">
        <f>IFERROR(VLOOKUP(A84,Internal_lists_bugs!$A$2:$X1014,24,FALSE()),"please select a BUG ID")</f>
        <v>https://www.mail-archive.com/openstack-dev@lists.openstack.org/ </v>
      </c>
      <c r="E84" s="49"/>
      <c r="F84" s="102"/>
      <c r="G84" s="16" t="s">
        <v>400</v>
      </c>
      <c r="H84" s="41" t="s">
        <v>299</v>
      </c>
      <c r="I84" s="66"/>
      <c r="J84" s="51"/>
    </row>
    <row r="85">
      <c r="A85" s="103" t="s">
        <v>32</v>
      </c>
      <c r="B85" s="100" t="str">
        <f>IFERROR(HYPERLINK(VLOOKUP(A85,Internal_lists_bugs!$A$2:$G1014,7,FALSE()),"Intro.Issues: "&amp;VLOOKUP(A85,Internal_lists_bugs!$A$2:$P1014,16,FALSE())),"please select a BUG ID")</f>
        <v>Intro.Issues: pci-passthrough-sriov</v>
      </c>
      <c r="C85" s="101" t="str">
        <f>IFERROR(VLOOKUP(A85,Internal_lists_bugs!$A$2:$X1014,24,FALSE()),"please select a BUG ID")</f>
        <v>https://www.mail-archive.com/openstack-dev@lists.openstack.org/ </v>
      </c>
      <c r="E85" s="49"/>
      <c r="F85" s="102"/>
      <c r="G85" s="16" t="s">
        <v>400</v>
      </c>
      <c r="H85" s="41" t="s">
        <v>401</v>
      </c>
      <c r="I85" s="66"/>
      <c r="J85" s="51"/>
    </row>
    <row r="86">
      <c r="A86" s="103" t="s">
        <v>32</v>
      </c>
      <c r="B86" s="100" t="str">
        <f>IFERROR(HYPERLINK(VLOOKUP(A86,Internal_lists_bugs!$A$2:$G1014,7,FALSE()),"Intro.Issues: "&amp;VLOOKUP(A86,Internal_lists_bugs!$A$2:$P1014,16,FALSE())),"please select a BUG ID")</f>
        <v>Intro.Issues: pci-passthrough-sriov</v>
      </c>
      <c r="C86" s="101" t="str">
        <f>IFERROR(VLOOKUP(A86,Internal_lists_bugs!$A$2:$X1014,24,FALSE()),"please select a BUG ID")</f>
        <v>https://www.mail-archive.com/openstack-dev@lists.openstack.org/ </v>
      </c>
      <c r="E86" s="49"/>
      <c r="F86" s="102"/>
      <c r="G86" s="16" t="s">
        <v>402</v>
      </c>
      <c r="H86" s="41" t="s">
        <v>403</v>
      </c>
      <c r="I86" s="66"/>
      <c r="J86" s="51"/>
    </row>
    <row r="87">
      <c r="A87" s="103" t="s">
        <v>32</v>
      </c>
      <c r="B87" s="100" t="str">
        <f>IFERROR(HYPERLINK(VLOOKUP(A87,Internal_lists_bugs!$A$2:$G1014,7,FALSE()),"Intro.Issues: "&amp;VLOOKUP(A87,Internal_lists_bugs!$A$2:$P1014,16,FALSE())),"please select a BUG ID")</f>
        <v>Intro.Issues: pci-passthrough-sriov</v>
      </c>
      <c r="C87" s="101" t="str">
        <f>IFERROR(VLOOKUP(A87,Internal_lists_bugs!$A$2:$X1014,24,FALSE()),"please select a BUG ID")</f>
        <v>https://www.mail-archive.com/openstack-dev@lists.openstack.org/ </v>
      </c>
      <c r="E87" s="49"/>
      <c r="F87" s="102"/>
      <c r="G87" s="16" t="s">
        <v>404</v>
      </c>
      <c r="H87" s="41" t="s">
        <v>405</v>
      </c>
      <c r="I87" s="66"/>
      <c r="J87" s="51"/>
    </row>
    <row r="88">
      <c r="A88" s="103" t="s">
        <v>32</v>
      </c>
      <c r="B88" s="100" t="str">
        <f>IFERROR(HYPERLINK(VLOOKUP(A88,Internal_lists_bugs!$A$2:$G1014,7,FALSE()),"Intro.Issues: "&amp;VLOOKUP(A88,Internal_lists_bugs!$A$2:$P1014,16,FALSE())),"please select a BUG ID")</f>
        <v>Intro.Issues: pci-passthrough-sriov</v>
      </c>
      <c r="C88" s="101" t="str">
        <f>IFERROR(VLOOKUP(A88,Internal_lists_bugs!$A$2:$X1014,24,FALSE()),"please select a BUG ID")</f>
        <v>https://www.mail-archive.com/openstack-dev@lists.openstack.org/ </v>
      </c>
      <c r="E88" s="49"/>
      <c r="F88" s="102"/>
      <c r="G88" s="16" t="s">
        <v>406</v>
      </c>
      <c r="H88" s="41" t="s">
        <v>407</v>
      </c>
      <c r="I88" s="66"/>
      <c r="J88" s="51"/>
    </row>
    <row r="89">
      <c r="A89" s="103" t="s">
        <v>32</v>
      </c>
      <c r="B89" s="100" t="str">
        <f>IFERROR(HYPERLINK(VLOOKUP(A89,Internal_lists_bugs!$A$2:$G1014,7,FALSE()),"Intro.Issues: "&amp;VLOOKUP(A89,Internal_lists_bugs!$A$2:$P1014,16,FALSE())),"please select a BUG ID")</f>
        <v>Intro.Issues: pci-passthrough-sriov</v>
      </c>
      <c r="C89" s="101" t="str">
        <f>IFERROR(VLOOKUP(A89,Internal_lists_bugs!$A$2:$X1014,24,FALSE()),"please select a BUG ID")</f>
        <v>https://www.mail-archive.com/openstack-dev@lists.openstack.org/ </v>
      </c>
      <c r="E89" s="49"/>
      <c r="F89" s="102"/>
      <c r="G89" s="16" t="s">
        <v>408</v>
      </c>
      <c r="H89" s="41" t="s">
        <v>387</v>
      </c>
      <c r="I89" s="66"/>
      <c r="J89" s="51"/>
    </row>
    <row r="90">
      <c r="A90" s="103" t="s">
        <v>32</v>
      </c>
      <c r="B90" s="100" t="str">
        <f>IFERROR(HYPERLINK(VLOOKUP(A90,Internal_lists_bugs!$A$2:$G1014,7,FALSE()),"Intro.Issues: "&amp;VLOOKUP(A90,Internal_lists_bugs!$A$2:$P1014,16,FALSE())),"please select a BUG ID")</f>
        <v>Intro.Issues: pci-passthrough-sriov</v>
      </c>
      <c r="C90" s="101" t="str">
        <f>IFERROR(VLOOKUP(A90,Internal_lists_bugs!$A$2:$X1014,24,FALSE()),"please select a BUG ID")</f>
        <v>https://www.mail-archive.com/openstack-dev@lists.openstack.org/ </v>
      </c>
      <c r="E90" s="49"/>
      <c r="F90" s="102"/>
      <c r="G90" s="16" t="s">
        <v>409</v>
      </c>
      <c r="H90" s="41" t="s">
        <v>410</v>
      </c>
      <c r="I90" s="66"/>
      <c r="J90" s="51"/>
    </row>
    <row r="91">
      <c r="A91" s="103" t="s">
        <v>32</v>
      </c>
      <c r="B91" s="100" t="str">
        <f>IFERROR(HYPERLINK(VLOOKUP(A91,Internal_lists_bugs!$A$2:$G1014,7,FALSE()),"Intro.Issues: "&amp;VLOOKUP(A91,Internal_lists_bugs!$A$2:$P1014,16,FALSE())),"please select a BUG ID")</f>
        <v>Intro.Issues: pci-passthrough-sriov</v>
      </c>
      <c r="C91" s="101" t="str">
        <f>IFERROR(VLOOKUP(A91,Internal_lists_bugs!$A$2:$X1014,24,FALSE()),"please select a BUG ID")</f>
        <v>https://www.mail-archive.com/openstack-dev@lists.openstack.org/ </v>
      </c>
      <c r="E91" s="49"/>
      <c r="F91" s="102"/>
      <c r="G91" s="16" t="s">
        <v>409</v>
      </c>
      <c r="H91" s="41" t="s">
        <v>304</v>
      </c>
      <c r="I91" s="66"/>
      <c r="J91" s="51"/>
    </row>
    <row r="92">
      <c r="A92" s="103" t="s">
        <v>32</v>
      </c>
      <c r="B92" s="100" t="str">
        <f>IFERROR(HYPERLINK(VLOOKUP(A92,Internal_lists_bugs!$A$2:$G1014,7,FALSE()),"Intro.Issues: "&amp;VLOOKUP(A92,Internal_lists_bugs!$A$2:$P1014,16,FALSE())),"please select a BUG ID")</f>
        <v>Intro.Issues: pci-passthrough-sriov</v>
      </c>
      <c r="C92" s="101" t="str">
        <f>IFERROR(VLOOKUP(A92,Internal_lists_bugs!$A$2:$X1014,24,FALSE()),"please select a BUG ID")</f>
        <v>https://www.mail-archive.com/openstack-dev@lists.openstack.org/ </v>
      </c>
      <c r="E92" s="49"/>
      <c r="F92" s="102"/>
      <c r="G92" s="16" t="s">
        <v>411</v>
      </c>
      <c r="H92" s="41" t="s">
        <v>348</v>
      </c>
      <c r="I92" s="102"/>
      <c r="J92" s="51"/>
    </row>
    <row r="93">
      <c r="A93" s="103" t="s">
        <v>32</v>
      </c>
      <c r="B93" s="100" t="str">
        <f>IFERROR(HYPERLINK(VLOOKUP(A93,Internal_lists_bugs!$A$2:$G1014,7,FALSE()),"Intro.Issues: "&amp;VLOOKUP(A93,Internal_lists_bugs!$A$2:$P1014,16,FALSE())),"please select a BUG ID")</f>
        <v>Intro.Issues: pci-passthrough-sriov</v>
      </c>
      <c r="C93" s="101" t="str">
        <f>IFERROR(VLOOKUP(A93,Internal_lists_bugs!$A$2:$X1014,24,FALSE()),"please select a BUG ID")</f>
        <v>https://www.mail-archive.com/openstack-dev@lists.openstack.org/ </v>
      </c>
      <c r="E93" s="49"/>
      <c r="F93" s="102"/>
      <c r="G93" s="16" t="s">
        <v>412</v>
      </c>
      <c r="H93" s="41" t="s">
        <v>413</v>
      </c>
      <c r="I93" s="102"/>
      <c r="J93" s="51"/>
    </row>
    <row r="94">
      <c r="A94" s="103" t="s">
        <v>32</v>
      </c>
      <c r="B94" s="100" t="str">
        <f>IFERROR(HYPERLINK(VLOOKUP(A94,Internal_lists_bugs!$A$2:$G1014,7,FALSE()),"Intro.Issues: "&amp;VLOOKUP(A94,Internal_lists_bugs!$A$2:$P1014,16,FALSE())),"please select a BUG ID")</f>
        <v>Intro.Issues: pci-passthrough-sriov</v>
      </c>
      <c r="C94" s="101" t="str">
        <f>IFERROR(VLOOKUP(A94,Internal_lists_bugs!$A$2:$X1014,24,FALSE()),"please select a BUG ID")</f>
        <v>https://www.mail-archive.com/openstack-dev@lists.openstack.org/ </v>
      </c>
      <c r="E94" s="49"/>
      <c r="F94" s="102"/>
      <c r="G94" s="16" t="s">
        <v>414</v>
      </c>
      <c r="H94" s="41" t="s">
        <v>415</v>
      </c>
      <c r="I94" s="66"/>
      <c r="J94" s="51"/>
    </row>
    <row r="95">
      <c r="A95" s="20" t="s">
        <v>33</v>
      </c>
      <c r="B95" s="100" t="str">
        <f>IFERROR(HYPERLINK(VLOOKUP(A95,Internal_lists_bugs!$A$2:$G1014,7,FALSE()),"Intro.Issues: "&amp;VLOOKUP(A95,Internal_lists_bugs!$A$2:$P1014,16,FALSE())),"please select a BUG ID")</f>
        <v>Intro.Issues: 884842</v>
      </c>
      <c r="C95" s="101" t="str">
        <f>IFERROR(VLOOKUP(A95,Internal_lists_bugs!$A$2:$X1014,24,FALSE()),"please select a BUG ID")</f>
        <v>https://www.mail-archive.com/openstack-dev@lists.openstack.org/ </v>
      </c>
      <c r="E95" s="49"/>
      <c r="F95" s="102"/>
      <c r="G95" s="16" t="s">
        <v>297</v>
      </c>
      <c r="H95" s="41"/>
      <c r="I95" s="66"/>
      <c r="J95" s="51"/>
    </row>
    <row r="96">
      <c r="A96" s="20" t="s">
        <v>34</v>
      </c>
      <c r="B96" s="100" t="str">
        <f>IFERROR(HYPERLINK(VLOOKUP(A96,Internal_lists_bugs!$A$2:$G1014,7,FALSE()),"Intro.Issues: "&amp;VLOOKUP(A96,Internal_lists_bugs!$A$2:$P1014,16,FALSE())),"please select a BUG ID")</f>
        <v>Intro.Issues: nova-no-downward-sql-migration</v>
      </c>
      <c r="C96" s="101" t="str">
        <f>IFERROR(VLOOKUP(A96,Internal_lists_bugs!$A$2:$X1014,24,FALSE()),"please select a BUG ID")</f>
        <v>https://www.mail-archive.com/openstack-dev@lists.openstack.org/ </v>
      </c>
      <c r="E96" s="49"/>
      <c r="F96" s="102"/>
      <c r="G96" s="16" t="s">
        <v>297</v>
      </c>
      <c r="H96" s="41"/>
      <c r="I96" s="66"/>
      <c r="J96" s="51"/>
    </row>
    <row r="97">
      <c r="A97" s="20" t="s">
        <v>35</v>
      </c>
      <c r="B97" s="100" t="str">
        <f>IFERROR(HYPERLINK(VLOOKUP(A97,Internal_lists_bugs!$A$2:$G1014,7,FALSE()),"Intro.Issues: "&amp;VLOOKUP(A97,Internal_lists_bugs!$A$2:$P1014,16,FALSE())),"please select a BUG ID")</f>
        <v>Intro.Issues: aggregate-api-policy</v>
      </c>
      <c r="C97" s="101" t="str">
        <f>IFERROR(VLOOKUP(A97,Internal_lists_bugs!$A$2:$X1014,24,FALSE()),"please select a BUG ID")</f>
        <v>https://www.mail-archive.com/openstack-dev@lists.openstack.org/ </v>
      </c>
      <c r="E97" s="49"/>
      <c r="F97" s="102"/>
      <c r="G97" s="16" t="s">
        <v>297</v>
      </c>
      <c r="H97" s="41"/>
      <c r="I97" s="66"/>
      <c r="J97" s="51"/>
    </row>
    <row r="98">
      <c r="A98" s="20" t="s">
        <v>36</v>
      </c>
      <c r="B98" s="100" t="str">
        <f>IFERROR(HYPERLINK(VLOOKUP(A98,Internal_lists_bugs!$A$2:$G1014,7,FALSE()),"Intro.Issues: "&amp;VLOOKUP(A98,Internal_lists_bugs!$A$2:$P1014,16,FALSE())),"please select a BUG ID")</f>
        <v>Intro.Issues: </v>
      </c>
      <c r="C98" s="101" t="str">
        <f>IFERROR(VLOOKUP(A98,Internal_lists_bugs!$A$2:$X1014,24,FALSE()),"please select a BUG ID")</f>
        <v>https://www.mail-archive.com/openstack-dev@lists.openstack.org/ </v>
      </c>
      <c r="E98" s="49"/>
      <c r="F98" s="102"/>
      <c r="G98" s="16" t="s">
        <v>297</v>
      </c>
      <c r="H98" s="41"/>
      <c r="I98" s="66"/>
      <c r="J98" s="51"/>
    </row>
    <row r="99">
      <c r="A99" s="67" t="s">
        <v>37</v>
      </c>
      <c r="B99" s="100" t="str">
        <f>IFERROR(HYPERLINK(VLOOKUP(A99,Internal_lists_bugs!$A$2:$G1014,7,FALSE()),"Intro.Issues: "&amp;VLOOKUP(A99,Internal_lists_bugs!$A$2:$P1014,16,FALSE())),"please select a BUG ID")</f>
        <v>Intro.Issues: compute-manager-objects</v>
      </c>
      <c r="C99" s="101" t="str">
        <f>IFERROR(VLOOKUP(A99,Internal_lists_bugs!$A$2:$X1014,24,FALSE()),"please select a BUG ID")</f>
        <v>https://www.mail-archive.com/openstack-dev@lists.openstack.org/ </v>
      </c>
      <c r="E99" s="49"/>
      <c r="F99" s="102"/>
      <c r="G99" s="16" t="s">
        <v>416</v>
      </c>
      <c r="H99" s="41" t="s">
        <v>385</v>
      </c>
      <c r="I99" s="66"/>
      <c r="J99" s="51"/>
    </row>
    <row r="100">
      <c r="A100" s="67" t="s">
        <v>37</v>
      </c>
      <c r="B100" s="100" t="str">
        <f>IFERROR(HYPERLINK(VLOOKUP(A100,Internal_lists_bugs!$A$2:$G1014,7,FALSE()),"Intro.Issues: "&amp;VLOOKUP(A100,Internal_lists_bugs!$A$2:$P1014,16,FALSE())),"please select a BUG ID")</f>
        <v>Intro.Issues: compute-manager-objects</v>
      </c>
      <c r="C100" s="101" t="str">
        <f>IFERROR(VLOOKUP(A100,Internal_lists_bugs!$A$2:$X1014,24,FALSE()),"please select a BUG ID")</f>
        <v>https://www.mail-archive.com/openstack-dev@lists.openstack.org/ </v>
      </c>
      <c r="E100" s="49"/>
      <c r="F100" s="102"/>
      <c r="G100" s="16" t="s">
        <v>416</v>
      </c>
      <c r="H100" s="41" t="s">
        <v>417</v>
      </c>
      <c r="I100" s="102"/>
      <c r="J100" s="51"/>
    </row>
    <row r="101">
      <c r="A101" s="20" t="s">
        <v>38</v>
      </c>
      <c r="B101" s="100" t="str">
        <f>IFERROR(HYPERLINK(VLOOKUP(A101,Internal_lists_bugs!$A$2:$G1014,7,FALSE()),"Intro.Issues: "&amp;VLOOKUP(A101,Internal_lists_bugs!$A$2:$P1014,16,FALSE())),"please select a BUG ID")</f>
        <v>Intro.Issues: assertequal</v>
      </c>
      <c r="C101" s="101" t="str">
        <f>IFERROR(VLOOKUP(A101,Internal_lists_bugs!$A$2:$X1014,24,FALSE()),"please select a BUG ID")</f>
        <v>https://www.mail-archive.com/openstack-dev@lists.openstack.org/ </v>
      </c>
      <c r="E101" s="49"/>
      <c r="F101" s="102"/>
      <c r="G101" s="16" t="s">
        <v>297</v>
      </c>
      <c r="H101" s="49"/>
      <c r="I101" s="102"/>
      <c r="J101" s="51"/>
    </row>
    <row r="102">
      <c r="A102" s="20" t="s">
        <v>39</v>
      </c>
      <c r="B102" s="100" t="str">
        <f>IFERROR(HYPERLINK(VLOOKUP(A102,Internal_lists_bugs!$A$2:$G1014,7,FALSE()),"Intro.Issues: "&amp;VLOOKUP(A102,Internal_lists_bugs!$A$2:$P1014,16,FALSE())),"please select a BUG ID")</f>
        <v>Intro.Issues: </v>
      </c>
      <c r="C102" s="101" t="str">
        <f>IFERROR(VLOOKUP(A102,Internal_lists_bugs!$A$2:$X1014,24,FALSE()),"please select a BUG ID")</f>
        <v>https://www.mail-archive.com/openstack-dev@lists.openstack.org/ </v>
      </c>
      <c r="E102" s="49"/>
      <c r="F102" s="102"/>
      <c r="G102" s="16" t="s">
        <v>297</v>
      </c>
      <c r="H102" s="49"/>
      <c r="I102" s="102"/>
      <c r="J102" s="51"/>
    </row>
    <row r="103">
      <c r="A103" s="20" t="s">
        <v>40</v>
      </c>
      <c r="B103" s="100" t="str">
        <f>IFERROR(HYPERLINK(VLOOKUP(A103,Internal_lists_bugs!$A$2:$G1014,7,FALSE()),"Intro.Issues: "&amp;VLOOKUP(A103,Internal_lists_bugs!$A$2:$P1014,16,FALSE())),"please select a BUG ID")</f>
        <v>Intro.Issues: </v>
      </c>
      <c r="C103" s="101" t="str">
        <f>IFERROR(VLOOKUP(A103,Internal_lists_bugs!$A$2:$X1014,24,FALSE()),"please select a BUG ID")</f>
        <v>https://www.mail-archive.com/openstack-dev@lists.openstack.org/ </v>
      </c>
      <c r="E103" s="41"/>
      <c r="F103" s="66"/>
      <c r="G103" s="16" t="s">
        <v>297</v>
      </c>
      <c r="H103" s="41"/>
      <c r="I103" s="66"/>
      <c r="J103" s="51"/>
    </row>
    <row r="104">
      <c r="A104" s="20" t="s">
        <v>41</v>
      </c>
      <c r="B104" s="100" t="str">
        <f>IFERROR(HYPERLINK(VLOOKUP(A104,Internal_lists_bugs!$A$2:$G1014,7,FALSE()),"Intro.Issues: "&amp;VLOOKUP(A104,Internal_lists_bugs!$A$2:$P1014,16,FALSE())),"please select a BUG ID")</f>
        <v>Intro.Issues: </v>
      </c>
      <c r="C104" s="101" t="str">
        <f>IFERROR(VLOOKUP(A104,Internal_lists_bugs!$A$2:$X1014,24,FALSE()),"please select a BUG ID")</f>
        <v>https://www.mail-archive.com/openstack-dev@lists.openstack.org/ </v>
      </c>
      <c r="E104" s="41"/>
      <c r="F104" s="66"/>
      <c r="G104" s="16" t="s">
        <v>297</v>
      </c>
      <c r="H104" s="41"/>
      <c r="I104" s="66"/>
      <c r="J104" s="51"/>
    </row>
    <row r="105">
      <c r="A105" s="20" t="s">
        <v>42</v>
      </c>
      <c r="B105" s="100" t="str">
        <f>IFERROR(HYPERLINK(VLOOKUP(A105,Internal_lists_bugs!$A$2:$G1014,7,FALSE()),"Intro.Issues: "&amp;VLOOKUP(A105,Internal_lists_bugs!$A$2:$P1014,16,FALSE())),"please select a BUG ID")</f>
        <v>Intro.Issues: 1148734</v>
      </c>
      <c r="C105" s="101" t="str">
        <f>IFERROR(VLOOKUP(A105,Internal_lists_bugs!$A$2:$X1014,24,FALSE()),"please select a BUG ID")</f>
        <v>https://www.mail-archive.com/openstack-dev@lists.openstack.org/ </v>
      </c>
      <c r="E105" s="41"/>
      <c r="F105" s="66"/>
      <c r="G105" s="16" t="s">
        <v>297</v>
      </c>
      <c r="H105" s="41"/>
      <c r="I105" s="66"/>
      <c r="J105" s="51"/>
    </row>
    <row r="106">
      <c r="A106" s="20" t="s">
        <v>43</v>
      </c>
      <c r="B106" s="100" t="str">
        <f>IFERROR(HYPERLINK(VLOOKUP(A106,Internal_lists_bugs!$A$2:$G1014,7,FALSE()),"Intro.Issues: "&amp;VLOOKUP(A106,Internal_lists_bugs!$A$2:$P1014,16,FALSE())),"please select a BUG ID")</f>
        <v>Intro.Issues: </v>
      </c>
      <c r="C106" s="101" t="str">
        <f>IFERROR(VLOOKUP(A106,Internal_lists_bugs!$A$2:$X1014,24,FALSE()),"please select a BUG ID")</f>
        <v>https://www.mail-archive.com/openstack-dev@lists.openstack.org/ </v>
      </c>
      <c r="E106" s="41"/>
      <c r="F106" s="66"/>
      <c r="G106" s="16" t="s">
        <v>297</v>
      </c>
      <c r="H106" s="41"/>
      <c r="I106" s="66"/>
      <c r="J106" s="51"/>
    </row>
    <row r="107">
      <c r="A107" s="20" t="s">
        <v>44</v>
      </c>
      <c r="B107" s="100" t="str">
        <f>IFERROR(HYPERLINK(VLOOKUP(A107,Internal_lists_bugs!$A$2:$G1014,7,FALSE()),"Intro.Issues: "&amp;VLOOKUP(A107,Internal_lists_bugs!$A$2:$P1014,16,FALSE())),"please select a BUG ID")</f>
        <v>Intro.Issues: </v>
      </c>
      <c r="C107" s="101" t="str">
        <f>IFERROR(VLOOKUP(A107,Internal_lists_bugs!$A$2:$X1014,24,FALSE()),"please select a BUG ID")</f>
        <v>https://www.mail-archive.com/openstack-dev@lists.openstack.org/ </v>
      </c>
      <c r="E107" s="41"/>
      <c r="F107" s="66"/>
      <c r="G107" s="16" t="s">
        <v>297</v>
      </c>
      <c r="H107" s="41"/>
      <c r="I107" s="66"/>
      <c r="J107" s="51"/>
    </row>
    <row r="108">
      <c r="A108" s="20" t="s">
        <v>45</v>
      </c>
      <c r="B108" s="100" t="str">
        <f>IFERROR(HYPERLINK(VLOOKUP(A108,Internal_lists_bugs!$A$2:$G1014,7,FALSE()),"Intro.Issues: "&amp;VLOOKUP(A108,Internal_lists_bugs!$A$2:$P1014,16,FALSE())),"please select a BUG ID")</f>
        <v>Intro.Issues: icehouse-objects</v>
      </c>
      <c r="C108" s="101" t="str">
        <f>IFERROR(VLOOKUP(A108,Internal_lists_bugs!$A$2:$X1014,24,FALSE()),"please select a BUG ID")</f>
        <v>https://www.mail-archive.com/openstack-dev@lists.openstack.org/ </v>
      </c>
      <c r="E108" s="41"/>
      <c r="F108" s="66"/>
      <c r="G108" s="16" t="s">
        <v>297</v>
      </c>
      <c r="H108" s="41"/>
      <c r="I108" s="66"/>
      <c r="J108" s="51"/>
    </row>
    <row r="109">
      <c r="A109" s="20" t="s">
        <v>46</v>
      </c>
      <c r="B109" s="100" t="str">
        <f>IFERROR(HYPERLINK(VLOOKUP(A109,Internal_lists_bugs!$A$2:$G1014,7,FALSE()),"Intro.Issues: "&amp;VLOOKUP(A109,Internal_lists_bugs!$A$2:$P1014,16,FALSE())),"please select a BUG ID")</f>
        <v>Intro.Issues: </v>
      </c>
      <c r="C109" s="101" t="str">
        <f>IFERROR(VLOOKUP(A109,Internal_lists_bugs!$A$2:$X1014,24,FALSE()),"please select a BUG ID")</f>
        <v>https://www.mail-archive.com/openstack-dev@lists.openstack.org/ </v>
      </c>
      <c r="E109" s="41"/>
      <c r="F109" s="66"/>
      <c r="G109" s="16" t="s">
        <v>297</v>
      </c>
      <c r="H109" s="41"/>
      <c r="I109" s="66"/>
      <c r="J109" s="51"/>
    </row>
    <row r="110">
      <c r="A110" s="20" t="s">
        <v>47</v>
      </c>
      <c r="B110" s="100" t="str">
        <f>IFERROR(HYPERLINK(VLOOKUP(A110,Internal_lists_bugs!$A$2:$G1014,7,FALSE()),"Intro.Issues: "&amp;VLOOKUP(A110,Internal_lists_bugs!$A$2:$P1014,16,FALSE())),"please select a BUG ID")</f>
        <v>Intro.Issues: </v>
      </c>
      <c r="C110" s="101" t="str">
        <f>IFERROR(VLOOKUP(A110,Internal_lists_bugs!$A$2:$X1014,24,FALSE()),"please select a BUG ID")</f>
        <v>https://www.mail-archive.com/openstack-dev@lists.openstack.org/ </v>
      </c>
      <c r="E110" s="41"/>
      <c r="F110" s="66"/>
      <c r="G110" s="16" t="s">
        <v>297</v>
      </c>
      <c r="H110" s="49"/>
      <c r="I110" s="102"/>
      <c r="J110" s="51"/>
    </row>
    <row r="111">
      <c r="A111" s="20" t="s">
        <v>48</v>
      </c>
      <c r="B111" s="100" t="str">
        <f>IFERROR(HYPERLINK(VLOOKUP(A111,Internal_lists_bugs!$A$2:$G1014,7,FALSE()),"Intro.Issues: "&amp;VLOOKUP(A111,Internal_lists_bugs!$A$2:$P1014,16,FALSE())),"please select a BUG ID")</f>
        <v>Intro.Issues: </v>
      </c>
      <c r="C111" s="101" t="str">
        <f>IFERROR(VLOOKUP(A111,Internal_lists_bugs!$A$2:$X1014,24,FALSE()),"please select a BUG ID")</f>
        <v>https://www.mail-archive.com/openstack-dev@lists.openstack.org/ </v>
      </c>
      <c r="E111" s="41"/>
      <c r="F111" s="66"/>
      <c r="G111" s="16" t="s">
        <v>297</v>
      </c>
      <c r="H111" s="49"/>
      <c r="I111" s="102"/>
      <c r="J111" s="51"/>
    </row>
    <row r="112">
      <c r="A112" s="20" t="s">
        <v>49</v>
      </c>
      <c r="B112" s="100" t="str">
        <f>IFERROR(HYPERLINK(VLOOKUP(A112,Internal_lists_bugs!$A$2:$G1014,7,FALSE()),"Intro.Issues: "&amp;VLOOKUP(A112,Internal_lists_bugs!$A$2:$P1014,16,FALSE())),"please select a BUG ID")</f>
        <v>Intro.Issues: </v>
      </c>
      <c r="C112" s="101" t="str">
        <f>IFERROR(VLOOKUP(A112,Internal_lists_bugs!$A$2:$X1014,24,FALSE()),"please select a BUG ID")</f>
        <v>https://www.mail-archive.com/openstack-dev@lists.openstack.org/ </v>
      </c>
      <c r="E112" s="41"/>
      <c r="F112" s="66"/>
      <c r="G112" s="16" t="s">
        <v>297</v>
      </c>
      <c r="H112" s="49"/>
      <c r="I112" s="102"/>
      <c r="J112" s="51"/>
    </row>
    <row r="113">
      <c r="A113" s="67" t="s">
        <v>50</v>
      </c>
      <c r="B113" s="100" t="str">
        <f>IFERROR(HYPERLINK(VLOOKUP(A113,Internal_lists_bugs!$A$2:$G1014,7,FALSE()),"Intro.Issues: "&amp;VLOOKUP(A113,Internal_lists_bugs!$A$2:$P1014,16,FALSE())),"please select a BUG ID")</f>
        <v>Intro.Issues: v3-api-policy</v>
      </c>
      <c r="C113" s="101" t="str">
        <f>IFERROR(VLOOKUP(A113,Internal_lists_bugs!$A$2:$X1014,24,FALSE()),"please select a BUG ID")</f>
        <v>https://www.mail-archive.com/openstack-dev@lists.openstack.org/ </v>
      </c>
      <c r="E113" s="41"/>
      <c r="F113" s="66"/>
      <c r="G113" s="16" t="s">
        <v>418</v>
      </c>
      <c r="H113" s="41" t="s">
        <v>318</v>
      </c>
      <c r="I113" s="102"/>
      <c r="J113" s="51"/>
    </row>
    <row r="114">
      <c r="A114" s="67" t="s">
        <v>50</v>
      </c>
      <c r="B114" s="100" t="str">
        <f>IFERROR(HYPERLINK(VLOOKUP(A114,Internal_lists_bugs!$A$2:$G1014,7,FALSE()),"Intro.Issues: "&amp;VLOOKUP(A114,Internal_lists_bugs!$A$2:$P1014,16,FALSE())),"please select a BUG ID")</f>
        <v>Intro.Issues: v3-api-policy</v>
      </c>
      <c r="C114" s="101" t="str">
        <f>IFERROR(VLOOKUP(A114,Internal_lists_bugs!$A$2:$X1014,24,FALSE()),"please select a BUG ID")</f>
        <v>https://www.mail-archive.com/openstack-dev@lists.openstack.org/ </v>
      </c>
      <c r="E114" s="49"/>
      <c r="F114" s="102"/>
      <c r="G114" s="16" t="s">
        <v>419</v>
      </c>
      <c r="H114" s="41" t="s">
        <v>420</v>
      </c>
      <c r="I114" s="102"/>
      <c r="J114" s="51"/>
    </row>
    <row r="115">
      <c r="A115" s="67" t="s">
        <v>50</v>
      </c>
      <c r="B115" s="100" t="str">
        <f>IFERROR(HYPERLINK(VLOOKUP(A115,Internal_lists_bugs!$A$2:$G1014,7,FALSE()),"Intro.Issues: "&amp;VLOOKUP(A115,Internal_lists_bugs!$A$2:$P1014,16,FALSE())),"please select a BUG ID")</f>
        <v>Intro.Issues: v3-api-policy</v>
      </c>
      <c r="C115" s="101" t="str">
        <f>IFERROR(VLOOKUP(A115,Internal_lists_bugs!$A$2:$X1014,24,FALSE()),"please select a BUG ID")</f>
        <v>https://www.mail-archive.com/openstack-dev@lists.openstack.org/ </v>
      </c>
      <c r="E115" s="41"/>
      <c r="F115" s="105"/>
      <c r="G115" s="16" t="s">
        <v>421</v>
      </c>
      <c r="H115" s="41" t="s">
        <v>422</v>
      </c>
      <c r="I115" s="66"/>
      <c r="J115" s="51"/>
    </row>
    <row r="116">
      <c r="A116" s="67" t="s">
        <v>50</v>
      </c>
      <c r="B116" s="100" t="str">
        <f>IFERROR(HYPERLINK(VLOOKUP(A116,Internal_lists_bugs!$A$2:$G1014,7,FALSE()),"Intro.Issues: "&amp;VLOOKUP(A116,Internal_lists_bugs!$A$2:$P1014,16,FALSE())),"please select a BUG ID")</f>
        <v>Intro.Issues: v3-api-policy</v>
      </c>
      <c r="C116" s="101" t="str">
        <f>IFERROR(VLOOKUP(A116,Internal_lists_bugs!$A$2:$X1014,24,FALSE()),"please select a BUG ID")</f>
        <v>https://www.mail-archive.com/openstack-dev@lists.openstack.org/ </v>
      </c>
      <c r="E116" s="41"/>
      <c r="F116" s="66"/>
      <c r="G116" s="16" t="s">
        <v>423</v>
      </c>
      <c r="H116" s="41" t="s">
        <v>424</v>
      </c>
      <c r="I116" s="66"/>
      <c r="J116" s="51"/>
    </row>
    <row r="117">
      <c r="A117" s="67" t="s">
        <v>50</v>
      </c>
      <c r="B117" s="100" t="str">
        <f>IFERROR(HYPERLINK(VLOOKUP(A117,Internal_lists_bugs!$A$2:$G1014,7,FALSE()),"Intro.Issues: "&amp;VLOOKUP(A117,Internal_lists_bugs!$A$2:$P1014,16,FALSE())),"please select a BUG ID")</f>
        <v>Intro.Issues: v3-api-policy</v>
      </c>
      <c r="C117" s="101" t="str">
        <f>IFERROR(VLOOKUP(A117,Internal_lists_bugs!$A$2:$X1014,24,FALSE()),"please select a BUG ID")</f>
        <v>https://www.mail-archive.com/openstack-dev@lists.openstack.org/ </v>
      </c>
      <c r="E117" s="41"/>
      <c r="F117" s="66"/>
      <c r="G117" s="16" t="s">
        <v>425</v>
      </c>
      <c r="H117" s="41" t="s">
        <v>424</v>
      </c>
      <c r="I117" s="66"/>
      <c r="J117" s="51"/>
    </row>
    <row r="118">
      <c r="A118" s="67" t="s">
        <v>50</v>
      </c>
      <c r="B118" s="100" t="str">
        <f>IFERROR(HYPERLINK(VLOOKUP(A118,Internal_lists_bugs!$A$2:$G1014,7,FALSE()),"Intro.Issues: "&amp;VLOOKUP(A118,Internal_lists_bugs!$A$2:$P1014,16,FALSE())),"please select a BUG ID")</f>
        <v>Intro.Issues: v3-api-policy</v>
      </c>
      <c r="C118" s="101" t="str">
        <f>IFERROR(VLOOKUP(A118,Internal_lists_bugs!$A$2:$X1014,24,FALSE()),"please select a BUG ID")</f>
        <v>https://www.mail-archive.com/openstack-dev@lists.openstack.org/ </v>
      </c>
      <c r="E118" s="41"/>
      <c r="F118" s="66"/>
      <c r="G118" s="16" t="s">
        <v>425</v>
      </c>
      <c r="H118" s="41" t="s">
        <v>426</v>
      </c>
      <c r="I118" s="66"/>
      <c r="J118" s="51"/>
    </row>
    <row r="119">
      <c r="A119" s="67" t="s">
        <v>50</v>
      </c>
      <c r="B119" s="100" t="str">
        <f>IFERROR(HYPERLINK(VLOOKUP(A119,Internal_lists_bugs!$A$2:$G1014,7,FALSE()),"Intro.Issues: "&amp;VLOOKUP(A119,Internal_lists_bugs!$A$2:$P1014,16,FALSE())),"please select a BUG ID")</f>
        <v>Intro.Issues: v3-api-policy</v>
      </c>
      <c r="C119" s="101" t="str">
        <f>IFERROR(VLOOKUP(A119,Internal_lists_bugs!$A$2:$X1014,24,FALSE()),"please select a BUG ID")</f>
        <v>https://www.mail-archive.com/openstack-dev@lists.openstack.org/ </v>
      </c>
      <c r="E119" s="41"/>
      <c r="F119" s="66"/>
      <c r="G119" s="16" t="s">
        <v>427</v>
      </c>
      <c r="H119" s="41" t="s">
        <v>428</v>
      </c>
      <c r="I119" s="66"/>
      <c r="J119" s="51"/>
    </row>
    <row r="120">
      <c r="A120" s="67" t="s">
        <v>50</v>
      </c>
      <c r="B120" s="100" t="str">
        <f>IFERROR(HYPERLINK(VLOOKUP(A120,Internal_lists_bugs!$A$2:$G1014,7,FALSE()),"Intro.Issues: "&amp;VLOOKUP(A120,Internal_lists_bugs!$A$2:$P1014,16,FALSE())),"please select a BUG ID")</f>
        <v>Intro.Issues: v3-api-policy</v>
      </c>
      <c r="C120" s="101" t="str">
        <f>IFERROR(VLOOKUP(A120,Internal_lists_bugs!$A$2:$X1014,24,FALSE()),"please select a BUG ID")</f>
        <v>https://www.mail-archive.com/openstack-dev@lists.openstack.org/ </v>
      </c>
      <c r="E120" s="41"/>
      <c r="F120" s="66"/>
      <c r="G120" s="16" t="s">
        <v>429</v>
      </c>
      <c r="H120" s="41" t="s">
        <v>314</v>
      </c>
      <c r="I120" s="66"/>
      <c r="J120" s="51"/>
    </row>
    <row r="121">
      <c r="A121" s="67" t="s">
        <v>50</v>
      </c>
      <c r="B121" s="100" t="str">
        <f>IFERROR(HYPERLINK(VLOOKUP(A121,Internal_lists_bugs!$A$2:$G1014,7,FALSE()),"Intro.Issues: "&amp;VLOOKUP(A121,Internal_lists_bugs!$A$2:$P1014,16,FALSE())),"please select a BUG ID")</f>
        <v>Intro.Issues: v3-api-policy</v>
      </c>
      <c r="C121" s="101" t="str">
        <f>IFERROR(VLOOKUP(A121,Internal_lists_bugs!$A$2:$X1014,24,FALSE()),"please select a BUG ID")</f>
        <v>https://www.mail-archive.com/openstack-dev@lists.openstack.org/ </v>
      </c>
      <c r="E121" s="49"/>
      <c r="F121" s="102"/>
      <c r="G121" s="16" t="s">
        <v>430</v>
      </c>
      <c r="H121" s="41" t="s">
        <v>381</v>
      </c>
      <c r="I121" s="66"/>
      <c r="J121" s="51"/>
    </row>
    <row r="122">
      <c r="A122" s="67" t="s">
        <v>50</v>
      </c>
      <c r="B122" s="100" t="str">
        <f>IFERROR(HYPERLINK(VLOOKUP(A122,Internal_lists_bugs!$A$2:$G1014,7,FALSE()),"Intro.Issues: "&amp;VLOOKUP(A122,Internal_lists_bugs!$A$2:$P1014,16,FALSE())),"please select a BUG ID")</f>
        <v>Intro.Issues: v3-api-policy</v>
      </c>
      <c r="C122" s="101" t="str">
        <f>IFERROR(VLOOKUP(A122,Internal_lists_bugs!$A$2:$X1014,24,FALSE()),"please select a BUG ID")</f>
        <v>https://www.mail-archive.com/openstack-dev@lists.openstack.org/ </v>
      </c>
      <c r="E122" s="49"/>
      <c r="F122" s="102"/>
      <c r="G122" s="16" t="s">
        <v>431</v>
      </c>
      <c r="H122" s="41" t="s">
        <v>381</v>
      </c>
      <c r="I122" s="66"/>
      <c r="J122" s="51"/>
    </row>
    <row r="123">
      <c r="A123" s="67" t="s">
        <v>50</v>
      </c>
      <c r="B123" s="100" t="str">
        <f>IFERROR(HYPERLINK(VLOOKUP(A123,Internal_lists_bugs!$A$2:$G1014,7,FALSE()),"Intro.Issues: "&amp;VLOOKUP(A123,Internal_lists_bugs!$A$2:$P1014,16,FALSE())),"please select a BUG ID")</f>
        <v>Intro.Issues: v3-api-policy</v>
      </c>
      <c r="C123" s="101" t="str">
        <f>IFERROR(VLOOKUP(A123,Internal_lists_bugs!$A$2:$X1014,24,FALSE()),"please select a BUG ID")</f>
        <v>https://www.mail-archive.com/openstack-dev@lists.openstack.org/ </v>
      </c>
      <c r="E123" s="49"/>
      <c r="F123" s="102"/>
      <c r="G123" s="16" t="s">
        <v>432</v>
      </c>
      <c r="H123" s="41" t="s">
        <v>381</v>
      </c>
      <c r="I123" s="66"/>
      <c r="J123" s="51"/>
    </row>
    <row r="124">
      <c r="A124" s="67" t="s">
        <v>51</v>
      </c>
      <c r="B124" s="100" t="str">
        <f>IFERROR(HYPERLINK(VLOOKUP(A124,Internal_lists_bugs!$A$2:$G1014,7,FALSE()),"Intro.Issues: "&amp;VLOOKUP(A124,Internal_lists_bugs!$A$2:$P1014,16,FALSE())),"please select a BUG ID")</f>
        <v>Intro.Issues: v3-api-policy</v>
      </c>
      <c r="C124" s="101" t="str">
        <f>IFERROR(VLOOKUP(A124,Internal_lists_bugs!$A$2:$X1014,24,FALSE()),"please select a BUG ID")</f>
        <v>https://www.mail-archive.com/openstack-dev@lists.openstack.org/ </v>
      </c>
      <c r="E124" s="49"/>
      <c r="F124" s="102"/>
      <c r="G124" s="16" t="s">
        <v>418</v>
      </c>
      <c r="H124" s="41" t="s">
        <v>318</v>
      </c>
      <c r="I124" s="102"/>
      <c r="J124" s="51"/>
    </row>
    <row r="125">
      <c r="A125" s="67" t="s">
        <v>51</v>
      </c>
      <c r="B125" s="100" t="str">
        <f>IFERROR(HYPERLINK(VLOOKUP(A125,Internal_lists_bugs!$A$2:$G1014,7,FALSE()),"Intro.Issues: "&amp;VLOOKUP(A125,Internal_lists_bugs!$A$2:$P1014,16,FALSE())),"please select a BUG ID")</f>
        <v>Intro.Issues: v3-api-policy</v>
      </c>
      <c r="C125" s="101" t="str">
        <f>IFERROR(VLOOKUP(A125,Internal_lists_bugs!$A$2:$X1014,24,FALSE()),"please select a BUG ID")</f>
        <v>https://www.mail-archive.com/openstack-dev@lists.openstack.org/ </v>
      </c>
      <c r="E125" s="49"/>
      <c r="F125" s="102"/>
      <c r="G125" s="16" t="s">
        <v>419</v>
      </c>
      <c r="H125" s="41" t="s">
        <v>420</v>
      </c>
      <c r="J125" s="51"/>
    </row>
    <row r="126">
      <c r="A126" s="67" t="s">
        <v>51</v>
      </c>
      <c r="B126" s="100" t="str">
        <f>IFERROR(HYPERLINK(VLOOKUP(A126,Internal_lists_bugs!$A$2:$G1014,7,FALSE()),"Intro.Issues: "&amp;VLOOKUP(A126,Internal_lists_bugs!$A$2:$P1014,16,FALSE())),"please select a BUG ID")</f>
        <v>Intro.Issues: v3-api-policy</v>
      </c>
      <c r="C126" s="101" t="str">
        <f>IFERROR(VLOOKUP(A126,Internal_lists_bugs!$A$2:$X1014,24,FALSE()),"please select a BUG ID")</f>
        <v>https://www.mail-archive.com/openstack-dev@lists.openstack.org/ </v>
      </c>
      <c r="E126" s="49"/>
      <c r="F126" s="102"/>
      <c r="G126" s="16" t="s">
        <v>421</v>
      </c>
      <c r="H126" s="41" t="s">
        <v>422</v>
      </c>
      <c r="I126" s="66"/>
      <c r="J126" s="51"/>
    </row>
    <row r="127">
      <c r="A127" s="67" t="s">
        <v>51</v>
      </c>
      <c r="B127" s="100" t="str">
        <f>IFERROR(HYPERLINK(VLOOKUP(A127,Internal_lists_bugs!$A$2:$G1014,7,FALSE()),"Intro.Issues: "&amp;VLOOKUP(A127,Internal_lists_bugs!$A$2:$P1014,16,FALSE())),"please select a BUG ID")</f>
        <v>Intro.Issues: v3-api-policy</v>
      </c>
      <c r="C127" s="101" t="str">
        <f>IFERROR(VLOOKUP(A127,Internal_lists_bugs!$A$2:$X1014,24,FALSE()),"please select a BUG ID")</f>
        <v>https://www.mail-archive.com/openstack-dev@lists.openstack.org/ </v>
      </c>
      <c r="E127" s="49"/>
      <c r="F127" s="102"/>
      <c r="G127" s="16" t="s">
        <v>423</v>
      </c>
      <c r="H127" s="41" t="s">
        <v>424</v>
      </c>
      <c r="I127" s="66"/>
      <c r="J127" s="51"/>
    </row>
    <row r="128">
      <c r="A128" s="67" t="s">
        <v>51</v>
      </c>
      <c r="B128" s="100" t="str">
        <f>IFERROR(HYPERLINK(VLOOKUP(A128,Internal_lists_bugs!$A$2:$G1014,7,FALSE()),"Intro.Issues: "&amp;VLOOKUP(A128,Internal_lists_bugs!$A$2:$P1014,16,FALSE())),"please select a BUG ID")</f>
        <v>Intro.Issues: v3-api-policy</v>
      </c>
      <c r="C128" s="101" t="str">
        <f>IFERROR(VLOOKUP(A128,Internal_lists_bugs!$A$2:$X1014,24,FALSE()),"please select a BUG ID")</f>
        <v>https://www.mail-archive.com/openstack-dev@lists.openstack.org/ </v>
      </c>
      <c r="E128" s="49"/>
      <c r="F128" s="102"/>
      <c r="G128" s="16" t="s">
        <v>425</v>
      </c>
      <c r="H128" s="41" t="s">
        <v>424</v>
      </c>
      <c r="I128" s="66"/>
      <c r="J128" s="51"/>
    </row>
    <row r="129">
      <c r="A129" s="67" t="s">
        <v>51</v>
      </c>
      <c r="B129" s="100" t="str">
        <f>IFERROR(HYPERLINK(VLOOKUP(A129,Internal_lists_bugs!$A$2:$G1014,7,FALSE()),"Intro.Issues: "&amp;VLOOKUP(A129,Internal_lists_bugs!$A$2:$P1014,16,FALSE())),"please select a BUG ID")</f>
        <v>Intro.Issues: v3-api-policy</v>
      </c>
      <c r="C129" s="101" t="str">
        <f>IFERROR(VLOOKUP(A129,Internal_lists_bugs!$A$2:$X1014,24,FALSE()),"please select a BUG ID")</f>
        <v>https://www.mail-archive.com/openstack-dev@lists.openstack.org/ </v>
      </c>
      <c r="E129" s="49"/>
      <c r="F129" s="102"/>
      <c r="G129" s="16" t="s">
        <v>425</v>
      </c>
      <c r="H129" s="41" t="s">
        <v>426</v>
      </c>
      <c r="I129" s="66"/>
      <c r="J129" s="51"/>
    </row>
    <row r="130">
      <c r="A130" s="67" t="s">
        <v>51</v>
      </c>
      <c r="B130" s="100" t="str">
        <f>IFERROR(HYPERLINK(VLOOKUP(A130,Internal_lists_bugs!$A$2:$G1014,7,FALSE()),"Intro.Issues: "&amp;VLOOKUP(A130,Internal_lists_bugs!$A$2:$P1014,16,FALSE())),"please select a BUG ID")</f>
        <v>Intro.Issues: v3-api-policy</v>
      </c>
      <c r="C130" s="101" t="str">
        <f>IFERROR(VLOOKUP(A130,Internal_lists_bugs!$A$2:$X1014,24,FALSE()),"please select a BUG ID")</f>
        <v>https://www.mail-archive.com/openstack-dev@lists.openstack.org/ </v>
      </c>
      <c r="E130" s="49"/>
      <c r="F130" s="102"/>
      <c r="G130" s="16" t="s">
        <v>427</v>
      </c>
      <c r="H130" s="41" t="s">
        <v>428</v>
      </c>
      <c r="I130" s="66"/>
      <c r="J130" s="51"/>
    </row>
    <row r="131">
      <c r="A131" s="67" t="s">
        <v>51</v>
      </c>
      <c r="B131" s="100" t="str">
        <f>IFERROR(HYPERLINK(VLOOKUP(A131,Internal_lists_bugs!$A$2:$G1014,7,FALSE()),"Intro.Issues: "&amp;VLOOKUP(A131,Internal_lists_bugs!$A$2:$P1014,16,FALSE())),"please select a BUG ID")</f>
        <v>Intro.Issues: v3-api-policy</v>
      </c>
      <c r="C131" s="101" t="str">
        <f>IFERROR(VLOOKUP(A131,Internal_lists_bugs!$A$2:$X1014,24,FALSE()),"please select a BUG ID")</f>
        <v>https://www.mail-archive.com/openstack-dev@lists.openstack.org/ </v>
      </c>
      <c r="E131" s="49"/>
      <c r="F131" s="102"/>
      <c r="G131" s="16" t="s">
        <v>429</v>
      </c>
      <c r="H131" s="41" t="s">
        <v>314</v>
      </c>
      <c r="I131" s="66"/>
      <c r="J131" s="51"/>
    </row>
    <row r="132">
      <c r="A132" s="67" t="s">
        <v>51</v>
      </c>
      <c r="B132" s="100" t="str">
        <f>IFERROR(HYPERLINK(VLOOKUP(A132,Internal_lists_bugs!$A$2:$G1014,7,FALSE()),"Intro.Issues: "&amp;VLOOKUP(A132,Internal_lists_bugs!$A$2:$P1014,16,FALSE())),"please select a BUG ID")</f>
        <v>Intro.Issues: v3-api-policy</v>
      </c>
      <c r="C132" s="101" t="str">
        <f>IFERROR(VLOOKUP(A132,Internal_lists_bugs!$A$2:$X1014,24,FALSE()),"please select a BUG ID")</f>
        <v>https://www.mail-archive.com/openstack-dev@lists.openstack.org/ </v>
      </c>
      <c r="E132" s="49"/>
      <c r="F132" s="102"/>
      <c r="G132" s="16" t="s">
        <v>430</v>
      </c>
      <c r="H132" s="41" t="s">
        <v>381</v>
      </c>
      <c r="I132" s="102"/>
      <c r="J132" s="51"/>
    </row>
    <row r="133">
      <c r="A133" s="67" t="s">
        <v>51</v>
      </c>
      <c r="B133" s="100" t="str">
        <f>IFERROR(HYPERLINK(VLOOKUP(A133,Internal_lists_bugs!$A$2:$G1014,7,FALSE()),"Intro.Issues: "&amp;VLOOKUP(A133,Internal_lists_bugs!$A$2:$P1014,16,FALSE())),"please select a BUG ID")</f>
        <v>Intro.Issues: v3-api-policy</v>
      </c>
      <c r="C133" s="101" t="str">
        <f>IFERROR(VLOOKUP(A133,Internal_lists_bugs!$A$2:$X1014,24,FALSE()),"please select a BUG ID")</f>
        <v>https://www.mail-archive.com/openstack-dev@lists.openstack.org/ </v>
      </c>
      <c r="E133" s="49"/>
      <c r="F133" s="102"/>
      <c r="G133" s="16" t="s">
        <v>431</v>
      </c>
      <c r="H133" s="41" t="s">
        <v>381</v>
      </c>
      <c r="I133" s="66"/>
      <c r="J133" s="51"/>
    </row>
    <row r="134">
      <c r="A134" s="67" t="s">
        <v>51</v>
      </c>
      <c r="B134" s="100" t="str">
        <f>IFERROR(HYPERLINK(VLOOKUP(A134,Internal_lists_bugs!$A$2:$G1014,7,FALSE()),"Intro.Issues: "&amp;VLOOKUP(A134,Internal_lists_bugs!$A$2:$P1014,16,FALSE())),"please select a BUG ID")</f>
        <v>Intro.Issues: v3-api-policy</v>
      </c>
      <c r="C134" s="101" t="str">
        <f>IFERROR(VLOOKUP(A134,Internal_lists_bugs!$A$2:$X1014,24,FALSE()),"please select a BUG ID")</f>
        <v>https://www.mail-archive.com/openstack-dev@lists.openstack.org/ </v>
      </c>
      <c r="E134" s="49"/>
      <c r="F134" s="102"/>
      <c r="G134" s="16" t="s">
        <v>432</v>
      </c>
      <c r="H134" s="41" t="s">
        <v>381</v>
      </c>
      <c r="I134" s="102"/>
      <c r="J134" s="51"/>
    </row>
    <row r="135">
      <c r="A135" s="20" t="s">
        <v>52</v>
      </c>
      <c r="B135" s="100" t="str">
        <f>IFERROR(HYPERLINK(VLOOKUP(A135,Internal_lists_bugs!$A$2:$G1014,7,FALSE()),"Intro.Issues: "&amp;VLOOKUP(A135,Internal_lists_bugs!$A$2:$P1014,16,FALSE())),"please select a BUG ID")</f>
        <v>Intro.Issues: </v>
      </c>
      <c r="C135" s="101" t="str">
        <f>IFERROR(VLOOKUP(A135,Internal_lists_bugs!$A$2:$X1014,24,FALSE()),"please select a BUG ID")</f>
        <v>https://www.mail-archive.com/openstack-dev@lists.openstack.org/ </v>
      </c>
      <c r="E135" s="49"/>
      <c r="F135" s="102"/>
      <c r="G135" s="16" t="s">
        <v>297</v>
      </c>
      <c r="H135" s="49"/>
      <c r="I135" s="102"/>
      <c r="J135" s="51"/>
    </row>
    <row r="136">
      <c r="A136" s="20" t="s">
        <v>53</v>
      </c>
      <c r="B136" s="100" t="str">
        <f>IFERROR(HYPERLINK(VLOOKUP(A136,Internal_lists_bugs!$A$2:$G1014,7,FALSE()),"Intro.Issues: "&amp;VLOOKUP(A136,Internal_lists_bugs!$A$2:$P1014,16,FALSE())),"please select a BUG ID")</f>
        <v>Intro.Issues: 1348288</v>
      </c>
      <c r="C136" s="101" t="str">
        <f>IFERROR(VLOOKUP(A136,Internal_lists_bugs!$A$2:$X1014,24,FALSE()),"please select a BUG ID")</f>
        <v>https://www.mail-archive.com/openstack-dev@lists.openstack.org/ </v>
      </c>
      <c r="E136" s="49"/>
      <c r="F136" s="102"/>
      <c r="G136" s="16" t="s">
        <v>297</v>
      </c>
      <c r="H136" s="41"/>
      <c r="I136" s="66"/>
      <c r="J136" s="51"/>
    </row>
    <row r="137">
      <c r="A137" s="20" t="s">
        <v>54</v>
      </c>
      <c r="B137" s="100" t="str">
        <f>IFERROR(HYPERLINK(VLOOKUP(A137,Internal_lists_bugs!$A$2:$G1014,7,FALSE()),"Intro.Issues: "&amp;VLOOKUP(A137,Internal_lists_bugs!$A$2:$P1014,16,FALSE())),"please select a BUG ID")</f>
        <v>Intro.Issues: </v>
      </c>
      <c r="C137" s="101" t="str">
        <f>IFERROR(VLOOKUP(A137,Internal_lists_bugs!$A$2:$X1014,24,FALSE()),"please select a BUG ID")</f>
        <v>https://www.mail-archive.com/openstack-dev@lists.openstack.org/ </v>
      </c>
      <c r="E137" s="49"/>
      <c r="F137" s="102"/>
      <c r="G137" s="16" t="s">
        <v>297</v>
      </c>
      <c r="H137" s="41"/>
      <c r="I137" s="66"/>
      <c r="J137" s="51"/>
    </row>
    <row r="138">
      <c r="A138" s="20" t="s">
        <v>55</v>
      </c>
      <c r="B138" s="100" t="str">
        <f>IFERROR(HYPERLINK(VLOOKUP(A138,Internal_lists_bugs!$A$2:$G1014,7,FALSE()),"Intro.Issues: "&amp;VLOOKUP(A138,Internal_lists_bugs!$A$2:$P1014,16,FALSE())),"please select a BUG ID")</f>
        <v>Intro.Issues: 897155</v>
      </c>
      <c r="C138" s="101" t="str">
        <f>IFERROR(VLOOKUP(A138,Internal_lists_bugs!$A$2:$X1014,24,FALSE()),"please select a BUG ID")</f>
        <v>https://www.mail-archive.com/openstack-dev@lists.openstack.org/ </v>
      </c>
      <c r="E138" s="49"/>
      <c r="F138" s="102"/>
      <c r="G138" s="16" t="s">
        <v>297</v>
      </c>
      <c r="H138" s="41"/>
      <c r="I138" s="66"/>
      <c r="J138" s="51"/>
    </row>
    <row r="139">
      <c r="A139" s="20" t="s">
        <v>56</v>
      </c>
      <c r="B139" s="100" t="str">
        <f>IFERROR(HYPERLINK(VLOOKUP(A139,Internal_lists_bugs!$A$2:$G1014,7,FALSE()),"Intro.Issues: "&amp;VLOOKUP(A139,Internal_lists_bugs!$A$2:$P1014,16,FALSE())),"please select a BUG ID")</f>
        <v>Intro.Issues: </v>
      </c>
      <c r="C139" s="101" t="str">
        <f>IFERROR(VLOOKUP(A139,Internal_lists_bugs!$A$2:$X1014,24,FALSE()),"please select a BUG ID")</f>
        <v>https://www.mail-archive.com/openstack-dev@lists.openstack.org/ </v>
      </c>
      <c r="E139" s="49"/>
      <c r="F139" s="102"/>
      <c r="G139" s="16" t="s">
        <v>297</v>
      </c>
      <c r="H139" s="41"/>
      <c r="I139" s="66"/>
      <c r="J139" s="51"/>
    </row>
    <row r="140">
      <c r="A140" s="67" t="s">
        <v>57</v>
      </c>
      <c r="B140" s="100" t="str">
        <f>IFERROR(HYPERLINK(VLOOKUP(A140,Internal_lists_bugs!$A$2:$G1014,7,FALSE()),"Intro.Issues: "&amp;VLOOKUP(A140,Internal_lists_bugs!$A$2:$P1014,16,FALSE())),"please select a BUG ID")</f>
        <v>Intro.Issues: 1208656</v>
      </c>
      <c r="C140" s="101" t="str">
        <f>IFERROR(VLOOKUP(A140,Internal_lists_bugs!$A$2:$X1014,24,FALSE()),"please select a BUG ID")</f>
        <v>https://www.mail-archive.com/openstack-dev@lists.openstack.org/ </v>
      </c>
      <c r="E140" s="49"/>
      <c r="F140" s="102"/>
      <c r="G140" s="16" t="s">
        <v>433</v>
      </c>
      <c r="H140" s="41" t="s">
        <v>434</v>
      </c>
      <c r="I140" s="66"/>
      <c r="J140" s="51"/>
    </row>
    <row r="141">
      <c r="A141" s="67" t="s">
        <v>57</v>
      </c>
      <c r="B141" s="100" t="str">
        <f>IFERROR(HYPERLINK(VLOOKUP(A141,Internal_lists_bugs!$A$2:$G1014,7,FALSE()),"Intro.Issues: "&amp;VLOOKUP(A141,Internal_lists_bugs!$A$2:$P1014,16,FALSE())),"please select a BUG ID")</f>
        <v>Intro.Issues: 1208656</v>
      </c>
      <c r="C141" s="101" t="str">
        <f>IFERROR(VLOOKUP(A141,Internal_lists_bugs!$A$2:$X1014,24,FALSE()),"please select a BUG ID")</f>
        <v>https://www.mail-archive.com/openstack-dev@lists.openstack.org/ </v>
      </c>
      <c r="E141" s="49"/>
      <c r="F141" s="102"/>
      <c r="G141" s="16" t="s">
        <v>435</v>
      </c>
      <c r="H141" s="41" t="s">
        <v>436</v>
      </c>
      <c r="I141" s="66"/>
      <c r="J141" s="51"/>
    </row>
    <row r="142">
      <c r="A142" s="67" t="s">
        <v>57</v>
      </c>
      <c r="B142" s="100" t="str">
        <f>IFERROR(HYPERLINK(VLOOKUP(A142,Internal_lists_bugs!$A$2:$G1014,7,FALSE()),"Intro.Issues: "&amp;VLOOKUP(A142,Internal_lists_bugs!$A$2:$P1014,16,FALSE())),"please select a BUG ID")</f>
        <v>Intro.Issues: 1208656</v>
      </c>
      <c r="C142" s="101" t="str">
        <f>IFERROR(VLOOKUP(A142,Internal_lists_bugs!$A$2:$X1014,24,FALSE()),"please select a BUG ID")</f>
        <v>https://www.mail-archive.com/openstack-dev@lists.openstack.org/ </v>
      </c>
      <c r="E142" s="49"/>
      <c r="F142" s="102"/>
      <c r="G142" s="16" t="s">
        <v>435</v>
      </c>
      <c r="H142" s="41" t="s">
        <v>437</v>
      </c>
      <c r="I142" s="66"/>
      <c r="J142" s="51"/>
    </row>
    <row r="143">
      <c r="A143" s="67" t="s">
        <v>57</v>
      </c>
      <c r="B143" s="100" t="str">
        <f>IFERROR(HYPERLINK(VLOOKUP(A143,Internal_lists_bugs!$A$2:$G1014,7,FALSE()),"Intro.Issues: "&amp;VLOOKUP(A143,Internal_lists_bugs!$A$2:$P1014,16,FALSE())),"please select a BUG ID")</f>
        <v>Intro.Issues: 1208656</v>
      </c>
      <c r="C143" s="101" t="str">
        <f>IFERROR(VLOOKUP(A143,Internal_lists_bugs!$A$2:$X1014,24,FALSE()),"please select a BUG ID")</f>
        <v>https://www.mail-archive.com/openstack-dev@lists.openstack.org/ </v>
      </c>
      <c r="E143" s="49"/>
      <c r="F143" s="102"/>
      <c r="G143" s="16" t="s">
        <v>438</v>
      </c>
      <c r="H143" s="41" t="s">
        <v>439</v>
      </c>
      <c r="I143" s="66"/>
      <c r="J143" s="51"/>
    </row>
    <row r="144">
      <c r="A144" s="67" t="s">
        <v>58</v>
      </c>
      <c r="B144" s="100" t="str">
        <f>IFERROR(HYPERLINK(VLOOKUP(A144,Internal_lists_bugs!$A$2:$G1014,7,FALSE()),"Intro.Issues: "&amp;VLOOKUP(A144,Internal_lists_bugs!$A$2:$P1014,16,FALSE())),"please select a BUG ID")</f>
        <v>Intro.Issues: compute-manager-objects, icehouse-objects</v>
      </c>
      <c r="C144" s="101" t="str">
        <f>IFERROR(VLOOKUP(A144,Internal_lists_bugs!$A$2:$X1014,24,FALSE()),"please select a BUG ID")</f>
        <v>https://www.mail-archive.com/openstack-dev@lists.openstack.org/ </v>
      </c>
      <c r="E144" s="49"/>
      <c r="F144" s="102"/>
      <c r="G144" s="16" t="s">
        <v>416</v>
      </c>
      <c r="H144" s="41" t="s">
        <v>385</v>
      </c>
      <c r="I144" s="66"/>
      <c r="J144" s="51"/>
    </row>
    <row r="145">
      <c r="A145" s="67" t="s">
        <v>58</v>
      </c>
      <c r="B145" s="100" t="str">
        <f>IFERROR(HYPERLINK(VLOOKUP(A145,Internal_lists_bugs!$A$2:$G1014,7,FALSE()),"Intro.Issues: "&amp;VLOOKUP(A145,Internal_lists_bugs!$A$2:$P1014,16,FALSE())),"please select a BUG ID")</f>
        <v>Intro.Issues: compute-manager-objects, icehouse-objects</v>
      </c>
      <c r="C145" s="101" t="str">
        <f>IFERROR(VLOOKUP(A145,Internal_lists_bugs!$A$2:$X1014,24,FALSE()),"please select a BUG ID")</f>
        <v>https://www.mail-archive.com/openstack-dev@lists.openstack.org/ </v>
      </c>
      <c r="E145" s="49"/>
      <c r="F145" s="102"/>
      <c r="G145" s="16" t="s">
        <v>416</v>
      </c>
      <c r="H145" s="41" t="s">
        <v>417</v>
      </c>
      <c r="I145" s="66"/>
      <c r="J145" s="51"/>
    </row>
    <row r="146">
      <c r="A146" s="20" t="s">
        <v>59</v>
      </c>
      <c r="B146" s="100" t="str">
        <f>IFERROR(HYPERLINK(VLOOKUP(A146,Internal_lists_bugs!$A$2:$G1014,7,FALSE()),"Intro.Issues: "&amp;VLOOKUP(A146,Internal_lists_bugs!$A$2:$P1014,16,FALSE())),"please select a BUG ID")</f>
        <v>Intro.Issues: </v>
      </c>
      <c r="C146" s="101" t="str">
        <f>IFERROR(VLOOKUP(A146,Internal_lists_bugs!$A$2:$X1014,24,FALSE()),"please select a BUG ID")</f>
        <v>https://www.mail-archive.com/openstack-dev@lists.openstack.org/ </v>
      </c>
      <c r="E146" s="49"/>
      <c r="F146" s="102"/>
      <c r="G146" s="16" t="s">
        <v>297</v>
      </c>
      <c r="H146" s="41"/>
      <c r="I146" s="66"/>
      <c r="J146" s="51"/>
    </row>
    <row r="147">
      <c r="A147" s="20" t="s">
        <v>60</v>
      </c>
      <c r="B147" s="100" t="str">
        <f>IFERROR(HYPERLINK(VLOOKUP(A147,Internal_lists_bugs!$A$2:$G1014,7,FALSE()),"Intro.Issues: "&amp;VLOOKUP(A147,Internal_lists_bugs!$A$2:$P1014,16,FALSE())),"please select a BUG ID")</f>
        <v>Intro.Issues: kilo-objects</v>
      </c>
      <c r="C147" s="101" t="str">
        <f>IFERROR(VLOOKUP(A147,Internal_lists_bugs!$A$2:$X1014,24,FALSE()),"please select a BUG ID")</f>
        <v>https://www.mail-archive.com/openstack-dev@lists.openstack.org/ </v>
      </c>
      <c r="E147" s="49"/>
      <c r="F147" s="102"/>
      <c r="G147" s="16" t="s">
        <v>297</v>
      </c>
      <c r="H147" s="41"/>
      <c r="I147" s="66"/>
      <c r="J147" s="51"/>
    </row>
    <row r="148">
      <c r="A148" s="20" t="s">
        <v>61</v>
      </c>
      <c r="B148" s="100" t="str">
        <f>IFERROR(HYPERLINK(VLOOKUP(A148,Internal_lists_bugs!$A$2:$G1014,7,FALSE()),"Intro.Issues: "&amp;VLOOKUP(A148,Internal_lists_bugs!$A$2:$P1014,16,FALSE())),"please select a BUG ID")</f>
        <v>Intro.Issues: </v>
      </c>
      <c r="C148" s="101" t="str">
        <f>IFERROR(VLOOKUP(A148,Internal_lists_bugs!$A$2:$X1014,24,FALSE()),"please select a BUG ID")</f>
        <v>https://www.mail-archive.com/openstack-dev@lists.openstack.org/ </v>
      </c>
      <c r="E148" s="49"/>
      <c r="F148" s="102"/>
      <c r="G148" s="16" t="s">
        <v>297</v>
      </c>
      <c r="H148" s="41"/>
      <c r="I148" s="66"/>
      <c r="J148" s="51"/>
    </row>
    <row r="149">
      <c r="A149" s="20" t="s">
        <v>62</v>
      </c>
      <c r="B149" s="100" t="str">
        <f>IFERROR(HYPERLINK(VLOOKUP(A149,Internal_lists_bugs!$A$2:$G1014,7,FALSE()),"Intro.Issues: "&amp;VLOOKUP(A149,Internal_lists_bugs!$A$2:$P1014,16,FALSE())),"please select a BUG ID")</f>
        <v>Intro.Issues: scope-config-opts</v>
      </c>
      <c r="C149" s="101" t="str">
        <f>IFERROR(VLOOKUP(A149,Internal_lists_bugs!$A$2:$X1014,24,FALSE()),"please select a BUG ID")</f>
        <v>https://www.mail-archive.com/openstack-dev@lists.openstack.org/ </v>
      </c>
      <c r="E149" s="49"/>
      <c r="F149" s="102"/>
      <c r="G149" s="16" t="s">
        <v>440</v>
      </c>
      <c r="H149" s="41" t="s">
        <v>441</v>
      </c>
      <c r="I149" s="66"/>
      <c r="J149" s="51"/>
    </row>
    <row r="150">
      <c r="A150" s="20" t="s">
        <v>62</v>
      </c>
      <c r="B150" s="100" t="str">
        <f>IFERROR(HYPERLINK(VLOOKUP(A150,Internal_lists_bugs!$A$2:$G1014,7,FALSE()),"Intro.Issues: "&amp;VLOOKUP(A150,Internal_lists_bugs!$A$2:$P1014,16,FALSE())),"please select a BUG ID")</f>
        <v>Intro.Issues: scope-config-opts</v>
      </c>
      <c r="C150" s="101" t="str">
        <f>IFERROR(VLOOKUP(A150,Internal_lists_bugs!$A$2:$X1014,24,FALSE()),"please select a BUG ID")</f>
        <v>https://www.mail-archive.com/openstack-dev@lists.openstack.org/ </v>
      </c>
      <c r="E150" s="49"/>
      <c r="F150" s="102"/>
      <c r="G150" s="16" t="s">
        <v>442</v>
      </c>
      <c r="H150" s="41" t="s">
        <v>443</v>
      </c>
      <c r="I150" s="66"/>
      <c r="J150" s="51"/>
    </row>
    <row r="151">
      <c r="A151" s="67"/>
      <c r="B151" s="100" t="str">
        <f>IFERROR(HYPERLINK(VLOOKUP(A151,Internal_lists_bugs!$A$2:$G1014,7,FALSE()),"Intro.Issues: "&amp;VLOOKUP(A151,Internal_lists_bugs!$A$2:$P1014,16,FALSE())),"please select a BUG ID")</f>
        <v>please select a BUG ID</v>
      </c>
      <c r="C151" s="101" t="str">
        <f>IFERROR(VLOOKUP(A151,Internal_lists_bugs!$A$2:$X1014,24,FALSE()),"please select a BUG ID")</f>
        <v>please select a BUG ID</v>
      </c>
      <c r="E151" s="49"/>
      <c r="F151" s="102"/>
      <c r="H151" s="41"/>
      <c r="I151" s="66"/>
      <c r="J151" s="51"/>
    </row>
    <row r="152">
      <c r="A152" s="67"/>
      <c r="B152" s="100" t="str">
        <f>IFERROR(HYPERLINK(VLOOKUP(A152,Internal_lists_bugs!$A$2:$G1014,7,FALSE()),"Intro.Issues: "&amp;VLOOKUP(A152,Internal_lists_bugs!$A$2:$P1014,16,FALSE())),"please select a BUG ID")</f>
        <v>please select a BUG ID</v>
      </c>
      <c r="C152" s="101" t="str">
        <f>IFERROR(VLOOKUP(A152,Internal_lists_bugs!$A$2:$X1014,24,FALSE()),"please select a BUG ID")</f>
        <v>please select a BUG ID</v>
      </c>
      <c r="E152" s="49"/>
      <c r="F152" s="102"/>
      <c r="H152" s="41"/>
      <c r="I152" s="66"/>
      <c r="J152" s="51"/>
    </row>
    <row r="153">
      <c r="A153" s="67"/>
      <c r="B153" s="100" t="str">
        <f>IFERROR(HYPERLINK(VLOOKUP(A153,Internal_lists_bugs!$A$2:$G1014,7,FALSE()),"Intro.Issues: "&amp;VLOOKUP(A153,Internal_lists_bugs!$A$2:$P1014,16,FALSE())),"please select a BUG ID")</f>
        <v>please select a BUG ID</v>
      </c>
      <c r="C153" s="101" t="str">
        <f>IFERROR(VLOOKUP(A153,Internal_lists_bugs!$A$2:$X1014,24,FALSE()),"please select a BUG ID")</f>
        <v>please select a BUG ID</v>
      </c>
      <c r="E153" s="49"/>
      <c r="F153" s="102"/>
      <c r="H153" s="41"/>
      <c r="I153" s="66"/>
      <c r="J153" s="51"/>
    </row>
    <row r="154">
      <c r="A154" s="67"/>
      <c r="B154" s="100" t="str">
        <f>IFERROR(HYPERLINK(VLOOKUP(A154,Internal_lists_bugs!$A$2:$G1014,7,FALSE()),"Intro.Issues: "&amp;VLOOKUP(A154,Internal_lists_bugs!$A$2:$P1014,16,FALSE())),"please select a BUG ID")</f>
        <v>please select a BUG ID</v>
      </c>
      <c r="C154" s="101" t="str">
        <f>IFERROR(VLOOKUP(A154,Internal_lists_bugs!$A$2:$X1014,24,FALSE()),"please select a BUG ID")</f>
        <v>please select a BUG ID</v>
      </c>
      <c r="E154" s="49"/>
      <c r="F154" s="102"/>
      <c r="H154" s="49"/>
      <c r="I154" s="102"/>
      <c r="J154" s="51"/>
    </row>
    <row r="155">
      <c r="A155" s="67"/>
      <c r="B155" s="100" t="str">
        <f>IFERROR(HYPERLINK(VLOOKUP(A155,Internal_lists_bugs!$A$2:$G1014,7,FALSE()),"Intro.Issues: "&amp;VLOOKUP(A155,Internal_lists_bugs!$A$2:$P1014,16,FALSE())),"please select a BUG ID")</f>
        <v>please select a BUG ID</v>
      </c>
      <c r="C155" s="101" t="str">
        <f>IFERROR(VLOOKUP(A155,Internal_lists_bugs!$A$2:$X1014,24,FALSE()),"please select a BUG ID")</f>
        <v>please select a BUG ID</v>
      </c>
      <c r="E155" s="49"/>
      <c r="F155" s="102"/>
      <c r="H155" s="49"/>
      <c r="I155" s="102"/>
      <c r="J155" s="51"/>
    </row>
    <row r="156">
      <c r="A156" s="67"/>
      <c r="B156" s="100" t="str">
        <f>IFERROR(HYPERLINK(VLOOKUP(A156,Internal_lists_bugs!$A$2:$G1014,7,FALSE()),"Intro.Issues: "&amp;VLOOKUP(A156,Internal_lists_bugs!$A$2:$P1014,16,FALSE())),"please select a BUG ID")</f>
        <v>please select a BUG ID</v>
      </c>
      <c r="C156" s="101" t="str">
        <f>IFERROR(VLOOKUP(A156,Internal_lists_bugs!$A$2:$X1014,24,FALSE()),"please select a BUG ID")</f>
        <v>please select a BUG ID</v>
      </c>
      <c r="E156" s="49"/>
      <c r="F156" s="102"/>
      <c r="H156" s="41"/>
      <c r="I156" s="105"/>
      <c r="J156" s="51"/>
    </row>
    <row r="157">
      <c r="A157" s="67"/>
      <c r="B157" s="100" t="str">
        <f>IFERROR(HYPERLINK(VLOOKUP(A157,Internal_lists_bugs!$A$2:$G1014,7,FALSE()),"Intro.Issues: "&amp;VLOOKUP(A157,Internal_lists_bugs!$A$2:$P1014,16,FALSE())),"please select a BUG ID")</f>
        <v>please select a BUG ID</v>
      </c>
      <c r="C157" s="101" t="str">
        <f>IFERROR(VLOOKUP(A157,Internal_lists_bugs!$A$2:$X1014,24,FALSE()),"please select a BUG ID")</f>
        <v>please select a BUG ID</v>
      </c>
      <c r="E157" s="49"/>
      <c r="F157" s="102"/>
      <c r="H157" s="41"/>
      <c r="I157" s="66"/>
      <c r="J157" s="51"/>
    </row>
    <row r="158">
      <c r="A158" s="67"/>
      <c r="B158" s="100" t="str">
        <f>IFERROR(HYPERLINK(VLOOKUP(A158,Internal_lists_bugs!$A$2:$G1014,7,FALSE()),"Intro.Issues: "&amp;VLOOKUP(A158,Internal_lists_bugs!$A$2:$P1014,16,FALSE())),"please select a BUG ID")</f>
        <v>please select a BUG ID</v>
      </c>
      <c r="C158" s="101" t="str">
        <f>IFERROR(VLOOKUP(A158,Internal_lists_bugs!$A$2:$X1014,24,FALSE()),"please select a BUG ID")</f>
        <v>please select a BUG ID</v>
      </c>
      <c r="E158" s="49"/>
      <c r="F158" s="102"/>
      <c r="H158" s="41"/>
      <c r="I158" s="66"/>
      <c r="J158" s="51"/>
    </row>
    <row r="159">
      <c r="A159" s="67"/>
      <c r="B159" s="100" t="str">
        <f>IFERROR(HYPERLINK(VLOOKUP(A159,Internal_lists_bugs!$A$2:$G1014,7,FALSE()),"Intro.Issues: "&amp;VLOOKUP(A159,Internal_lists_bugs!$A$2:$P1014,16,FALSE())),"please select a BUG ID")</f>
        <v>please select a BUG ID</v>
      </c>
      <c r="C159" s="101" t="str">
        <f>IFERROR(VLOOKUP(A159,Internal_lists_bugs!$A$2:$X1014,24,FALSE()),"please select a BUG ID")</f>
        <v>please select a BUG ID</v>
      </c>
      <c r="E159" s="49"/>
      <c r="F159" s="102"/>
      <c r="H159" s="41"/>
      <c r="I159" s="66"/>
      <c r="J159" s="51"/>
    </row>
    <row r="160">
      <c r="A160" s="67"/>
      <c r="B160" s="100" t="str">
        <f>IFERROR(HYPERLINK(VLOOKUP(A160,Internal_lists_bugs!$A$2:$G1014,7,FALSE()),"Intro.Issues: "&amp;VLOOKUP(A160,Internal_lists_bugs!$A$2:$P1014,16,FALSE())),"please select a BUG ID")</f>
        <v>please select a BUG ID</v>
      </c>
      <c r="C160" s="101" t="str">
        <f>IFERROR(VLOOKUP(A160,Internal_lists_bugs!$A$2:$X1014,24,FALSE()),"please select a BUG ID")</f>
        <v>please select a BUG ID</v>
      </c>
      <c r="E160" s="49"/>
      <c r="F160" s="102"/>
      <c r="H160" s="41"/>
      <c r="I160" s="66"/>
      <c r="J160" s="51"/>
    </row>
    <row r="161">
      <c r="A161" s="67"/>
      <c r="B161" s="100" t="str">
        <f>IFERROR(HYPERLINK(VLOOKUP(A161,Internal_lists_bugs!$A$2:$G1014,7,FALSE()),"Intro.Issues: "&amp;VLOOKUP(A161,Internal_lists_bugs!$A$2:$P1014,16,FALSE())),"please select a BUG ID")</f>
        <v>please select a BUG ID</v>
      </c>
      <c r="C161" s="101" t="str">
        <f>IFERROR(VLOOKUP(A161,Internal_lists_bugs!$A$2:$X1014,24,FALSE()),"please select a BUG ID")</f>
        <v>please select a BUG ID</v>
      </c>
      <c r="E161" s="49"/>
      <c r="F161" s="102"/>
      <c r="H161" s="41"/>
      <c r="I161" s="66"/>
      <c r="J161" s="51"/>
    </row>
    <row r="162">
      <c r="A162" s="67"/>
      <c r="B162" s="100" t="str">
        <f>IFERROR(HYPERLINK(VLOOKUP(A162,Internal_lists_bugs!$A$2:$G1014,7,FALSE()),"Intro.Issues: "&amp;VLOOKUP(A162,Internal_lists_bugs!$A$2:$P1014,16,FALSE())),"please select a BUG ID")</f>
        <v>please select a BUG ID</v>
      </c>
      <c r="C162" s="101" t="str">
        <f>IFERROR(VLOOKUP(A162,Internal_lists_bugs!$A$2:$X1014,24,FALSE()),"please select a BUG ID")</f>
        <v>please select a BUG ID</v>
      </c>
      <c r="E162" s="49"/>
      <c r="F162" s="102"/>
      <c r="H162" s="41"/>
      <c r="I162" s="66"/>
      <c r="J162" s="51"/>
    </row>
    <row r="163">
      <c r="A163" s="67"/>
      <c r="B163" s="100" t="str">
        <f>IFERROR(HYPERLINK(VLOOKUP(A163,Internal_lists_bugs!$A$2:$G1014,7,FALSE()),"Intro.Issues: "&amp;VLOOKUP(A163,Internal_lists_bugs!$A$2:$P1014,16,FALSE())),"please select a BUG ID")</f>
        <v>please select a BUG ID</v>
      </c>
      <c r="C163" s="101" t="str">
        <f>IFERROR(VLOOKUP(A163,Internal_lists_bugs!$A$2:$X1014,24,FALSE()),"please select a BUG ID")</f>
        <v>please select a BUG ID</v>
      </c>
      <c r="E163" s="49"/>
      <c r="F163" s="102"/>
      <c r="H163" s="41"/>
      <c r="I163" s="66"/>
      <c r="J163" s="51"/>
    </row>
    <row r="164">
      <c r="A164" s="67"/>
      <c r="B164" s="100" t="str">
        <f>IFERROR(HYPERLINK(VLOOKUP(A164,Internal_lists_bugs!$A$2:$G1014,7,FALSE()),"Intro.Issues: "&amp;VLOOKUP(A164,Internal_lists_bugs!$A$2:$P1014,16,FALSE())),"please select a BUG ID")</f>
        <v>please select a BUG ID</v>
      </c>
      <c r="C164" s="101" t="str">
        <f>IFERROR(VLOOKUP(A164,Internal_lists_bugs!$A$2:$X1014,24,FALSE()),"please select a BUG ID")</f>
        <v>please select a BUG ID</v>
      </c>
      <c r="E164" s="49"/>
      <c r="F164" s="102"/>
      <c r="H164" s="41"/>
      <c r="I164" s="66"/>
      <c r="J164" s="51"/>
    </row>
    <row r="165">
      <c r="A165" s="67"/>
      <c r="B165" s="100" t="str">
        <f>IFERROR(HYPERLINK(VLOOKUP(A165,Internal_lists_bugs!$A$2:$G1014,7,FALSE()),"Intro.Issues: "&amp;VLOOKUP(A165,Internal_lists_bugs!$A$2:$P1014,16,FALSE())),"please select a BUG ID")</f>
        <v>please select a BUG ID</v>
      </c>
      <c r="C165" s="101" t="str">
        <f>IFERROR(VLOOKUP(A165,Internal_lists_bugs!$A$2:$X1014,24,FALSE()),"please select a BUG ID")</f>
        <v>please select a BUG ID</v>
      </c>
      <c r="E165" s="49"/>
      <c r="F165" s="102"/>
      <c r="H165" s="41"/>
      <c r="I165" s="66"/>
      <c r="J165" s="51"/>
    </row>
    <row r="166">
      <c r="A166" s="67"/>
      <c r="B166" s="100" t="str">
        <f>IFERROR(HYPERLINK(VLOOKUP(A166,Internal_lists_bugs!$A$2:$G1014,7,FALSE()),"Intro.Issues: "&amp;VLOOKUP(A166,Internal_lists_bugs!$A$2:$P1014,16,FALSE())),"please select a BUG ID")</f>
        <v>please select a BUG ID</v>
      </c>
      <c r="C166" s="101" t="str">
        <f>IFERROR(VLOOKUP(A166,Internal_lists_bugs!$A$2:$X1014,24,FALSE()),"please select a BUG ID")</f>
        <v>please select a BUG ID</v>
      </c>
      <c r="E166" s="49"/>
      <c r="F166" s="102"/>
      <c r="H166" s="41"/>
      <c r="I166" s="66"/>
      <c r="J166" s="51"/>
    </row>
    <row r="167">
      <c r="A167" s="67"/>
      <c r="B167" s="100" t="str">
        <f>IFERROR(HYPERLINK(VLOOKUP(A167,Internal_lists_bugs!$A$2:$G1014,7,FALSE()),"Intro.Issues: "&amp;VLOOKUP(A167,Internal_lists_bugs!$A$2:$P1014,16,FALSE())),"please select a BUG ID")</f>
        <v>please select a BUG ID</v>
      </c>
      <c r="C167" s="101" t="str">
        <f>IFERROR(VLOOKUP(A167,Internal_lists_bugs!$A$2:$X1014,24,FALSE()),"please select a BUG ID")</f>
        <v>please select a BUG ID</v>
      </c>
      <c r="E167" s="49"/>
      <c r="F167" s="102"/>
      <c r="H167" s="41"/>
      <c r="I167" s="66"/>
      <c r="J167" s="51"/>
    </row>
    <row r="168">
      <c r="A168" s="67"/>
      <c r="B168" s="100" t="str">
        <f>IFERROR(HYPERLINK(VLOOKUP(A168,Internal_lists_bugs!$A$2:$G1014,7,FALSE()),"Intro.Issues: "&amp;VLOOKUP(A168,Internal_lists_bugs!$A$2:$P1014,16,FALSE())),"please select a BUG ID")</f>
        <v>please select a BUG ID</v>
      </c>
      <c r="C168" s="101" t="str">
        <f>IFERROR(VLOOKUP(A168,Internal_lists_bugs!$A$2:$X1014,24,FALSE()),"please select a BUG ID")</f>
        <v>please select a BUG ID</v>
      </c>
      <c r="E168" s="49"/>
      <c r="F168" s="102"/>
      <c r="H168" s="41"/>
      <c r="I168" s="66"/>
      <c r="J168" s="51"/>
    </row>
    <row r="169">
      <c r="A169" s="67"/>
      <c r="B169" s="100" t="str">
        <f>IFERROR(HYPERLINK(VLOOKUP(A169,Internal_lists_bugs!$A$2:$G1014,7,FALSE()),"Intro.Issues: "&amp;VLOOKUP(A169,Internal_lists_bugs!$A$2:$P1014,16,FALSE())),"please select a BUG ID")</f>
        <v>please select a BUG ID</v>
      </c>
      <c r="C169" s="101" t="str">
        <f>IFERROR(VLOOKUP(A169,Internal_lists_bugs!$A$2:$X1014,24,FALSE()),"please select a BUG ID")</f>
        <v>please select a BUG ID</v>
      </c>
      <c r="E169" s="49"/>
      <c r="F169" s="102"/>
      <c r="H169" s="41"/>
      <c r="I169" s="66"/>
      <c r="J169" s="51"/>
    </row>
    <row r="170">
      <c r="A170" s="67"/>
      <c r="B170" s="100" t="str">
        <f>IFERROR(HYPERLINK(VLOOKUP(A170,Internal_lists_bugs!$A$2:$G1014,7,FALSE()),"Intro.Issues: "&amp;VLOOKUP(A170,Internal_lists_bugs!$A$2:$P1014,16,FALSE())),"please select a BUG ID")</f>
        <v>please select a BUG ID</v>
      </c>
      <c r="C170" s="101" t="str">
        <f>IFERROR(VLOOKUP(A170,Internal_lists_bugs!$A$2:$X1014,24,FALSE()),"please select a BUG ID")</f>
        <v>please select a BUG ID</v>
      </c>
      <c r="E170" s="49"/>
      <c r="F170" s="102"/>
      <c r="H170" s="41"/>
      <c r="I170" s="66"/>
      <c r="J170" s="51"/>
    </row>
    <row r="171">
      <c r="A171" s="67"/>
      <c r="B171" s="100" t="str">
        <f>IFERROR(HYPERLINK(VLOOKUP(A171,Internal_lists_bugs!$A$2:$G1014,7,FALSE()),"Intro.Issues: "&amp;VLOOKUP(A171,Internal_lists_bugs!$A$2:$P1014,16,FALSE())),"please select a BUG ID")</f>
        <v>please select a BUG ID</v>
      </c>
      <c r="C171" s="101" t="str">
        <f>IFERROR(VLOOKUP(A171,Internal_lists_bugs!$A$2:$X1014,24,FALSE()),"please select a BUG ID")</f>
        <v>please select a BUG ID</v>
      </c>
      <c r="E171" s="49"/>
      <c r="F171" s="102"/>
      <c r="H171" s="49"/>
      <c r="I171" s="102"/>
      <c r="J171" s="51"/>
    </row>
    <row r="172">
      <c r="A172" s="67"/>
      <c r="B172" s="100" t="str">
        <f>IFERROR(HYPERLINK(VLOOKUP(A172,Internal_lists_bugs!$A$2:$G1014,7,FALSE()),"Intro.Issues: "&amp;VLOOKUP(A172,Internal_lists_bugs!$A$2:$P1014,16,FALSE())),"please select a BUG ID")</f>
        <v>please select a BUG ID</v>
      </c>
      <c r="C172" s="101" t="str">
        <f>IFERROR(VLOOKUP(A172,Internal_lists_bugs!$A$2:$X1014,24,FALSE()),"please select a BUG ID")</f>
        <v>please select a BUG ID</v>
      </c>
      <c r="E172" s="49"/>
      <c r="F172" s="102"/>
      <c r="H172" s="49"/>
      <c r="I172" s="102"/>
      <c r="J172" s="51"/>
    </row>
    <row r="173">
      <c r="A173" s="67"/>
      <c r="B173" s="100" t="str">
        <f>IFERROR(HYPERLINK(VLOOKUP(A173,Internal_lists_bugs!$A$2:$G1014,7,FALSE()),"Intro.Issues: "&amp;VLOOKUP(A173,Internal_lists_bugs!$A$2:$P1014,16,FALSE())),"please select a BUG ID")</f>
        <v>please select a BUG ID</v>
      </c>
      <c r="C173" s="101" t="str">
        <f>IFERROR(VLOOKUP(A173,Internal_lists_bugs!$A$2:$X1014,24,FALSE()),"please select a BUG ID")</f>
        <v>please select a BUG ID</v>
      </c>
      <c r="E173" s="49"/>
      <c r="F173" s="102"/>
      <c r="H173" s="49"/>
      <c r="I173" s="102"/>
      <c r="J173" s="51"/>
    </row>
    <row r="174">
      <c r="A174" s="67"/>
      <c r="B174" s="100" t="str">
        <f>IFERROR(HYPERLINK(VLOOKUP(A174,Internal_lists_bugs!$A$2:$G1014,7,FALSE()),"Intro.Issues: "&amp;VLOOKUP(A174,Internal_lists_bugs!$A$2:$P1014,16,FALSE())),"please select a BUG ID")</f>
        <v>please select a BUG ID</v>
      </c>
      <c r="C174" s="101" t="str">
        <f>IFERROR(VLOOKUP(A174,Internal_lists_bugs!$A$2:$X1014,24,FALSE()),"please select a BUG ID")</f>
        <v>please select a BUG ID</v>
      </c>
      <c r="E174" s="41"/>
      <c r="F174" s="105"/>
      <c r="H174" s="41"/>
      <c r="I174" s="66"/>
      <c r="J174" s="51"/>
    </row>
    <row r="175">
      <c r="A175" s="67"/>
      <c r="B175" s="100" t="str">
        <f>IFERROR(HYPERLINK(VLOOKUP(A175,Internal_lists_bugs!$A$2:$G1014,7,FALSE()),"Intro.Issues: "&amp;VLOOKUP(A175,Internal_lists_bugs!$A$2:$P1014,16,FALSE())),"please select a BUG ID")</f>
        <v>please select a BUG ID</v>
      </c>
      <c r="C175" s="101" t="str">
        <f>IFERROR(VLOOKUP(A175,Internal_lists_bugs!$A$2:$X1014,24,FALSE()),"please select a BUG ID")</f>
        <v>please select a BUG ID</v>
      </c>
      <c r="E175" s="41"/>
      <c r="F175" s="105"/>
      <c r="H175" s="41"/>
      <c r="I175" s="102"/>
      <c r="J175" s="51"/>
    </row>
    <row r="176">
      <c r="A176" s="67"/>
      <c r="B176" s="100" t="str">
        <f>IFERROR(HYPERLINK(VLOOKUP(A176,Internal_lists_bugs!$A$2:$G1014,7,FALSE()),"Intro.Issues: "&amp;VLOOKUP(A176,Internal_lists_bugs!$A$2:$P1014,16,FALSE())),"please select a BUG ID")</f>
        <v>please select a BUG ID</v>
      </c>
      <c r="C176" s="101" t="str">
        <f>IFERROR(VLOOKUP(A176,Internal_lists_bugs!$A$2:$X1014,24,FALSE()),"please select a BUG ID")</f>
        <v>please select a BUG ID</v>
      </c>
      <c r="E176" s="41"/>
      <c r="F176" s="66"/>
      <c r="H176" s="41"/>
      <c r="I176" s="66"/>
      <c r="J176" s="51"/>
    </row>
    <row r="177">
      <c r="A177" s="67"/>
      <c r="B177" s="100" t="str">
        <f>IFERROR(HYPERLINK(VLOOKUP(A177,Internal_lists_bugs!$A$2:$G1014,7,FALSE()),"Intro.Issues: "&amp;VLOOKUP(A177,Internal_lists_bugs!$A$2:$P1014,16,FALSE())),"please select a BUG ID")</f>
        <v>please select a BUG ID</v>
      </c>
      <c r="C177" s="101" t="str">
        <f>IFERROR(VLOOKUP(A177,Internal_lists_bugs!$A$2:$X1014,24,FALSE()),"please select a BUG ID")</f>
        <v>please select a BUG ID</v>
      </c>
      <c r="E177" s="41"/>
      <c r="F177" s="102"/>
      <c r="H177" s="41"/>
      <c r="I177" s="102"/>
      <c r="J177" s="51"/>
    </row>
    <row r="178">
      <c r="A178" s="64"/>
      <c r="B178" s="100" t="str">
        <f>IFERROR(HYPERLINK(VLOOKUP(A178,Internal_lists_bugs!$A$2:$G1014,7,FALSE()),"Intro.Issues: "&amp;VLOOKUP(A178,Internal_lists_bugs!$A$2:$P1014,16,FALSE())),"please select a BUG ID")</f>
        <v>please select a BUG ID</v>
      </c>
      <c r="C178" s="101" t="str">
        <f>IFERROR(VLOOKUP(A178,Internal_lists_bugs!$A$2:$X1014,24,FALSE()),"please select a BUG ID")</f>
        <v>please select a BUG ID</v>
      </c>
      <c r="E178" s="49"/>
      <c r="F178" s="102"/>
      <c r="H178" s="49"/>
      <c r="I178" s="102"/>
      <c r="J178" s="51"/>
    </row>
    <row r="179">
      <c r="A179" s="64"/>
      <c r="B179" s="100" t="str">
        <f>IFERROR(HYPERLINK(VLOOKUP(A179,Internal_lists_bugs!$A$2:$G1014,7,FALSE()),"Intro.Issues: "&amp;VLOOKUP(A179,Internal_lists_bugs!$A$2:$P1014,16,FALSE())),"please select a BUG ID")</f>
        <v>please select a BUG ID</v>
      </c>
      <c r="C179" s="101" t="str">
        <f>IFERROR(VLOOKUP(A179,Internal_lists_bugs!$A$2:$X1014,24,FALSE()),"please select a BUG ID")</f>
        <v>please select a BUG ID</v>
      </c>
      <c r="E179" s="41"/>
      <c r="F179" s="102"/>
      <c r="H179" s="49"/>
      <c r="I179" s="102"/>
      <c r="J179" s="51"/>
    </row>
    <row r="180">
      <c r="A180" s="64"/>
      <c r="B180" s="100" t="str">
        <f>IFERROR(HYPERLINK(VLOOKUP(A180,Internal_lists_bugs!$A$2:$G1014,7,FALSE()),"Intro.Issues: "&amp;VLOOKUP(A180,Internal_lists_bugs!$A$2:$P1014,16,FALSE())),"please select a BUG ID")</f>
        <v>please select a BUG ID</v>
      </c>
      <c r="C180" s="101" t="str">
        <f>IFERROR(VLOOKUP(A180,Internal_lists_bugs!$A$2:$X1014,24,FALSE()),"please select a BUG ID")</f>
        <v>please select a BUG ID</v>
      </c>
      <c r="E180" s="49"/>
      <c r="F180" s="102"/>
      <c r="H180" s="49"/>
      <c r="I180" s="102"/>
      <c r="J180" s="51"/>
    </row>
    <row r="181">
      <c r="A181" s="64"/>
      <c r="B181" s="100" t="str">
        <f>IFERROR(HYPERLINK(VLOOKUP(A181,Internal_lists_bugs!$A$2:$G1014,7,FALSE()),"Intro.Issues: "&amp;VLOOKUP(A181,Internal_lists_bugs!$A$2:$P1014,16,FALSE())),"please select a BUG ID")</f>
        <v>please select a BUG ID</v>
      </c>
      <c r="C181" s="101" t="str">
        <f>IFERROR(VLOOKUP(A181,Internal_lists_bugs!$A$2:$X1014,24,FALSE()),"please select a BUG ID")</f>
        <v>please select a BUG ID</v>
      </c>
      <c r="E181" s="49"/>
      <c r="F181" s="102"/>
      <c r="H181" s="49"/>
      <c r="I181" s="102"/>
      <c r="J181" s="51"/>
    </row>
    <row r="182">
      <c r="A182" s="64"/>
      <c r="B182" s="100" t="str">
        <f>IFERROR(HYPERLINK(VLOOKUP(A182,Internal_lists_bugs!$A$2:$G1014,7,FALSE()),"Intro.Issues: "&amp;VLOOKUP(A182,Internal_lists_bugs!$A$2:$P1014,16,FALSE())),"please select a BUG ID")</f>
        <v>please select a BUG ID</v>
      </c>
      <c r="C182" s="101" t="str">
        <f>IFERROR(VLOOKUP(A182,Internal_lists_bugs!$A$2:$X1014,24,FALSE()),"please select a BUG ID")</f>
        <v>please select a BUG ID</v>
      </c>
      <c r="E182" s="49"/>
      <c r="F182" s="102"/>
      <c r="H182" s="49"/>
      <c r="I182" s="102"/>
      <c r="J182" s="51"/>
    </row>
    <row r="183">
      <c r="A183" s="64"/>
      <c r="B183" s="100" t="str">
        <f>IFERROR(HYPERLINK(VLOOKUP(A183,Internal_lists_bugs!$A$2:$G1014,7,FALSE()),"Intro.Issues: "&amp;VLOOKUP(A183,Internal_lists_bugs!$A$2:$P1014,16,FALSE())),"please select a BUG ID")</f>
        <v>please select a BUG ID</v>
      </c>
      <c r="C183" s="101" t="str">
        <f>IFERROR(VLOOKUP(A183,Internal_lists_bugs!$A$2:$X1014,24,FALSE()),"please select a BUG ID")</f>
        <v>please select a BUG ID</v>
      </c>
      <c r="E183" s="49"/>
      <c r="F183" s="102"/>
      <c r="H183" s="49"/>
      <c r="I183" s="102"/>
      <c r="J183" s="51"/>
    </row>
    <row r="184">
      <c r="A184" s="64"/>
      <c r="B184" s="100" t="str">
        <f>IFERROR(HYPERLINK(VLOOKUP(A184,Internal_lists_bugs!$A$2:$G1014,7,FALSE()),"Intro.Issues: "&amp;VLOOKUP(A184,Internal_lists_bugs!$A$2:$P1014,16,FALSE())),"please select a BUG ID")</f>
        <v>please select a BUG ID</v>
      </c>
      <c r="C184" s="101" t="str">
        <f>IFERROR(VLOOKUP(A184,Internal_lists_bugs!$A$2:$X1014,24,FALSE()),"please select a BUG ID")</f>
        <v>please select a BUG ID</v>
      </c>
      <c r="E184" s="49"/>
      <c r="F184" s="102"/>
      <c r="H184" s="49"/>
      <c r="I184" s="102"/>
      <c r="J184" s="51"/>
    </row>
    <row r="185">
      <c r="A185" s="64"/>
      <c r="B185" s="100" t="str">
        <f>IFERROR(HYPERLINK(VLOOKUP(A185,Internal_lists_bugs!$A$2:$G1014,7,FALSE()),"Intro.Issues: "&amp;VLOOKUP(A185,Internal_lists_bugs!$A$2:$P1014,16,FALSE())),"please select a BUG ID")</f>
        <v>please select a BUG ID</v>
      </c>
      <c r="C185" s="101" t="str">
        <f>IFERROR(VLOOKUP(A185,Internal_lists_bugs!$A$2:$X1014,24,FALSE()),"please select a BUG ID")</f>
        <v>please select a BUG ID</v>
      </c>
      <c r="E185" s="49"/>
      <c r="F185" s="102"/>
      <c r="H185" s="49"/>
      <c r="I185" s="102"/>
      <c r="J185" s="51"/>
    </row>
    <row r="186">
      <c r="A186" s="64"/>
      <c r="B186" s="100" t="str">
        <f>IFERROR(HYPERLINK(VLOOKUP(A186,Internal_lists_bugs!$A$2:$G1014,7,FALSE()),"Intro.Issues: "&amp;VLOOKUP(A186,Internal_lists_bugs!$A$2:$P1014,16,FALSE())),"please select a BUG ID")</f>
        <v>please select a BUG ID</v>
      </c>
      <c r="C186" s="101" t="str">
        <f>IFERROR(VLOOKUP(A186,Internal_lists_bugs!$A$2:$X1014,24,FALSE()),"please select a BUG ID")</f>
        <v>please select a BUG ID</v>
      </c>
      <c r="E186" s="49"/>
      <c r="F186" s="102"/>
      <c r="H186" s="49"/>
      <c r="I186" s="102"/>
      <c r="J186" s="51"/>
    </row>
    <row r="187">
      <c r="A187" s="64"/>
      <c r="B187" s="100" t="str">
        <f>IFERROR(HYPERLINK(VLOOKUP(A187,Internal_lists_bugs!$A$2:$G1014,7,FALSE()),"Intro.Issues: "&amp;VLOOKUP(A187,Internal_lists_bugs!$A$2:$P1014,16,FALSE())),"please select a BUG ID")</f>
        <v>please select a BUG ID</v>
      </c>
      <c r="C187" s="101" t="str">
        <f>IFERROR(VLOOKUP(A187,Internal_lists_bugs!$A$2:$X1014,24,FALSE()),"please select a BUG ID")</f>
        <v>please select a BUG ID</v>
      </c>
      <c r="E187" s="49"/>
      <c r="F187" s="102"/>
      <c r="H187" s="49"/>
      <c r="I187" s="102"/>
      <c r="J187" s="51"/>
    </row>
    <row r="188">
      <c r="A188" s="64"/>
      <c r="B188" s="100" t="str">
        <f>IFERROR(HYPERLINK(VLOOKUP(A188,Internal_lists_bugs!$A$2:$G1014,7,FALSE()),"Intro.Issues: "&amp;VLOOKUP(A188,Internal_lists_bugs!$A$2:$P1014,16,FALSE())),"please select a BUG ID")</f>
        <v>please select a BUG ID</v>
      </c>
      <c r="C188" s="101" t="str">
        <f>IFERROR(VLOOKUP(A188,Internal_lists_bugs!$A$2:$X1014,24,FALSE()),"please select a BUG ID")</f>
        <v>please select a BUG ID</v>
      </c>
      <c r="E188" s="49"/>
      <c r="F188" s="102"/>
      <c r="H188" s="49"/>
      <c r="I188" s="102"/>
      <c r="J188" s="51"/>
    </row>
    <row r="189">
      <c r="A189" s="64"/>
      <c r="B189" s="100" t="str">
        <f>IFERROR(HYPERLINK(VLOOKUP(A189,Internal_lists_bugs!$A$2:$G1014,7,FALSE()),"Intro.Issues: "&amp;VLOOKUP(A189,Internal_lists_bugs!$A$2:$P1014,16,FALSE())),"please select a BUG ID")</f>
        <v>please select a BUG ID</v>
      </c>
      <c r="C189" s="101" t="str">
        <f>IFERROR(VLOOKUP(A189,Internal_lists_bugs!$A$2:$X1014,24,FALSE()),"please select a BUG ID")</f>
        <v>please select a BUG ID</v>
      </c>
      <c r="E189" s="49"/>
      <c r="F189" s="102"/>
      <c r="H189" s="49"/>
      <c r="I189" s="102"/>
      <c r="J189" s="51"/>
    </row>
    <row r="190">
      <c r="A190" s="64"/>
      <c r="B190" s="100" t="str">
        <f>IFERROR(HYPERLINK(VLOOKUP(A190,Internal_lists_bugs!$A$2:$G1014,7,FALSE()),"Intro.Issues: "&amp;VLOOKUP(A190,Internal_lists_bugs!$A$2:$P1014,16,FALSE())),"please select a BUG ID")</f>
        <v>please select a BUG ID</v>
      </c>
      <c r="C190" s="101" t="str">
        <f>IFERROR(VLOOKUP(A190,Internal_lists_bugs!$A$2:$X1014,24,FALSE()),"please select a BUG ID")</f>
        <v>please select a BUG ID</v>
      </c>
      <c r="E190" s="49"/>
      <c r="F190" s="102"/>
      <c r="H190" s="49"/>
      <c r="I190" s="102"/>
      <c r="J190" s="51"/>
    </row>
    <row r="191">
      <c r="A191" s="64"/>
      <c r="B191" s="100" t="str">
        <f>IFERROR(HYPERLINK(VLOOKUP(A191,Internal_lists_bugs!$A$2:$G1014,7,FALSE()),"Intro.Issues: "&amp;VLOOKUP(A191,Internal_lists_bugs!$A$2:$P1014,16,FALSE())),"please select a BUG ID")</f>
        <v>please select a BUG ID</v>
      </c>
      <c r="C191" s="101" t="str">
        <f>IFERROR(VLOOKUP(A191,Internal_lists_bugs!$A$2:$X1014,24,FALSE()),"please select a BUG ID")</f>
        <v>please select a BUG ID</v>
      </c>
      <c r="E191" s="49"/>
      <c r="F191" s="102"/>
      <c r="H191" s="49"/>
      <c r="I191" s="102"/>
      <c r="J191" s="51"/>
    </row>
    <row r="192">
      <c r="A192" s="64"/>
      <c r="B192" s="100" t="str">
        <f>IFERROR(HYPERLINK(VLOOKUP(A192,Internal_lists_bugs!$A$2:$G1014,7,FALSE()),"Intro.Issues: "&amp;VLOOKUP(A192,Internal_lists_bugs!$A$2:$P1014,16,FALSE())),"please select a BUG ID")</f>
        <v>please select a BUG ID</v>
      </c>
      <c r="C192" s="101" t="str">
        <f>IFERROR(VLOOKUP(A192,Internal_lists_bugs!$A$2:$X1014,24,FALSE()),"please select a BUG ID")</f>
        <v>please select a BUG ID</v>
      </c>
      <c r="E192" s="49"/>
      <c r="F192" s="102"/>
      <c r="H192" s="49"/>
      <c r="I192" s="102"/>
      <c r="J192" s="51"/>
    </row>
    <row r="193">
      <c r="A193" s="64"/>
      <c r="B193" s="100" t="str">
        <f>IFERROR(HYPERLINK(VLOOKUP(A193,Internal_lists_bugs!$A$2:$G1014,7,FALSE()),"Intro.Issues: "&amp;VLOOKUP(A193,Internal_lists_bugs!$A$2:$P1014,16,FALSE())),"please select a BUG ID")</f>
        <v>please select a BUG ID</v>
      </c>
      <c r="C193" s="101" t="str">
        <f>IFERROR(VLOOKUP(A193,Internal_lists_bugs!$A$2:$X1014,24,FALSE()),"please select a BUG ID")</f>
        <v>please select a BUG ID</v>
      </c>
      <c r="E193" s="49"/>
      <c r="F193" s="102"/>
      <c r="H193" s="49"/>
      <c r="I193" s="102"/>
      <c r="J193" s="51"/>
    </row>
    <row r="194">
      <c r="A194" s="64"/>
      <c r="B194" s="100" t="str">
        <f>IFERROR(HYPERLINK(VLOOKUP(A194,Internal_lists_bugs!$A$2:$G1014,7,FALSE()),"Intro.Issues: "&amp;VLOOKUP(A194,Internal_lists_bugs!$A$2:$P1014,16,FALSE())),"please select a BUG ID")</f>
        <v>please select a BUG ID</v>
      </c>
      <c r="C194" s="101" t="str">
        <f>IFERROR(VLOOKUP(A194,Internal_lists_bugs!$A$2:$X1014,24,FALSE()),"please select a BUG ID")</f>
        <v>please select a BUG ID</v>
      </c>
      <c r="E194" s="49"/>
      <c r="F194" s="102"/>
      <c r="H194" s="49"/>
      <c r="I194" s="102"/>
      <c r="J194" s="51"/>
    </row>
    <row r="195">
      <c r="A195" s="64"/>
      <c r="B195" s="100" t="str">
        <f>IFERROR(HYPERLINK(VLOOKUP(A195,Internal_lists_bugs!$A$2:$G1014,7,FALSE()),"Intro.Issues: "&amp;VLOOKUP(A195,Internal_lists_bugs!$A$2:$P1014,16,FALSE())),"please select a BUG ID")</f>
        <v>please select a BUG ID</v>
      </c>
      <c r="C195" s="101" t="str">
        <f>IFERROR(VLOOKUP(A195,Internal_lists_bugs!$A$2:$X1014,24,FALSE()),"please select a BUG ID")</f>
        <v>please select a BUG ID</v>
      </c>
      <c r="E195" s="49"/>
      <c r="F195" s="102"/>
      <c r="H195" s="49"/>
      <c r="I195" s="102"/>
      <c r="J195" s="51"/>
    </row>
    <row r="196">
      <c r="A196" s="64"/>
      <c r="B196" s="100" t="str">
        <f>IFERROR(HYPERLINK(VLOOKUP(A196,Internal_lists_bugs!$A$2:$G1014,7,FALSE()),"Intro.Issues: "&amp;VLOOKUP(A196,Internal_lists_bugs!$A$2:$P1014,16,FALSE())),"please select a BUG ID")</f>
        <v>please select a BUG ID</v>
      </c>
      <c r="C196" s="101" t="str">
        <f>IFERROR(VLOOKUP(A196,Internal_lists_bugs!$A$2:$X1014,24,FALSE()),"please select a BUG ID")</f>
        <v>please select a BUG ID</v>
      </c>
      <c r="E196" s="49"/>
      <c r="F196" s="102"/>
      <c r="H196" s="49"/>
      <c r="I196" s="102"/>
      <c r="J196" s="51"/>
    </row>
    <row r="197">
      <c r="A197" s="64"/>
      <c r="B197" s="100" t="str">
        <f>IFERROR(HYPERLINK(VLOOKUP(A197,Internal_lists_bugs!$A$2:$G1014,7,FALSE()),"Intro.Issues: "&amp;VLOOKUP(A197,Internal_lists_bugs!$A$2:$P1014,16,FALSE())),"please select a BUG ID")</f>
        <v>please select a BUG ID</v>
      </c>
      <c r="C197" s="101" t="str">
        <f>IFERROR(VLOOKUP(A197,Internal_lists_bugs!$A$2:$X1014,24,FALSE()),"please select a BUG ID")</f>
        <v>please select a BUG ID</v>
      </c>
      <c r="E197" s="49"/>
      <c r="F197" s="102"/>
      <c r="H197" s="49"/>
      <c r="I197" s="102"/>
      <c r="J197" s="51"/>
    </row>
    <row r="198">
      <c r="A198" s="64"/>
      <c r="B198" s="100" t="str">
        <f>IFERROR(HYPERLINK(VLOOKUP(A198,Internal_lists_bugs!$A$2:$G1014,7,FALSE()),"Intro.Issues: "&amp;VLOOKUP(A198,Internal_lists_bugs!$A$2:$P1014,16,FALSE())),"please select a BUG ID")</f>
        <v>please select a BUG ID</v>
      </c>
      <c r="C198" s="101" t="str">
        <f>IFERROR(VLOOKUP(A198,Internal_lists_bugs!$A$2:$X1014,24,FALSE()),"please select a BUG ID")</f>
        <v>please select a BUG ID</v>
      </c>
      <c r="E198" s="49"/>
      <c r="F198" s="102"/>
      <c r="H198" s="49"/>
      <c r="I198" s="102"/>
      <c r="J198" s="51"/>
    </row>
    <row r="199">
      <c r="A199" s="64"/>
      <c r="B199" s="100" t="str">
        <f>IFERROR(HYPERLINK(VLOOKUP(A199,Internal_lists_bugs!$A$2:$G1014,7,FALSE()),"Intro.Issues: "&amp;VLOOKUP(A199,Internal_lists_bugs!$A$2:$P1014,16,FALSE())),"please select a BUG ID")</f>
        <v>please select a BUG ID</v>
      </c>
      <c r="C199" s="101" t="str">
        <f>IFERROR(VLOOKUP(A199,Internal_lists_bugs!$A$2:$X1014,24,FALSE()),"please select a BUG ID")</f>
        <v>please select a BUG ID</v>
      </c>
      <c r="E199" s="49"/>
      <c r="F199" s="102"/>
      <c r="H199" s="49"/>
      <c r="I199" s="102"/>
      <c r="J199" s="51"/>
    </row>
    <row r="200">
      <c r="A200" s="64"/>
      <c r="B200" s="100" t="str">
        <f>IFERROR(HYPERLINK(VLOOKUP(A200,Internal_lists_bugs!$A$2:$G1014,7,FALSE()),"Intro.Issues: "&amp;VLOOKUP(A200,Internal_lists_bugs!$A$2:$P1014,16,FALSE())),"please select a BUG ID")</f>
        <v>please select a BUG ID</v>
      </c>
      <c r="C200" s="101" t="str">
        <f>IFERROR(VLOOKUP(A200,Internal_lists_bugs!$A$2:$X1014,24,FALSE()),"please select a BUG ID")</f>
        <v>please select a BUG ID</v>
      </c>
      <c r="E200" s="49"/>
      <c r="F200" s="102"/>
      <c r="H200" s="49"/>
      <c r="I200" s="102"/>
      <c r="J200" s="51"/>
    </row>
    <row r="201">
      <c r="A201" s="64"/>
      <c r="B201" s="100" t="str">
        <f>IFERROR(HYPERLINK(VLOOKUP(A201,Internal_lists_bugs!$A$2:$G1014,7,FALSE()),"Intro.Issues: "&amp;VLOOKUP(A201,Internal_lists_bugs!$A$2:$P1014,16,FALSE())),"please select a BUG ID")</f>
        <v>please select a BUG ID</v>
      </c>
      <c r="C201" s="101" t="str">
        <f>IFERROR(VLOOKUP(A201,Internal_lists_bugs!$A$2:$X1014,24,FALSE()),"please select a BUG ID")</f>
        <v>please select a BUG ID</v>
      </c>
      <c r="E201" s="49"/>
      <c r="F201" s="102"/>
      <c r="H201" s="49"/>
      <c r="I201" s="102"/>
      <c r="J201" s="51"/>
    </row>
    <row r="202">
      <c r="A202" s="64"/>
      <c r="B202" s="100" t="str">
        <f>IFERROR(HYPERLINK(VLOOKUP(A202,Internal_lists_bugs!$A$2:$G1014,7,FALSE()),"Intro.Issues: "&amp;VLOOKUP(A202,Internal_lists_bugs!$A$2:$P1014,16,FALSE())),"please select a BUG ID")</f>
        <v>please select a BUG ID</v>
      </c>
      <c r="C202" s="101" t="str">
        <f>IFERROR(VLOOKUP(A202,Internal_lists_bugs!$A$2:$X1014,24,FALSE()),"please select a BUG ID")</f>
        <v>please select a BUG ID</v>
      </c>
      <c r="E202" s="49"/>
      <c r="F202" s="102"/>
      <c r="H202" s="49"/>
      <c r="I202" s="102"/>
      <c r="J202" s="51"/>
    </row>
    <row r="203">
      <c r="A203" s="64"/>
      <c r="B203" s="100" t="str">
        <f>IFERROR(HYPERLINK(VLOOKUP(A203,Internal_lists_bugs!$A$2:$G1014,7,FALSE()),"Intro.Issues: "&amp;VLOOKUP(A203,Internal_lists_bugs!$A$2:$P1014,16,FALSE())),"please select a BUG ID")</f>
        <v>please select a BUG ID</v>
      </c>
      <c r="C203" s="101" t="str">
        <f>IFERROR(VLOOKUP(A203,Internal_lists_bugs!$A$2:$X1014,24,FALSE()),"please select a BUG ID")</f>
        <v>please select a BUG ID</v>
      </c>
      <c r="E203" s="49"/>
      <c r="F203" s="102"/>
      <c r="H203" s="49"/>
      <c r="I203" s="102"/>
      <c r="J203" s="51"/>
    </row>
    <row r="204">
      <c r="A204" s="64"/>
      <c r="B204" s="100" t="str">
        <f>IFERROR(HYPERLINK(VLOOKUP(A204,Internal_lists_bugs!$A$2:$G1014,7,FALSE()),"Intro.Issues: "&amp;VLOOKUP(A204,Internal_lists_bugs!$A$2:$P1014,16,FALSE())),"please select a BUG ID")</f>
        <v>please select a BUG ID</v>
      </c>
      <c r="C204" s="101" t="str">
        <f>IFERROR(VLOOKUP(A204,Internal_lists_bugs!$A$2:$X1014,24,FALSE()),"please select a BUG ID")</f>
        <v>please select a BUG ID</v>
      </c>
      <c r="E204" s="49"/>
      <c r="F204" s="102"/>
      <c r="H204" s="49"/>
      <c r="I204" s="102"/>
      <c r="J204" s="51"/>
    </row>
    <row r="205">
      <c r="A205" s="64"/>
      <c r="B205" s="100" t="str">
        <f>IFERROR(HYPERLINK(VLOOKUP(A205,Internal_lists_bugs!$A$2:$G1014,7,FALSE()),"Intro.Issues: "&amp;VLOOKUP(A205,Internal_lists_bugs!$A$2:$P1014,16,FALSE())),"please select a BUG ID")</f>
        <v>please select a BUG ID</v>
      </c>
      <c r="C205" s="101" t="str">
        <f>IFERROR(VLOOKUP(A205,Internal_lists_bugs!$A$2:$X1014,24,FALSE()),"please select a BUG ID")</f>
        <v>please select a BUG ID</v>
      </c>
      <c r="E205" s="49"/>
      <c r="F205" s="102"/>
      <c r="H205" s="49"/>
      <c r="I205" s="102"/>
      <c r="J205" s="51"/>
    </row>
    <row r="206">
      <c r="A206" s="64"/>
      <c r="B206" s="100" t="str">
        <f>IFERROR(HYPERLINK(VLOOKUP(A206,Internal_lists_bugs!$A$2:$G1014,7,FALSE()),"Intro.Issues: "&amp;VLOOKUP(A206,Internal_lists_bugs!$A$2:$P1014,16,FALSE())),"please select a BUG ID")</f>
        <v>please select a BUG ID</v>
      </c>
      <c r="C206" s="101" t="str">
        <f>IFERROR(VLOOKUP(A206,Internal_lists_bugs!$A$2:$X1014,24,FALSE()),"please select a BUG ID")</f>
        <v>please select a BUG ID</v>
      </c>
      <c r="E206" s="49"/>
      <c r="F206" s="102"/>
      <c r="H206" s="49"/>
      <c r="I206" s="102"/>
      <c r="J206" s="51"/>
    </row>
    <row r="207">
      <c r="A207" s="64"/>
      <c r="B207" s="100" t="str">
        <f>IFERROR(HYPERLINK(VLOOKUP(A207,Internal_lists_bugs!$A$2:$G1014,7,FALSE()),"Intro.Issues: "&amp;VLOOKUP(A207,Internal_lists_bugs!$A$2:$P1014,16,FALSE())),"please select a BUG ID")</f>
        <v>please select a BUG ID</v>
      </c>
      <c r="C207" s="101" t="str">
        <f>IFERROR(VLOOKUP(A207,Internal_lists_bugs!$A$2:$X1014,24,FALSE()),"please select a BUG ID")</f>
        <v>please select a BUG ID</v>
      </c>
      <c r="E207" s="49"/>
      <c r="F207" s="102"/>
      <c r="H207" s="49"/>
      <c r="I207" s="102"/>
      <c r="J207" s="51"/>
    </row>
    <row r="208">
      <c r="A208" s="64"/>
      <c r="B208" s="100" t="str">
        <f>IFERROR(HYPERLINK(VLOOKUP(A208,Internal_lists_bugs!$A$2:$G1014,7,FALSE()),"Intro.Issues: "&amp;VLOOKUP(A208,Internal_lists_bugs!$A$2:$P1014,16,FALSE())),"please select a BUG ID")</f>
        <v>please select a BUG ID</v>
      </c>
      <c r="C208" s="101" t="str">
        <f>IFERROR(VLOOKUP(A208,Internal_lists_bugs!$A$2:$X1014,24,FALSE()),"please select a BUG ID")</f>
        <v>please select a BUG ID</v>
      </c>
      <c r="E208" s="49"/>
      <c r="F208" s="102"/>
      <c r="H208" s="49"/>
      <c r="I208" s="102"/>
      <c r="J208" s="51"/>
    </row>
    <row r="209">
      <c r="A209" s="64"/>
      <c r="B209" s="100" t="str">
        <f>IFERROR(HYPERLINK(VLOOKUP(A209,Internal_lists_bugs!$A$2:$G1014,7,FALSE()),"Intro.Issues: "&amp;VLOOKUP(A209,Internal_lists_bugs!$A$2:$P1014,16,FALSE())),"please select a BUG ID")</f>
        <v>please select a BUG ID</v>
      </c>
      <c r="C209" s="101" t="str">
        <f>IFERROR(VLOOKUP(A209,Internal_lists_bugs!$A$2:$X1014,24,FALSE()),"please select a BUG ID")</f>
        <v>please select a BUG ID</v>
      </c>
      <c r="E209" s="49"/>
      <c r="F209" s="102"/>
      <c r="H209" s="49"/>
      <c r="I209" s="102"/>
      <c r="J209" s="51"/>
    </row>
    <row r="210">
      <c r="A210" s="64"/>
      <c r="B210" s="100" t="str">
        <f>IFERROR(HYPERLINK(VLOOKUP(A210,Internal_lists_bugs!$A$2:$G1014,7,FALSE()),"Intro.Issues: "&amp;VLOOKUP(A210,Internal_lists_bugs!$A$2:$P1014,16,FALSE())),"please select a BUG ID")</f>
        <v>please select a BUG ID</v>
      </c>
      <c r="C210" s="101" t="str">
        <f>IFERROR(VLOOKUP(A210,Internal_lists_bugs!$A$2:$X1014,24,FALSE()),"please select a BUG ID")</f>
        <v>please select a BUG ID</v>
      </c>
      <c r="E210" s="49"/>
      <c r="F210" s="102"/>
      <c r="H210" s="49"/>
      <c r="I210" s="102"/>
      <c r="J210" s="51"/>
    </row>
    <row r="211">
      <c r="A211" s="64"/>
      <c r="B211" s="100" t="str">
        <f>IFERROR(HYPERLINK(VLOOKUP(A211,Internal_lists_bugs!$A$2:$G1014,7,FALSE()),"Intro.Issues: "&amp;VLOOKUP(A211,Internal_lists_bugs!$A$2:$P1014,16,FALSE())),"please select a BUG ID")</f>
        <v>please select a BUG ID</v>
      </c>
      <c r="C211" s="101" t="str">
        <f>IFERROR(VLOOKUP(A211,Internal_lists_bugs!$A$2:$X1014,24,FALSE()),"please select a BUG ID")</f>
        <v>please select a BUG ID</v>
      </c>
      <c r="E211" s="49"/>
      <c r="F211" s="102"/>
      <c r="H211" s="49"/>
      <c r="I211" s="102"/>
      <c r="J211" s="51"/>
    </row>
    <row r="212">
      <c r="A212" s="64"/>
      <c r="B212" s="100" t="str">
        <f>IFERROR(HYPERLINK(VLOOKUP(A212,Internal_lists_bugs!$A$2:$G1014,7,FALSE()),"Intro.Issues: "&amp;VLOOKUP(A212,Internal_lists_bugs!$A$2:$P1014,16,FALSE())),"please select a BUG ID")</f>
        <v>please select a BUG ID</v>
      </c>
      <c r="C212" s="101" t="str">
        <f>IFERROR(VLOOKUP(A212,Internal_lists_bugs!$A$2:$X1014,24,FALSE()),"please select a BUG ID")</f>
        <v>please select a BUG ID</v>
      </c>
      <c r="E212" s="49"/>
      <c r="F212" s="102"/>
      <c r="H212" s="49"/>
      <c r="I212" s="102"/>
      <c r="J212" s="51"/>
    </row>
    <row r="213">
      <c r="A213" s="64"/>
      <c r="B213" s="100" t="str">
        <f>IFERROR(HYPERLINK(VLOOKUP(A213,Internal_lists_bugs!$A$2:$G1014,7,FALSE()),"Intro.Issues: "&amp;VLOOKUP(A213,Internal_lists_bugs!$A$2:$P1014,16,FALSE())),"please select a BUG ID")</f>
        <v>please select a BUG ID</v>
      </c>
      <c r="C213" s="101" t="str">
        <f>IFERROR(VLOOKUP(A213,Internal_lists_bugs!$A$2:$X1014,24,FALSE()),"please select a BUG ID")</f>
        <v>please select a BUG ID</v>
      </c>
      <c r="E213" s="49"/>
      <c r="F213" s="102"/>
      <c r="H213" s="49"/>
      <c r="I213" s="102"/>
      <c r="J213" s="51"/>
    </row>
    <row r="214">
      <c r="A214" s="64"/>
      <c r="B214" s="100" t="str">
        <f>IFERROR(HYPERLINK(VLOOKUP(A214,Internal_lists_bugs!$A$2:$G1014,7,FALSE()),"Intro.Issues: "&amp;VLOOKUP(A214,Internal_lists_bugs!$A$2:$P1014,16,FALSE())),"please select a BUG ID")</f>
        <v>please select a BUG ID</v>
      </c>
      <c r="C214" s="101" t="str">
        <f>IFERROR(VLOOKUP(A214,Internal_lists_bugs!$A$2:$X1014,24,FALSE()),"please select a BUG ID")</f>
        <v>please select a BUG ID</v>
      </c>
      <c r="E214" s="49"/>
      <c r="F214" s="102"/>
      <c r="H214" s="49"/>
      <c r="I214" s="102"/>
      <c r="J214" s="51"/>
    </row>
    <row r="215">
      <c r="A215" s="64"/>
      <c r="B215" s="100" t="str">
        <f>IFERROR(HYPERLINK(VLOOKUP(A215,Internal_lists_bugs!$A$2:$G1014,7,FALSE()),"Intro.Issues: "&amp;VLOOKUP(A215,Internal_lists_bugs!$A$2:$P1014,16,FALSE())),"please select a BUG ID")</f>
        <v>please select a BUG ID</v>
      </c>
      <c r="C215" s="101" t="str">
        <f>IFERROR(VLOOKUP(A215,Internal_lists_bugs!$A$2:$X1014,24,FALSE()),"please select a BUG ID")</f>
        <v>please select a BUG ID</v>
      </c>
      <c r="E215" s="49"/>
      <c r="F215" s="102"/>
      <c r="H215" s="49"/>
      <c r="I215" s="102"/>
      <c r="J215" s="51"/>
    </row>
    <row r="216">
      <c r="A216" s="64"/>
      <c r="B216" s="100" t="str">
        <f>IFERROR(HYPERLINK(VLOOKUP(A216,Internal_lists_bugs!$A$2:$G1014,7,FALSE()),"Intro.Issues: "&amp;VLOOKUP(A216,Internal_lists_bugs!$A$2:$P1014,16,FALSE())),"please select a BUG ID")</f>
        <v>please select a BUG ID</v>
      </c>
      <c r="C216" s="101" t="str">
        <f>IFERROR(VLOOKUP(A216,Internal_lists_bugs!$A$2:$X1014,24,FALSE()),"please select a BUG ID")</f>
        <v>please select a BUG ID</v>
      </c>
      <c r="E216" s="49"/>
      <c r="F216" s="102"/>
      <c r="H216" s="49"/>
      <c r="I216" s="102"/>
      <c r="J216" s="51"/>
    </row>
    <row r="217">
      <c r="A217" s="64"/>
      <c r="B217" s="100" t="str">
        <f>IFERROR(HYPERLINK(VLOOKUP(A217,Internal_lists_bugs!$A$2:$G1014,7,FALSE()),"Intro.Issues: "&amp;VLOOKUP(A217,Internal_lists_bugs!$A$2:$P1014,16,FALSE())),"please select a BUG ID")</f>
        <v>please select a BUG ID</v>
      </c>
      <c r="C217" s="101" t="str">
        <f>IFERROR(VLOOKUP(A217,Internal_lists_bugs!$A$2:$X1014,24,FALSE()),"please select a BUG ID")</f>
        <v>please select a BUG ID</v>
      </c>
      <c r="E217" s="49"/>
      <c r="F217" s="102"/>
      <c r="H217" s="49"/>
      <c r="I217" s="102"/>
      <c r="J217" s="51"/>
    </row>
    <row r="218">
      <c r="A218" s="64"/>
      <c r="B218" s="100" t="str">
        <f>IFERROR(HYPERLINK(VLOOKUP(A218,Internal_lists_bugs!$A$2:$G1014,7,FALSE()),"Intro.Issues: "&amp;VLOOKUP(A218,Internal_lists_bugs!$A$2:$P1014,16,FALSE())),"please select a BUG ID")</f>
        <v>please select a BUG ID</v>
      </c>
      <c r="C218" s="101" t="str">
        <f>IFERROR(VLOOKUP(A218,Internal_lists_bugs!$A$2:$X1014,24,FALSE()),"please select a BUG ID")</f>
        <v>please select a BUG ID</v>
      </c>
      <c r="E218" s="49"/>
      <c r="F218" s="102"/>
      <c r="H218" s="49"/>
      <c r="I218" s="102"/>
      <c r="J218" s="51"/>
    </row>
    <row r="219">
      <c r="A219" s="64"/>
      <c r="B219" s="100" t="str">
        <f>IFERROR(HYPERLINK(VLOOKUP(A219,Internal_lists_bugs!$A$2:$G1014,7,FALSE()),"Intro.Issues: "&amp;VLOOKUP(A219,Internal_lists_bugs!$A$2:$P1014,16,FALSE())),"please select a BUG ID")</f>
        <v>please select a BUG ID</v>
      </c>
      <c r="C219" s="101" t="str">
        <f>IFERROR(VLOOKUP(A219,Internal_lists_bugs!$A$2:$X1014,24,FALSE()),"please select a BUG ID")</f>
        <v>please select a BUG ID</v>
      </c>
      <c r="E219" s="49"/>
      <c r="F219" s="102"/>
      <c r="H219" s="49"/>
      <c r="I219" s="102"/>
      <c r="J219" s="51"/>
    </row>
    <row r="220">
      <c r="A220" s="64"/>
      <c r="B220" s="100" t="str">
        <f>IFERROR(HYPERLINK(VLOOKUP(A220,Internal_lists_bugs!$A$2:$G1014,7,FALSE()),"Intro.Issues: "&amp;VLOOKUP(A220,Internal_lists_bugs!$A$2:$P1014,16,FALSE())),"please select a BUG ID")</f>
        <v>please select a BUG ID</v>
      </c>
      <c r="C220" s="101" t="str">
        <f>IFERROR(VLOOKUP(A220,Internal_lists_bugs!$A$2:$X1014,24,FALSE()),"please select a BUG ID")</f>
        <v>please select a BUG ID</v>
      </c>
      <c r="E220" s="49"/>
      <c r="F220" s="102"/>
      <c r="H220" s="49"/>
      <c r="I220" s="102"/>
      <c r="J220" s="51"/>
    </row>
    <row r="221">
      <c r="A221" s="64"/>
      <c r="B221" s="100" t="str">
        <f>IFERROR(HYPERLINK(VLOOKUP(A221,Internal_lists_bugs!$A$2:$G1014,7,FALSE()),"Intro.Issues: "&amp;VLOOKUP(A221,Internal_lists_bugs!$A$2:$P1014,16,FALSE())),"please select a BUG ID")</f>
        <v>please select a BUG ID</v>
      </c>
      <c r="C221" s="101" t="str">
        <f>IFERROR(VLOOKUP(A221,Internal_lists_bugs!$A$2:$X1014,24,FALSE()),"please select a BUG ID")</f>
        <v>please select a BUG ID</v>
      </c>
      <c r="E221" s="49"/>
      <c r="F221" s="102"/>
      <c r="H221" s="49"/>
      <c r="I221" s="102"/>
      <c r="J221" s="51"/>
    </row>
    <row r="222">
      <c r="A222" s="64"/>
      <c r="B222" s="100" t="str">
        <f>IFERROR(HYPERLINK(VLOOKUP(A222,Internal_lists_bugs!$A$2:$G1014,7,FALSE()),"Intro.Issues: "&amp;VLOOKUP(A222,Internal_lists_bugs!$A$2:$P1014,16,FALSE())),"please select a BUG ID")</f>
        <v>please select a BUG ID</v>
      </c>
      <c r="C222" s="101" t="str">
        <f>IFERROR(VLOOKUP(A222,Internal_lists_bugs!$A$2:$X1014,24,FALSE()),"please select a BUG ID")</f>
        <v>please select a BUG ID</v>
      </c>
      <c r="E222" s="49"/>
      <c r="F222" s="102"/>
      <c r="H222" s="49"/>
      <c r="I222" s="102"/>
      <c r="J222" s="51"/>
    </row>
    <row r="223">
      <c r="A223" s="64"/>
      <c r="B223" s="100" t="str">
        <f>IFERROR(HYPERLINK(VLOOKUP(A223,Internal_lists_bugs!$A$2:$G1014,7,FALSE()),"Intro.Issues: "&amp;VLOOKUP(A223,Internal_lists_bugs!$A$2:$P1014,16,FALSE())),"please select a BUG ID")</f>
        <v>please select a BUG ID</v>
      </c>
      <c r="C223" s="101" t="str">
        <f>IFERROR(VLOOKUP(A223,Internal_lists_bugs!$A$2:$X1014,24,FALSE()),"please select a BUG ID")</f>
        <v>please select a BUG ID</v>
      </c>
      <c r="E223" s="49"/>
      <c r="F223" s="102"/>
      <c r="H223" s="49"/>
      <c r="I223" s="102"/>
      <c r="J223" s="51"/>
    </row>
    <row r="224">
      <c r="A224" s="64"/>
      <c r="B224" s="100" t="str">
        <f>IFERROR(HYPERLINK(VLOOKUP(A224,Internal_lists_bugs!$A$2:$G1014,7,FALSE()),"Intro.Issues: "&amp;VLOOKUP(A224,Internal_lists_bugs!$A$2:$P1014,16,FALSE())),"please select a BUG ID")</f>
        <v>please select a BUG ID</v>
      </c>
      <c r="C224" s="101" t="str">
        <f>IFERROR(VLOOKUP(A224,Internal_lists_bugs!$A$2:$X1014,24,FALSE()),"please select a BUG ID")</f>
        <v>please select a BUG ID</v>
      </c>
      <c r="E224" s="49"/>
      <c r="F224" s="102"/>
      <c r="H224" s="49"/>
      <c r="I224" s="102"/>
      <c r="J224" s="51"/>
    </row>
    <row r="225">
      <c r="A225" s="64"/>
      <c r="B225" s="100" t="str">
        <f>IFERROR(HYPERLINK(VLOOKUP(A225,Internal_lists_bugs!$A$2:$G1014,7,FALSE()),"Intro.Issues: "&amp;VLOOKUP(A225,Internal_lists_bugs!$A$2:$P1014,16,FALSE())),"please select a BUG ID")</f>
        <v>please select a BUG ID</v>
      </c>
      <c r="C225" s="101" t="str">
        <f>IFERROR(VLOOKUP(A225,Internal_lists_bugs!$A$2:$X1014,24,FALSE()),"please select a BUG ID")</f>
        <v>please select a BUG ID</v>
      </c>
      <c r="E225" s="49"/>
      <c r="F225" s="102"/>
      <c r="H225" s="49"/>
      <c r="I225" s="102"/>
      <c r="J225" s="51"/>
    </row>
    <row r="226">
      <c r="A226" s="64"/>
      <c r="B226" s="100" t="str">
        <f>IFERROR(HYPERLINK(VLOOKUP(A226,Internal_lists_bugs!$A$2:$G1014,7,FALSE()),"Intro.Issues: "&amp;VLOOKUP(A226,Internal_lists_bugs!$A$2:$P1014,16,FALSE())),"please select a BUG ID")</f>
        <v>please select a BUG ID</v>
      </c>
      <c r="C226" s="101" t="str">
        <f>IFERROR(VLOOKUP(A226,Internal_lists_bugs!$A$2:$X1014,24,FALSE()),"please select a BUG ID")</f>
        <v>please select a BUG ID</v>
      </c>
      <c r="E226" s="49"/>
      <c r="F226" s="102"/>
      <c r="H226" s="49"/>
      <c r="I226" s="102"/>
      <c r="J226" s="51"/>
    </row>
    <row r="227">
      <c r="A227" s="64"/>
      <c r="B227" s="100" t="str">
        <f>IFERROR(HYPERLINK(VLOOKUP(A227,Internal_lists_bugs!$A$2:$G1014,7,FALSE()),"Intro.Issues: "&amp;VLOOKUP(A227,Internal_lists_bugs!$A$2:$P1014,16,FALSE())),"please select a BUG ID")</f>
        <v>please select a BUG ID</v>
      </c>
      <c r="C227" s="101" t="str">
        <f>IFERROR(VLOOKUP(A227,Internal_lists_bugs!$A$2:$X1014,24,FALSE()),"please select a BUG ID")</f>
        <v>please select a BUG ID</v>
      </c>
      <c r="E227" s="49"/>
      <c r="F227" s="102"/>
      <c r="H227" s="49"/>
      <c r="I227" s="102"/>
      <c r="J227" s="51"/>
    </row>
    <row r="228">
      <c r="A228" s="64"/>
      <c r="B228" s="100" t="str">
        <f>IFERROR(HYPERLINK(VLOOKUP(A228,Internal_lists_bugs!$A$2:$G1014,7,FALSE()),"Intro.Issues: "&amp;VLOOKUP(A228,Internal_lists_bugs!$A$2:$P1014,16,FALSE())),"please select a BUG ID")</f>
        <v>please select a BUG ID</v>
      </c>
      <c r="C228" s="101" t="str">
        <f>IFERROR(VLOOKUP(A228,Internal_lists_bugs!$A$2:$X1014,24,FALSE()),"please select a BUG ID")</f>
        <v>please select a BUG ID</v>
      </c>
      <c r="E228" s="49"/>
      <c r="F228" s="102"/>
      <c r="H228" s="49"/>
      <c r="I228" s="102"/>
      <c r="J228" s="51"/>
    </row>
    <row r="229">
      <c r="A229" s="64"/>
      <c r="B229" s="100" t="str">
        <f>IFERROR(HYPERLINK(VLOOKUP(A229,Internal_lists_bugs!$A$2:$G1014,7,FALSE()),"Intro.Issues: "&amp;VLOOKUP(A229,Internal_lists_bugs!$A$2:$P1014,16,FALSE())),"please select a BUG ID")</f>
        <v>please select a BUG ID</v>
      </c>
      <c r="C229" s="101" t="str">
        <f>IFERROR(VLOOKUP(A229,Internal_lists_bugs!$A$2:$X1014,24,FALSE()),"please select a BUG ID")</f>
        <v>please select a BUG ID</v>
      </c>
      <c r="E229" s="49"/>
      <c r="F229" s="102"/>
      <c r="H229" s="49"/>
      <c r="I229" s="102"/>
      <c r="J229" s="51"/>
    </row>
    <row r="230">
      <c r="A230" s="64"/>
      <c r="B230" s="100" t="str">
        <f>IFERROR(HYPERLINK(VLOOKUP(A230,Internal_lists_bugs!$A$2:$G1014,7,FALSE()),"Intro.Issues: "&amp;VLOOKUP(A230,Internal_lists_bugs!$A$2:$P1014,16,FALSE())),"please select a BUG ID")</f>
        <v>please select a BUG ID</v>
      </c>
      <c r="C230" s="101" t="str">
        <f>IFERROR(VLOOKUP(A230,Internal_lists_bugs!$A$2:$X1014,24,FALSE()),"please select a BUG ID")</f>
        <v>please select a BUG ID</v>
      </c>
      <c r="E230" s="49"/>
      <c r="F230" s="102"/>
      <c r="H230" s="49"/>
      <c r="I230" s="102"/>
      <c r="J230" s="51"/>
    </row>
    <row r="231">
      <c r="A231" s="64"/>
      <c r="B231" s="100" t="str">
        <f>IFERROR(HYPERLINK(VLOOKUP(A231,Internal_lists_bugs!$A$2:$G1014,7,FALSE()),"Intro.Issues: "&amp;VLOOKUP(A231,Internal_lists_bugs!$A$2:$P1014,16,FALSE())),"please select a BUG ID")</f>
        <v>please select a BUG ID</v>
      </c>
      <c r="C231" s="101" t="str">
        <f>IFERROR(VLOOKUP(A231,Internal_lists_bugs!$A$2:$X1014,24,FALSE()),"please select a BUG ID")</f>
        <v>please select a BUG ID</v>
      </c>
      <c r="E231" s="49"/>
      <c r="F231" s="102"/>
      <c r="H231" s="49"/>
      <c r="I231" s="102"/>
      <c r="J231" s="51"/>
    </row>
    <row r="232">
      <c r="A232" s="64"/>
      <c r="B232" s="100" t="str">
        <f>IFERROR(HYPERLINK(VLOOKUP(A232,Internal_lists_bugs!$A$2:$G1014,7,FALSE()),"Intro.Issues: "&amp;VLOOKUP(A232,Internal_lists_bugs!$A$2:$P1014,16,FALSE())),"please select a BUG ID")</f>
        <v>please select a BUG ID</v>
      </c>
      <c r="C232" s="101" t="str">
        <f>IFERROR(VLOOKUP(A232,Internal_lists_bugs!$A$2:$X1014,24,FALSE()),"please select a BUG ID")</f>
        <v>please select a BUG ID</v>
      </c>
      <c r="E232" s="49"/>
      <c r="F232" s="102"/>
      <c r="H232" s="49"/>
      <c r="I232" s="102"/>
      <c r="J232" s="51"/>
    </row>
    <row r="233">
      <c r="A233" s="64"/>
      <c r="B233" s="100" t="str">
        <f>IFERROR(HYPERLINK(VLOOKUP(A233,Internal_lists_bugs!$A$2:$G1014,7,FALSE()),"Intro.Issues: "&amp;VLOOKUP(A233,Internal_lists_bugs!$A$2:$P1014,16,FALSE())),"please select a BUG ID")</f>
        <v>please select a BUG ID</v>
      </c>
      <c r="C233" s="101" t="str">
        <f>IFERROR(VLOOKUP(A233,Internal_lists_bugs!$A$2:$X1014,24,FALSE()),"please select a BUG ID")</f>
        <v>please select a BUG ID</v>
      </c>
      <c r="E233" s="49"/>
      <c r="F233" s="102"/>
      <c r="H233" s="49"/>
      <c r="I233" s="102"/>
      <c r="J233" s="51"/>
    </row>
    <row r="234">
      <c r="A234" s="64"/>
      <c r="B234" s="100" t="str">
        <f>IFERROR(HYPERLINK(VLOOKUP(A234,Internal_lists_bugs!$A$2:$G1014,7,FALSE()),"Intro.Issues: "&amp;VLOOKUP(A234,Internal_lists_bugs!$A$2:$P1014,16,FALSE())),"please select a BUG ID")</f>
        <v>please select a BUG ID</v>
      </c>
      <c r="C234" s="101" t="str">
        <f>IFERROR(VLOOKUP(A234,Internal_lists_bugs!$A$2:$X1014,24,FALSE()),"please select a BUG ID")</f>
        <v>please select a BUG ID</v>
      </c>
      <c r="E234" s="49"/>
      <c r="F234" s="102"/>
      <c r="H234" s="49"/>
      <c r="I234" s="102"/>
      <c r="J234" s="51"/>
    </row>
    <row r="235">
      <c r="A235" s="64"/>
      <c r="B235" s="100" t="str">
        <f>IFERROR(HYPERLINK(VLOOKUP(A235,Internal_lists_bugs!$A$2:$G1014,7,FALSE()),"Intro.Issues: "&amp;VLOOKUP(A235,Internal_lists_bugs!$A$2:$P1014,16,FALSE())),"please select a BUG ID")</f>
        <v>please select a BUG ID</v>
      </c>
      <c r="C235" s="101" t="str">
        <f>IFERROR(VLOOKUP(A235,Internal_lists_bugs!$A$2:$X1014,24,FALSE()),"please select a BUG ID")</f>
        <v>please select a BUG ID</v>
      </c>
      <c r="E235" s="49"/>
      <c r="F235" s="102"/>
      <c r="H235" s="49"/>
      <c r="I235" s="102"/>
      <c r="J235" s="51"/>
    </row>
    <row r="236">
      <c r="A236" s="64"/>
      <c r="B236" s="100" t="str">
        <f>IFERROR(HYPERLINK(VLOOKUP(A236,Internal_lists_bugs!$A$2:$G1014,7,FALSE()),"Intro.Issues: "&amp;VLOOKUP(A236,Internal_lists_bugs!$A$2:$P1014,16,FALSE())),"please select a BUG ID")</f>
        <v>please select a BUG ID</v>
      </c>
      <c r="C236" s="101" t="str">
        <f>IFERROR(VLOOKUP(A236,Internal_lists_bugs!$A$2:$X1014,24,FALSE()),"please select a BUG ID")</f>
        <v>please select a BUG ID</v>
      </c>
      <c r="E236" s="49"/>
      <c r="F236" s="102"/>
      <c r="H236" s="49"/>
      <c r="I236" s="102"/>
      <c r="J236" s="51"/>
    </row>
    <row r="237">
      <c r="A237" s="64"/>
      <c r="B237" s="100" t="str">
        <f>IFERROR(HYPERLINK(VLOOKUP(A237,Internal_lists_bugs!$A$2:$G1014,7,FALSE()),"Intro.Issues: "&amp;VLOOKUP(A237,Internal_lists_bugs!$A$2:$P1014,16,FALSE())),"please select a BUG ID")</f>
        <v>please select a BUG ID</v>
      </c>
      <c r="C237" s="101" t="str">
        <f>IFERROR(VLOOKUP(A237,Internal_lists_bugs!$A$2:$X1014,24,FALSE()),"please select a BUG ID")</f>
        <v>please select a BUG ID</v>
      </c>
      <c r="E237" s="49"/>
      <c r="F237" s="102"/>
      <c r="H237" s="49"/>
      <c r="I237" s="102"/>
      <c r="J237" s="51"/>
    </row>
    <row r="238">
      <c r="A238" s="64"/>
      <c r="B238" s="100" t="str">
        <f>IFERROR(HYPERLINK(VLOOKUP(A238,Internal_lists_bugs!$A$2:$G1014,7,FALSE()),"Intro.Issues: "&amp;VLOOKUP(A238,Internal_lists_bugs!$A$2:$P1014,16,FALSE())),"please select a BUG ID")</f>
        <v>please select a BUG ID</v>
      </c>
      <c r="C238" s="101" t="str">
        <f>IFERROR(VLOOKUP(A238,Internal_lists_bugs!$A$2:$X1014,24,FALSE()),"please select a BUG ID")</f>
        <v>please select a BUG ID</v>
      </c>
      <c r="E238" s="49"/>
      <c r="F238" s="102"/>
      <c r="H238" s="49"/>
      <c r="I238" s="102"/>
      <c r="J238" s="51"/>
    </row>
    <row r="239">
      <c r="A239" s="64"/>
      <c r="B239" s="100" t="str">
        <f>IFERROR(HYPERLINK(VLOOKUP(A239,Internal_lists_bugs!$A$2:$G1014,7,FALSE()),"Intro.Issues: "&amp;VLOOKUP(A239,Internal_lists_bugs!$A$2:$P1014,16,FALSE())),"please select a BUG ID")</f>
        <v>please select a BUG ID</v>
      </c>
      <c r="C239" s="101" t="str">
        <f>IFERROR(VLOOKUP(A239,Internal_lists_bugs!$A$2:$X1014,24,FALSE()),"please select a BUG ID")</f>
        <v>please select a BUG ID</v>
      </c>
      <c r="E239" s="49"/>
      <c r="F239" s="102"/>
      <c r="H239" s="49"/>
      <c r="I239" s="102"/>
      <c r="J239" s="51"/>
    </row>
    <row r="240">
      <c r="A240" s="64"/>
      <c r="B240" s="100" t="str">
        <f>IFERROR(HYPERLINK(VLOOKUP(A240,Internal_lists_bugs!$A$2:$G1014,7,FALSE()),"Intro.Issues: "&amp;VLOOKUP(A240,Internal_lists_bugs!$A$2:$P1014,16,FALSE())),"please select a BUG ID")</f>
        <v>please select a BUG ID</v>
      </c>
      <c r="C240" s="101" t="str">
        <f>IFERROR(VLOOKUP(A240,Internal_lists_bugs!$A$2:$X1014,24,FALSE()),"please select a BUG ID")</f>
        <v>please select a BUG ID</v>
      </c>
      <c r="E240" s="49"/>
      <c r="F240" s="102"/>
      <c r="H240" s="49"/>
      <c r="I240" s="102"/>
      <c r="J240" s="51"/>
    </row>
    <row r="241">
      <c r="A241" s="64"/>
      <c r="B241" s="100" t="str">
        <f>IFERROR(HYPERLINK(VLOOKUP(A241,Internal_lists_bugs!$A$2:$G1014,7,FALSE()),"Intro.Issues: "&amp;VLOOKUP(A241,Internal_lists_bugs!$A$2:$P1014,16,FALSE())),"please select a BUG ID")</f>
        <v>please select a BUG ID</v>
      </c>
      <c r="C241" s="101" t="str">
        <f>IFERROR(VLOOKUP(A241,Internal_lists_bugs!$A$2:$X1014,24,FALSE()),"please select a BUG ID")</f>
        <v>please select a BUG ID</v>
      </c>
      <c r="E241" s="49"/>
      <c r="F241" s="102"/>
      <c r="H241" s="49"/>
      <c r="I241" s="102"/>
      <c r="J241" s="51"/>
    </row>
    <row r="242">
      <c r="A242" s="64"/>
      <c r="B242" s="100" t="str">
        <f>IFERROR(HYPERLINK(VLOOKUP(A242,Internal_lists_bugs!$A$2:$G1014,7,FALSE()),"Intro.Issues: "&amp;VLOOKUP(A242,Internal_lists_bugs!$A$2:$P1014,16,FALSE())),"please select a BUG ID")</f>
        <v>please select a BUG ID</v>
      </c>
      <c r="C242" s="101" t="str">
        <f>IFERROR(VLOOKUP(A242,Internal_lists_bugs!$A$2:$X1014,24,FALSE()),"please select a BUG ID")</f>
        <v>please select a BUG ID</v>
      </c>
      <c r="E242" s="49"/>
      <c r="F242" s="102"/>
      <c r="H242" s="49"/>
      <c r="I242" s="102"/>
      <c r="J242" s="51"/>
    </row>
    <row r="243">
      <c r="A243" s="64"/>
      <c r="B243" s="100" t="str">
        <f>IFERROR(HYPERLINK(VLOOKUP(A243,Internal_lists_bugs!$A$2:$G1014,7,FALSE()),"Intro.Issues: "&amp;VLOOKUP(A243,Internal_lists_bugs!$A$2:$P1014,16,FALSE())),"please select a BUG ID")</f>
        <v>please select a BUG ID</v>
      </c>
      <c r="C243" s="101" t="str">
        <f>IFERROR(VLOOKUP(A243,Internal_lists_bugs!$A$2:$X1014,24,FALSE()),"please select a BUG ID")</f>
        <v>please select a BUG ID</v>
      </c>
      <c r="E243" s="49"/>
      <c r="F243" s="102"/>
      <c r="H243" s="49"/>
      <c r="I243" s="102"/>
      <c r="J243" s="51"/>
    </row>
    <row r="244">
      <c r="A244" s="64"/>
      <c r="B244" s="100" t="str">
        <f>IFERROR(HYPERLINK(VLOOKUP(A244,Internal_lists_bugs!$A$2:$G1014,7,FALSE()),"Intro.Issues: "&amp;VLOOKUP(A244,Internal_lists_bugs!$A$2:$P1014,16,FALSE())),"please select a BUG ID")</f>
        <v>please select a BUG ID</v>
      </c>
      <c r="C244" s="101" t="str">
        <f>IFERROR(VLOOKUP(A244,Internal_lists_bugs!$A$2:$X1014,24,FALSE()),"please select a BUG ID")</f>
        <v>please select a BUG ID</v>
      </c>
      <c r="E244" s="49"/>
      <c r="F244" s="102"/>
      <c r="H244" s="49"/>
      <c r="I244" s="102"/>
      <c r="J244" s="51"/>
    </row>
    <row r="245">
      <c r="A245" s="64"/>
      <c r="B245" s="106" t="str">
        <f>IFERROR(HYPERLINK(VLOOKUP(A245,Internal_lists_bugs!$A$2:$G1014,7,FALSE()),"Intro.Issues: "&amp;VLOOKUP(A245,Internal_lists_bugs!$A$2:$P1014,16,FALSE())),"please select a BUG ID")</f>
        <v>please select a BUG ID</v>
      </c>
      <c r="C245" s="107" t="str">
        <f>IFERROR(VLOOKUP(A245,Internal_lists_bugs!$A$2:$X1014,24,FALSE()),"please select a BUG ID")</f>
        <v>please select a BUG ID</v>
      </c>
      <c r="E245" s="49"/>
      <c r="F245" s="102"/>
      <c r="H245" s="49"/>
      <c r="I245" s="102"/>
      <c r="J245" s="51"/>
    </row>
    <row r="246">
      <c r="A246" s="64"/>
      <c r="B246" s="106" t="str">
        <f>IFERROR(HYPERLINK(VLOOKUP(A246,Internal_lists_bugs!$A$2:$G1014,7,FALSE()),"Intro.Issues: "&amp;VLOOKUP(A246,Internal_lists_bugs!$A$2:$P1014,16,FALSE())),"please select a BUG ID")</f>
        <v>please select a BUG ID</v>
      </c>
      <c r="C246" s="107" t="str">
        <f>IFERROR(VLOOKUP(A246,Internal_lists_bugs!$A$2:$X1014,24,FALSE()),"please select a BUG ID")</f>
        <v>please select a BUG ID</v>
      </c>
      <c r="E246" s="49"/>
      <c r="F246" s="102"/>
      <c r="H246" s="49"/>
      <c r="I246" s="102"/>
      <c r="J246" s="51"/>
    </row>
    <row r="247">
      <c r="A247" s="64"/>
      <c r="B247" s="106" t="str">
        <f>IFERROR(HYPERLINK(VLOOKUP(A247,Internal_lists_bugs!$A$2:$G1014,7,FALSE()),"Intro.Issues: "&amp;VLOOKUP(A247,Internal_lists_bugs!$A$2:$P1014,16,FALSE())),"please select a BUG ID")</f>
        <v>please select a BUG ID</v>
      </c>
      <c r="C247" s="107" t="str">
        <f>IFERROR(VLOOKUP(A247,Internal_lists_bugs!$A$2:$X1014,24,FALSE()),"please select a BUG ID")</f>
        <v>please select a BUG ID</v>
      </c>
      <c r="E247" s="49"/>
      <c r="F247" s="102"/>
      <c r="H247" s="49"/>
      <c r="I247" s="102"/>
      <c r="J247" s="51"/>
    </row>
    <row r="248">
      <c r="A248" s="64"/>
      <c r="B248" s="106" t="str">
        <f>IFERROR(HYPERLINK(VLOOKUP(A248,Internal_lists_bugs!$A$2:$G1014,7,FALSE()),"Intro.Issues: "&amp;VLOOKUP(A248,Internal_lists_bugs!$A$2:$P1014,16,FALSE())),"please select a BUG ID")</f>
        <v>please select a BUG ID</v>
      </c>
      <c r="C248" s="107" t="str">
        <f>IFERROR(VLOOKUP(A248,Internal_lists_bugs!$A$2:$X1014,24,FALSE()),"please select a BUG ID")</f>
        <v>please select a BUG ID</v>
      </c>
      <c r="E248" s="49"/>
      <c r="F248" s="102"/>
      <c r="H248" s="49"/>
      <c r="I248" s="102"/>
      <c r="J248" s="51"/>
    </row>
    <row r="249">
      <c r="A249" s="64"/>
      <c r="B249" s="106" t="str">
        <f>IFERROR(HYPERLINK(VLOOKUP(A249,Internal_lists_bugs!$A$2:$G1014,7,FALSE()),"Intro.Issues: "&amp;VLOOKUP(A249,Internal_lists_bugs!$A$2:$P1014,16,FALSE())),"please select a BUG ID")</f>
        <v>please select a BUG ID</v>
      </c>
      <c r="C249" s="107" t="str">
        <f>IFERROR(VLOOKUP(A249,Internal_lists_bugs!$A$2:$X1014,24,FALSE()),"please select a BUG ID")</f>
        <v>please select a BUG ID</v>
      </c>
      <c r="E249" s="49"/>
      <c r="F249" s="102"/>
      <c r="H249" s="49"/>
      <c r="I249" s="102"/>
      <c r="J249" s="51"/>
    </row>
    <row r="250">
      <c r="A250" s="64"/>
      <c r="B250" s="106" t="str">
        <f>IFERROR(HYPERLINK(VLOOKUP(A250,Internal_lists_bugs!$A$2:$G1014,7,FALSE()),"Intro.Issues: "&amp;VLOOKUP(A250,Internal_lists_bugs!$A$2:$P1014,16,FALSE())),"please select a BUG ID")</f>
        <v>please select a BUG ID</v>
      </c>
      <c r="C250" s="107" t="str">
        <f>IFERROR(VLOOKUP(A250,Internal_lists_bugs!$A$2:$X1014,24,FALSE()),"please select a BUG ID")</f>
        <v>please select a BUG ID</v>
      </c>
      <c r="E250" s="49"/>
      <c r="F250" s="102"/>
      <c r="H250" s="49"/>
      <c r="I250" s="102"/>
      <c r="J250" s="51"/>
    </row>
    <row r="251">
      <c r="A251" s="64"/>
      <c r="B251" s="106" t="str">
        <f>IFERROR(HYPERLINK(VLOOKUP(A251,Internal_lists_bugs!$A$2:$G1014,7,FALSE()),"Intro.Issues: "&amp;VLOOKUP(A251,Internal_lists_bugs!$A$2:$P1014,16,FALSE())),"please select a BUG ID")</f>
        <v>please select a BUG ID</v>
      </c>
      <c r="C251" s="107" t="str">
        <f>IFERROR(VLOOKUP(A251,Internal_lists_bugs!$A$2:$X1014,24,FALSE()),"please select a BUG ID")</f>
        <v>please select a BUG ID</v>
      </c>
      <c r="E251" s="49"/>
      <c r="F251" s="102"/>
      <c r="H251" s="49"/>
      <c r="I251" s="102"/>
      <c r="J251" s="51"/>
    </row>
    <row r="252">
      <c r="A252" s="64"/>
      <c r="B252" s="106" t="str">
        <f>IFERROR(HYPERLINK(VLOOKUP(A252,Internal_lists_bugs!$A$2:$G1014,7,FALSE()),"Intro.Issues: "&amp;VLOOKUP(A252,Internal_lists_bugs!$A$2:$P1014,16,FALSE())),"please select a BUG ID")</f>
        <v>please select a BUG ID</v>
      </c>
      <c r="C252" s="107" t="str">
        <f>IFERROR(VLOOKUP(A252,Internal_lists_bugs!$A$2:$X1014,24,FALSE()),"please select a BUG ID")</f>
        <v>please select a BUG ID</v>
      </c>
      <c r="E252" s="49"/>
      <c r="F252" s="102"/>
      <c r="H252" s="49"/>
      <c r="I252" s="102"/>
      <c r="J252" s="51"/>
    </row>
    <row r="253">
      <c r="A253" s="64"/>
      <c r="B253" s="106" t="str">
        <f>IFERROR(HYPERLINK(VLOOKUP(A253,Internal_lists_bugs!$A$2:$G1014,7,FALSE()),"Intro.Issues: "&amp;VLOOKUP(A253,Internal_lists_bugs!$A$2:$P1014,16,FALSE())),"please select a BUG ID")</f>
        <v>please select a BUG ID</v>
      </c>
      <c r="C253" s="107" t="str">
        <f>IFERROR(VLOOKUP(A253,Internal_lists_bugs!$A$2:$X1014,24,FALSE()),"please select a BUG ID")</f>
        <v>please select a BUG ID</v>
      </c>
      <c r="E253" s="49"/>
      <c r="F253" s="102"/>
      <c r="H253" s="49"/>
      <c r="I253" s="102"/>
      <c r="J253" s="51"/>
    </row>
    <row r="254">
      <c r="A254" s="64"/>
      <c r="B254" s="106" t="str">
        <f>IFERROR(HYPERLINK(VLOOKUP(A254,Internal_lists_bugs!$A$2:$G1014,7,FALSE()),"Intro.Issues: "&amp;VLOOKUP(A254,Internal_lists_bugs!$A$2:$P1014,16,FALSE())),"please select a BUG ID")</f>
        <v>please select a BUG ID</v>
      </c>
      <c r="C254" s="107" t="str">
        <f>IFERROR(VLOOKUP(A254,Internal_lists_bugs!$A$2:$X1014,24,FALSE()),"please select a BUG ID")</f>
        <v>please select a BUG ID</v>
      </c>
      <c r="E254" s="49"/>
      <c r="F254" s="102"/>
      <c r="H254" s="49"/>
      <c r="I254" s="102"/>
      <c r="J254" s="51"/>
    </row>
    <row r="255">
      <c r="A255" s="64"/>
      <c r="B255" s="106" t="str">
        <f>IFERROR(HYPERLINK(VLOOKUP(A255,Internal_lists_bugs!$A$2:$G1014,7,FALSE()),"Intro.Issues: "&amp;VLOOKUP(A255,Internal_lists_bugs!$A$2:$P1014,16,FALSE())),"please select a BUG ID")</f>
        <v>please select a BUG ID</v>
      </c>
      <c r="C255" s="107" t="str">
        <f>IFERROR(VLOOKUP(A255,Internal_lists_bugs!$A$2:$X1014,24,FALSE()),"please select a BUG ID")</f>
        <v>please select a BUG ID</v>
      </c>
      <c r="E255" s="49"/>
      <c r="F255" s="102"/>
      <c r="H255" s="49"/>
      <c r="I255" s="102"/>
      <c r="J255" s="51"/>
    </row>
    <row r="256">
      <c r="A256" s="64"/>
      <c r="B256" s="106" t="str">
        <f>IFERROR(HYPERLINK(VLOOKUP(A256,Internal_lists_bugs!$A$2:$G1014,7,FALSE()),"Intro.Issues: "&amp;VLOOKUP(A256,Internal_lists_bugs!$A$2:$P1014,16,FALSE())),"please select a BUG ID")</f>
        <v>please select a BUG ID</v>
      </c>
      <c r="C256" s="107" t="str">
        <f>IFERROR(VLOOKUP(A256,Internal_lists_bugs!$A$2:$X1014,24,FALSE()),"please select a BUG ID")</f>
        <v>please select a BUG ID</v>
      </c>
      <c r="E256" s="49"/>
      <c r="F256" s="102"/>
      <c r="H256" s="49"/>
      <c r="I256" s="102"/>
      <c r="J256" s="51"/>
    </row>
    <row r="257">
      <c r="A257" s="64"/>
      <c r="B257" s="106" t="str">
        <f>IFERROR(HYPERLINK(VLOOKUP(A257,Internal_lists_bugs!$A$2:$G1014,7,FALSE()),"Intro.Issues: "&amp;VLOOKUP(A257,Internal_lists_bugs!$A$2:$P1014,16,FALSE())),"please select a BUG ID")</f>
        <v>please select a BUG ID</v>
      </c>
      <c r="C257" s="107" t="str">
        <f>IFERROR(VLOOKUP(A257,Internal_lists_bugs!$A$2:$X1014,24,FALSE()),"please select a BUG ID")</f>
        <v>please select a BUG ID</v>
      </c>
      <c r="E257" s="49"/>
      <c r="F257" s="102"/>
      <c r="H257" s="49"/>
      <c r="I257" s="102"/>
      <c r="J257" s="51"/>
    </row>
    <row r="258">
      <c r="A258" s="64"/>
      <c r="B258" s="106" t="str">
        <f>IFERROR(HYPERLINK(VLOOKUP(A258,Internal_lists_bugs!$A$2:$G1014,7,FALSE()),"Intro.Issues: "&amp;VLOOKUP(A258,Internal_lists_bugs!$A$2:$P1014,16,FALSE())),"please select a BUG ID")</f>
        <v>please select a BUG ID</v>
      </c>
      <c r="C258" s="107" t="str">
        <f>IFERROR(VLOOKUP(A258,Internal_lists_bugs!$A$2:$X1014,24,FALSE()),"please select a BUG ID")</f>
        <v>please select a BUG ID</v>
      </c>
      <c r="E258" s="49"/>
      <c r="F258" s="102"/>
      <c r="H258" s="49"/>
      <c r="I258" s="102"/>
      <c r="J258" s="51"/>
    </row>
    <row r="259">
      <c r="A259" s="64"/>
      <c r="B259" s="106" t="str">
        <f>IFERROR(HYPERLINK(VLOOKUP(A259,Internal_lists_bugs!$A$2:$G1014,7,FALSE()),"Intro.Issues: "&amp;VLOOKUP(A259,Internal_lists_bugs!$A$2:$P1014,16,FALSE())),"please select a BUG ID")</f>
        <v>please select a BUG ID</v>
      </c>
      <c r="C259" s="107" t="str">
        <f>IFERROR(VLOOKUP(A259,Internal_lists_bugs!$A$2:$X1014,24,FALSE()),"please select a BUG ID")</f>
        <v>please select a BUG ID</v>
      </c>
      <c r="E259" s="49"/>
      <c r="F259" s="102"/>
      <c r="H259" s="49"/>
      <c r="I259" s="102"/>
      <c r="J259" s="51"/>
    </row>
    <row r="260">
      <c r="A260" s="64"/>
      <c r="B260" s="106" t="str">
        <f>IFERROR(HYPERLINK(VLOOKUP(A260,Internal_lists_bugs!$A$2:$G1014,7,FALSE()),"Intro.Issues: "&amp;VLOOKUP(A260,Internal_lists_bugs!$A$2:$P1014,16,FALSE())),"please select a BUG ID")</f>
        <v>please select a BUG ID</v>
      </c>
      <c r="C260" s="107" t="str">
        <f>IFERROR(VLOOKUP(A260,Internal_lists_bugs!$A$2:$X1014,24,FALSE()),"please select a BUG ID")</f>
        <v>please select a BUG ID</v>
      </c>
      <c r="E260" s="49"/>
      <c r="F260" s="102"/>
      <c r="H260" s="49"/>
      <c r="I260" s="102"/>
      <c r="J260" s="51"/>
    </row>
    <row r="261">
      <c r="A261" s="64"/>
      <c r="B261" s="106" t="str">
        <f>IFERROR(HYPERLINK(VLOOKUP(A261,Internal_lists_bugs!$A$2:$G1014,7,FALSE()),"Intro.Issues: "&amp;VLOOKUP(A261,Internal_lists_bugs!$A$2:$P1014,16,FALSE())),"please select a BUG ID")</f>
        <v>please select a BUG ID</v>
      </c>
      <c r="C261" s="107" t="str">
        <f>IFERROR(VLOOKUP(A261,Internal_lists_bugs!$A$2:$X1014,24,FALSE()),"please select a BUG ID")</f>
        <v>please select a BUG ID</v>
      </c>
      <c r="E261" s="49"/>
      <c r="F261" s="102"/>
      <c r="H261" s="49"/>
      <c r="I261" s="102"/>
      <c r="J261" s="51"/>
    </row>
    <row r="262">
      <c r="A262" s="64"/>
      <c r="B262" s="106" t="str">
        <f>IFERROR(HYPERLINK(VLOOKUP(A262,Internal_lists_bugs!$A$2:$G1014,7,FALSE()),"Intro.Issues: "&amp;VLOOKUP(A262,Internal_lists_bugs!$A$2:$P1014,16,FALSE())),"please select a BUG ID")</f>
        <v>please select a BUG ID</v>
      </c>
      <c r="C262" s="107" t="str">
        <f>IFERROR(VLOOKUP(A262,Internal_lists_bugs!$A$2:$X1014,24,FALSE()),"please select a BUG ID")</f>
        <v>please select a BUG ID</v>
      </c>
      <c r="E262" s="49"/>
      <c r="F262" s="102"/>
      <c r="H262" s="49"/>
      <c r="I262" s="102"/>
      <c r="J262" s="51"/>
    </row>
    <row r="263">
      <c r="A263" s="64"/>
      <c r="B263" s="106" t="str">
        <f>IFERROR(HYPERLINK(VLOOKUP(A263,Internal_lists_bugs!$A$2:$G1014,7,FALSE()),"Intro.Issues: "&amp;VLOOKUP(A263,Internal_lists_bugs!$A$2:$P1014,16,FALSE())),"please select a BUG ID")</f>
        <v>please select a BUG ID</v>
      </c>
      <c r="C263" s="107" t="str">
        <f>IFERROR(VLOOKUP(A263,Internal_lists_bugs!$A$2:$X1014,24,FALSE()),"please select a BUG ID")</f>
        <v>please select a BUG ID</v>
      </c>
      <c r="E263" s="49"/>
      <c r="F263" s="102"/>
      <c r="H263" s="49"/>
      <c r="I263" s="102"/>
      <c r="J263" s="51"/>
    </row>
    <row r="264">
      <c r="A264" s="64"/>
      <c r="B264" s="106" t="str">
        <f>IFERROR(HYPERLINK(VLOOKUP(A264,Internal_lists_bugs!$A$2:$G1014,7,FALSE()),"Intro.Issues: "&amp;VLOOKUP(A264,Internal_lists_bugs!$A$2:$P1014,16,FALSE())),"please select a BUG ID")</f>
        <v>please select a BUG ID</v>
      </c>
      <c r="C264" s="107" t="str">
        <f>IFERROR(VLOOKUP(A264,Internal_lists_bugs!$A$2:$X1014,24,FALSE()),"please select a BUG ID")</f>
        <v>please select a BUG ID</v>
      </c>
      <c r="E264" s="49"/>
      <c r="F264" s="102"/>
      <c r="H264" s="49"/>
      <c r="I264" s="102"/>
      <c r="J264" s="51"/>
    </row>
    <row r="265">
      <c r="A265" s="64"/>
      <c r="B265" s="106" t="str">
        <f>IFERROR(HYPERLINK(VLOOKUP(A265,Internal_lists_bugs!$A$2:$G1014,7,FALSE()),"Intro.Issues: "&amp;VLOOKUP(A265,Internal_lists_bugs!$A$2:$P1014,16,FALSE())),"please select a BUG ID")</f>
        <v>please select a BUG ID</v>
      </c>
      <c r="C265" s="107" t="str">
        <f>IFERROR(VLOOKUP(A265,Internal_lists_bugs!$A$2:$X1014,24,FALSE()),"please select a BUG ID")</f>
        <v>please select a BUG ID</v>
      </c>
      <c r="E265" s="49"/>
      <c r="F265" s="102"/>
      <c r="H265" s="49"/>
      <c r="I265" s="102"/>
      <c r="J265" s="51"/>
    </row>
    <row r="266">
      <c r="A266" s="64"/>
      <c r="B266" s="106" t="str">
        <f>IFERROR(HYPERLINK(VLOOKUP(A266,Internal_lists_bugs!$A$2:$G1014,7,FALSE()),"Intro.Issues: "&amp;VLOOKUP(A266,Internal_lists_bugs!$A$2:$P1014,16,FALSE())),"please select a BUG ID")</f>
        <v>please select a BUG ID</v>
      </c>
      <c r="C266" s="107" t="str">
        <f>IFERROR(VLOOKUP(A266,Internal_lists_bugs!$A$2:$X1014,24,FALSE()),"please select a BUG ID")</f>
        <v>please select a BUG ID</v>
      </c>
      <c r="E266" s="49"/>
      <c r="F266" s="102"/>
      <c r="H266" s="49"/>
      <c r="I266" s="102"/>
      <c r="J266" s="51"/>
    </row>
    <row r="267">
      <c r="A267" s="64"/>
      <c r="B267" s="106" t="str">
        <f>IFERROR(HYPERLINK(VLOOKUP(A267,Internal_lists_bugs!$A$2:$G1014,7,FALSE()),"Intro.Issues: "&amp;VLOOKUP(A267,Internal_lists_bugs!$A$2:$P1014,16,FALSE())),"please select a BUG ID")</f>
        <v>please select a BUG ID</v>
      </c>
      <c r="C267" s="107" t="str">
        <f>IFERROR(VLOOKUP(A267,Internal_lists_bugs!$A$2:$X1014,24,FALSE()),"please select a BUG ID")</f>
        <v>please select a BUG ID</v>
      </c>
      <c r="E267" s="49"/>
      <c r="F267" s="102"/>
      <c r="H267" s="49"/>
      <c r="I267" s="102"/>
      <c r="J267" s="51"/>
    </row>
    <row r="268">
      <c r="A268" s="64"/>
      <c r="B268" s="106" t="str">
        <f>IFERROR(HYPERLINK(VLOOKUP(A268,Internal_lists_bugs!$A$2:$G1014,7,FALSE()),"Intro.Issues: "&amp;VLOOKUP(A268,Internal_lists_bugs!$A$2:$P1014,16,FALSE())),"please select a BUG ID")</f>
        <v>please select a BUG ID</v>
      </c>
      <c r="C268" s="107" t="str">
        <f>IFERROR(VLOOKUP(A268,Internal_lists_bugs!$A$2:$X1014,24,FALSE()),"please select a BUG ID")</f>
        <v>please select a BUG ID</v>
      </c>
      <c r="E268" s="49"/>
      <c r="F268" s="102"/>
      <c r="H268" s="49"/>
      <c r="I268" s="102"/>
      <c r="J268" s="51"/>
    </row>
    <row r="269">
      <c r="A269" s="64"/>
      <c r="B269" s="106" t="str">
        <f>IFERROR(HYPERLINK(VLOOKUP(A269,Internal_lists_bugs!$A$2:$G1014,7,FALSE()),"Intro.Issues: "&amp;VLOOKUP(A269,Internal_lists_bugs!$A$2:$P1014,16,FALSE())),"please select a BUG ID")</f>
        <v>please select a BUG ID</v>
      </c>
      <c r="C269" s="107" t="str">
        <f>IFERROR(VLOOKUP(A269,Internal_lists_bugs!$A$2:$X1014,24,FALSE()),"please select a BUG ID")</f>
        <v>please select a BUG ID</v>
      </c>
      <c r="E269" s="49"/>
      <c r="F269" s="102"/>
      <c r="H269" s="49"/>
      <c r="I269" s="102"/>
      <c r="J269" s="51"/>
    </row>
    <row r="270">
      <c r="A270" s="64"/>
      <c r="B270" s="106" t="str">
        <f>IFERROR(HYPERLINK(VLOOKUP(A270,Internal_lists_bugs!$A$2:$G1014,7,FALSE()),"Intro.Issues: "&amp;VLOOKUP(A270,Internal_lists_bugs!$A$2:$P1014,16,FALSE())),"please select a BUG ID")</f>
        <v>please select a BUG ID</v>
      </c>
      <c r="C270" s="107" t="str">
        <f>IFERROR(VLOOKUP(A270,Internal_lists_bugs!$A$2:$X1014,24,FALSE()),"please select a BUG ID")</f>
        <v>please select a BUG ID</v>
      </c>
      <c r="E270" s="49"/>
      <c r="F270" s="102"/>
      <c r="H270" s="49"/>
      <c r="I270" s="102"/>
      <c r="J270" s="51"/>
    </row>
    <row r="271">
      <c r="A271" s="64"/>
      <c r="B271" s="106" t="str">
        <f>IFERROR(HYPERLINK(VLOOKUP(A271,Internal_lists_bugs!$A$2:$G1014,7,FALSE()),"Intro.Issues: "&amp;VLOOKUP(A271,Internal_lists_bugs!$A$2:$P1014,16,FALSE())),"please select a BUG ID")</f>
        <v>please select a BUG ID</v>
      </c>
      <c r="C271" s="107" t="str">
        <f>IFERROR(VLOOKUP(A271,Internal_lists_bugs!$A$2:$X1014,24,FALSE()),"please select a BUG ID")</f>
        <v>please select a BUG ID</v>
      </c>
      <c r="E271" s="49"/>
      <c r="F271" s="102"/>
      <c r="H271" s="49"/>
      <c r="I271" s="102"/>
      <c r="J271" s="51"/>
    </row>
    <row r="272">
      <c r="A272" s="64"/>
      <c r="B272" s="106" t="str">
        <f>IFERROR(HYPERLINK(VLOOKUP(A272,Internal_lists_bugs!$A$2:$G1014,7,FALSE()),"Intro.Issues: "&amp;VLOOKUP(A272,Internal_lists_bugs!$A$2:$P1014,16,FALSE())),"please select a BUG ID")</f>
        <v>please select a BUG ID</v>
      </c>
      <c r="C272" s="107" t="str">
        <f>IFERROR(VLOOKUP(A272,Internal_lists_bugs!$A$2:$X1014,24,FALSE()),"please select a BUG ID")</f>
        <v>please select a BUG ID</v>
      </c>
      <c r="E272" s="49"/>
      <c r="F272" s="102"/>
      <c r="H272" s="49"/>
      <c r="I272" s="102"/>
      <c r="J272" s="51"/>
    </row>
    <row r="273">
      <c r="A273" s="64"/>
      <c r="B273" s="106" t="str">
        <f>IFERROR(HYPERLINK(VLOOKUP(A273,Internal_lists_bugs!$A$2:$G1014,7,FALSE()),"Intro.Issues: "&amp;VLOOKUP(A273,Internal_lists_bugs!$A$2:$P1014,16,FALSE())),"please select a BUG ID")</f>
        <v>please select a BUG ID</v>
      </c>
      <c r="C273" s="107" t="str">
        <f>IFERROR(VLOOKUP(A273,Internal_lists_bugs!$A$2:$X1014,24,FALSE()),"please select a BUG ID")</f>
        <v>please select a BUG ID</v>
      </c>
      <c r="E273" s="49"/>
      <c r="F273" s="102"/>
      <c r="H273" s="49"/>
      <c r="I273" s="102"/>
      <c r="J273" s="51"/>
    </row>
    <row r="274">
      <c r="A274" s="64"/>
      <c r="B274" s="106" t="str">
        <f>IFERROR(HYPERLINK(VLOOKUP(A274,Internal_lists_bugs!$A$2:$G1014,7,FALSE()),"Intro.Issues: "&amp;VLOOKUP(A274,Internal_lists_bugs!$A$2:$P1014,16,FALSE())),"please select a BUG ID")</f>
        <v>please select a BUG ID</v>
      </c>
      <c r="C274" s="107" t="str">
        <f>IFERROR(VLOOKUP(A274,Internal_lists_bugs!$A$2:$X1014,24,FALSE()),"please select a BUG ID")</f>
        <v>please select a BUG ID</v>
      </c>
      <c r="E274" s="49"/>
      <c r="F274" s="102"/>
      <c r="H274" s="49"/>
      <c r="I274" s="102"/>
      <c r="J274" s="51"/>
    </row>
    <row r="275">
      <c r="A275" s="64"/>
      <c r="B275" s="106" t="str">
        <f>IFERROR(HYPERLINK(VLOOKUP(A275,Internal_lists_bugs!$A$2:$G1014,7,FALSE()),"Intro.Issues: "&amp;VLOOKUP(A275,Internal_lists_bugs!$A$2:$P1014,16,FALSE())),"please select a BUG ID")</f>
        <v>please select a BUG ID</v>
      </c>
      <c r="C275" s="107" t="str">
        <f>IFERROR(VLOOKUP(A275,Internal_lists_bugs!$A$2:$X1014,24,FALSE()),"please select a BUG ID")</f>
        <v>please select a BUG ID</v>
      </c>
      <c r="E275" s="49"/>
      <c r="F275" s="102"/>
      <c r="H275" s="49"/>
      <c r="I275" s="102"/>
      <c r="J275" s="51"/>
    </row>
    <row r="276">
      <c r="A276" s="64"/>
      <c r="B276" s="106" t="str">
        <f>IFERROR(HYPERLINK(VLOOKUP(A276,Internal_lists_bugs!$A$2:$G1014,7,FALSE()),"Intro.Issues: "&amp;VLOOKUP(A276,Internal_lists_bugs!$A$2:$P1014,16,FALSE())),"please select a BUG ID")</f>
        <v>please select a BUG ID</v>
      </c>
      <c r="C276" s="107" t="str">
        <f>IFERROR(VLOOKUP(A276,Internal_lists_bugs!$A$2:$X1014,24,FALSE()),"please select a BUG ID")</f>
        <v>please select a BUG ID</v>
      </c>
      <c r="E276" s="49"/>
      <c r="F276" s="102"/>
      <c r="H276" s="49"/>
      <c r="I276" s="102"/>
      <c r="J276" s="51"/>
    </row>
    <row r="277">
      <c r="A277" s="64"/>
      <c r="B277" s="106" t="str">
        <f>IFERROR(HYPERLINK(VLOOKUP(A277,Internal_lists_bugs!$A$2:$G1014,7,FALSE()),"Intro.Issues: "&amp;VLOOKUP(A277,Internal_lists_bugs!$A$2:$P1014,16,FALSE())),"please select a BUG ID")</f>
        <v>please select a BUG ID</v>
      </c>
      <c r="C277" s="107" t="str">
        <f>IFERROR(VLOOKUP(A277,Internal_lists_bugs!$A$2:$X1014,24,FALSE()),"please select a BUG ID")</f>
        <v>please select a BUG ID</v>
      </c>
      <c r="E277" s="49"/>
      <c r="F277" s="102"/>
      <c r="H277" s="49"/>
      <c r="I277" s="102"/>
      <c r="J277" s="51"/>
    </row>
    <row r="278">
      <c r="A278" s="64"/>
      <c r="B278" s="106" t="str">
        <f>IFERROR(HYPERLINK(VLOOKUP(A278,Internal_lists_bugs!$A$2:$G1014,7,FALSE()),"Intro.Issues: "&amp;VLOOKUP(A278,Internal_lists_bugs!$A$2:$P1014,16,FALSE())),"please select a BUG ID")</f>
        <v>please select a BUG ID</v>
      </c>
      <c r="C278" s="107" t="str">
        <f>IFERROR(VLOOKUP(A278,Internal_lists_bugs!$A$2:$X1014,24,FALSE()),"please select a BUG ID")</f>
        <v>please select a BUG ID</v>
      </c>
      <c r="E278" s="49"/>
      <c r="F278" s="102"/>
      <c r="H278" s="49"/>
      <c r="I278" s="102"/>
      <c r="J278" s="51"/>
    </row>
    <row r="279">
      <c r="A279" s="64"/>
      <c r="B279" s="106" t="str">
        <f>IFERROR(HYPERLINK(VLOOKUP(A279,Internal_lists_bugs!$A$2:$G1014,7,FALSE()),"Intro.Issues: "&amp;VLOOKUP(A279,Internal_lists_bugs!$A$2:$P1014,16,FALSE())),"please select a BUG ID")</f>
        <v>please select a BUG ID</v>
      </c>
      <c r="C279" s="107" t="str">
        <f>IFERROR(VLOOKUP(A279,Internal_lists_bugs!$A$2:$X1014,24,FALSE()),"please select a BUG ID")</f>
        <v>please select a BUG ID</v>
      </c>
      <c r="E279" s="49"/>
      <c r="F279" s="102"/>
      <c r="H279" s="49"/>
      <c r="I279" s="102"/>
      <c r="J279" s="51"/>
    </row>
    <row r="280">
      <c r="A280" s="64"/>
      <c r="B280" s="106" t="str">
        <f>IFERROR(HYPERLINK(VLOOKUP(A280,Internal_lists_bugs!$A$2:$G1014,7,FALSE()),"Intro.Issues: "&amp;VLOOKUP(A280,Internal_lists_bugs!$A$2:$P1014,16,FALSE())),"please select a BUG ID")</f>
        <v>please select a BUG ID</v>
      </c>
      <c r="C280" s="107" t="str">
        <f>IFERROR(VLOOKUP(A280,Internal_lists_bugs!$A$2:$X1014,24,FALSE()),"please select a BUG ID")</f>
        <v>please select a BUG ID</v>
      </c>
      <c r="E280" s="49"/>
      <c r="F280" s="102"/>
      <c r="H280" s="49"/>
      <c r="I280" s="102"/>
      <c r="J280" s="51"/>
    </row>
    <row r="281">
      <c r="A281" s="64"/>
      <c r="B281" s="106" t="str">
        <f>IFERROR(HYPERLINK(VLOOKUP(A281,Internal_lists_bugs!$A$2:$G1014,7,FALSE()),"Intro.Issues: "&amp;VLOOKUP(A281,Internal_lists_bugs!$A$2:$P1014,16,FALSE())),"please select a BUG ID")</f>
        <v>please select a BUG ID</v>
      </c>
      <c r="C281" s="107" t="str">
        <f>IFERROR(VLOOKUP(A281,Internal_lists_bugs!$A$2:$X1014,24,FALSE()),"please select a BUG ID")</f>
        <v>please select a BUG ID</v>
      </c>
      <c r="E281" s="49"/>
      <c r="F281" s="102"/>
      <c r="H281" s="49"/>
      <c r="I281" s="102"/>
      <c r="J281" s="51"/>
    </row>
    <row r="282">
      <c r="A282" s="64"/>
      <c r="B282" s="106" t="str">
        <f>IFERROR(HYPERLINK(VLOOKUP(A282,Internal_lists_bugs!$A$2:$G1014,7,FALSE()),"Intro.Issues: "&amp;VLOOKUP(A282,Internal_lists_bugs!$A$2:$P1014,16,FALSE())),"please select a BUG ID")</f>
        <v>please select a BUG ID</v>
      </c>
      <c r="C282" s="107" t="str">
        <f>IFERROR(VLOOKUP(A282,Internal_lists_bugs!$A$2:$X1014,24,FALSE()),"please select a BUG ID")</f>
        <v>please select a BUG ID</v>
      </c>
      <c r="E282" s="49"/>
      <c r="F282" s="102"/>
      <c r="H282" s="49"/>
      <c r="I282" s="102"/>
      <c r="J282" s="51"/>
    </row>
    <row r="283">
      <c r="A283" s="64"/>
      <c r="B283" s="106" t="str">
        <f>IFERROR(HYPERLINK(VLOOKUP(A283,Internal_lists_bugs!$A$2:$G1014,7,FALSE()),"Intro.Issues: "&amp;VLOOKUP(A283,Internal_lists_bugs!$A$2:$P1014,16,FALSE())),"please select a BUG ID")</f>
        <v>please select a BUG ID</v>
      </c>
      <c r="C283" s="107" t="str">
        <f>IFERROR(VLOOKUP(A283,Internal_lists_bugs!$A$2:$X1014,24,FALSE()),"please select a BUG ID")</f>
        <v>please select a BUG ID</v>
      </c>
      <c r="E283" s="49"/>
      <c r="F283" s="102"/>
      <c r="H283" s="49"/>
      <c r="I283" s="102"/>
      <c r="J283" s="51"/>
    </row>
    <row r="284">
      <c r="A284" s="64"/>
      <c r="B284" s="106" t="str">
        <f>IFERROR(HYPERLINK(VLOOKUP(A284,Internal_lists_bugs!$A$2:$G1014,7,FALSE()),"Intro.Issues: "&amp;VLOOKUP(A284,Internal_lists_bugs!$A$2:$P1014,16,FALSE())),"please select a BUG ID")</f>
        <v>please select a BUG ID</v>
      </c>
      <c r="C284" s="107" t="str">
        <f>IFERROR(VLOOKUP(A284,Internal_lists_bugs!$A$2:$X1014,24,FALSE()),"please select a BUG ID")</f>
        <v>please select a BUG ID</v>
      </c>
      <c r="E284" s="49"/>
      <c r="F284" s="102"/>
      <c r="H284" s="49"/>
      <c r="I284" s="102"/>
      <c r="J284" s="51"/>
    </row>
    <row r="285">
      <c r="A285" s="64"/>
      <c r="B285" s="106" t="str">
        <f>IFERROR(HYPERLINK(VLOOKUP(A285,Internal_lists_bugs!$A$2:$G1014,7,FALSE()),"Intro.Issues: "&amp;VLOOKUP(A285,Internal_lists_bugs!$A$2:$P1014,16,FALSE())),"please select a BUG ID")</f>
        <v>please select a BUG ID</v>
      </c>
      <c r="C285" s="107" t="str">
        <f>IFERROR(VLOOKUP(A285,Internal_lists_bugs!$A$2:$X1014,24,FALSE()),"please select a BUG ID")</f>
        <v>please select a BUG ID</v>
      </c>
      <c r="E285" s="49"/>
      <c r="F285" s="102"/>
      <c r="H285" s="49"/>
      <c r="I285" s="102"/>
      <c r="J285" s="51"/>
    </row>
    <row r="286">
      <c r="A286" s="64"/>
      <c r="B286" s="106" t="str">
        <f>IFERROR(HYPERLINK(VLOOKUP(A286,Internal_lists_bugs!$A$2:$G1014,7,FALSE()),"Intro.Issues: "&amp;VLOOKUP(A286,Internal_lists_bugs!$A$2:$P1014,16,FALSE())),"please select a BUG ID")</f>
        <v>please select a BUG ID</v>
      </c>
      <c r="C286" s="107" t="str">
        <f>IFERROR(VLOOKUP(A286,Internal_lists_bugs!$A$2:$X1014,24,FALSE()),"please select a BUG ID")</f>
        <v>please select a BUG ID</v>
      </c>
      <c r="E286" s="49"/>
      <c r="F286" s="102"/>
      <c r="H286" s="49"/>
      <c r="I286" s="102"/>
      <c r="J286" s="51"/>
    </row>
    <row r="287">
      <c r="A287" s="64"/>
      <c r="B287" s="106" t="str">
        <f>IFERROR(HYPERLINK(VLOOKUP(A287,Internal_lists_bugs!$A$2:$G1014,7,FALSE()),"Intro.Issues: "&amp;VLOOKUP(A287,Internal_lists_bugs!$A$2:$P1014,16,FALSE())),"please select a BUG ID")</f>
        <v>please select a BUG ID</v>
      </c>
      <c r="C287" s="107" t="str">
        <f>IFERROR(VLOOKUP(A287,Internal_lists_bugs!$A$2:$X1014,24,FALSE()),"please select a BUG ID")</f>
        <v>please select a BUG ID</v>
      </c>
      <c r="E287" s="49"/>
      <c r="F287" s="102"/>
      <c r="H287" s="49"/>
      <c r="I287" s="102"/>
      <c r="J287" s="51"/>
    </row>
    <row r="288">
      <c r="A288" s="64"/>
      <c r="B288" s="106" t="str">
        <f>IFERROR(HYPERLINK(VLOOKUP(A288,Internal_lists_bugs!$A$2:$G1014,7,FALSE()),"Intro.Issues: "&amp;VLOOKUP(A288,Internal_lists_bugs!$A$2:$P1014,16,FALSE())),"please select a BUG ID")</f>
        <v>please select a BUG ID</v>
      </c>
      <c r="C288" s="107" t="str">
        <f>IFERROR(VLOOKUP(A288,Internal_lists_bugs!$A$2:$X1014,24,FALSE()),"please select a BUG ID")</f>
        <v>please select a BUG ID</v>
      </c>
      <c r="E288" s="49"/>
      <c r="F288" s="102"/>
      <c r="H288" s="49"/>
      <c r="I288" s="102"/>
      <c r="J288" s="51"/>
    </row>
    <row r="289">
      <c r="A289" s="64"/>
      <c r="B289" s="106" t="str">
        <f>IFERROR(HYPERLINK(VLOOKUP(A289,Internal_lists_bugs!$A$2:$G1014,7,FALSE()),"Intro.Issues: "&amp;VLOOKUP(A289,Internal_lists_bugs!$A$2:$P1014,16,FALSE())),"please select a BUG ID")</f>
        <v>please select a BUG ID</v>
      </c>
      <c r="C289" s="107" t="str">
        <f>IFERROR(VLOOKUP(A289,Internal_lists_bugs!$A$2:$X1014,24,FALSE()),"please select a BUG ID")</f>
        <v>please select a BUG ID</v>
      </c>
      <c r="E289" s="49"/>
      <c r="F289" s="102"/>
      <c r="H289" s="49"/>
      <c r="I289" s="102"/>
      <c r="J289" s="51"/>
    </row>
    <row r="290">
      <c r="A290" s="64"/>
      <c r="B290" s="106" t="str">
        <f>IFERROR(HYPERLINK(VLOOKUP(A290,Internal_lists_bugs!$A$2:$G1014,7,FALSE()),"Intro.Issues: "&amp;VLOOKUP(A290,Internal_lists_bugs!$A$2:$P1014,16,FALSE())),"please select a BUG ID")</f>
        <v>please select a BUG ID</v>
      </c>
      <c r="C290" s="107" t="str">
        <f>IFERROR(VLOOKUP(A290,Internal_lists_bugs!$A$2:$X1014,24,FALSE()),"please select a BUG ID")</f>
        <v>please select a BUG ID</v>
      </c>
      <c r="E290" s="49"/>
      <c r="F290" s="102"/>
      <c r="H290" s="49"/>
      <c r="I290" s="102"/>
      <c r="J290" s="51"/>
    </row>
    <row r="291">
      <c r="A291" s="64"/>
      <c r="B291" s="106" t="str">
        <f>IFERROR(HYPERLINK(VLOOKUP(A291,Internal_lists_bugs!$A$2:$G1014,7,FALSE()),"Intro.Issues: "&amp;VLOOKUP(A291,Internal_lists_bugs!$A$2:$P1014,16,FALSE())),"please select a BUG ID")</f>
        <v>please select a BUG ID</v>
      </c>
      <c r="C291" s="107" t="str">
        <f>IFERROR(VLOOKUP(A291,Internal_lists_bugs!$A$2:$X1014,24,FALSE()),"please select a BUG ID")</f>
        <v>please select a BUG ID</v>
      </c>
      <c r="E291" s="49"/>
      <c r="F291" s="102"/>
      <c r="H291" s="49"/>
      <c r="I291" s="102"/>
      <c r="J291" s="51"/>
    </row>
    <row r="292">
      <c r="A292" s="64"/>
      <c r="B292" s="106" t="str">
        <f>IFERROR(HYPERLINK(VLOOKUP(A292,Internal_lists_bugs!$A$2:$G1014,7,FALSE()),"Intro.Issues: "&amp;VLOOKUP(A292,Internal_lists_bugs!$A$2:$P1014,16,FALSE())),"please select a BUG ID")</f>
        <v>please select a BUG ID</v>
      </c>
      <c r="C292" s="107" t="str">
        <f>IFERROR(VLOOKUP(A292,Internal_lists_bugs!$A$2:$X1014,24,FALSE()),"please select a BUG ID")</f>
        <v>please select a BUG ID</v>
      </c>
      <c r="E292" s="49"/>
      <c r="F292" s="102"/>
      <c r="H292" s="49"/>
      <c r="I292" s="102"/>
      <c r="J292" s="51"/>
    </row>
    <row r="293">
      <c r="A293" s="64"/>
      <c r="B293" s="106" t="str">
        <f>IFERROR(HYPERLINK(VLOOKUP(A293,Internal_lists_bugs!$A$2:$G1014,7,FALSE()),"Intro.Issues: "&amp;VLOOKUP(A293,Internal_lists_bugs!$A$2:$P1014,16,FALSE())),"please select a BUG ID")</f>
        <v>please select a BUG ID</v>
      </c>
      <c r="C293" s="107" t="str">
        <f>IFERROR(VLOOKUP(A293,Internal_lists_bugs!$A$2:$X1014,24,FALSE()),"please select a BUG ID")</f>
        <v>please select a BUG ID</v>
      </c>
      <c r="E293" s="49"/>
      <c r="F293" s="102"/>
      <c r="H293" s="49"/>
      <c r="I293" s="102"/>
      <c r="J293" s="51"/>
    </row>
    <row r="294">
      <c r="A294" s="64"/>
      <c r="B294" s="106" t="str">
        <f>IFERROR(HYPERLINK(VLOOKUP(A294,Internal_lists_bugs!$A$2:$G1014,7,FALSE()),"Intro.Issues: "&amp;VLOOKUP(A294,Internal_lists_bugs!$A$2:$P1014,16,FALSE())),"please select a BUG ID")</f>
        <v>please select a BUG ID</v>
      </c>
      <c r="C294" s="107" t="str">
        <f>IFERROR(VLOOKUP(A294,Internal_lists_bugs!$A$2:$X1014,24,FALSE()),"please select a BUG ID")</f>
        <v>please select a BUG ID</v>
      </c>
      <c r="E294" s="49"/>
      <c r="F294" s="102"/>
      <c r="H294" s="49"/>
      <c r="I294" s="102"/>
      <c r="J294" s="51"/>
    </row>
    <row r="295">
      <c r="A295" s="64"/>
      <c r="B295" s="106" t="str">
        <f>IFERROR(HYPERLINK(VLOOKUP(A295,Internal_lists_bugs!$A$2:$G1014,7,FALSE()),"Intro.Issues: "&amp;VLOOKUP(A295,Internal_lists_bugs!$A$2:$P1014,16,FALSE())),"please select a BUG ID")</f>
        <v>please select a BUG ID</v>
      </c>
      <c r="C295" s="107" t="str">
        <f>IFERROR(VLOOKUP(A295,Internal_lists_bugs!$A$2:$X1014,24,FALSE()),"please select a BUG ID")</f>
        <v>please select a BUG ID</v>
      </c>
      <c r="E295" s="49"/>
      <c r="F295" s="102"/>
      <c r="H295" s="49"/>
      <c r="I295" s="102"/>
      <c r="J295" s="51"/>
    </row>
    <row r="296">
      <c r="A296" s="64"/>
      <c r="B296" s="106" t="str">
        <f>IFERROR(HYPERLINK(VLOOKUP(A296,Internal_lists_bugs!$A$2:$G1014,7,FALSE()),"Intro.Issues: "&amp;VLOOKUP(A296,Internal_lists_bugs!$A$2:$P1014,16,FALSE())),"please select a BUG ID")</f>
        <v>please select a BUG ID</v>
      </c>
      <c r="C296" s="107" t="str">
        <f>IFERROR(VLOOKUP(A296,Internal_lists_bugs!$A$2:$X1014,24,FALSE()),"please select a BUG ID")</f>
        <v>please select a BUG ID</v>
      </c>
      <c r="E296" s="49"/>
      <c r="F296" s="102"/>
      <c r="H296" s="49"/>
      <c r="I296" s="102"/>
      <c r="J296" s="51"/>
    </row>
    <row r="297">
      <c r="A297" s="64"/>
      <c r="B297" s="106" t="str">
        <f>IFERROR(HYPERLINK(VLOOKUP(A297,Internal_lists_bugs!$A$2:$G1014,7,FALSE()),"Intro.Issues: "&amp;VLOOKUP(A297,Internal_lists_bugs!$A$2:$P1014,16,FALSE())),"please select a BUG ID")</f>
        <v>please select a BUG ID</v>
      </c>
      <c r="C297" s="107" t="str">
        <f>IFERROR(VLOOKUP(A297,Internal_lists_bugs!$A$2:$X1014,24,FALSE()),"please select a BUG ID")</f>
        <v>please select a BUG ID</v>
      </c>
      <c r="E297" s="49"/>
      <c r="F297" s="102"/>
      <c r="H297" s="49"/>
      <c r="I297" s="102"/>
      <c r="J297" s="51"/>
    </row>
    <row r="298">
      <c r="A298" s="64"/>
      <c r="B298" s="106" t="str">
        <f>IFERROR(HYPERLINK(VLOOKUP(A298,Internal_lists_bugs!$A$2:$G1014,7,FALSE()),"Intro.Issues: "&amp;VLOOKUP(A298,Internal_lists_bugs!$A$2:$P1014,16,FALSE())),"please select a BUG ID")</f>
        <v>please select a BUG ID</v>
      </c>
      <c r="C298" s="107" t="str">
        <f>IFERROR(VLOOKUP(A298,Internal_lists_bugs!$A$2:$X1014,24,FALSE()),"please select a BUG ID")</f>
        <v>please select a BUG ID</v>
      </c>
      <c r="E298" s="49"/>
      <c r="F298" s="102"/>
      <c r="H298" s="49"/>
      <c r="I298" s="102"/>
      <c r="J298" s="51"/>
    </row>
    <row r="299">
      <c r="A299" s="64"/>
      <c r="B299" s="106" t="str">
        <f>IFERROR(HYPERLINK(VLOOKUP(A299,Internal_lists_bugs!$A$2:$G1014,7,FALSE()),"Intro.Issues: "&amp;VLOOKUP(A299,Internal_lists_bugs!$A$2:$P1014,16,FALSE())),"please select a BUG ID")</f>
        <v>please select a BUG ID</v>
      </c>
      <c r="C299" s="107" t="str">
        <f>IFERROR(VLOOKUP(A299,Internal_lists_bugs!$A$2:$X1014,24,FALSE()),"please select a BUG ID")</f>
        <v>please select a BUG ID</v>
      </c>
      <c r="E299" s="49"/>
      <c r="F299" s="102"/>
      <c r="H299" s="49"/>
      <c r="I299" s="102"/>
      <c r="J299" s="51"/>
    </row>
    <row r="300">
      <c r="A300" s="64"/>
      <c r="B300" s="106" t="str">
        <f>IFERROR(HYPERLINK(VLOOKUP(A300,Internal_lists_bugs!$A$2:$G1014,7,FALSE()),"Intro.Issues: "&amp;VLOOKUP(A300,Internal_lists_bugs!$A$2:$P1014,16,FALSE())),"please select a BUG ID")</f>
        <v>please select a BUG ID</v>
      </c>
      <c r="C300" s="107" t="str">
        <f>IFERROR(VLOOKUP(A300,Internal_lists_bugs!$A$2:$X1014,24,FALSE()),"please select a BUG ID")</f>
        <v>please select a BUG ID</v>
      </c>
      <c r="E300" s="49"/>
      <c r="F300" s="102"/>
      <c r="H300" s="49"/>
      <c r="I300" s="102"/>
      <c r="J300" s="51"/>
    </row>
    <row r="301">
      <c r="A301" s="64"/>
      <c r="B301" s="106" t="str">
        <f>IFERROR(HYPERLINK(VLOOKUP(A301,Internal_lists_bugs!$A$2:$G1014,7,FALSE()),"Intro.Issues: "&amp;VLOOKUP(A301,Internal_lists_bugs!$A$2:$P1014,16,FALSE())),"please select a BUG ID")</f>
        <v>please select a BUG ID</v>
      </c>
      <c r="C301" s="107" t="str">
        <f>IFERROR(VLOOKUP(A301,Internal_lists_bugs!$A$2:$X1014,24,FALSE()),"please select a BUG ID")</f>
        <v>please select a BUG ID</v>
      </c>
      <c r="E301" s="49"/>
      <c r="F301" s="102"/>
      <c r="H301" s="49"/>
      <c r="I301" s="102"/>
      <c r="J301" s="51"/>
    </row>
    <row r="302">
      <c r="A302" s="64"/>
      <c r="B302" s="106" t="str">
        <f>IFERROR(HYPERLINK(VLOOKUP(A302,Internal_lists_bugs!$A$2:$G1014,7,FALSE()),"Intro.Issues: "&amp;VLOOKUP(A302,Internal_lists_bugs!$A$2:$P1014,16,FALSE())),"please select a BUG ID")</f>
        <v>please select a BUG ID</v>
      </c>
      <c r="C302" s="107" t="str">
        <f>IFERROR(VLOOKUP(A302,Internal_lists_bugs!$A$2:$X1014,24,FALSE()),"please select a BUG ID")</f>
        <v>please select a BUG ID</v>
      </c>
      <c r="E302" s="49"/>
      <c r="F302" s="102"/>
      <c r="H302" s="49"/>
      <c r="I302" s="102"/>
      <c r="J302" s="51"/>
    </row>
    <row r="303">
      <c r="A303" s="64"/>
      <c r="B303" s="106" t="str">
        <f>IFERROR(HYPERLINK(VLOOKUP(A303,Internal_lists_bugs!$A$2:$G1014,7,FALSE()),"Intro.Issues: "&amp;VLOOKUP(A303,Internal_lists_bugs!$A$2:$P1014,16,FALSE())),"please select a BUG ID")</f>
        <v>please select a BUG ID</v>
      </c>
      <c r="C303" s="107" t="str">
        <f>IFERROR(VLOOKUP(A303,Internal_lists_bugs!$A$2:$X1014,24,FALSE()),"please select a BUG ID")</f>
        <v>please select a BUG ID</v>
      </c>
      <c r="E303" s="49"/>
      <c r="F303" s="102"/>
      <c r="H303" s="49"/>
      <c r="I303" s="102"/>
      <c r="J303" s="51"/>
    </row>
    <row r="304">
      <c r="A304" s="64"/>
      <c r="B304" s="106" t="str">
        <f>IFERROR(HYPERLINK(VLOOKUP(A304,Internal_lists_bugs!$A$2:$G1014,7,FALSE()),"Intro.Issues: "&amp;VLOOKUP(A304,Internal_lists_bugs!$A$2:$P1014,16,FALSE())),"please select a BUG ID")</f>
        <v>please select a BUG ID</v>
      </c>
      <c r="C304" s="107" t="str">
        <f>IFERROR(VLOOKUP(A304,Internal_lists_bugs!$A$2:$X1014,24,FALSE()),"please select a BUG ID")</f>
        <v>please select a BUG ID</v>
      </c>
      <c r="E304" s="49"/>
      <c r="F304" s="102"/>
      <c r="H304" s="49"/>
      <c r="I304" s="102"/>
      <c r="J304" s="51"/>
    </row>
    <row r="305">
      <c r="A305" s="64"/>
      <c r="B305" s="106" t="str">
        <f>IFERROR(HYPERLINK(VLOOKUP(A305,Internal_lists_bugs!$A$2:$G1014,7,FALSE()),"Intro.Issues: "&amp;VLOOKUP(A305,Internal_lists_bugs!$A$2:$P1014,16,FALSE())),"please select a BUG ID")</f>
        <v>please select a BUG ID</v>
      </c>
      <c r="C305" s="107" t="str">
        <f>IFERROR(VLOOKUP(A305,Internal_lists_bugs!$A$2:$X1014,24,FALSE()),"please select a BUG ID")</f>
        <v>please select a BUG ID</v>
      </c>
      <c r="E305" s="49"/>
      <c r="F305" s="102"/>
      <c r="H305" s="49"/>
      <c r="I305" s="102"/>
      <c r="J305" s="51"/>
    </row>
    <row r="306">
      <c r="A306" s="64"/>
      <c r="B306" s="106" t="str">
        <f>IFERROR(HYPERLINK(VLOOKUP(A306,Internal_lists_bugs!$A$2:$G1014,7,FALSE()),"Intro.Issues: "&amp;VLOOKUP(A306,Internal_lists_bugs!$A$2:$P1014,16,FALSE())),"please select a BUG ID")</f>
        <v>please select a BUG ID</v>
      </c>
      <c r="C306" s="107" t="str">
        <f>IFERROR(VLOOKUP(A306,Internal_lists_bugs!$A$2:$X1014,24,FALSE()),"please select a BUG ID")</f>
        <v>please select a BUG ID</v>
      </c>
      <c r="E306" s="49"/>
      <c r="F306" s="102"/>
      <c r="H306" s="49"/>
      <c r="I306" s="102"/>
      <c r="J306" s="51"/>
    </row>
    <row r="307">
      <c r="A307" s="64"/>
      <c r="B307" s="106" t="str">
        <f>IFERROR(HYPERLINK(VLOOKUP(A307,Internal_lists_bugs!$A$2:$G1014,7,FALSE()),"Intro.Issues: "&amp;VLOOKUP(A307,Internal_lists_bugs!$A$2:$P1014,16,FALSE())),"please select a BUG ID")</f>
        <v>please select a BUG ID</v>
      </c>
      <c r="C307" s="107" t="str">
        <f>IFERROR(VLOOKUP(A307,Internal_lists_bugs!$A$2:$X1014,24,FALSE()),"please select a BUG ID")</f>
        <v>please select a BUG ID</v>
      </c>
      <c r="E307" s="49"/>
      <c r="F307" s="102"/>
      <c r="H307" s="49"/>
      <c r="I307" s="102"/>
      <c r="J307" s="51"/>
    </row>
    <row r="308">
      <c r="A308" s="64"/>
      <c r="B308" s="106" t="str">
        <f>IFERROR(HYPERLINK(VLOOKUP(A308,Internal_lists_bugs!$A$2:$G1014,7,FALSE()),"Intro.Issues: "&amp;VLOOKUP(A308,Internal_lists_bugs!$A$2:$P1014,16,FALSE())),"please select a BUG ID")</f>
        <v>please select a BUG ID</v>
      </c>
      <c r="C308" s="107" t="str">
        <f>IFERROR(VLOOKUP(A308,Internal_lists_bugs!$A$2:$X1014,24,FALSE()),"please select a BUG ID")</f>
        <v>please select a BUG ID</v>
      </c>
      <c r="E308" s="49"/>
      <c r="F308" s="102"/>
      <c r="H308" s="49"/>
      <c r="I308" s="102"/>
      <c r="J308" s="51"/>
    </row>
    <row r="309">
      <c r="A309" s="64"/>
      <c r="B309" s="106" t="str">
        <f>IFERROR(HYPERLINK(VLOOKUP(A309,Internal_lists_bugs!$A$2:$G1014,7,FALSE()),"Intro.Issues: "&amp;VLOOKUP(A309,Internal_lists_bugs!$A$2:$P1014,16,FALSE())),"please select a BUG ID")</f>
        <v>please select a BUG ID</v>
      </c>
      <c r="C309" s="107" t="str">
        <f>IFERROR(VLOOKUP(A309,Internal_lists_bugs!$A$2:$X1014,24,FALSE()),"please select a BUG ID")</f>
        <v>please select a BUG ID</v>
      </c>
      <c r="E309" s="49"/>
      <c r="F309" s="102"/>
      <c r="H309" s="49"/>
      <c r="I309" s="102"/>
      <c r="J309" s="51"/>
    </row>
    <row r="310">
      <c r="A310" s="64"/>
      <c r="B310" s="106" t="str">
        <f>IFERROR(HYPERLINK(VLOOKUP(A310,Internal_lists_bugs!$A$2:$G1014,7,FALSE()),"Intro.Issues: "&amp;VLOOKUP(A310,Internal_lists_bugs!$A$2:$P1014,16,FALSE())),"please select a BUG ID")</f>
        <v>please select a BUG ID</v>
      </c>
      <c r="C310" s="107" t="str">
        <f>IFERROR(VLOOKUP(A310,Internal_lists_bugs!$A$2:$X1014,24,FALSE()),"please select a BUG ID")</f>
        <v>please select a BUG ID</v>
      </c>
      <c r="E310" s="49"/>
      <c r="F310" s="102"/>
      <c r="H310" s="49"/>
      <c r="I310" s="102"/>
      <c r="J310" s="51"/>
    </row>
    <row r="311">
      <c r="A311" s="64"/>
      <c r="B311" s="106" t="str">
        <f>IFERROR(HYPERLINK(VLOOKUP(A311,Internal_lists_bugs!$A$2:$G1014,7,FALSE()),"Intro.Issues: "&amp;VLOOKUP(A311,Internal_lists_bugs!$A$2:$P1014,16,FALSE())),"please select a BUG ID")</f>
        <v>please select a BUG ID</v>
      </c>
      <c r="C311" s="107" t="str">
        <f>IFERROR(VLOOKUP(A311,Internal_lists_bugs!$A$2:$X1014,24,FALSE()),"please select a BUG ID")</f>
        <v>please select a BUG ID</v>
      </c>
      <c r="E311" s="49"/>
      <c r="F311" s="102"/>
      <c r="H311" s="49"/>
      <c r="I311" s="102"/>
      <c r="J311" s="51"/>
    </row>
    <row r="312">
      <c r="A312" s="64"/>
      <c r="B312" s="106" t="str">
        <f>IFERROR(HYPERLINK(VLOOKUP(A312,Internal_lists_bugs!$A$2:$G1014,7,FALSE()),"Intro.Issues: "&amp;VLOOKUP(A312,Internal_lists_bugs!$A$2:$P1014,16,FALSE())),"please select a BUG ID")</f>
        <v>please select a BUG ID</v>
      </c>
      <c r="C312" s="107" t="str">
        <f>IFERROR(VLOOKUP(A312,Internal_lists_bugs!$A$2:$X1014,24,FALSE()),"please select a BUG ID")</f>
        <v>please select a BUG ID</v>
      </c>
      <c r="E312" s="49"/>
      <c r="F312" s="102"/>
      <c r="H312" s="49"/>
      <c r="I312" s="102"/>
      <c r="J312" s="51"/>
    </row>
    <row r="313">
      <c r="A313" s="64"/>
      <c r="B313" s="106" t="str">
        <f>IFERROR(HYPERLINK(VLOOKUP(A313,Internal_lists_bugs!$A$2:$G1014,7,FALSE()),"Intro.Issues: "&amp;VLOOKUP(A313,Internal_lists_bugs!$A$2:$P1014,16,FALSE())),"please select a BUG ID")</f>
        <v>please select a BUG ID</v>
      </c>
      <c r="C313" s="107" t="str">
        <f>IFERROR(VLOOKUP(A313,Internal_lists_bugs!$A$2:$X1014,24,FALSE()),"please select a BUG ID")</f>
        <v>please select a BUG ID</v>
      </c>
      <c r="E313" s="49"/>
      <c r="F313" s="102"/>
      <c r="H313" s="49"/>
      <c r="I313" s="102"/>
      <c r="J313" s="51"/>
    </row>
    <row r="314">
      <c r="A314" s="64"/>
      <c r="B314" s="106" t="str">
        <f>IFERROR(HYPERLINK(VLOOKUP(A314,Internal_lists_bugs!$A$2:$G1014,7,FALSE()),"Intro.Issues: "&amp;VLOOKUP(A314,Internal_lists_bugs!$A$2:$P1014,16,FALSE())),"please select a BUG ID")</f>
        <v>please select a BUG ID</v>
      </c>
      <c r="C314" s="107" t="str">
        <f>IFERROR(VLOOKUP(A314,Internal_lists_bugs!$A$2:$X1014,24,FALSE()),"please select a BUG ID")</f>
        <v>please select a BUG ID</v>
      </c>
      <c r="E314" s="49"/>
      <c r="F314" s="102"/>
      <c r="H314" s="49"/>
      <c r="I314" s="102"/>
      <c r="J314" s="51"/>
    </row>
    <row r="315">
      <c r="A315" s="64"/>
      <c r="B315" s="106" t="str">
        <f>IFERROR(HYPERLINK(VLOOKUP(A315,Internal_lists_bugs!$A$2:$G1014,7,FALSE()),"Intro.Issues: "&amp;VLOOKUP(A315,Internal_lists_bugs!$A$2:$P1014,16,FALSE())),"please select a BUG ID")</f>
        <v>please select a BUG ID</v>
      </c>
      <c r="C315" s="107" t="str">
        <f>IFERROR(VLOOKUP(A315,Internal_lists_bugs!$A$2:$X1014,24,FALSE()),"please select a BUG ID")</f>
        <v>please select a BUG ID</v>
      </c>
      <c r="E315" s="49"/>
      <c r="F315" s="102"/>
      <c r="H315" s="49"/>
      <c r="I315" s="102"/>
      <c r="J315" s="51"/>
    </row>
    <row r="316">
      <c r="A316" s="64"/>
      <c r="B316" s="106" t="str">
        <f>IFERROR(HYPERLINK(VLOOKUP(A316,Internal_lists_bugs!$A$2:$G1014,7,FALSE()),"Intro.Issues: "&amp;VLOOKUP(A316,Internal_lists_bugs!$A$2:$P1014,16,FALSE())),"please select a BUG ID")</f>
        <v>please select a BUG ID</v>
      </c>
      <c r="C316" s="107" t="str">
        <f>IFERROR(VLOOKUP(A316,Internal_lists_bugs!$A$2:$X1014,24,FALSE()),"please select a BUG ID")</f>
        <v>please select a BUG ID</v>
      </c>
      <c r="E316" s="49"/>
      <c r="F316" s="102"/>
      <c r="H316" s="49"/>
      <c r="I316" s="102"/>
      <c r="J316" s="51"/>
    </row>
    <row r="317">
      <c r="A317" s="64"/>
      <c r="B317" s="106" t="str">
        <f>IFERROR(HYPERLINK(VLOOKUP(A317,Internal_lists_bugs!$A$2:$G1014,7,FALSE()),"Intro.Issues: "&amp;VLOOKUP(A317,Internal_lists_bugs!$A$2:$P1014,16,FALSE())),"please select a BUG ID")</f>
        <v>please select a BUG ID</v>
      </c>
      <c r="C317" s="107" t="str">
        <f>IFERROR(VLOOKUP(A317,Internal_lists_bugs!$A$2:$X1014,24,FALSE()),"please select a BUG ID")</f>
        <v>please select a BUG ID</v>
      </c>
      <c r="E317" s="49"/>
      <c r="F317" s="102"/>
      <c r="H317" s="49"/>
      <c r="I317" s="102"/>
      <c r="J317" s="51"/>
    </row>
    <row r="318">
      <c r="A318" s="64"/>
      <c r="B318" s="106" t="str">
        <f>IFERROR(HYPERLINK(VLOOKUP(A318,Internal_lists_bugs!$A$2:$G1014,7,FALSE()),"Intro.Issues: "&amp;VLOOKUP(A318,Internal_lists_bugs!$A$2:$P1014,16,FALSE())),"please select a BUG ID")</f>
        <v>please select a BUG ID</v>
      </c>
      <c r="C318" s="107" t="str">
        <f>IFERROR(VLOOKUP(A318,Internal_lists_bugs!$A$2:$X1014,24,FALSE()),"please select a BUG ID")</f>
        <v>please select a BUG ID</v>
      </c>
      <c r="E318" s="49"/>
      <c r="F318" s="102"/>
      <c r="H318" s="49"/>
      <c r="I318" s="102"/>
      <c r="J318" s="51"/>
    </row>
    <row r="319">
      <c r="A319" s="64"/>
      <c r="B319" s="106" t="str">
        <f>IFERROR(HYPERLINK(VLOOKUP(A319,Internal_lists_bugs!$A$2:$G1014,7,FALSE()),"Intro.Issues: "&amp;VLOOKUP(A319,Internal_lists_bugs!$A$2:$P1014,16,FALSE())),"please select a BUG ID")</f>
        <v>please select a BUG ID</v>
      </c>
      <c r="C319" s="107" t="str">
        <f>IFERROR(VLOOKUP(A319,Internal_lists_bugs!$A$2:$X1014,24,FALSE()),"please select a BUG ID")</f>
        <v>please select a BUG ID</v>
      </c>
      <c r="E319" s="49"/>
      <c r="F319" s="102"/>
      <c r="H319" s="49"/>
      <c r="I319" s="102"/>
      <c r="J319" s="51"/>
    </row>
    <row r="320">
      <c r="A320" s="64"/>
      <c r="B320" s="106" t="str">
        <f>IFERROR(HYPERLINK(VLOOKUP(A320,Internal_lists_bugs!$A$2:$G1014,7,FALSE()),"Intro.Issues: "&amp;VLOOKUP(A320,Internal_lists_bugs!$A$2:$P1014,16,FALSE())),"please select a BUG ID")</f>
        <v>please select a BUG ID</v>
      </c>
      <c r="C320" s="107" t="str">
        <f>IFERROR(VLOOKUP(A320,Internal_lists_bugs!$A$2:$X1014,24,FALSE()),"please select a BUG ID")</f>
        <v>please select a BUG ID</v>
      </c>
      <c r="E320" s="49"/>
      <c r="F320" s="102"/>
      <c r="H320" s="49"/>
      <c r="I320" s="102"/>
      <c r="J320" s="51"/>
    </row>
    <row r="321">
      <c r="A321" s="64"/>
      <c r="B321" s="106" t="str">
        <f>IFERROR(HYPERLINK(VLOOKUP(A321,Internal_lists_bugs!$A$2:$G1014,7,FALSE()),"Intro.Issues: "&amp;VLOOKUP(A321,Internal_lists_bugs!$A$2:$P1014,16,FALSE())),"please select a BUG ID")</f>
        <v>please select a BUG ID</v>
      </c>
      <c r="C321" s="107" t="str">
        <f>IFERROR(VLOOKUP(A321,Internal_lists_bugs!$A$2:$X1014,24,FALSE()),"please select a BUG ID")</f>
        <v>please select a BUG ID</v>
      </c>
      <c r="E321" s="49"/>
      <c r="F321" s="102"/>
      <c r="H321" s="49"/>
      <c r="I321" s="102"/>
      <c r="J321" s="51"/>
    </row>
    <row r="322">
      <c r="A322" s="64"/>
      <c r="B322" s="106" t="str">
        <f>IFERROR(HYPERLINK(VLOOKUP(A322,Internal_lists_bugs!$A$2:$G1014,7,FALSE()),"Intro.Issues: "&amp;VLOOKUP(A322,Internal_lists_bugs!$A$2:$P1014,16,FALSE())),"please select a BUG ID")</f>
        <v>please select a BUG ID</v>
      </c>
      <c r="C322" s="107" t="str">
        <f>IFERROR(VLOOKUP(A322,Internal_lists_bugs!$A$2:$X1014,24,FALSE()),"please select a BUG ID")</f>
        <v>please select a BUG ID</v>
      </c>
      <c r="E322" s="49"/>
      <c r="F322" s="102"/>
      <c r="H322" s="49"/>
      <c r="I322" s="102"/>
      <c r="J322" s="51"/>
    </row>
    <row r="323">
      <c r="A323" s="64"/>
      <c r="B323" s="106" t="str">
        <f>IFERROR(HYPERLINK(VLOOKUP(A323,Internal_lists_bugs!$A$2:$G1014,7,FALSE()),"Intro.Issues: "&amp;VLOOKUP(A323,Internal_lists_bugs!$A$2:$P1014,16,FALSE())),"please select a BUG ID")</f>
        <v>please select a BUG ID</v>
      </c>
      <c r="C323" s="107" t="str">
        <f>IFERROR(VLOOKUP(A323,Internal_lists_bugs!$A$2:$X1014,24,FALSE()),"please select a BUG ID")</f>
        <v>please select a BUG ID</v>
      </c>
      <c r="E323" s="49"/>
      <c r="F323" s="102"/>
      <c r="H323" s="49"/>
      <c r="I323" s="102"/>
      <c r="J323" s="51"/>
    </row>
    <row r="324">
      <c r="A324" s="64"/>
      <c r="B324" s="106" t="str">
        <f>IFERROR(HYPERLINK(VLOOKUP(A324,Internal_lists_bugs!$A$2:$G1014,7,FALSE()),"Intro.Issues: "&amp;VLOOKUP(A324,Internal_lists_bugs!$A$2:$P1014,16,FALSE())),"please select a BUG ID")</f>
        <v>please select a BUG ID</v>
      </c>
      <c r="C324" s="107" t="str">
        <f>IFERROR(VLOOKUP(A324,Internal_lists_bugs!$A$2:$X1014,24,FALSE()),"please select a BUG ID")</f>
        <v>please select a BUG ID</v>
      </c>
      <c r="E324" s="49"/>
      <c r="F324" s="102"/>
      <c r="H324" s="49"/>
      <c r="I324" s="102"/>
      <c r="J324" s="51"/>
    </row>
    <row r="325">
      <c r="A325" s="64"/>
      <c r="B325" s="106" t="str">
        <f>IFERROR(HYPERLINK(VLOOKUP(A325,Internal_lists_bugs!$A$2:$G1014,7,FALSE()),"Intro.Issues: "&amp;VLOOKUP(A325,Internal_lists_bugs!$A$2:$P1014,16,FALSE())),"please select a BUG ID")</f>
        <v>please select a BUG ID</v>
      </c>
      <c r="C325" s="107" t="str">
        <f>IFERROR(VLOOKUP(A325,Internal_lists_bugs!$A$2:$X1014,24,FALSE()),"please select a BUG ID")</f>
        <v>please select a BUG ID</v>
      </c>
      <c r="E325" s="49"/>
      <c r="F325" s="102"/>
      <c r="H325" s="49"/>
      <c r="I325" s="102"/>
      <c r="J325" s="51"/>
    </row>
    <row r="326">
      <c r="A326" s="64"/>
      <c r="B326" s="106" t="str">
        <f>IFERROR(HYPERLINK(VLOOKUP(A326,Internal_lists_bugs!$A$2:$G1014,7,FALSE()),"Intro.Issues: "&amp;VLOOKUP(A326,Internal_lists_bugs!$A$2:$P1014,16,FALSE())),"please select a BUG ID")</f>
        <v>please select a BUG ID</v>
      </c>
      <c r="C326" s="107" t="str">
        <f>IFERROR(VLOOKUP(A326,Internal_lists_bugs!$A$2:$X1014,24,FALSE()),"please select a BUG ID")</f>
        <v>please select a BUG ID</v>
      </c>
      <c r="E326" s="49"/>
      <c r="F326" s="102"/>
      <c r="H326" s="49"/>
      <c r="I326" s="102"/>
      <c r="J326" s="51"/>
    </row>
    <row r="327">
      <c r="A327" s="64"/>
      <c r="B327" s="106" t="str">
        <f>IFERROR(HYPERLINK(VLOOKUP(A327,Internal_lists_bugs!$A$2:$G1014,7,FALSE()),"Intro.Issues: "&amp;VLOOKUP(A327,Internal_lists_bugs!$A$2:$P1014,16,FALSE())),"please select a BUG ID")</f>
        <v>please select a BUG ID</v>
      </c>
      <c r="C327" s="107" t="str">
        <f>IFERROR(VLOOKUP(A327,Internal_lists_bugs!$A$2:$X1014,24,FALSE()),"please select a BUG ID")</f>
        <v>please select a BUG ID</v>
      </c>
      <c r="E327" s="49"/>
      <c r="F327" s="102"/>
      <c r="H327" s="49"/>
      <c r="I327" s="102"/>
      <c r="J327" s="51"/>
    </row>
    <row r="328">
      <c r="A328" s="64"/>
      <c r="B328" s="106" t="str">
        <f>IFERROR(HYPERLINK(VLOOKUP(A328,Internal_lists_bugs!$A$2:$G1014,7,FALSE()),"Intro.Issues: "&amp;VLOOKUP(A328,Internal_lists_bugs!$A$2:$P1014,16,FALSE())),"please select a BUG ID")</f>
        <v>please select a BUG ID</v>
      </c>
      <c r="C328" s="107" t="str">
        <f>IFERROR(VLOOKUP(A328,Internal_lists_bugs!$A$2:$X1014,24,FALSE()),"please select a BUG ID")</f>
        <v>please select a BUG ID</v>
      </c>
      <c r="E328" s="49"/>
      <c r="F328" s="102"/>
      <c r="H328" s="49"/>
      <c r="I328" s="102"/>
      <c r="J328" s="51"/>
    </row>
    <row r="329">
      <c r="A329" s="64"/>
      <c r="B329" s="106" t="str">
        <f>IFERROR(HYPERLINK(VLOOKUP(A329,Internal_lists_bugs!$A$2:$G1014,7,FALSE()),"Intro.Issues: "&amp;VLOOKUP(A329,Internal_lists_bugs!$A$2:$P1014,16,FALSE())),"please select a BUG ID")</f>
        <v>please select a BUG ID</v>
      </c>
      <c r="C329" s="107" t="str">
        <f>IFERROR(VLOOKUP(A329,Internal_lists_bugs!$A$2:$X1014,24,FALSE()),"please select a BUG ID")</f>
        <v>please select a BUG ID</v>
      </c>
      <c r="E329" s="49"/>
      <c r="F329" s="102"/>
      <c r="H329" s="49"/>
      <c r="I329" s="102"/>
      <c r="J329" s="51"/>
    </row>
    <row r="330">
      <c r="A330" s="64"/>
      <c r="B330" s="106" t="str">
        <f>IFERROR(HYPERLINK(VLOOKUP(A330,Internal_lists_bugs!$A$2:$G1014,7,FALSE()),"Intro.Issues: "&amp;VLOOKUP(A330,Internal_lists_bugs!$A$2:$P1014,16,FALSE())),"please select a BUG ID")</f>
        <v>please select a BUG ID</v>
      </c>
      <c r="C330" s="107" t="str">
        <f>IFERROR(VLOOKUP(A330,Internal_lists_bugs!$A$2:$X1014,24,FALSE()),"please select a BUG ID")</f>
        <v>please select a BUG ID</v>
      </c>
      <c r="E330" s="49"/>
      <c r="F330" s="102"/>
      <c r="H330" s="49"/>
      <c r="I330" s="102"/>
      <c r="J330" s="51"/>
    </row>
    <row r="331">
      <c r="A331" s="64"/>
      <c r="B331" s="106" t="str">
        <f>IFERROR(HYPERLINK(VLOOKUP(A331,Internal_lists_bugs!$A$2:$G1014,7,FALSE()),"Intro.Issues: "&amp;VLOOKUP(A331,Internal_lists_bugs!$A$2:$P1014,16,FALSE())),"please select a BUG ID")</f>
        <v>please select a BUG ID</v>
      </c>
      <c r="C331" s="107" t="str">
        <f>IFERROR(VLOOKUP(A331,Internal_lists_bugs!$A$2:$X1014,24,FALSE()),"please select a BUG ID")</f>
        <v>please select a BUG ID</v>
      </c>
      <c r="E331" s="49"/>
      <c r="F331" s="102"/>
      <c r="H331" s="49"/>
      <c r="I331" s="102"/>
      <c r="J331" s="51"/>
    </row>
    <row r="332">
      <c r="A332" s="64"/>
      <c r="B332" s="106" t="str">
        <f>IFERROR(HYPERLINK(VLOOKUP(A332,Internal_lists_bugs!$A$2:$G1014,7,FALSE()),"Intro.Issues: "&amp;VLOOKUP(A332,Internal_lists_bugs!$A$2:$P1014,16,FALSE())),"please select a BUG ID")</f>
        <v>please select a BUG ID</v>
      </c>
      <c r="C332" s="107" t="str">
        <f>IFERROR(VLOOKUP(A332,Internal_lists_bugs!$A$2:$X1014,24,FALSE()),"please select a BUG ID")</f>
        <v>please select a BUG ID</v>
      </c>
      <c r="E332" s="49"/>
      <c r="F332" s="102"/>
      <c r="H332" s="49"/>
      <c r="I332" s="102"/>
      <c r="J332" s="51"/>
    </row>
    <row r="333">
      <c r="A333" s="64"/>
      <c r="B333" s="106" t="str">
        <f>IFERROR(HYPERLINK(VLOOKUP(A333,Internal_lists_bugs!$A$2:$G1014,7,FALSE()),"Intro.Issues: "&amp;VLOOKUP(A333,Internal_lists_bugs!$A$2:$P1014,16,FALSE())),"please select a BUG ID")</f>
        <v>please select a BUG ID</v>
      </c>
      <c r="C333" s="107" t="str">
        <f>IFERROR(VLOOKUP(A333,Internal_lists_bugs!$A$2:$X1014,24,FALSE()),"please select a BUG ID")</f>
        <v>please select a BUG ID</v>
      </c>
      <c r="E333" s="49"/>
      <c r="F333" s="102"/>
      <c r="H333" s="49"/>
      <c r="I333" s="102"/>
      <c r="J333" s="51"/>
    </row>
    <row r="334">
      <c r="A334" s="64"/>
      <c r="B334" s="106" t="str">
        <f>IFERROR(HYPERLINK(VLOOKUP(A334,Internal_lists_bugs!$A$2:$G1014,7,FALSE()),"Intro.Issues: "&amp;VLOOKUP(A334,Internal_lists_bugs!$A$2:$P1014,16,FALSE())),"please select a BUG ID")</f>
        <v>please select a BUG ID</v>
      </c>
      <c r="C334" s="107" t="str">
        <f>IFERROR(VLOOKUP(A334,Internal_lists_bugs!$A$2:$X1014,24,FALSE()),"please select a BUG ID")</f>
        <v>please select a BUG ID</v>
      </c>
      <c r="E334" s="49"/>
      <c r="F334" s="102"/>
      <c r="H334" s="49"/>
      <c r="I334" s="102"/>
      <c r="J334" s="51"/>
    </row>
    <row r="335">
      <c r="A335" s="64"/>
      <c r="B335" s="106" t="str">
        <f>IFERROR(HYPERLINK(VLOOKUP(A335,Internal_lists_bugs!$A$2:$G1014,7,FALSE()),"Intro.Issues: "&amp;VLOOKUP(A335,Internal_lists_bugs!$A$2:$P1014,16,FALSE())),"please select a BUG ID")</f>
        <v>please select a BUG ID</v>
      </c>
      <c r="C335" s="107" t="str">
        <f>IFERROR(VLOOKUP(A335,Internal_lists_bugs!$A$2:$X1014,24,FALSE()),"please select a BUG ID")</f>
        <v>please select a BUG ID</v>
      </c>
      <c r="E335" s="49"/>
      <c r="F335" s="102"/>
      <c r="H335" s="49"/>
      <c r="I335" s="102"/>
      <c r="J335" s="51"/>
    </row>
    <row r="336">
      <c r="A336" s="64"/>
      <c r="B336" s="106" t="str">
        <f>IFERROR(HYPERLINK(VLOOKUP(A336,Internal_lists_bugs!$A$2:$G1014,7,FALSE()),"Intro.Issues: "&amp;VLOOKUP(A336,Internal_lists_bugs!$A$2:$P1014,16,FALSE())),"please select a BUG ID")</f>
        <v>please select a BUG ID</v>
      </c>
      <c r="C336" s="107" t="str">
        <f>IFERROR(VLOOKUP(A336,Internal_lists_bugs!$A$2:$X1014,24,FALSE()),"please select a BUG ID")</f>
        <v>please select a BUG ID</v>
      </c>
      <c r="E336" s="49"/>
      <c r="F336" s="102"/>
      <c r="H336" s="49"/>
      <c r="I336" s="102"/>
      <c r="J336" s="51"/>
    </row>
    <row r="337">
      <c r="A337" s="64"/>
      <c r="B337" s="106" t="str">
        <f>IFERROR(HYPERLINK(VLOOKUP(A337,Internal_lists_bugs!$A$2:$G1014,7,FALSE()),"Intro.Issues: "&amp;VLOOKUP(A337,Internal_lists_bugs!$A$2:$P1014,16,FALSE())),"please select a BUG ID")</f>
        <v>please select a BUG ID</v>
      </c>
      <c r="C337" s="107" t="str">
        <f>IFERROR(VLOOKUP(A337,Internal_lists_bugs!$A$2:$X1014,24,FALSE()),"please select a BUG ID")</f>
        <v>please select a BUG ID</v>
      </c>
      <c r="E337" s="49"/>
      <c r="F337" s="102"/>
      <c r="H337" s="49"/>
      <c r="I337" s="102"/>
      <c r="J337" s="51"/>
    </row>
    <row r="338">
      <c r="A338" s="64"/>
      <c r="B338" s="106" t="str">
        <f>IFERROR(HYPERLINK(VLOOKUP(A338,Internal_lists_bugs!$A$2:$G1014,7,FALSE()),"Intro.Issues: "&amp;VLOOKUP(A338,Internal_lists_bugs!$A$2:$P1014,16,FALSE())),"please select a BUG ID")</f>
        <v>please select a BUG ID</v>
      </c>
      <c r="C338" s="107" t="str">
        <f>IFERROR(VLOOKUP(A338,Internal_lists_bugs!$A$2:$X1014,24,FALSE()),"please select a BUG ID")</f>
        <v>please select a BUG ID</v>
      </c>
      <c r="E338" s="49"/>
      <c r="F338" s="102"/>
      <c r="H338" s="49"/>
      <c r="I338" s="102"/>
      <c r="J338" s="51"/>
    </row>
    <row r="339">
      <c r="A339" s="64"/>
      <c r="B339" s="106" t="str">
        <f>IFERROR(HYPERLINK(VLOOKUP(A339,Internal_lists_bugs!$A$2:$G1014,7,FALSE()),"Intro.Issues: "&amp;VLOOKUP(A339,Internal_lists_bugs!$A$2:$P1014,16,FALSE())),"please select a BUG ID")</f>
        <v>please select a BUG ID</v>
      </c>
      <c r="C339" s="107" t="str">
        <f>IFERROR(VLOOKUP(A339,Internal_lists_bugs!$A$2:$X1014,24,FALSE()),"please select a BUG ID")</f>
        <v>please select a BUG ID</v>
      </c>
      <c r="E339" s="49"/>
      <c r="F339" s="102"/>
      <c r="H339" s="49"/>
      <c r="I339" s="102"/>
      <c r="J339" s="51"/>
    </row>
    <row r="340">
      <c r="A340" s="64"/>
      <c r="B340" s="106" t="str">
        <f>IFERROR(HYPERLINK(VLOOKUP(A340,Internal_lists_bugs!$A$2:$G1014,7,FALSE()),"Intro.Issues: "&amp;VLOOKUP(A340,Internal_lists_bugs!$A$2:$P1014,16,FALSE())),"please select a BUG ID")</f>
        <v>please select a BUG ID</v>
      </c>
      <c r="C340" s="107" t="str">
        <f>IFERROR(VLOOKUP(A340,Internal_lists_bugs!$A$2:$X1014,24,FALSE()),"please select a BUG ID")</f>
        <v>please select a BUG ID</v>
      </c>
      <c r="E340" s="49"/>
      <c r="F340" s="102"/>
      <c r="H340" s="49"/>
      <c r="I340" s="102"/>
      <c r="J340" s="51"/>
    </row>
    <row r="341">
      <c r="A341" s="64"/>
      <c r="B341" s="106" t="str">
        <f>IFERROR(HYPERLINK(VLOOKUP(A341,Internal_lists_bugs!$A$2:$G1014,7,FALSE()),"Intro.Issues: "&amp;VLOOKUP(A341,Internal_lists_bugs!$A$2:$P1014,16,FALSE())),"please select a BUG ID")</f>
        <v>please select a BUG ID</v>
      </c>
      <c r="C341" s="107" t="str">
        <f>IFERROR(VLOOKUP(A341,Internal_lists_bugs!$A$2:$X1014,24,FALSE()),"please select a BUG ID")</f>
        <v>please select a BUG ID</v>
      </c>
      <c r="E341" s="49"/>
      <c r="F341" s="102"/>
      <c r="H341" s="49"/>
      <c r="I341" s="102"/>
      <c r="J341" s="51"/>
    </row>
    <row r="342">
      <c r="A342" s="64"/>
      <c r="B342" s="106" t="str">
        <f>IFERROR(HYPERLINK(VLOOKUP(A342,Internal_lists_bugs!$A$2:$G1014,7,FALSE()),"Intro.Issues: "&amp;VLOOKUP(A342,Internal_lists_bugs!$A$2:$P1014,16,FALSE())),"please select a BUG ID")</f>
        <v>please select a BUG ID</v>
      </c>
      <c r="C342" s="107" t="str">
        <f>IFERROR(VLOOKUP(A342,Internal_lists_bugs!$A$2:$X1014,24,FALSE()),"please select a BUG ID")</f>
        <v>please select a BUG ID</v>
      </c>
      <c r="E342" s="49"/>
      <c r="F342" s="102"/>
      <c r="H342" s="49"/>
      <c r="I342" s="102"/>
      <c r="J342" s="51"/>
    </row>
    <row r="343">
      <c r="A343" s="64"/>
      <c r="B343" s="106" t="str">
        <f>IFERROR(HYPERLINK(VLOOKUP(A343,Internal_lists_bugs!$A$2:$G1014,7,FALSE()),"Intro.Issues: "&amp;VLOOKUP(A343,Internal_lists_bugs!$A$2:$P1014,16,FALSE())),"please select a BUG ID")</f>
        <v>please select a BUG ID</v>
      </c>
      <c r="C343" s="107" t="str">
        <f>IFERROR(VLOOKUP(A343,Internal_lists_bugs!$A$2:$X1014,24,FALSE()),"please select a BUG ID")</f>
        <v>please select a BUG ID</v>
      </c>
      <c r="E343" s="49"/>
      <c r="F343" s="102"/>
      <c r="H343" s="49"/>
      <c r="I343" s="102"/>
      <c r="J343" s="51"/>
    </row>
    <row r="344">
      <c r="A344" s="64"/>
      <c r="B344" s="106" t="str">
        <f>IFERROR(HYPERLINK(VLOOKUP(A344,Internal_lists_bugs!$A$2:$G1014,7,FALSE()),"Intro.Issues: "&amp;VLOOKUP(A344,Internal_lists_bugs!$A$2:$P1014,16,FALSE())),"please select a BUG ID")</f>
        <v>please select a BUG ID</v>
      </c>
      <c r="C344" s="107" t="str">
        <f>IFERROR(VLOOKUP(A344,Internal_lists_bugs!$A$2:$X1014,24,FALSE()),"please select a BUG ID")</f>
        <v>please select a BUG ID</v>
      </c>
      <c r="E344" s="49"/>
      <c r="F344" s="102"/>
      <c r="H344" s="49"/>
      <c r="I344" s="102"/>
      <c r="J344" s="51"/>
    </row>
    <row r="345">
      <c r="A345" s="64"/>
      <c r="B345" s="106" t="str">
        <f>IFERROR(HYPERLINK(VLOOKUP(A345,Internal_lists_bugs!$A$2:$G1014,7,FALSE()),"Intro.Issues: "&amp;VLOOKUP(A345,Internal_lists_bugs!$A$2:$P1014,16,FALSE())),"please select a BUG ID")</f>
        <v>please select a BUG ID</v>
      </c>
      <c r="C345" s="107" t="str">
        <f>IFERROR(VLOOKUP(A345,Internal_lists_bugs!$A$2:$X1014,24,FALSE()),"please select a BUG ID")</f>
        <v>please select a BUG ID</v>
      </c>
      <c r="E345" s="49"/>
      <c r="F345" s="102"/>
      <c r="H345" s="49"/>
      <c r="I345" s="102"/>
      <c r="J345" s="51"/>
    </row>
    <row r="346">
      <c r="A346" s="64"/>
      <c r="B346" s="106" t="str">
        <f>IFERROR(HYPERLINK(VLOOKUP(A346,Internal_lists_bugs!$A$2:$G1014,7,FALSE()),"Intro.Issues: "&amp;VLOOKUP(A346,Internal_lists_bugs!$A$2:$P1014,16,FALSE())),"please select a BUG ID")</f>
        <v>please select a BUG ID</v>
      </c>
      <c r="C346" s="107" t="str">
        <f>IFERROR(VLOOKUP(A346,Internal_lists_bugs!$A$2:$X1014,24,FALSE()),"please select a BUG ID")</f>
        <v>please select a BUG ID</v>
      </c>
      <c r="E346" s="49"/>
      <c r="F346" s="102"/>
      <c r="H346" s="49"/>
      <c r="I346" s="102"/>
      <c r="J346" s="51"/>
    </row>
    <row r="347">
      <c r="A347" s="64"/>
      <c r="B347" s="106" t="str">
        <f>IFERROR(HYPERLINK(VLOOKUP(A347,Internal_lists_bugs!$A$2:$G1014,7,FALSE()),"Intro.Issues: "&amp;VLOOKUP(A347,Internal_lists_bugs!$A$2:$P1014,16,FALSE())),"please select a BUG ID")</f>
        <v>please select a BUG ID</v>
      </c>
      <c r="C347" s="107" t="str">
        <f>IFERROR(VLOOKUP(A347,Internal_lists_bugs!$A$2:$X1014,24,FALSE()),"please select a BUG ID")</f>
        <v>please select a BUG ID</v>
      </c>
      <c r="E347" s="49"/>
      <c r="F347" s="102"/>
      <c r="H347" s="49"/>
      <c r="I347" s="102"/>
      <c r="J347" s="51"/>
    </row>
    <row r="348">
      <c r="A348" s="64"/>
      <c r="B348" s="106" t="str">
        <f>IFERROR(HYPERLINK(VLOOKUP(A348,Internal_lists_bugs!$A$2:$G1014,7,FALSE()),"Intro.Issues: "&amp;VLOOKUP(A348,Internal_lists_bugs!$A$2:$P1014,16,FALSE())),"please select a BUG ID")</f>
        <v>please select a BUG ID</v>
      </c>
      <c r="C348" s="107" t="str">
        <f>IFERROR(VLOOKUP(A348,Internal_lists_bugs!$A$2:$X1014,24,FALSE()),"please select a BUG ID")</f>
        <v>please select a BUG ID</v>
      </c>
      <c r="E348" s="49"/>
      <c r="F348" s="102"/>
      <c r="H348" s="49"/>
      <c r="I348" s="102"/>
      <c r="J348" s="51"/>
    </row>
    <row r="349">
      <c r="A349" s="64"/>
      <c r="B349" s="106" t="str">
        <f>IFERROR(HYPERLINK(VLOOKUP(A349,Internal_lists_bugs!$A$2:$G1014,7,FALSE()),"Intro.Issues: "&amp;VLOOKUP(A349,Internal_lists_bugs!$A$2:$P1014,16,FALSE())),"please select a BUG ID")</f>
        <v>please select a BUG ID</v>
      </c>
      <c r="C349" s="107" t="str">
        <f>IFERROR(VLOOKUP(A349,Internal_lists_bugs!$A$2:$X1014,24,FALSE()),"please select a BUG ID")</f>
        <v>please select a BUG ID</v>
      </c>
      <c r="E349" s="49"/>
      <c r="F349" s="102"/>
      <c r="H349" s="49"/>
      <c r="I349" s="102"/>
      <c r="J349" s="51"/>
    </row>
    <row r="350">
      <c r="A350" s="64"/>
      <c r="B350" s="106" t="str">
        <f>IFERROR(HYPERLINK(VLOOKUP(A350,Internal_lists_bugs!$A$2:$G1014,7,FALSE()),"Intro.Issues: "&amp;VLOOKUP(A350,Internal_lists_bugs!$A$2:$P1014,16,FALSE())),"please select a BUG ID")</f>
        <v>please select a BUG ID</v>
      </c>
      <c r="C350" s="107" t="str">
        <f>IFERROR(VLOOKUP(A350,Internal_lists_bugs!$A$2:$X1014,24,FALSE()),"please select a BUG ID")</f>
        <v>please select a BUG ID</v>
      </c>
      <c r="E350" s="49"/>
      <c r="F350" s="102"/>
      <c r="H350" s="49"/>
      <c r="I350" s="102"/>
      <c r="J350" s="51"/>
    </row>
    <row r="351">
      <c r="A351" s="64"/>
      <c r="B351" s="106" t="str">
        <f>IFERROR(HYPERLINK(VLOOKUP(A351,Internal_lists_bugs!$A$2:$G1014,7,FALSE()),"Intro.Issues: "&amp;VLOOKUP(A351,Internal_lists_bugs!$A$2:$P1014,16,FALSE())),"please select a BUG ID")</f>
        <v>please select a BUG ID</v>
      </c>
      <c r="C351" s="107" t="str">
        <f>IFERROR(VLOOKUP(A351,Internal_lists_bugs!$A$2:$X1014,24,FALSE()),"please select a BUG ID")</f>
        <v>please select a BUG ID</v>
      </c>
      <c r="E351" s="49"/>
      <c r="F351" s="102"/>
      <c r="H351" s="49"/>
      <c r="I351" s="102"/>
      <c r="J351" s="51"/>
    </row>
    <row r="352">
      <c r="A352" s="64"/>
      <c r="B352" s="106" t="str">
        <f>IFERROR(HYPERLINK(VLOOKUP(A352,Internal_lists_bugs!$A$2:$G1014,7,FALSE()),"Intro.Issues: "&amp;VLOOKUP(A352,Internal_lists_bugs!$A$2:$P1014,16,FALSE())),"please select a BUG ID")</f>
        <v>please select a BUG ID</v>
      </c>
      <c r="C352" s="107" t="str">
        <f>IFERROR(VLOOKUP(A352,Internal_lists_bugs!$A$2:$X1014,24,FALSE()),"please select a BUG ID")</f>
        <v>please select a BUG ID</v>
      </c>
      <c r="E352" s="49"/>
      <c r="F352" s="102"/>
      <c r="H352" s="49"/>
      <c r="I352" s="102"/>
      <c r="J352" s="51"/>
    </row>
    <row r="353">
      <c r="A353" s="64"/>
      <c r="B353" s="106" t="str">
        <f>IFERROR(HYPERLINK(VLOOKUP(A353,Internal_lists_bugs!$A$2:$G1014,7,FALSE()),"Intro.Issues: "&amp;VLOOKUP(A353,Internal_lists_bugs!$A$2:$P1014,16,FALSE())),"please select a BUG ID")</f>
        <v>please select a BUG ID</v>
      </c>
      <c r="C353" s="107" t="str">
        <f>IFERROR(VLOOKUP(A353,Internal_lists_bugs!$A$2:$X1014,24,FALSE()),"please select a BUG ID")</f>
        <v>please select a BUG ID</v>
      </c>
      <c r="E353" s="49"/>
      <c r="F353" s="102"/>
      <c r="H353" s="49"/>
      <c r="I353" s="102"/>
      <c r="J353" s="51"/>
    </row>
    <row r="354">
      <c r="A354" s="64"/>
      <c r="B354" s="106" t="str">
        <f>IFERROR(HYPERLINK(VLOOKUP(A354,Internal_lists_bugs!$A$2:$G1014,7,FALSE()),"Intro.Issues: "&amp;VLOOKUP(A354,Internal_lists_bugs!$A$2:$P1014,16,FALSE())),"please select a BUG ID")</f>
        <v>please select a BUG ID</v>
      </c>
      <c r="C354" s="107" t="str">
        <f>IFERROR(VLOOKUP(A354,Internal_lists_bugs!$A$2:$X1014,24,FALSE()),"please select a BUG ID")</f>
        <v>please select a BUG ID</v>
      </c>
      <c r="E354" s="49"/>
      <c r="F354" s="102"/>
      <c r="H354" s="49"/>
      <c r="I354" s="102"/>
      <c r="J354" s="51"/>
    </row>
    <row r="355">
      <c r="A355" s="64"/>
      <c r="B355" s="106" t="str">
        <f>IFERROR(HYPERLINK(VLOOKUP(A355,Internal_lists_bugs!$A$2:$G1014,7,FALSE()),"Intro.Issues: "&amp;VLOOKUP(A355,Internal_lists_bugs!$A$2:$P1014,16,FALSE())),"please select a BUG ID")</f>
        <v>please select a BUG ID</v>
      </c>
      <c r="C355" s="107" t="str">
        <f>IFERROR(VLOOKUP(A355,Internal_lists_bugs!$A$2:$X1014,24,FALSE()),"please select a BUG ID")</f>
        <v>please select a BUG ID</v>
      </c>
      <c r="E355" s="49"/>
      <c r="F355" s="102"/>
      <c r="H355" s="49"/>
      <c r="I355" s="102"/>
      <c r="J355" s="51"/>
    </row>
    <row r="356">
      <c r="A356" s="64"/>
      <c r="B356" s="106" t="str">
        <f>IFERROR(HYPERLINK(VLOOKUP(A356,Internal_lists_bugs!$A$2:$G1014,7,FALSE()),"Intro.Issues: "&amp;VLOOKUP(A356,Internal_lists_bugs!$A$2:$P1014,16,FALSE())),"please select a BUG ID")</f>
        <v>please select a BUG ID</v>
      </c>
      <c r="C356" s="107" t="str">
        <f>IFERROR(VLOOKUP(A356,Internal_lists_bugs!$A$2:$X1014,24,FALSE()),"please select a BUG ID")</f>
        <v>please select a BUG ID</v>
      </c>
      <c r="E356" s="49"/>
      <c r="F356" s="102"/>
      <c r="H356" s="49"/>
      <c r="I356" s="102"/>
      <c r="J356" s="51"/>
    </row>
    <row r="357">
      <c r="A357" s="64"/>
      <c r="B357" s="106" t="str">
        <f>IFERROR(HYPERLINK(VLOOKUP(A357,Internal_lists_bugs!$A$2:$G1014,7,FALSE()),"Intro.Issues: "&amp;VLOOKUP(A357,Internal_lists_bugs!$A$2:$P1014,16,FALSE())),"please select a BUG ID")</f>
        <v>please select a BUG ID</v>
      </c>
      <c r="C357" s="107" t="str">
        <f>IFERROR(VLOOKUP(A357,Internal_lists_bugs!$A$2:$X1014,24,FALSE()),"please select a BUG ID")</f>
        <v>please select a BUG ID</v>
      </c>
      <c r="E357" s="49"/>
      <c r="F357" s="102"/>
      <c r="H357" s="49"/>
      <c r="I357" s="102"/>
      <c r="J357" s="51"/>
    </row>
    <row r="358">
      <c r="A358" s="64"/>
      <c r="B358" s="106" t="str">
        <f>IFERROR(HYPERLINK(VLOOKUP(A358,Internal_lists_bugs!$A$2:$G1014,7,FALSE()),"Intro.Issues: "&amp;VLOOKUP(A358,Internal_lists_bugs!$A$2:$P1014,16,FALSE())),"please select a BUG ID")</f>
        <v>please select a BUG ID</v>
      </c>
      <c r="C358" s="107" t="str">
        <f>IFERROR(VLOOKUP(A358,Internal_lists_bugs!$A$2:$X1014,24,FALSE()),"please select a BUG ID")</f>
        <v>please select a BUG ID</v>
      </c>
      <c r="E358" s="49"/>
      <c r="F358" s="102"/>
      <c r="H358" s="49"/>
      <c r="I358" s="102"/>
      <c r="J358" s="51"/>
    </row>
    <row r="359">
      <c r="A359" s="64"/>
      <c r="B359" s="106" t="str">
        <f>IFERROR(HYPERLINK(VLOOKUP(A359,Internal_lists_bugs!$A$2:$G1014,7,FALSE()),"Intro.Issues: "&amp;VLOOKUP(A359,Internal_lists_bugs!$A$2:$P1014,16,FALSE())),"please select a BUG ID")</f>
        <v>please select a BUG ID</v>
      </c>
      <c r="C359" s="107" t="str">
        <f>IFERROR(VLOOKUP(A359,Internal_lists_bugs!$A$2:$X1014,24,FALSE()),"please select a BUG ID")</f>
        <v>please select a BUG ID</v>
      </c>
      <c r="E359" s="49"/>
      <c r="F359" s="102"/>
      <c r="H359" s="49"/>
      <c r="I359" s="102"/>
      <c r="J359" s="51"/>
    </row>
    <row r="360">
      <c r="A360" s="64"/>
      <c r="B360" s="106" t="str">
        <f>IFERROR(HYPERLINK(VLOOKUP(A360,Internal_lists_bugs!$A$2:$G1014,7,FALSE()),"Intro.Issues: "&amp;VLOOKUP(A360,Internal_lists_bugs!$A$2:$P1014,16,FALSE())),"please select a BUG ID")</f>
        <v>please select a BUG ID</v>
      </c>
      <c r="C360" s="107" t="str">
        <f>IFERROR(VLOOKUP(A360,Internal_lists_bugs!$A$2:$X1014,24,FALSE()),"please select a BUG ID")</f>
        <v>please select a BUG ID</v>
      </c>
      <c r="E360" s="49"/>
      <c r="F360" s="102"/>
      <c r="H360" s="49"/>
      <c r="I360" s="102"/>
      <c r="J360" s="51"/>
    </row>
    <row r="361">
      <c r="A361" s="64"/>
      <c r="B361" s="106" t="str">
        <f>IFERROR(HYPERLINK(VLOOKUP(A361,Internal_lists_bugs!$A$2:$G1014,7,FALSE()),"Intro.Issues: "&amp;VLOOKUP(A361,Internal_lists_bugs!$A$2:$P1014,16,FALSE())),"please select a BUG ID")</f>
        <v>please select a BUG ID</v>
      </c>
      <c r="C361" s="107" t="str">
        <f>IFERROR(VLOOKUP(A361,Internal_lists_bugs!$A$2:$X1014,24,FALSE()),"please select a BUG ID")</f>
        <v>please select a BUG ID</v>
      </c>
      <c r="E361" s="49"/>
      <c r="F361" s="102"/>
      <c r="H361" s="49"/>
      <c r="I361" s="102"/>
      <c r="J361" s="51"/>
    </row>
    <row r="362">
      <c r="A362" s="64"/>
      <c r="B362" s="106" t="str">
        <f>IFERROR(HYPERLINK(VLOOKUP(A362,Internal_lists_bugs!$A$2:$G1014,7,FALSE()),"Intro.Issues: "&amp;VLOOKUP(A362,Internal_lists_bugs!$A$2:$P1014,16,FALSE())),"please select a BUG ID")</f>
        <v>please select a BUG ID</v>
      </c>
      <c r="C362" s="107" t="str">
        <f>IFERROR(VLOOKUP(A362,Internal_lists_bugs!$A$2:$X1014,24,FALSE()),"please select a BUG ID")</f>
        <v>please select a BUG ID</v>
      </c>
      <c r="E362" s="49"/>
      <c r="F362" s="102"/>
      <c r="H362" s="49"/>
      <c r="I362" s="102"/>
      <c r="J362" s="51"/>
    </row>
    <row r="363">
      <c r="A363" s="64"/>
      <c r="B363" s="106" t="str">
        <f>IFERROR(HYPERLINK(VLOOKUP(A363,Internal_lists_bugs!$A$2:$G1014,7,FALSE()),"Intro.Issues: "&amp;VLOOKUP(A363,Internal_lists_bugs!$A$2:$P1014,16,FALSE())),"please select a BUG ID")</f>
        <v>please select a BUG ID</v>
      </c>
      <c r="C363" s="107" t="str">
        <f>IFERROR(VLOOKUP(A363,Internal_lists_bugs!$A$2:$X1014,24,FALSE()),"please select a BUG ID")</f>
        <v>please select a BUG ID</v>
      </c>
      <c r="E363" s="49"/>
      <c r="F363" s="102"/>
      <c r="H363" s="49"/>
      <c r="I363" s="102"/>
      <c r="J363" s="51"/>
    </row>
    <row r="364">
      <c r="A364" s="64"/>
      <c r="B364" s="106" t="str">
        <f>IFERROR(HYPERLINK(VLOOKUP(A364,Internal_lists_bugs!$A$2:$G1014,7,FALSE()),"Intro.Issues: "&amp;VLOOKUP(A364,Internal_lists_bugs!$A$2:$P1014,16,FALSE())),"please select a BUG ID")</f>
        <v>please select a BUG ID</v>
      </c>
      <c r="C364" s="107" t="str">
        <f>IFERROR(VLOOKUP(A364,Internal_lists_bugs!$A$2:$X1014,24,FALSE()),"please select a BUG ID")</f>
        <v>please select a BUG ID</v>
      </c>
      <c r="E364" s="49"/>
      <c r="F364" s="102"/>
      <c r="H364" s="49"/>
      <c r="I364" s="102"/>
      <c r="J364" s="51"/>
    </row>
    <row r="365">
      <c r="A365" s="64"/>
      <c r="B365" s="106" t="str">
        <f>IFERROR(HYPERLINK(VLOOKUP(A365,Internal_lists_bugs!$A$2:$G1014,7,FALSE()),"Intro.Issues: "&amp;VLOOKUP(A365,Internal_lists_bugs!$A$2:$P1014,16,FALSE())),"please select a BUG ID")</f>
        <v>please select a BUG ID</v>
      </c>
      <c r="C365" s="107" t="str">
        <f>IFERROR(VLOOKUP(A365,Internal_lists_bugs!$A$2:$X1014,24,FALSE()),"please select a BUG ID")</f>
        <v>please select a BUG ID</v>
      </c>
      <c r="E365" s="49"/>
      <c r="F365" s="102"/>
      <c r="H365" s="49"/>
      <c r="I365" s="102"/>
      <c r="J365" s="51"/>
    </row>
    <row r="366">
      <c r="A366" s="64"/>
      <c r="B366" s="106" t="str">
        <f>IFERROR(HYPERLINK(VLOOKUP(A366,Internal_lists_bugs!$A$2:$G1014,7,FALSE()),"Intro.Issues: "&amp;VLOOKUP(A366,Internal_lists_bugs!$A$2:$P1014,16,FALSE())),"please select a BUG ID")</f>
        <v>please select a BUG ID</v>
      </c>
      <c r="C366" s="107" t="str">
        <f>IFERROR(VLOOKUP(A366,Internal_lists_bugs!$A$2:$X1014,24,FALSE()),"please select a BUG ID")</f>
        <v>please select a BUG ID</v>
      </c>
      <c r="E366" s="49"/>
      <c r="F366" s="102"/>
      <c r="H366" s="49"/>
      <c r="I366" s="102"/>
      <c r="J366" s="51"/>
    </row>
    <row r="367">
      <c r="A367" s="64"/>
      <c r="B367" s="106" t="str">
        <f>IFERROR(HYPERLINK(VLOOKUP(A367,Internal_lists_bugs!$A$2:$G1014,7,FALSE()),"Intro.Issues: "&amp;VLOOKUP(A367,Internal_lists_bugs!$A$2:$P1014,16,FALSE())),"please select a BUG ID")</f>
        <v>please select a BUG ID</v>
      </c>
      <c r="C367" s="107" t="str">
        <f>IFERROR(VLOOKUP(A367,Internal_lists_bugs!$A$2:$X1014,24,FALSE()),"please select a BUG ID")</f>
        <v>please select a BUG ID</v>
      </c>
      <c r="E367" s="49"/>
      <c r="F367" s="102"/>
      <c r="H367" s="49"/>
      <c r="I367" s="102"/>
      <c r="J367" s="51"/>
    </row>
    <row r="368">
      <c r="A368" s="64"/>
      <c r="B368" s="106" t="str">
        <f>IFERROR(HYPERLINK(VLOOKUP(A368,Internal_lists_bugs!$A$2:$G1014,7,FALSE()),"Intro.Issues: "&amp;VLOOKUP(A368,Internal_lists_bugs!$A$2:$P1014,16,FALSE())),"please select a BUG ID")</f>
        <v>please select a BUG ID</v>
      </c>
      <c r="C368" s="107" t="str">
        <f>IFERROR(VLOOKUP(A368,Internal_lists_bugs!$A$2:$X1014,24,FALSE()),"please select a BUG ID")</f>
        <v>please select a BUG ID</v>
      </c>
      <c r="E368" s="49"/>
      <c r="F368" s="102"/>
      <c r="H368" s="49"/>
      <c r="I368" s="102"/>
      <c r="J368" s="51"/>
    </row>
    <row r="369">
      <c r="A369" s="64"/>
      <c r="B369" s="106" t="str">
        <f>IFERROR(HYPERLINK(VLOOKUP(A369,Internal_lists_bugs!$A$2:$G1014,7,FALSE()),"Intro.Issues: "&amp;VLOOKUP(A369,Internal_lists_bugs!$A$2:$P1014,16,FALSE())),"please select a BUG ID")</f>
        <v>please select a BUG ID</v>
      </c>
      <c r="C369" s="107" t="str">
        <f>IFERROR(VLOOKUP(A369,Internal_lists_bugs!$A$2:$X1014,24,FALSE()),"please select a BUG ID")</f>
        <v>please select a BUG ID</v>
      </c>
      <c r="E369" s="49"/>
      <c r="F369" s="102"/>
      <c r="H369" s="49"/>
      <c r="I369" s="102"/>
      <c r="J369" s="51"/>
    </row>
    <row r="370">
      <c r="A370" s="64"/>
      <c r="B370" s="106" t="str">
        <f>IFERROR(HYPERLINK(VLOOKUP(A370,Internal_lists_bugs!$A$2:$G1014,7,FALSE()),"Intro.Issues: "&amp;VLOOKUP(A370,Internal_lists_bugs!$A$2:$P1014,16,FALSE())),"please select a BUG ID")</f>
        <v>please select a BUG ID</v>
      </c>
      <c r="C370" s="107" t="str">
        <f>IFERROR(VLOOKUP(A370,Internal_lists_bugs!$A$2:$X1014,24,FALSE()),"please select a BUG ID")</f>
        <v>please select a BUG ID</v>
      </c>
      <c r="E370" s="49"/>
      <c r="F370" s="102"/>
      <c r="H370" s="49"/>
      <c r="I370" s="102"/>
      <c r="J370" s="51"/>
    </row>
    <row r="371">
      <c r="A371" s="64"/>
      <c r="B371" s="106" t="str">
        <f>IFERROR(HYPERLINK(VLOOKUP(A371,Internal_lists_bugs!$A$2:$G1014,7,FALSE()),"Intro.Issues: "&amp;VLOOKUP(A371,Internal_lists_bugs!$A$2:$P1014,16,FALSE())),"please select a BUG ID")</f>
        <v>please select a BUG ID</v>
      </c>
      <c r="C371" s="107" t="str">
        <f>IFERROR(VLOOKUP(A371,Internal_lists_bugs!$A$2:$X1014,24,FALSE()),"please select a BUG ID")</f>
        <v>please select a BUG ID</v>
      </c>
      <c r="E371" s="49"/>
      <c r="F371" s="102"/>
      <c r="H371" s="49"/>
      <c r="I371" s="102"/>
      <c r="J371" s="51"/>
    </row>
    <row r="372">
      <c r="A372" s="64"/>
      <c r="B372" s="106" t="str">
        <f>IFERROR(HYPERLINK(VLOOKUP(A372,Internal_lists_bugs!$A$2:$G1014,7,FALSE()),"Intro.Issues: "&amp;VLOOKUP(A372,Internal_lists_bugs!$A$2:$P1014,16,FALSE())),"please select a BUG ID")</f>
        <v>please select a BUG ID</v>
      </c>
      <c r="C372" s="107" t="str">
        <f>IFERROR(VLOOKUP(A372,Internal_lists_bugs!$A$2:$X1014,24,FALSE()),"please select a BUG ID")</f>
        <v>please select a BUG ID</v>
      </c>
      <c r="E372" s="49"/>
      <c r="F372" s="102"/>
      <c r="H372" s="49"/>
      <c r="I372" s="102"/>
      <c r="J372" s="51"/>
    </row>
    <row r="373">
      <c r="A373" s="64"/>
      <c r="B373" s="106" t="str">
        <f>IFERROR(HYPERLINK(VLOOKUP(A373,Internal_lists_bugs!$A$2:$G1014,7,FALSE()),"Intro.Issues: "&amp;VLOOKUP(A373,Internal_lists_bugs!$A$2:$P1014,16,FALSE())),"please select a BUG ID")</f>
        <v>please select a BUG ID</v>
      </c>
      <c r="C373" s="107" t="str">
        <f>IFERROR(VLOOKUP(A373,Internal_lists_bugs!$A$2:$X1014,24,FALSE()),"please select a BUG ID")</f>
        <v>please select a BUG ID</v>
      </c>
      <c r="E373" s="49"/>
      <c r="F373" s="102"/>
      <c r="H373" s="49"/>
      <c r="I373" s="102"/>
      <c r="J373" s="51"/>
    </row>
    <row r="374">
      <c r="A374" s="64"/>
      <c r="B374" s="106" t="str">
        <f>IFERROR(HYPERLINK(VLOOKUP(A374,Internal_lists_bugs!$A$2:$G1014,7,FALSE()),"Intro.Issues: "&amp;VLOOKUP(A374,Internal_lists_bugs!$A$2:$P1014,16,FALSE())),"please select a BUG ID")</f>
        <v>please select a BUG ID</v>
      </c>
      <c r="C374" s="107" t="str">
        <f>IFERROR(VLOOKUP(A374,Internal_lists_bugs!$A$2:$X1014,24,FALSE()),"please select a BUG ID")</f>
        <v>please select a BUG ID</v>
      </c>
      <c r="E374" s="49"/>
      <c r="F374" s="102"/>
      <c r="H374" s="49"/>
      <c r="I374" s="102"/>
      <c r="J374" s="51"/>
    </row>
    <row r="375">
      <c r="A375" s="64"/>
      <c r="B375" s="106" t="str">
        <f>IFERROR(HYPERLINK(VLOOKUP(A375,Internal_lists_bugs!$A$2:$G1014,7,FALSE()),"Intro.Issues: "&amp;VLOOKUP(A375,Internal_lists_bugs!$A$2:$P1014,16,FALSE())),"please select a BUG ID")</f>
        <v>please select a BUG ID</v>
      </c>
      <c r="C375" s="107" t="str">
        <f>IFERROR(VLOOKUP(A375,Internal_lists_bugs!$A$2:$X1014,24,FALSE()),"please select a BUG ID")</f>
        <v>please select a BUG ID</v>
      </c>
      <c r="E375" s="49"/>
      <c r="F375" s="102"/>
      <c r="H375" s="49"/>
      <c r="I375" s="102"/>
      <c r="J375" s="51"/>
    </row>
    <row r="376">
      <c r="A376" s="64"/>
      <c r="B376" s="106" t="str">
        <f>IFERROR(HYPERLINK(VLOOKUP(A376,Internal_lists_bugs!$A$2:$G1014,7,FALSE()),"Intro.Issues: "&amp;VLOOKUP(A376,Internal_lists_bugs!$A$2:$P1014,16,FALSE())),"please select a BUG ID")</f>
        <v>please select a BUG ID</v>
      </c>
      <c r="C376" s="107" t="str">
        <f>IFERROR(VLOOKUP(A376,Internal_lists_bugs!$A$2:$X1014,24,FALSE()),"please select a BUG ID")</f>
        <v>please select a BUG ID</v>
      </c>
      <c r="E376" s="49"/>
      <c r="F376" s="102"/>
      <c r="H376" s="49"/>
      <c r="I376" s="102"/>
      <c r="J376" s="51"/>
    </row>
    <row r="377">
      <c r="A377" s="64"/>
      <c r="B377" s="106" t="str">
        <f>IFERROR(HYPERLINK(VLOOKUP(A377,Internal_lists_bugs!$A$2:$G1014,7,FALSE()),"Intro.Issues: "&amp;VLOOKUP(A377,Internal_lists_bugs!$A$2:$P1014,16,FALSE())),"please select a BUG ID")</f>
        <v>please select a BUG ID</v>
      </c>
      <c r="C377" s="107" t="str">
        <f>IFERROR(VLOOKUP(A377,Internal_lists_bugs!$A$2:$X1014,24,FALSE()),"please select a BUG ID")</f>
        <v>please select a BUG ID</v>
      </c>
      <c r="E377" s="49"/>
      <c r="F377" s="102"/>
      <c r="H377" s="49"/>
      <c r="I377" s="102"/>
      <c r="J377" s="51"/>
    </row>
    <row r="378">
      <c r="A378" s="64"/>
      <c r="B378" s="106" t="str">
        <f>IFERROR(HYPERLINK(VLOOKUP(A378,Internal_lists_bugs!$A$2:$G1014,7,FALSE()),"Intro.Issues: "&amp;VLOOKUP(A378,Internal_lists_bugs!$A$2:$P1014,16,FALSE())),"please select a BUG ID")</f>
        <v>please select a BUG ID</v>
      </c>
      <c r="C378" s="107" t="str">
        <f>IFERROR(VLOOKUP(A378,Internal_lists_bugs!$A$2:$X1014,24,FALSE()),"please select a BUG ID")</f>
        <v>please select a BUG ID</v>
      </c>
      <c r="E378" s="49"/>
      <c r="F378" s="102"/>
      <c r="H378" s="49"/>
      <c r="I378" s="102"/>
      <c r="J378" s="51"/>
    </row>
    <row r="379">
      <c r="A379" s="64"/>
      <c r="B379" s="106" t="str">
        <f>IFERROR(HYPERLINK(VLOOKUP(A379,Internal_lists_bugs!$A$2:$G1014,7,FALSE()),"Intro.Issues: "&amp;VLOOKUP(A379,Internal_lists_bugs!$A$2:$P1014,16,FALSE())),"please select a BUG ID")</f>
        <v>please select a BUG ID</v>
      </c>
      <c r="C379" s="107" t="str">
        <f>IFERROR(VLOOKUP(A379,Internal_lists_bugs!$A$2:$X1014,24,FALSE()),"please select a BUG ID")</f>
        <v>please select a BUG ID</v>
      </c>
      <c r="E379" s="49"/>
      <c r="F379" s="102"/>
      <c r="H379" s="49"/>
      <c r="I379" s="102"/>
      <c r="J379" s="51"/>
    </row>
    <row r="380">
      <c r="A380" s="64"/>
      <c r="B380" s="106" t="str">
        <f>IFERROR(HYPERLINK(VLOOKUP(A380,Internal_lists_bugs!$A$2:$G1014,7,FALSE()),"Intro.Issues: "&amp;VLOOKUP(A380,Internal_lists_bugs!$A$2:$P1014,16,FALSE())),"please select a BUG ID")</f>
        <v>please select a BUG ID</v>
      </c>
      <c r="C380" s="107" t="str">
        <f>IFERROR(VLOOKUP(A380,Internal_lists_bugs!$A$2:$X1014,24,FALSE()),"please select a BUG ID")</f>
        <v>please select a BUG ID</v>
      </c>
      <c r="E380" s="49"/>
      <c r="F380" s="102"/>
      <c r="H380" s="49"/>
      <c r="I380" s="102"/>
      <c r="J380" s="51"/>
    </row>
    <row r="381">
      <c r="A381" s="64"/>
      <c r="B381" s="106" t="str">
        <f>IFERROR(HYPERLINK(VLOOKUP(A381,Internal_lists_bugs!$A$2:$G1014,7,FALSE()),"Intro.Issues: "&amp;VLOOKUP(A381,Internal_lists_bugs!$A$2:$P1014,16,FALSE())),"please select a BUG ID")</f>
        <v>please select a BUG ID</v>
      </c>
      <c r="C381" s="107" t="str">
        <f>IFERROR(VLOOKUP(A381,Internal_lists_bugs!$A$2:$X1014,24,FALSE()),"please select a BUG ID")</f>
        <v>please select a BUG ID</v>
      </c>
      <c r="E381" s="49"/>
      <c r="F381" s="102"/>
      <c r="H381" s="49"/>
      <c r="I381" s="102"/>
      <c r="J381" s="51"/>
    </row>
    <row r="382">
      <c r="A382" s="64"/>
      <c r="B382" s="106" t="str">
        <f>IFERROR(HYPERLINK(VLOOKUP(A382,Internal_lists_bugs!$A$2:$G1014,7,FALSE()),"Intro.Issues: "&amp;VLOOKUP(A382,Internal_lists_bugs!$A$2:$P1014,16,FALSE())),"please select a BUG ID")</f>
        <v>please select a BUG ID</v>
      </c>
      <c r="C382" s="107" t="str">
        <f>IFERROR(VLOOKUP(A382,Internal_lists_bugs!$A$2:$X1014,24,FALSE()),"please select a BUG ID")</f>
        <v>please select a BUG ID</v>
      </c>
      <c r="E382" s="49"/>
      <c r="F382" s="102"/>
      <c r="H382" s="49"/>
      <c r="I382" s="102"/>
      <c r="J382" s="51"/>
    </row>
    <row r="383">
      <c r="A383" s="64"/>
      <c r="B383" s="106" t="str">
        <f>IFERROR(HYPERLINK(VLOOKUP(A383,Internal_lists_bugs!$A$2:$G1014,7,FALSE()),"Intro.Issues: "&amp;VLOOKUP(A383,Internal_lists_bugs!$A$2:$P1014,16,FALSE())),"please select a BUG ID")</f>
        <v>please select a BUG ID</v>
      </c>
      <c r="C383" s="107" t="str">
        <f>IFERROR(VLOOKUP(A383,Internal_lists_bugs!$A$2:$X1014,24,FALSE()),"please select a BUG ID")</f>
        <v>please select a BUG ID</v>
      </c>
      <c r="E383" s="49"/>
      <c r="F383" s="102"/>
      <c r="H383" s="49"/>
      <c r="I383" s="102"/>
      <c r="J383" s="51"/>
    </row>
    <row r="384">
      <c r="A384" s="64"/>
      <c r="B384" s="106" t="str">
        <f>IFERROR(HYPERLINK(VLOOKUP(A384,Internal_lists_bugs!$A$2:$G1014,7,FALSE()),"Intro.Issues: "&amp;VLOOKUP(A384,Internal_lists_bugs!$A$2:$P1014,16,FALSE())),"please select a BUG ID")</f>
        <v>please select a BUG ID</v>
      </c>
      <c r="C384" s="107" t="str">
        <f>IFERROR(VLOOKUP(A384,Internal_lists_bugs!$A$2:$X1014,24,FALSE()),"please select a BUG ID")</f>
        <v>please select a BUG ID</v>
      </c>
      <c r="E384" s="49"/>
      <c r="F384" s="102"/>
      <c r="H384" s="49"/>
      <c r="I384" s="102"/>
      <c r="J384" s="51"/>
    </row>
    <row r="385">
      <c r="A385" s="64"/>
      <c r="B385" s="106" t="str">
        <f>IFERROR(HYPERLINK(VLOOKUP(A385,Internal_lists_bugs!$A$2:$G1014,7,FALSE()),"Intro.Issues: "&amp;VLOOKUP(A385,Internal_lists_bugs!$A$2:$P1014,16,FALSE())),"please select a BUG ID")</f>
        <v>please select a BUG ID</v>
      </c>
      <c r="C385" s="107" t="str">
        <f>IFERROR(VLOOKUP(A385,Internal_lists_bugs!$A$2:$X1014,24,FALSE()),"please select a BUG ID")</f>
        <v>please select a BUG ID</v>
      </c>
      <c r="E385" s="49"/>
      <c r="F385" s="102"/>
      <c r="H385" s="49"/>
      <c r="I385" s="102"/>
      <c r="J385" s="51"/>
    </row>
    <row r="386">
      <c r="A386" s="64"/>
      <c r="B386" s="106" t="str">
        <f>IFERROR(HYPERLINK(VLOOKUP(A386,Internal_lists_bugs!$A$2:$G1014,7,FALSE()),"Intro.Issues: "&amp;VLOOKUP(A386,Internal_lists_bugs!$A$2:$P1014,16,FALSE())),"please select a BUG ID")</f>
        <v>please select a BUG ID</v>
      </c>
      <c r="C386" s="107" t="str">
        <f>IFERROR(VLOOKUP(A386,Internal_lists_bugs!$A$2:$X1014,24,FALSE()),"please select a BUG ID")</f>
        <v>please select a BUG ID</v>
      </c>
      <c r="E386" s="49"/>
      <c r="F386" s="102"/>
      <c r="H386" s="49"/>
      <c r="I386" s="102"/>
      <c r="J386" s="51"/>
    </row>
    <row r="387">
      <c r="A387" s="64"/>
      <c r="B387" s="106" t="str">
        <f>IFERROR(HYPERLINK(VLOOKUP(A387,Internal_lists_bugs!$A$2:$G1014,7,FALSE()),"Intro.Issues: "&amp;VLOOKUP(A387,Internal_lists_bugs!$A$2:$P1014,16,FALSE())),"please select a BUG ID")</f>
        <v>please select a BUG ID</v>
      </c>
      <c r="C387" s="107" t="str">
        <f>IFERROR(VLOOKUP(A387,Internal_lists_bugs!$A$2:$X1014,24,FALSE()),"please select a BUG ID")</f>
        <v>please select a BUG ID</v>
      </c>
      <c r="E387" s="49"/>
      <c r="F387" s="102"/>
      <c r="H387" s="49"/>
      <c r="I387" s="102"/>
      <c r="J387" s="51"/>
    </row>
    <row r="388">
      <c r="A388" s="64"/>
      <c r="B388" s="106" t="str">
        <f>IFERROR(HYPERLINK(VLOOKUP(A388,Internal_lists_bugs!$A$2:$G1014,7,FALSE()),"Intro.Issues: "&amp;VLOOKUP(A388,Internal_lists_bugs!$A$2:$P1014,16,FALSE())),"please select a BUG ID")</f>
        <v>please select a BUG ID</v>
      </c>
      <c r="C388" s="107" t="str">
        <f>IFERROR(VLOOKUP(A388,Internal_lists_bugs!$A$2:$X1014,24,FALSE()),"please select a BUG ID")</f>
        <v>please select a BUG ID</v>
      </c>
      <c r="E388" s="49"/>
      <c r="F388" s="102"/>
      <c r="H388" s="49"/>
      <c r="I388" s="102"/>
      <c r="J388" s="51"/>
    </row>
    <row r="389">
      <c r="A389" s="64"/>
      <c r="B389" s="106" t="str">
        <f>IFERROR(HYPERLINK(VLOOKUP(A389,Internal_lists_bugs!$A$2:$G1014,7,FALSE()),"Intro.Issues: "&amp;VLOOKUP(A389,Internal_lists_bugs!$A$2:$P1014,16,FALSE())),"please select a BUG ID")</f>
        <v>please select a BUG ID</v>
      </c>
      <c r="C389" s="107" t="str">
        <f>IFERROR(VLOOKUP(A389,Internal_lists_bugs!$A$2:$X1014,24,FALSE()),"please select a BUG ID")</f>
        <v>please select a BUG ID</v>
      </c>
      <c r="E389" s="49"/>
      <c r="F389" s="102"/>
      <c r="H389" s="49"/>
      <c r="I389" s="102"/>
      <c r="J389" s="51"/>
    </row>
    <row r="390">
      <c r="A390" s="64"/>
      <c r="B390" s="106" t="str">
        <f>IFERROR(HYPERLINK(VLOOKUP(A390,Internal_lists_bugs!$A$2:$G1014,7,FALSE()),"Intro.Issues: "&amp;VLOOKUP(A390,Internal_lists_bugs!$A$2:$P1014,16,FALSE())),"please select a BUG ID")</f>
        <v>please select a BUG ID</v>
      </c>
      <c r="C390" s="107" t="str">
        <f>IFERROR(VLOOKUP(A390,Internal_lists_bugs!$A$2:$X1014,24,FALSE()),"please select a BUG ID")</f>
        <v>please select a BUG ID</v>
      </c>
      <c r="E390" s="49"/>
      <c r="F390" s="102"/>
      <c r="H390" s="49"/>
      <c r="I390" s="102"/>
      <c r="J390" s="51"/>
    </row>
    <row r="391">
      <c r="A391" s="64"/>
      <c r="B391" s="106" t="str">
        <f>IFERROR(HYPERLINK(VLOOKUP(A391,Internal_lists_bugs!$A$2:$G1014,7,FALSE()),"Intro.Issues: "&amp;VLOOKUP(A391,Internal_lists_bugs!$A$2:$P1014,16,FALSE())),"please select a BUG ID")</f>
        <v>please select a BUG ID</v>
      </c>
      <c r="C391" s="107" t="str">
        <f>IFERROR(VLOOKUP(A391,Internal_lists_bugs!$A$2:$X1014,24,FALSE()),"please select a BUG ID")</f>
        <v>please select a BUG ID</v>
      </c>
      <c r="E391" s="49"/>
      <c r="F391" s="102"/>
      <c r="H391" s="49"/>
      <c r="I391" s="102"/>
      <c r="J391" s="51"/>
    </row>
    <row r="392">
      <c r="A392" s="64"/>
      <c r="B392" s="106" t="str">
        <f>IFERROR(HYPERLINK(VLOOKUP(A392,Internal_lists_bugs!$A$2:$G1014,7,FALSE()),"Intro.Issues: "&amp;VLOOKUP(A392,Internal_lists_bugs!$A$2:$P1014,16,FALSE())),"please select a BUG ID")</f>
        <v>please select a BUG ID</v>
      </c>
      <c r="C392" s="107" t="str">
        <f>IFERROR(VLOOKUP(A392,Internal_lists_bugs!$A$2:$X1014,24,FALSE()),"please select a BUG ID")</f>
        <v>please select a BUG ID</v>
      </c>
      <c r="E392" s="49"/>
      <c r="F392" s="102"/>
      <c r="H392" s="49"/>
      <c r="I392" s="102"/>
      <c r="J392" s="51"/>
    </row>
    <row r="393">
      <c r="A393" s="64"/>
      <c r="B393" s="106" t="str">
        <f>IFERROR(HYPERLINK(VLOOKUP(A393,Internal_lists_bugs!$A$2:$G1014,7,FALSE()),"Intro.Issues: "&amp;VLOOKUP(A393,Internal_lists_bugs!$A$2:$P1014,16,FALSE())),"please select a BUG ID")</f>
        <v>please select a BUG ID</v>
      </c>
      <c r="C393" s="107" t="str">
        <f>IFERROR(VLOOKUP(A393,Internal_lists_bugs!$A$2:$X1014,24,FALSE()),"please select a BUG ID")</f>
        <v>please select a BUG ID</v>
      </c>
      <c r="E393" s="49"/>
      <c r="F393" s="102"/>
      <c r="H393" s="49"/>
      <c r="I393" s="102"/>
      <c r="J393" s="51"/>
    </row>
    <row r="394">
      <c r="A394" s="64"/>
      <c r="B394" s="106" t="str">
        <f>IFERROR(HYPERLINK(VLOOKUP(A394,Internal_lists_bugs!$A$2:$G1014,7,FALSE()),"Intro.Issues: "&amp;VLOOKUP(A394,Internal_lists_bugs!$A$2:$P1014,16,FALSE())),"please select a BUG ID")</f>
        <v>please select a BUG ID</v>
      </c>
      <c r="C394" s="107" t="str">
        <f>IFERROR(VLOOKUP(A394,Internal_lists_bugs!$A$2:$X1014,24,FALSE()),"please select a BUG ID")</f>
        <v>please select a BUG ID</v>
      </c>
      <c r="E394" s="49"/>
      <c r="F394" s="102"/>
      <c r="H394" s="49"/>
      <c r="I394" s="102"/>
      <c r="J394" s="51"/>
    </row>
    <row r="395">
      <c r="A395" s="64"/>
      <c r="B395" s="106" t="str">
        <f>IFERROR(HYPERLINK(VLOOKUP(A395,Internal_lists_bugs!$A$2:$G1014,7,FALSE()),"Intro.Issues: "&amp;VLOOKUP(A395,Internal_lists_bugs!$A$2:$P1014,16,FALSE())),"please select a BUG ID")</f>
        <v>please select a BUG ID</v>
      </c>
      <c r="C395" s="107" t="str">
        <f>IFERROR(VLOOKUP(A395,Internal_lists_bugs!$A$2:$X1014,24,FALSE()),"please select a BUG ID")</f>
        <v>please select a BUG ID</v>
      </c>
      <c r="E395" s="49"/>
      <c r="F395" s="102"/>
      <c r="H395" s="49"/>
      <c r="I395" s="102"/>
      <c r="J395" s="51"/>
    </row>
    <row r="396">
      <c r="A396" s="64"/>
      <c r="B396" s="106" t="str">
        <f>IFERROR(HYPERLINK(VLOOKUP(A396,Internal_lists_bugs!$A$2:$G1014,7,FALSE()),"Intro.Issues: "&amp;VLOOKUP(A396,Internal_lists_bugs!$A$2:$P1014,16,FALSE())),"please select a BUG ID")</f>
        <v>please select a BUG ID</v>
      </c>
      <c r="C396" s="107" t="str">
        <f>IFERROR(VLOOKUP(A396,Internal_lists_bugs!$A$2:$X1014,24,FALSE()),"please select a BUG ID")</f>
        <v>please select a BUG ID</v>
      </c>
      <c r="E396" s="49"/>
      <c r="F396" s="102"/>
      <c r="H396" s="49"/>
      <c r="I396" s="102"/>
      <c r="J396" s="51"/>
    </row>
    <row r="397">
      <c r="A397" s="64"/>
      <c r="B397" s="106" t="str">
        <f>IFERROR(HYPERLINK(VLOOKUP(A397,Internal_lists_bugs!$A$2:$G1014,7,FALSE()),"Intro.Issues: "&amp;VLOOKUP(A397,Internal_lists_bugs!$A$2:$P1014,16,FALSE())),"please select a BUG ID")</f>
        <v>please select a BUG ID</v>
      </c>
      <c r="C397" s="107" t="str">
        <f>IFERROR(VLOOKUP(A397,Internal_lists_bugs!$A$2:$X1014,24,FALSE()),"please select a BUG ID")</f>
        <v>please select a BUG ID</v>
      </c>
      <c r="E397" s="49"/>
      <c r="F397" s="102"/>
      <c r="H397" s="49"/>
      <c r="I397" s="102"/>
      <c r="J397" s="51"/>
    </row>
    <row r="398">
      <c r="A398" s="64"/>
      <c r="B398" s="106" t="str">
        <f>IFERROR(HYPERLINK(VLOOKUP(A398,Internal_lists_bugs!$A$2:$G1014,7,FALSE()),"Intro.Issues: "&amp;VLOOKUP(A398,Internal_lists_bugs!$A$2:$P1014,16,FALSE())),"please select a BUG ID")</f>
        <v>please select a BUG ID</v>
      </c>
      <c r="C398" s="107" t="str">
        <f>IFERROR(VLOOKUP(A398,Internal_lists_bugs!$A$2:$X1014,24,FALSE()),"please select a BUG ID")</f>
        <v>please select a BUG ID</v>
      </c>
      <c r="E398" s="49"/>
      <c r="F398" s="102"/>
      <c r="H398" s="49"/>
      <c r="I398" s="102"/>
      <c r="J398" s="51"/>
    </row>
    <row r="399">
      <c r="A399" s="64"/>
      <c r="B399" s="106" t="str">
        <f>IFERROR(HYPERLINK(VLOOKUP(A399,Internal_lists_bugs!$A$2:$G1014,7,FALSE()),"Intro.Issues: "&amp;VLOOKUP(A399,Internal_lists_bugs!$A$2:$P1014,16,FALSE())),"please select a BUG ID")</f>
        <v>please select a BUG ID</v>
      </c>
      <c r="C399" s="107" t="str">
        <f>IFERROR(VLOOKUP(A399,Internal_lists_bugs!$A$2:$X1014,24,FALSE()),"please select a BUG ID")</f>
        <v>please select a BUG ID</v>
      </c>
      <c r="E399" s="49"/>
      <c r="F399" s="102"/>
      <c r="H399" s="49"/>
      <c r="I399" s="102"/>
      <c r="J399" s="51"/>
    </row>
    <row r="400">
      <c r="A400" s="64"/>
      <c r="B400" s="106" t="str">
        <f>IFERROR(HYPERLINK(VLOOKUP(A400,Internal_lists_bugs!$A$2:$G1014,7,FALSE()),"Intro.Issues: "&amp;VLOOKUP(A400,Internal_lists_bugs!$A$2:$P1014,16,FALSE())),"please select a BUG ID")</f>
        <v>please select a BUG ID</v>
      </c>
      <c r="C400" s="107" t="str">
        <f>IFERROR(VLOOKUP(A400,Internal_lists_bugs!$A$2:$X1014,24,FALSE()),"please select a BUG ID")</f>
        <v>please select a BUG ID</v>
      </c>
      <c r="E400" s="49"/>
      <c r="F400" s="102"/>
      <c r="H400" s="49"/>
      <c r="I400" s="102"/>
      <c r="J400" s="51"/>
    </row>
    <row r="401">
      <c r="A401" s="64"/>
      <c r="B401" s="106" t="str">
        <f>IFERROR(HYPERLINK(VLOOKUP(A401,Internal_lists_bugs!$A$2:$G1014,7,FALSE()),"Intro.Issues: "&amp;VLOOKUP(A401,Internal_lists_bugs!$A$2:$P1014,16,FALSE())),"please select a BUG ID")</f>
        <v>please select a BUG ID</v>
      </c>
      <c r="C401" s="107" t="str">
        <f>IFERROR(VLOOKUP(A401,Internal_lists_bugs!$A$2:$X1014,24,FALSE()),"please select a BUG ID")</f>
        <v>please select a BUG ID</v>
      </c>
      <c r="E401" s="49"/>
      <c r="F401" s="102"/>
      <c r="H401" s="49"/>
      <c r="I401" s="102"/>
      <c r="J401" s="51"/>
    </row>
    <row r="402">
      <c r="A402" s="64"/>
      <c r="B402" s="106" t="str">
        <f>IFERROR(HYPERLINK(VLOOKUP(A402,Internal_lists_bugs!$A$2:$G1014,7,FALSE()),"Intro.Issues: "&amp;VLOOKUP(A402,Internal_lists_bugs!$A$2:$P1014,16,FALSE())),"please select a BUG ID")</f>
        <v>please select a BUG ID</v>
      </c>
      <c r="C402" s="107" t="str">
        <f>IFERROR(VLOOKUP(A402,Internal_lists_bugs!$A$2:$X1014,24,FALSE()),"please select a BUG ID")</f>
        <v>please select a BUG ID</v>
      </c>
      <c r="E402" s="49"/>
      <c r="F402" s="102"/>
      <c r="H402" s="49"/>
      <c r="I402" s="102"/>
      <c r="J402" s="51"/>
    </row>
    <row r="403">
      <c r="A403" s="64"/>
      <c r="B403" s="106" t="str">
        <f>IFERROR(HYPERLINK(VLOOKUP(A403,Internal_lists_bugs!$A$2:$G1014,7,FALSE()),"Intro.Issues: "&amp;VLOOKUP(A403,Internal_lists_bugs!$A$2:$P1014,16,FALSE())),"please select a BUG ID")</f>
        <v>please select a BUG ID</v>
      </c>
      <c r="C403" s="107" t="str">
        <f>IFERROR(VLOOKUP(A403,Internal_lists_bugs!$A$2:$X1014,24,FALSE()),"please select a BUG ID")</f>
        <v>please select a BUG ID</v>
      </c>
      <c r="E403" s="49"/>
      <c r="F403" s="102"/>
      <c r="H403" s="49"/>
      <c r="I403" s="102"/>
      <c r="J403" s="51"/>
    </row>
    <row r="404">
      <c r="A404" s="64"/>
      <c r="B404" s="106" t="str">
        <f>IFERROR(HYPERLINK(VLOOKUP(A404,Internal_lists_bugs!$A$2:$G1014,7,FALSE()),"Intro.Issues: "&amp;VLOOKUP(A404,Internal_lists_bugs!$A$2:$P1014,16,FALSE())),"please select a BUG ID")</f>
        <v>please select a BUG ID</v>
      </c>
      <c r="C404" s="107" t="str">
        <f>IFERROR(VLOOKUP(A404,Internal_lists_bugs!$A$2:$X1014,24,FALSE()),"please select a BUG ID")</f>
        <v>please select a BUG ID</v>
      </c>
      <c r="E404" s="49"/>
      <c r="F404" s="102"/>
      <c r="H404" s="49"/>
      <c r="I404" s="102"/>
      <c r="J404" s="51"/>
    </row>
    <row r="405">
      <c r="A405" s="64"/>
      <c r="B405" s="106" t="str">
        <f>IFERROR(HYPERLINK(VLOOKUP(A405,Internal_lists_bugs!$A$2:$G1014,7,FALSE()),"Intro.Issues: "&amp;VLOOKUP(A405,Internal_lists_bugs!$A$2:$P1014,16,FALSE())),"please select a BUG ID")</f>
        <v>please select a BUG ID</v>
      </c>
      <c r="C405" s="107" t="str">
        <f>IFERROR(VLOOKUP(A405,Internal_lists_bugs!$A$2:$X1014,24,FALSE()),"please select a BUG ID")</f>
        <v>please select a BUG ID</v>
      </c>
      <c r="E405" s="49"/>
      <c r="F405" s="102"/>
      <c r="H405" s="49"/>
      <c r="I405" s="102"/>
      <c r="J405" s="51"/>
    </row>
    <row r="406">
      <c r="A406" s="64"/>
      <c r="B406" s="106" t="str">
        <f>IFERROR(HYPERLINK(VLOOKUP(A406,Internal_lists_bugs!$A$2:$G1014,7,FALSE()),"Intro.Issues: "&amp;VLOOKUP(A406,Internal_lists_bugs!$A$2:$P1014,16,FALSE())),"please select a BUG ID")</f>
        <v>please select a BUG ID</v>
      </c>
      <c r="C406" s="107" t="str">
        <f>IFERROR(VLOOKUP(A406,Internal_lists_bugs!$A$2:$X1014,24,FALSE()),"please select a BUG ID")</f>
        <v>please select a BUG ID</v>
      </c>
      <c r="E406" s="49"/>
      <c r="F406" s="102"/>
      <c r="H406" s="49"/>
      <c r="I406" s="102"/>
      <c r="J406" s="51"/>
    </row>
    <row r="407">
      <c r="A407" s="64"/>
      <c r="B407" s="106" t="str">
        <f>IFERROR(HYPERLINK(VLOOKUP(A407,Internal_lists_bugs!$A$2:$G1014,7,FALSE()),"Intro.Issues: "&amp;VLOOKUP(A407,Internal_lists_bugs!$A$2:$P1014,16,FALSE())),"please select a BUG ID")</f>
        <v>please select a BUG ID</v>
      </c>
      <c r="C407" s="107" t="str">
        <f>IFERROR(VLOOKUP(A407,Internal_lists_bugs!$A$2:$X1014,24,FALSE()),"please select a BUG ID")</f>
        <v>please select a BUG ID</v>
      </c>
      <c r="E407" s="49"/>
      <c r="F407" s="102"/>
      <c r="H407" s="49"/>
      <c r="I407" s="102"/>
      <c r="J407" s="51"/>
    </row>
    <row r="408">
      <c r="A408" s="64"/>
      <c r="B408" s="106" t="str">
        <f>IFERROR(HYPERLINK(VLOOKUP(A408,Internal_lists_bugs!$A$2:$G1014,7,FALSE()),"Intro.Issues: "&amp;VLOOKUP(A408,Internal_lists_bugs!$A$2:$P1014,16,FALSE())),"please select a BUG ID")</f>
        <v>please select a BUG ID</v>
      </c>
      <c r="C408" s="107" t="str">
        <f>IFERROR(VLOOKUP(A408,Internal_lists_bugs!$A$2:$X1014,24,FALSE()),"please select a BUG ID")</f>
        <v>please select a BUG ID</v>
      </c>
      <c r="E408" s="49"/>
      <c r="F408" s="102"/>
      <c r="H408" s="49"/>
      <c r="I408" s="102"/>
      <c r="J408" s="51"/>
    </row>
    <row r="409">
      <c r="A409" s="64"/>
      <c r="B409" s="106" t="str">
        <f>IFERROR(HYPERLINK(VLOOKUP(A409,Internal_lists_bugs!$A$2:$G1014,7,FALSE()),"Intro.Issues: "&amp;VLOOKUP(A409,Internal_lists_bugs!$A$2:$P1014,16,FALSE())),"please select a BUG ID")</f>
        <v>please select a BUG ID</v>
      </c>
      <c r="C409" s="107" t="str">
        <f>IFERROR(VLOOKUP(A409,Internal_lists_bugs!$A$2:$X1014,24,FALSE()),"please select a BUG ID")</f>
        <v>please select a BUG ID</v>
      </c>
      <c r="E409" s="49"/>
      <c r="F409" s="102"/>
      <c r="H409" s="49"/>
      <c r="I409" s="102"/>
      <c r="J409" s="51"/>
    </row>
    <row r="410">
      <c r="A410" s="64"/>
      <c r="B410" s="106" t="str">
        <f>IFERROR(HYPERLINK(VLOOKUP(A410,Internal_lists_bugs!$A$2:$G1014,7,FALSE()),"Intro.Issues: "&amp;VLOOKUP(A410,Internal_lists_bugs!$A$2:$P1014,16,FALSE())),"please select a BUG ID")</f>
        <v>please select a BUG ID</v>
      </c>
      <c r="C410" s="107" t="str">
        <f>IFERROR(VLOOKUP(A410,Internal_lists_bugs!$A$2:$X1014,24,FALSE()),"please select a BUG ID")</f>
        <v>please select a BUG ID</v>
      </c>
      <c r="E410" s="49"/>
      <c r="F410" s="102"/>
      <c r="H410" s="49"/>
      <c r="I410" s="102"/>
      <c r="J410" s="51"/>
    </row>
    <row r="411">
      <c r="A411" s="64"/>
      <c r="B411" s="106" t="str">
        <f>IFERROR(HYPERLINK(VLOOKUP(A411,Internal_lists_bugs!$A$2:$G1014,7,FALSE()),"Intro.Issues: "&amp;VLOOKUP(A411,Internal_lists_bugs!$A$2:$P1014,16,FALSE())),"please select a BUG ID")</f>
        <v>please select a BUG ID</v>
      </c>
      <c r="C411" s="107" t="str">
        <f>IFERROR(VLOOKUP(A411,Internal_lists_bugs!$A$2:$X1014,24,FALSE()),"please select a BUG ID")</f>
        <v>please select a BUG ID</v>
      </c>
      <c r="E411" s="49"/>
      <c r="F411" s="102"/>
      <c r="H411" s="49"/>
      <c r="I411" s="102"/>
      <c r="J411" s="51"/>
    </row>
    <row r="412">
      <c r="A412" s="64"/>
      <c r="B412" s="106" t="str">
        <f>IFERROR(HYPERLINK(VLOOKUP(A412,Internal_lists_bugs!$A$2:$G1014,7,FALSE()),"Intro.Issues: "&amp;VLOOKUP(A412,Internal_lists_bugs!$A$2:$P1014,16,FALSE())),"please select a BUG ID")</f>
        <v>please select a BUG ID</v>
      </c>
      <c r="C412" s="107" t="str">
        <f>IFERROR(VLOOKUP(A412,Internal_lists_bugs!$A$2:$X1014,24,FALSE()),"please select a BUG ID")</f>
        <v>please select a BUG ID</v>
      </c>
      <c r="E412" s="49"/>
      <c r="F412" s="102"/>
      <c r="H412" s="49"/>
      <c r="I412" s="102"/>
      <c r="J412" s="51"/>
    </row>
    <row r="413">
      <c r="A413" s="64"/>
      <c r="B413" s="106" t="str">
        <f>IFERROR(HYPERLINK(VLOOKUP(A413,Internal_lists_bugs!$A$2:$G1014,7,FALSE()),"Intro.Issues: "&amp;VLOOKUP(A413,Internal_lists_bugs!$A$2:$P1014,16,FALSE())),"please select a BUG ID")</f>
        <v>please select a BUG ID</v>
      </c>
      <c r="C413" s="107" t="str">
        <f>IFERROR(VLOOKUP(A413,Internal_lists_bugs!$A$2:$X1014,24,FALSE()),"please select a BUG ID")</f>
        <v>please select a BUG ID</v>
      </c>
      <c r="E413" s="49"/>
      <c r="F413" s="102"/>
      <c r="H413" s="49"/>
      <c r="I413" s="102"/>
      <c r="J413" s="51"/>
    </row>
    <row r="414">
      <c r="A414" s="64"/>
      <c r="B414" s="106" t="str">
        <f>IFERROR(HYPERLINK(VLOOKUP(A414,Internal_lists_bugs!$A$2:$G1014,7,FALSE()),"Intro.Issues: "&amp;VLOOKUP(A414,Internal_lists_bugs!$A$2:$P1014,16,FALSE())),"please select a BUG ID")</f>
        <v>please select a BUG ID</v>
      </c>
      <c r="C414" s="107" t="str">
        <f>IFERROR(VLOOKUP(A414,Internal_lists_bugs!$A$2:$X1014,24,FALSE()),"please select a BUG ID")</f>
        <v>please select a BUG ID</v>
      </c>
      <c r="E414" s="49"/>
      <c r="F414" s="102"/>
      <c r="H414" s="49"/>
      <c r="I414" s="102"/>
      <c r="J414" s="51"/>
    </row>
    <row r="415">
      <c r="A415" s="64"/>
      <c r="B415" s="106" t="str">
        <f>IFERROR(HYPERLINK(VLOOKUP(A415,Internal_lists_bugs!$A$2:$G1014,7,FALSE()),"Intro.Issues: "&amp;VLOOKUP(A415,Internal_lists_bugs!$A$2:$P1014,16,FALSE())),"please select a BUG ID")</f>
        <v>please select a BUG ID</v>
      </c>
      <c r="C415" s="107" t="str">
        <f>IFERROR(VLOOKUP(A415,Internal_lists_bugs!$A$2:$X1014,24,FALSE()),"please select a BUG ID")</f>
        <v>please select a BUG ID</v>
      </c>
      <c r="E415" s="49"/>
      <c r="F415" s="102"/>
      <c r="H415" s="49"/>
      <c r="I415" s="102"/>
      <c r="J415" s="51"/>
    </row>
    <row r="416">
      <c r="A416" s="64"/>
      <c r="B416" s="106" t="str">
        <f>IFERROR(HYPERLINK(VLOOKUP(A416,Internal_lists_bugs!$A$2:$G1014,7,FALSE()),"Intro.Issues: "&amp;VLOOKUP(A416,Internal_lists_bugs!$A$2:$P1014,16,FALSE())),"please select a BUG ID")</f>
        <v>please select a BUG ID</v>
      </c>
      <c r="C416" s="107" t="str">
        <f>IFERROR(VLOOKUP(A416,Internal_lists_bugs!$A$2:$X1014,24,FALSE()),"please select a BUG ID")</f>
        <v>please select a BUG ID</v>
      </c>
      <c r="E416" s="49"/>
      <c r="F416" s="102"/>
      <c r="H416" s="49"/>
      <c r="I416" s="102"/>
      <c r="J416" s="51"/>
    </row>
    <row r="417">
      <c r="A417" s="64"/>
      <c r="B417" s="106" t="str">
        <f>IFERROR(HYPERLINK(VLOOKUP(A417,Internal_lists_bugs!$A$2:$G1014,7,FALSE()),"Intro.Issues: "&amp;VLOOKUP(A417,Internal_lists_bugs!$A$2:$P1014,16,FALSE())),"please select a BUG ID")</f>
        <v>please select a BUG ID</v>
      </c>
      <c r="C417" s="107" t="str">
        <f>IFERROR(VLOOKUP(A417,Internal_lists_bugs!$A$2:$X1014,24,FALSE()),"please select a BUG ID")</f>
        <v>please select a BUG ID</v>
      </c>
      <c r="E417" s="49"/>
      <c r="F417" s="102"/>
      <c r="H417" s="49"/>
      <c r="I417" s="102"/>
      <c r="J417" s="51"/>
    </row>
    <row r="418">
      <c r="A418" s="64"/>
      <c r="B418" s="106" t="str">
        <f>IFERROR(HYPERLINK(VLOOKUP(A418,Internal_lists_bugs!$A$2:$G1014,7,FALSE()),"Intro.Issues: "&amp;VLOOKUP(A418,Internal_lists_bugs!$A$2:$P1014,16,FALSE())),"please select a BUG ID")</f>
        <v>please select a BUG ID</v>
      </c>
      <c r="C418" s="107" t="str">
        <f>IFERROR(VLOOKUP(A418,Internal_lists_bugs!$A$2:$X1014,24,FALSE()),"please select a BUG ID")</f>
        <v>please select a BUG ID</v>
      </c>
      <c r="E418" s="49"/>
      <c r="F418" s="102"/>
      <c r="H418" s="49"/>
      <c r="I418" s="102"/>
      <c r="J418" s="51"/>
    </row>
    <row r="419">
      <c r="A419" s="64"/>
      <c r="B419" s="106" t="str">
        <f>IFERROR(HYPERLINK(VLOOKUP(A419,Internal_lists_bugs!$A$2:$G1014,7,FALSE()),"Intro.Issues: "&amp;VLOOKUP(A419,Internal_lists_bugs!$A$2:$P1014,16,FALSE())),"please select a BUG ID")</f>
        <v>please select a BUG ID</v>
      </c>
      <c r="C419" s="107" t="str">
        <f>IFERROR(VLOOKUP(A419,Internal_lists_bugs!$A$2:$X1014,24,FALSE()),"please select a BUG ID")</f>
        <v>please select a BUG ID</v>
      </c>
      <c r="E419" s="49"/>
      <c r="F419" s="102"/>
      <c r="H419" s="49"/>
      <c r="I419" s="102"/>
      <c r="J419" s="51"/>
    </row>
    <row r="420">
      <c r="A420" s="64"/>
      <c r="B420" s="106" t="str">
        <f>IFERROR(HYPERLINK(VLOOKUP(A420,Internal_lists_bugs!$A$2:$G1014,7,FALSE()),"Intro.Issues: "&amp;VLOOKUP(A420,Internal_lists_bugs!$A$2:$P1014,16,FALSE())),"please select a BUG ID")</f>
        <v>please select a BUG ID</v>
      </c>
      <c r="C420" s="107" t="str">
        <f>IFERROR(VLOOKUP(A420,Internal_lists_bugs!$A$2:$X1014,24,FALSE()),"please select a BUG ID")</f>
        <v>please select a BUG ID</v>
      </c>
      <c r="E420" s="49"/>
      <c r="F420" s="102"/>
      <c r="H420" s="49"/>
      <c r="I420" s="102"/>
      <c r="J420" s="51"/>
    </row>
    <row r="421">
      <c r="A421" s="64"/>
      <c r="B421" s="106" t="str">
        <f>IFERROR(HYPERLINK(VLOOKUP(A421,Internal_lists_bugs!$A$2:$G1014,7,FALSE()),"Intro.Issues: "&amp;VLOOKUP(A421,Internal_lists_bugs!$A$2:$P1014,16,FALSE())),"please select a BUG ID")</f>
        <v>please select a BUG ID</v>
      </c>
      <c r="C421" s="107" t="str">
        <f>IFERROR(VLOOKUP(A421,Internal_lists_bugs!$A$2:$X1014,24,FALSE()),"please select a BUG ID")</f>
        <v>please select a BUG ID</v>
      </c>
      <c r="E421" s="49"/>
      <c r="F421" s="102"/>
      <c r="H421" s="49"/>
      <c r="I421" s="102"/>
      <c r="J421" s="51"/>
    </row>
    <row r="422">
      <c r="A422" s="64"/>
      <c r="B422" s="106" t="str">
        <f>IFERROR(HYPERLINK(VLOOKUP(A422,Internal_lists_bugs!$A$2:$G1014,7,FALSE()),"Intro.Issues: "&amp;VLOOKUP(A422,Internal_lists_bugs!$A$2:$P1014,16,FALSE())),"please select a BUG ID")</f>
        <v>please select a BUG ID</v>
      </c>
      <c r="C422" s="107" t="str">
        <f>IFERROR(VLOOKUP(A422,Internal_lists_bugs!$A$2:$X1014,24,FALSE()),"please select a BUG ID")</f>
        <v>please select a BUG ID</v>
      </c>
      <c r="E422" s="49"/>
      <c r="F422" s="102"/>
      <c r="H422" s="49"/>
      <c r="I422" s="102"/>
      <c r="J422" s="51"/>
    </row>
    <row r="423">
      <c r="A423" s="64"/>
      <c r="B423" s="106" t="str">
        <f>IFERROR(HYPERLINK(VLOOKUP(A423,Internal_lists_bugs!$A$2:$G1014,7,FALSE()),"Intro.Issues: "&amp;VLOOKUP(A423,Internal_lists_bugs!$A$2:$P1014,16,FALSE())),"please select a BUG ID")</f>
        <v>please select a BUG ID</v>
      </c>
      <c r="C423" s="107" t="str">
        <f>IFERROR(VLOOKUP(A423,Internal_lists_bugs!$A$2:$X1014,24,FALSE()),"please select a BUG ID")</f>
        <v>please select a BUG ID</v>
      </c>
      <c r="E423" s="49"/>
      <c r="F423" s="102"/>
      <c r="H423" s="49"/>
      <c r="I423" s="102"/>
      <c r="J423" s="51"/>
    </row>
    <row r="424">
      <c r="A424" s="64"/>
      <c r="B424" s="106" t="str">
        <f>IFERROR(HYPERLINK(VLOOKUP(A424,Internal_lists_bugs!$A$2:$G1014,7,FALSE()),"Intro.Issues: "&amp;VLOOKUP(A424,Internal_lists_bugs!$A$2:$P1014,16,FALSE())),"please select a BUG ID")</f>
        <v>please select a BUG ID</v>
      </c>
      <c r="C424" s="107" t="str">
        <f>IFERROR(VLOOKUP(A424,Internal_lists_bugs!$A$2:$X1014,24,FALSE()),"please select a BUG ID")</f>
        <v>please select a BUG ID</v>
      </c>
      <c r="E424" s="49"/>
      <c r="F424" s="102"/>
      <c r="H424" s="49"/>
      <c r="I424" s="102"/>
      <c r="J424" s="51"/>
    </row>
    <row r="425">
      <c r="A425" s="64"/>
      <c r="B425" s="106" t="str">
        <f>IFERROR(HYPERLINK(VLOOKUP(A425,Internal_lists_bugs!$A$2:$G1014,7,FALSE()),"Intro.Issues: "&amp;VLOOKUP(A425,Internal_lists_bugs!$A$2:$P1014,16,FALSE())),"please select a BUG ID")</f>
        <v>please select a BUG ID</v>
      </c>
      <c r="C425" s="107" t="str">
        <f>IFERROR(VLOOKUP(A425,Internal_lists_bugs!$A$2:$X1014,24,FALSE()),"please select a BUG ID")</f>
        <v>please select a BUG ID</v>
      </c>
      <c r="E425" s="49"/>
      <c r="F425" s="102"/>
      <c r="H425" s="49"/>
      <c r="I425" s="102"/>
      <c r="J425" s="51"/>
    </row>
    <row r="426">
      <c r="A426" s="64"/>
      <c r="B426" s="106" t="str">
        <f>IFERROR(HYPERLINK(VLOOKUP(A426,Internal_lists_bugs!$A$2:$G1014,7,FALSE()),"Intro.Issues: "&amp;VLOOKUP(A426,Internal_lists_bugs!$A$2:$P1014,16,FALSE())),"please select a BUG ID")</f>
        <v>please select a BUG ID</v>
      </c>
      <c r="C426" s="107" t="str">
        <f>IFERROR(VLOOKUP(A426,Internal_lists_bugs!$A$2:$X1014,24,FALSE()),"please select a BUG ID")</f>
        <v>please select a BUG ID</v>
      </c>
      <c r="E426" s="49"/>
      <c r="F426" s="102"/>
      <c r="H426" s="49"/>
      <c r="I426" s="102"/>
      <c r="J426" s="51"/>
    </row>
    <row r="427">
      <c r="A427" s="64"/>
      <c r="B427" s="106" t="str">
        <f>IFERROR(HYPERLINK(VLOOKUP(A427,Internal_lists_bugs!$A$2:$G1014,7,FALSE()),"Intro.Issues: "&amp;VLOOKUP(A427,Internal_lists_bugs!$A$2:$P1014,16,FALSE())),"please select a BUG ID")</f>
        <v>please select a BUG ID</v>
      </c>
      <c r="C427" s="107" t="str">
        <f>IFERROR(VLOOKUP(A427,Internal_lists_bugs!$A$2:$X1014,24,FALSE()),"please select a BUG ID")</f>
        <v>please select a BUG ID</v>
      </c>
      <c r="E427" s="49"/>
      <c r="F427" s="102"/>
      <c r="H427" s="49"/>
      <c r="I427" s="102"/>
      <c r="J427" s="51"/>
    </row>
    <row r="428">
      <c r="A428" s="64"/>
      <c r="B428" s="106" t="str">
        <f>IFERROR(HYPERLINK(VLOOKUP(A428,Internal_lists_bugs!$A$2:$G1014,7,FALSE()),"Intro.Issues: "&amp;VLOOKUP(A428,Internal_lists_bugs!$A$2:$P1014,16,FALSE())),"please select a BUG ID")</f>
        <v>please select a BUG ID</v>
      </c>
      <c r="C428" s="107" t="str">
        <f>IFERROR(VLOOKUP(A428,Internal_lists_bugs!$A$2:$X1014,24,FALSE()),"please select a BUG ID")</f>
        <v>please select a BUG ID</v>
      </c>
      <c r="E428" s="49"/>
      <c r="F428" s="102"/>
      <c r="H428" s="49"/>
      <c r="I428" s="102"/>
      <c r="J428" s="51"/>
    </row>
    <row r="429">
      <c r="A429" s="64"/>
      <c r="B429" s="106" t="str">
        <f>IFERROR(HYPERLINK(VLOOKUP(A429,Internal_lists_bugs!$A$2:$G1014,7,FALSE()),"Intro.Issues: "&amp;VLOOKUP(A429,Internal_lists_bugs!$A$2:$P1014,16,FALSE())),"please select a BUG ID")</f>
        <v>please select a BUG ID</v>
      </c>
      <c r="C429" s="107" t="str">
        <f>IFERROR(VLOOKUP(A429,Internal_lists_bugs!$A$2:$X1014,24,FALSE()),"please select a BUG ID")</f>
        <v>please select a BUG ID</v>
      </c>
      <c r="E429" s="49"/>
      <c r="F429" s="102"/>
      <c r="H429" s="49"/>
      <c r="I429" s="102"/>
      <c r="J429" s="51"/>
    </row>
    <row r="430">
      <c r="A430" s="64"/>
      <c r="B430" s="106" t="str">
        <f>IFERROR(HYPERLINK(VLOOKUP(A430,Internal_lists_bugs!$A$2:$G1014,7,FALSE()),"Intro.Issues: "&amp;VLOOKUP(A430,Internal_lists_bugs!$A$2:$P1014,16,FALSE())),"please select a BUG ID")</f>
        <v>please select a BUG ID</v>
      </c>
      <c r="C430" s="107" t="str">
        <f>IFERROR(VLOOKUP(A430,Internal_lists_bugs!$A$2:$X1014,24,FALSE()),"please select a BUG ID")</f>
        <v>please select a BUG ID</v>
      </c>
      <c r="E430" s="49"/>
      <c r="F430" s="102"/>
      <c r="H430" s="49"/>
      <c r="I430" s="102"/>
      <c r="J430" s="51"/>
    </row>
    <row r="431">
      <c r="A431" s="64"/>
      <c r="B431" s="106" t="str">
        <f>IFERROR(HYPERLINK(VLOOKUP(A431,Internal_lists_bugs!$A$2:$G1014,7,FALSE()),"Intro.Issues: "&amp;VLOOKUP(A431,Internal_lists_bugs!$A$2:$P1014,16,FALSE())),"please select a BUG ID")</f>
        <v>please select a BUG ID</v>
      </c>
      <c r="C431" s="107" t="str">
        <f>IFERROR(VLOOKUP(A431,Internal_lists_bugs!$A$2:$X1014,24,FALSE()),"please select a BUG ID")</f>
        <v>please select a BUG ID</v>
      </c>
      <c r="E431" s="49"/>
      <c r="F431" s="102"/>
      <c r="H431" s="49"/>
      <c r="I431" s="102"/>
      <c r="J431" s="51"/>
    </row>
    <row r="432">
      <c r="A432" s="64"/>
      <c r="B432" s="106" t="str">
        <f>IFERROR(HYPERLINK(VLOOKUP(A432,Internal_lists_bugs!$A$2:$G1014,7,FALSE()),"Intro.Issues: "&amp;VLOOKUP(A432,Internal_lists_bugs!$A$2:$P1014,16,FALSE())),"please select a BUG ID")</f>
        <v>please select a BUG ID</v>
      </c>
      <c r="C432" s="107" t="str">
        <f>IFERROR(VLOOKUP(A432,Internal_lists_bugs!$A$2:$X1014,24,FALSE()),"please select a BUG ID")</f>
        <v>please select a BUG ID</v>
      </c>
      <c r="E432" s="49"/>
      <c r="F432" s="102"/>
      <c r="H432" s="49"/>
      <c r="I432" s="102"/>
      <c r="J432" s="51"/>
    </row>
    <row r="433">
      <c r="A433" s="64"/>
      <c r="B433" s="106" t="str">
        <f>IFERROR(HYPERLINK(VLOOKUP(A433,Internal_lists_bugs!$A$2:$G1014,7,FALSE()),"Intro.Issues: "&amp;VLOOKUP(A433,Internal_lists_bugs!$A$2:$P1014,16,FALSE())),"please select a BUG ID")</f>
        <v>please select a BUG ID</v>
      </c>
      <c r="C433" s="107" t="str">
        <f>IFERROR(VLOOKUP(A433,Internal_lists_bugs!$A$2:$X1014,24,FALSE()),"please select a BUG ID")</f>
        <v>please select a BUG ID</v>
      </c>
      <c r="E433" s="49"/>
      <c r="F433" s="102"/>
      <c r="H433" s="49"/>
      <c r="I433" s="102"/>
      <c r="J433" s="51"/>
    </row>
    <row r="434">
      <c r="A434" s="64"/>
      <c r="B434" s="106" t="str">
        <f>IFERROR(HYPERLINK(VLOOKUP(A434,Internal_lists_bugs!$A$2:$G1014,7,FALSE()),"Intro.Issues: "&amp;VLOOKUP(A434,Internal_lists_bugs!$A$2:$P1014,16,FALSE())),"please select a BUG ID")</f>
        <v>please select a BUG ID</v>
      </c>
      <c r="C434" s="107" t="str">
        <f>IFERROR(VLOOKUP(A434,Internal_lists_bugs!$A$2:$X1014,24,FALSE()),"please select a BUG ID")</f>
        <v>please select a BUG ID</v>
      </c>
      <c r="E434" s="49"/>
      <c r="F434" s="102"/>
      <c r="H434" s="49"/>
      <c r="I434" s="102"/>
      <c r="J434" s="51"/>
    </row>
    <row r="435">
      <c r="A435" s="64"/>
      <c r="B435" s="106" t="str">
        <f>IFERROR(HYPERLINK(VLOOKUP(A435,Internal_lists_bugs!$A$2:$G1014,7,FALSE()),"Intro.Issues: "&amp;VLOOKUP(A435,Internal_lists_bugs!$A$2:$P1014,16,FALSE())),"please select a BUG ID")</f>
        <v>please select a BUG ID</v>
      </c>
      <c r="C435" s="107" t="str">
        <f>IFERROR(VLOOKUP(A435,Internal_lists_bugs!$A$2:$X1014,24,FALSE()),"please select a BUG ID")</f>
        <v>please select a BUG ID</v>
      </c>
      <c r="E435" s="49"/>
      <c r="F435" s="102"/>
      <c r="H435" s="49"/>
      <c r="I435" s="102"/>
      <c r="J435" s="51"/>
    </row>
    <row r="436">
      <c r="A436" s="64"/>
      <c r="B436" s="106" t="str">
        <f>IFERROR(HYPERLINK(VLOOKUP(A436,Internal_lists_bugs!$A$2:$G1014,7,FALSE()),"Intro.Issues: "&amp;VLOOKUP(A436,Internal_lists_bugs!$A$2:$P1014,16,FALSE())),"please select a BUG ID")</f>
        <v>please select a BUG ID</v>
      </c>
      <c r="C436" s="107" t="str">
        <f>IFERROR(VLOOKUP(A436,Internal_lists_bugs!$A$2:$X1014,24,FALSE()),"please select a BUG ID")</f>
        <v>please select a BUG ID</v>
      </c>
      <c r="E436" s="49"/>
      <c r="F436" s="102"/>
      <c r="H436" s="49"/>
      <c r="I436" s="102"/>
      <c r="J436" s="51"/>
    </row>
    <row r="437">
      <c r="A437" s="64"/>
      <c r="B437" s="106" t="str">
        <f>IFERROR(HYPERLINK(VLOOKUP(A437,Internal_lists_bugs!$A$2:$G1014,7,FALSE()),"Intro.Issues: "&amp;VLOOKUP(A437,Internal_lists_bugs!$A$2:$P1014,16,FALSE())),"please select a BUG ID")</f>
        <v>please select a BUG ID</v>
      </c>
      <c r="C437" s="107" t="str">
        <f>IFERROR(VLOOKUP(A437,Internal_lists_bugs!$A$2:$X1014,24,FALSE()),"please select a BUG ID")</f>
        <v>please select a BUG ID</v>
      </c>
      <c r="E437" s="49"/>
      <c r="F437" s="102"/>
      <c r="H437" s="49"/>
      <c r="I437" s="102"/>
      <c r="J437" s="51"/>
    </row>
    <row r="438">
      <c r="A438" s="64"/>
      <c r="B438" s="106" t="str">
        <f>IFERROR(HYPERLINK(VLOOKUP(A438,Internal_lists_bugs!$A$2:$G1014,7,FALSE()),"Intro.Issues: "&amp;VLOOKUP(A438,Internal_lists_bugs!$A$2:$P1014,16,FALSE())),"please select a BUG ID")</f>
        <v>please select a BUG ID</v>
      </c>
      <c r="C438" s="107" t="str">
        <f>IFERROR(VLOOKUP(A438,Internal_lists_bugs!$A$2:$X1014,24,FALSE()),"please select a BUG ID")</f>
        <v>please select a BUG ID</v>
      </c>
      <c r="E438" s="49"/>
      <c r="F438" s="102"/>
      <c r="H438" s="49"/>
      <c r="I438" s="102"/>
      <c r="J438" s="51"/>
    </row>
    <row r="439">
      <c r="A439" s="64"/>
      <c r="B439" s="106" t="str">
        <f>IFERROR(HYPERLINK(VLOOKUP(A439,Internal_lists_bugs!$A$2:$G1014,7,FALSE()),"Intro.Issues: "&amp;VLOOKUP(A439,Internal_lists_bugs!$A$2:$P1014,16,FALSE())),"please select a BUG ID")</f>
        <v>please select a BUG ID</v>
      </c>
      <c r="C439" s="107" t="str">
        <f>IFERROR(VLOOKUP(A439,Internal_lists_bugs!$A$2:$X1014,24,FALSE()),"please select a BUG ID")</f>
        <v>please select a BUG ID</v>
      </c>
      <c r="E439" s="49"/>
      <c r="F439" s="102"/>
      <c r="H439" s="49"/>
      <c r="I439" s="102"/>
      <c r="J439" s="51"/>
    </row>
    <row r="440">
      <c r="A440" s="64"/>
      <c r="B440" s="106" t="str">
        <f>IFERROR(HYPERLINK(VLOOKUP(A440,Internal_lists_bugs!$A$2:$G1014,7,FALSE()),"Intro.Issues: "&amp;VLOOKUP(A440,Internal_lists_bugs!$A$2:$P1014,16,FALSE())),"please select a BUG ID")</f>
        <v>please select a BUG ID</v>
      </c>
      <c r="C440" s="107" t="str">
        <f>IFERROR(VLOOKUP(A440,Internal_lists_bugs!$A$2:$X1014,24,FALSE()),"please select a BUG ID")</f>
        <v>please select a BUG ID</v>
      </c>
      <c r="E440" s="49"/>
      <c r="F440" s="102"/>
      <c r="H440" s="49"/>
      <c r="I440" s="102"/>
      <c r="J440" s="51"/>
    </row>
    <row r="441">
      <c r="A441" s="64"/>
      <c r="B441" s="106" t="str">
        <f>IFERROR(HYPERLINK(VLOOKUP(A441,Internal_lists_bugs!$A$2:$G1014,7,FALSE()),"Intro.Issues: "&amp;VLOOKUP(A441,Internal_lists_bugs!$A$2:$P1014,16,FALSE())),"please select a BUG ID")</f>
        <v>please select a BUG ID</v>
      </c>
      <c r="C441" s="107" t="str">
        <f>IFERROR(VLOOKUP(A441,Internal_lists_bugs!$A$2:$X1014,24,FALSE()),"please select a BUG ID")</f>
        <v>please select a BUG ID</v>
      </c>
      <c r="E441" s="49"/>
      <c r="F441" s="102"/>
      <c r="H441" s="49"/>
      <c r="I441" s="102"/>
      <c r="J441" s="51"/>
    </row>
    <row r="442">
      <c r="A442" s="64"/>
      <c r="B442" s="106" t="str">
        <f>IFERROR(HYPERLINK(VLOOKUP(A442,Internal_lists_bugs!$A$2:$G1014,7,FALSE()),"Intro.Issues: "&amp;VLOOKUP(A442,Internal_lists_bugs!$A$2:$P1014,16,FALSE())),"please select a BUG ID")</f>
        <v>please select a BUG ID</v>
      </c>
      <c r="C442" s="107" t="str">
        <f>IFERROR(VLOOKUP(A442,Internal_lists_bugs!$A$2:$X1014,24,FALSE()),"please select a BUG ID")</f>
        <v>please select a BUG ID</v>
      </c>
      <c r="E442" s="49"/>
      <c r="F442" s="102"/>
      <c r="H442" s="49"/>
      <c r="I442" s="102"/>
      <c r="J442" s="51"/>
    </row>
    <row r="443">
      <c r="A443" s="64"/>
      <c r="B443" s="106" t="str">
        <f>IFERROR(HYPERLINK(VLOOKUP(A443,Internal_lists_bugs!$A$2:$G1014,7,FALSE()),"Intro.Issues: "&amp;VLOOKUP(A443,Internal_lists_bugs!$A$2:$P1014,16,FALSE())),"please select a BUG ID")</f>
        <v>please select a BUG ID</v>
      </c>
      <c r="C443" s="107" t="str">
        <f>IFERROR(VLOOKUP(A443,Internal_lists_bugs!$A$2:$X1014,24,FALSE()),"please select a BUG ID")</f>
        <v>please select a BUG ID</v>
      </c>
      <c r="E443" s="49"/>
      <c r="F443" s="102"/>
      <c r="H443" s="49"/>
      <c r="I443" s="102"/>
      <c r="J443" s="51"/>
    </row>
    <row r="444">
      <c r="A444" s="64"/>
      <c r="B444" s="106" t="str">
        <f>IFERROR(HYPERLINK(VLOOKUP(A444,Internal_lists_bugs!$A$2:$G1014,7,FALSE()),"Intro.Issues: "&amp;VLOOKUP(A444,Internal_lists_bugs!$A$2:$P1014,16,FALSE())),"please select a BUG ID")</f>
        <v>please select a BUG ID</v>
      </c>
      <c r="C444" s="107" t="str">
        <f>IFERROR(VLOOKUP(A444,Internal_lists_bugs!$A$2:$X1014,24,FALSE()),"please select a BUG ID")</f>
        <v>please select a BUG ID</v>
      </c>
      <c r="E444" s="49"/>
      <c r="F444" s="102"/>
      <c r="H444" s="49"/>
      <c r="I444" s="102"/>
      <c r="J444" s="51"/>
    </row>
    <row r="445">
      <c r="A445" s="64"/>
      <c r="B445" s="106" t="str">
        <f>IFERROR(HYPERLINK(VLOOKUP(A445,Internal_lists_bugs!$A$2:$G1014,7,FALSE()),"Intro.Issues: "&amp;VLOOKUP(A445,Internal_lists_bugs!$A$2:$P1014,16,FALSE())),"please select a BUG ID")</f>
        <v>please select a BUG ID</v>
      </c>
      <c r="C445" s="107" t="str">
        <f>IFERROR(VLOOKUP(A445,Internal_lists_bugs!$A$2:$X1014,24,FALSE()),"please select a BUG ID")</f>
        <v>please select a BUG ID</v>
      </c>
      <c r="E445" s="49"/>
      <c r="F445" s="102"/>
      <c r="H445" s="49"/>
      <c r="I445" s="102"/>
      <c r="J445" s="51"/>
    </row>
    <row r="446">
      <c r="A446" s="64"/>
      <c r="B446" s="106" t="str">
        <f>IFERROR(HYPERLINK(VLOOKUP(A446,Internal_lists_bugs!$A$2:$G1014,7,FALSE()),"Intro.Issues: "&amp;VLOOKUP(A446,Internal_lists_bugs!$A$2:$P1014,16,FALSE())),"please select a BUG ID")</f>
        <v>please select a BUG ID</v>
      </c>
      <c r="C446" s="107" t="str">
        <f>IFERROR(VLOOKUP(A446,Internal_lists_bugs!$A$2:$X1014,24,FALSE()),"please select a BUG ID")</f>
        <v>please select a BUG ID</v>
      </c>
      <c r="E446" s="49"/>
      <c r="F446" s="102"/>
      <c r="H446" s="49"/>
      <c r="I446" s="102"/>
      <c r="J446" s="51"/>
    </row>
    <row r="447">
      <c r="A447" s="64"/>
      <c r="B447" s="106" t="str">
        <f>IFERROR(HYPERLINK(VLOOKUP(A447,Internal_lists_bugs!$A$2:$G1014,7,FALSE()),"Intro.Issues: "&amp;VLOOKUP(A447,Internal_lists_bugs!$A$2:$P1014,16,FALSE())),"please select a BUG ID")</f>
        <v>please select a BUG ID</v>
      </c>
      <c r="C447" s="107" t="str">
        <f>IFERROR(VLOOKUP(A447,Internal_lists_bugs!$A$2:$X1014,24,FALSE()),"please select a BUG ID")</f>
        <v>please select a BUG ID</v>
      </c>
      <c r="E447" s="49"/>
      <c r="F447" s="102"/>
      <c r="H447" s="49"/>
      <c r="I447" s="102"/>
      <c r="J447" s="51"/>
    </row>
    <row r="448">
      <c r="A448" s="64"/>
      <c r="B448" s="106" t="str">
        <f>IFERROR(HYPERLINK(VLOOKUP(A448,Internal_lists_bugs!$A$2:$G1014,7,FALSE()),"Intro.Issues: "&amp;VLOOKUP(A448,Internal_lists_bugs!$A$2:$P1014,16,FALSE())),"please select a BUG ID")</f>
        <v>please select a BUG ID</v>
      </c>
      <c r="C448" s="107" t="str">
        <f>IFERROR(VLOOKUP(A448,Internal_lists_bugs!$A$2:$X1014,24,FALSE()),"please select a BUG ID")</f>
        <v>please select a BUG ID</v>
      </c>
      <c r="E448" s="49"/>
      <c r="F448" s="102"/>
      <c r="H448" s="49"/>
      <c r="I448" s="102"/>
      <c r="J448" s="51"/>
    </row>
    <row r="449">
      <c r="A449" s="64"/>
      <c r="B449" s="106" t="str">
        <f>IFERROR(HYPERLINK(VLOOKUP(A449,Internal_lists_bugs!$A$2:$G1014,7,FALSE()),"Intro.Issues: "&amp;VLOOKUP(A449,Internal_lists_bugs!$A$2:$P1014,16,FALSE())),"please select a BUG ID")</f>
        <v>please select a BUG ID</v>
      </c>
      <c r="C449" s="107" t="str">
        <f>IFERROR(VLOOKUP(A449,Internal_lists_bugs!$A$2:$X1014,24,FALSE()),"please select a BUG ID")</f>
        <v>please select a BUG ID</v>
      </c>
      <c r="E449" s="49"/>
      <c r="F449" s="102"/>
      <c r="H449" s="49"/>
      <c r="I449" s="102"/>
      <c r="J449" s="51"/>
    </row>
    <row r="450">
      <c r="A450" s="64"/>
      <c r="B450" s="106" t="str">
        <f>IFERROR(HYPERLINK(VLOOKUP(A450,Internal_lists_bugs!$A$2:$G1014,7,FALSE()),"Intro.Issues: "&amp;VLOOKUP(A450,Internal_lists_bugs!$A$2:$P1014,16,FALSE())),"please select a BUG ID")</f>
        <v>please select a BUG ID</v>
      </c>
      <c r="C450" s="107" t="str">
        <f>IFERROR(VLOOKUP(A450,Internal_lists_bugs!$A$2:$X1014,24,FALSE()),"please select a BUG ID")</f>
        <v>please select a BUG ID</v>
      </c>
      <c r="E450" s="49"/>
      <c r="F450" s="102"/>
      <c r="H450" s="49"/>
      <c r="I450" s="102"/>
      <c r="J450" s="51"/>
    </row>
    <row r="451">
      <c r="A451" s="64"/>
      <c r="B451" s="106" t="str">
        <f>IFERROR(HYPERLINK(VLOOKUP(A451,Internal_lists_bugs!$A$2:$G1014,7,FALSE()),"Intro.Issues: "&amp;VLOOKUP(A451,Internal_lists_bugs!$A$2:$P1014,16,FALSE())),"please select a BUG ID")</f>
        <v>please select a BUG ID</v>
      </c>
      <c r="C451" s="107" t="str">
        <f>IFERROR(VLOOKUP(A451,Internal_lists_bugs!$A$2:$X1014,24,FALSE()),"please select a BUG ID")</f>
        <v>please select a BUG ID</v>
      </c>
      <c r="E451" s="49"/>
      <c r="F451" s="102"/>
      <c r="H451" s="49"/>
      <c r="I451" s="102"/>
      <c r="J451" s="51"/>
    </row>
    <row r="452">
      <c r="A452" s="64"/>
      <c r="B452" s="106" t="str">
        <f>IFERROR(HYPERLINK(VLOOKUP(A452,Internal_lists_bugs!$A$2:$G1014,7,FALSE()),"Intro.Issues: "&amp;VLOOKUP(A452,Internal_lists_bugs!$A$2:$P1014,16,FALSE())),"please select a BUG ID")</f>
        <v>please select a BUG ID</v>
      </c>
      <c r="C452" s="107" t="str">
        <f>IFERROR(VLOOKUP(A452,Internal_lists_bugs!$A$2:$X1014,24,FALSE()),"please select a BUG ID")</f>
        <v>please select a BUG ID</v>
      </c>
      <c r="E452" s="49"/>
      <c r="F452" s="102"/>
      <c r="H452" s="49"/>
      <c r="I452" s="102"/>
      <c r="J452" s="51"/>
    </row>
    <row r="453">
      <c r="A453" s="64"/>
      <c r="B453" s="106" t="str">
        <f>IFERROR(HYPERLINK(VLOOKUP(A453,Internal_lists_bugs!$A$2:$G1014,7,FALSE()),"Intro.Issues: "&amp;VLOOKUP(A453,Internal_lists_bugs!$A$2:$P1014,16,FALSE())),"please select a BUG ID")</f>
        <v>please select a BUG ID</v>
      </c>
      <c r="C453" s="107" t="str">
        <f>IFERROR(VLOOKUP(A453,Internal_lists_bugs!$A$2:$X1014,24,FALSE()),"please select a BUG ID")</f>
        <v>please select a BUG ID</v>
      </c>
      <c r="E453" s="49"/>
      <c r="F453" s="102"/>
      <c r="H453" s="49"/>
      <c r="I453" s="102"/>
      <c r="J453" s="51"/>
    </row>
    <row r="454">
      <c r="A454" s="64"/>
      <c r="B454" s="106" t="str">
        <f>IFERROR(HYPERLINK(VLOOKUP(A454,Internal_lists_bugs!$A$2:$G1014,7,FALSE()),"Intro.Issues: "&amp;VLOOKUP(A454,Internal_lists_bugs!$A$2:$P1014,16,FALSE())),"please select a BUG ID")</f>
        <v>please select a BUG ID</v>
      </c>
      <c r="C454" s="107" t="str">
        <f>IFERROR(VLOOKUP(A454,Internal_lists_bugs!$A$2:$X1014,24,FALSE()),"please select a BUG ID")</f>
        <v>please select a BUG ID</v>
      </c>
      <c r="E454" s="49"/>
      <c r="F454" s="102"/>
      <c r="H454" s="49"/>
      <c r="I454" s="102"/>
      <c r="J454" s="51"/>
    </row>
    <row r="455">
      <c r="A455" s="64"/>
      <c r="B455" s="106" t="str">
        <f>IFERROR(HYPERLINK(VLOOKUP(A455,Internal_lists_bugs!$A$2:$G1014,7,FALSE()),"Intro.Issues: "&amp;VLOOKUP(A455,Internal_lists_bugs!$A$2:$P1014,16,FALSE())),"please select a BUG ID")</f>
        <v>please select a BUG ID</v>
      </c>
      <c r="C455" s="107" t="str">
        <f>IFERROR(VLOOKUP(A455,Internal_lists_bugs!$A$2:$X1014,24,FALSE()),"please select a BUG ID")</f>
        <v>please select a BUG ID</v>
      </c>
      <c r="E455" s="49"/>
      <c r="F455" s="102"/>
      <c r="H455" s="49"/>
      <c r="I455" s="102"/>
      <c r="J455" s="51"/>
    </row>
    <row r="456">
      <c r="A456" s="43"/>
      <c r="B456" s="106" t="str">
        <f>IFERROR(HYPERLINK(VLOOKUP(A456,Internal_lists_bugs!$A$2:$G1014,7,FALSE()),"Intro.Issues: "&amp;VLOOKUP(A456,Internal_lists_bugs!$A$2:$P1014,16,FALSE())),"please select a BUG ID")</f>
        <v>please select a BUG ID</v>
      </c>
      <c r="C456" s="107" t="str">
        <f>IFERROR(VLOOKUP(A456,Internal_lists_bugs!$A$2:$X1014,24,FALSE()),"please select a BUG ID")</f>
        <v>please select a BUG ID</v>
      </c>
      <c r="E456" s="49"/>
      <c r="F456" s="102"/>
      <c r="H456" s="49"/>
      <c r="I456" s="102"/>
      <c r="J456" s="51"/>
    </row>
    <row r="457">
      <c r="A457" s="43"/>
      <c r="B457" s="106" t="str">
        <f>IFERROR(HYPERLINK(VLOOKUP(A457,Internal_lists_bugs!$A$2:$G1014,7,FALSE()),"Intro.Issues: "&amp;VLOOKUP(A457,Internal_lists_bugs!$A$2:$P1014,16,FALSE())),"please select a BUG ID")</f>
        <v>please select a BUG ID</v>
      </c>
      <c r="C457" s="107" t="str">
        <f>IFERROR(VLOOKUP(A457,Internal_lists_bugs!$A$2:$X1014,24,FALSE()),"please select a BUG ID")</f>
        <v>please select a BUG ID</v>
      </c>
      <c r="E457" s="49"/>
      <c r="F457" s="102"/>
      <c r="H457" s="49"/>
      <c r="I457" s="102"/>
      <c r="J457" s="51"/>
    </row>
    <row r="458">
      <c r="A458" s="43"/>
      <c r="B458" s="106" t="str">
        <f>IFERROR(HYPERLINK(VLOOKUP(A458,Internal_lists_bugs!$A$2:$G1014,7,FALSE()),"Intro.Issues: "&amp;VLOOKUP(A458,Internal_lists_bugs!$A$2:$P1014,16,FALSE())),"please select a BUG ID")</f>
        <v>please select a BUG ID</v>
      </c>
      <c r="C458" s="107" t="str">
        <f>IFERROR(VLOOKUP(A458,Internal_lists_bugs!$A$2:$X1014,24,FALSE()),"please select a BUG ID")</f>
        <v>please select a BUG ID</v>
      </c>
      <c r="E458" s="49"/>
      <c r="F458" s="102"/>
      <c r="H458" s="49"/>
      <c r="I458" s="102"/>
      <c r="J458" s="51"/>
    </row>
    <row r="459">
      <c r="A459" s="43"/>
      <c r="B459" s="106" t="str">
        <f>IFERROR(HYPERLINK(VLOOKUP(A459,Internal_lists_bugs!$A$2:$G1014,7,FALSE()),"Intro.Issues: "&amp;VLOOKUP(A459,Internal_lists_bugs!$A$2:$P1014,16,FALSE())),"please select a BUG ID")</f>
        <v>please select a BUG ID</v>
      </c>
      <c r="C459" s="107" t="str">
        <f>IFERROR(VLOOKUP(A459,Internal_lists_bugs!$A$2:$X1014,24,FALSE()),"please select a BUG ID")</f>
        <v>please select a BUG ID</v>
      </c>
      <c r="E459" s="49"/>
      <c r="F459" s="102"/>
      <c r="H459" s="49"/>
      <c r="I459" s="102"/>
      <c r="J459" s="51"/>
    </row>
    <row r="460">
      <c r="A460" s="43"/>
      <c r="B460" s="106" t="str">
        <f>IFERROR(HYPERLINK(VLOOKUP(A460,Internal_lists_bugs!$A$2:$G1014,7,FALSE()),"Intro.Issues: "&amp;VLOOKUP(A460,Internal_lists_bugs!$A$2:$P1014,16,FALSE())),"please select a BUG ID")</f>
        <v>please select a BUG ID</v>
      </c>
      <c r="C460" s="107" t="str">
        <f>IFERROR(VLOOKUP(A460,Internal_lists_bugs!$A$2:$X1014,24,FALSE()),"please select a BUG ID")</f>
        <v>please select a BUG ID</v>
      </c>
      <c r="E460" s="49"/>
      <c r="F460" s="102"/>
      <c r="H460" s="49"/>
      <c r="I460" s="102"/>
      <c r="J460" s="51"/>
    </row>
    <row r="461">
      <c r="A461" s="43"/>
      <c r="B461" s="106" t="str">
        <f>IFERROR(HYPERLINK(VLOOKUP(A461,Internal_lists_bugs!$A$2:$G1014,7,FALSE()),"Intro.Issues: "&amp;VLOOKUP(A461,Internal_lists_bugs!$A$2:$P1014,16,FALSE())),"please select a BUG ID")</f>
        <v>please select a BUG ID</v>
      </c>
      <c r="C461" s="107" t="str">
        <f>IFERROR(VLOOKUP(A461,Internal_lists_bugs!$A$2:$X1014,24,FALSE()),"please select a BUG ID")</f>
        <v>please select a BUG ID</v>
      </c>
      <c r="E461" s="49"/>
      <c r="F461" s="102"/>
      <c r="H461" s="49"/>
      <c r="I461" s="102"/>
      <c r="J461" s="51"/>
    </row>
    <row r="462">
      <c r="A462" s="43"/>
      <c r="B462" s="106" t="str">
        <f>IFERROR(HYPERLINK(VLOOKUP(A462,Internal_lists_bugs!$A$2:$G1014,7,FALSE()),"Intro.Issues: "&amp;VLOOKUP(A462,Internal_lists_bugs!$A$2:$P1014,16,FALSE())),"please select a BUG ID")</f>
        <v>please select a BUG ID</v>
      </c>
      <c r="C462" s="107" t="str">
        <f>IFERROR(VLOOKUP(A462,Internal_lists_bugs!$A$2:$X1014,24,FALSE()),"please select a BUG ID")</f>
        <v>please select a BUG ID</v>
      </c>
      <c r="E462" s="49"/>
      <c r="F462" s="102"/>
      <c r="H462" s="49"/>
      <c r="I462" s="102"/>
      <c r="J462" s="51"/>
    </row>
    <row r="463">
      <c r="A463" s="43"/>
      <c r="B463" s="106" t="str">
        <f>IFERROR(HYPERLINK(VLOOKUP(A463,Internal_lists_bugs!$A$2:$G1014,7,FALSE()),"Intro.Issues: "&amp;VLOOKUP(A463,Internal_lists_bugs!$A$2:$P1014,16,FALSE())),"please select a BUG ID")</f>
        <v>please select a BUG ID</v>
      </c>
      <c r="C463" s="107" t="str">
        <f>IFERROR(VLOOKUP(A463,Internal_lists_bugs!$A$2:$X1014,24,FALSE()),"please select a BUG ID")</f>
        <v>please select a BUG ID</v>
      </c>
      <c r="E463" s="49"/>
      <c r="F463" s="102"/>
      <c r="H463" s="49"/>
      <c r="I463" s="102"/>
      <c r="J463" s="51"/>
    </row>
    <row r="464">
      <c r="A464" s="43"/>
      <c r="B464" s="106" t="str">
        <f>IFERROR(HYPERLINK(VLOOKUP(A464,Internal_lists_bugs!$A$2:$G1014,7,FALSE()),"Intro.Issues: "&amp;VLOOKUP(A464,Internal_lists_bugs!$A$2:$P1014,16,FALSE())),"please select a BUG ID")</f>
        <v>please select a BUG ID</v>
      </c>
      <c r="C464" s="107" t="str">
        <f>IFERROR(VLOOKUP(A464,Internal_lists_bugs!$A$2:$X1014,24,FALSE()),"please select a BUG ID")</f>
        <v>please select a BUG ID</v>
      </c>
      <c r="E464" s="49"/>
      <c r="F464" s="102"/>
      <c r="H464" s="49"/>
      <c r="I464" s="102"/>
      <c r="J464" s="51"/>
    </row>
    <row r="465">
      <c r="A465" s="43"/>
      <c r="B465" s="106" t="str">
        <f>IFERROR(HYPERLINK(VLOOKUP(A465,Internal_lists_bugs!$A$2:$G1014,7,FALSE()),"Intro.Issues: "&amp;VLOOKUP(A465,Internal_lists_bugs!$A$2:$P1014,16,FALSE())),"please select a BUG ID")</f>
        <v>please select a BUG ID</v>
      </c>
      <c r="C465" s="107" t="str">
        <f>IFERROR(VLOOKUP(A465,Internal_lists_bugs!$A$2:$X1014,24,FALSE()),"please select a BUG ID")</f>
        <v>please select a BUG ID</v>
      </c>
      <c r="E465" s="49"/>
      <c r="F465" s="102"/>
      <c r="H465" s="49"/>
      <c r="I465" s="102"/>
      <c r="J465" s="51"/>
    </row>
    <row r="466">
      <c r="A466" s="43"/>
      <c r="B466" s="106" t="str">
        <f>IFERROR(HYPERLINK(VLOOKUP(A466,Internal_lists_bugs!$A$2:$G1014,7,FALSE()),"Intro.Issues: "&amp;VLOOKUP(A466,Internal_lists_bugs!$A$2:$P1014,16,FALSE())),"please select a BUG ID")</f>
        <v>please select a BUG ID</v>
      </c>
      <c r="C466" s="107" t="str">
        <f>IFERROR(VLOOKUP(A466,Internal_lists_bugs!$A$2:$X1014,24,FALSE()),"please select a BUG ID")</f>
        <v>please select a BUG ID</v>
      </c>
      <c r="E466" s="49"/>
      <c r="F466" s="102"/>
      <c r="H466" s="49"/>
      <c r="I466" s="102"/>
      <c r="J466" s="51"/>
    </row>
    <row r="467">
      <c r="A467" s="43"/>
      <c r="B467" s="106" t="str">
        <f>IFERROR(HYPERLINK(VLOOKUP(A467,Internal_lists_bugs!$A$2:$G1014,7,FALSE()),"Intro.Issues: "&amp;VLOOKUP(A467,Internal_lists_bugs!$A$2:$P1014,16,FALSE())),"please select a BUG ID")</f>
        <v>please select a BUG ID</v>
      </c>
      <c r="C467" s="107" t="str">
        <f>IFERROR(VLOOKUP(A467,Internal_lists_bugs!$A$2:$X1014,24,FALSE()),"please select a BUG ID")</f>
        <v>please select a BUG ID</v>
      </c>
      <c r="E467" s="49"/>
      <c r="F467" s="102"/>
      <c r="H467" s="49"/>
      <c r="I467" s="102"/>
      <c r="J467" s="51"/>
    </row>
    <row r="468">
      <c r="A468" s="43"/>
      <c r="B468" s="106" t="str">
        <f>IFERROR(HYPERLINK(VLOOKUP(A468,Internal_lists_bugs!$A$2:$G1014,7,FALSE()),"Intro.Issues: "&amp;VLOOKUP(A468,Internal_lists_bugs!$A$2:$P1014,16,FALSE())),"please select a BUG ID")</f>
        <v>please select a BUG ID</v>
      </c>
      <c r="C468" s="107" t="str">
        <f>IFERROR(VLOOKUP(A468,Internal_lists_bugs!$A$2:$X1014,24,FALSE()),"please select a BUG ID")</f>
        <v>please select a BUG ID</v>
      </c>
      <c r="E468" s="49"/>
      <c r="F468" s="102"/>
      <c r="H468" s="49"/>
      <c r="I468" s="102"/>
      <c r="J468" s="51"/>
    </row>
    <row r="469">
      <c r="A469" s="43"/>
      <c r="B469" s="106" t="str">
        <f>IFERROR(HYPERLINK(VLOOKUP(A469,Internal_lists_bugs!$A$2:$G1014,7,FALSE()),"Intro.Issues: "&amp;VLOOKUP(A469,Internal_lists_bugs!$A$2:$P1014,16,FALSE())),"please select a BUG ID")</f>
        <v>please select a BUG ID</v>
      </c>
      <c r="C469" s="107" t="str">
        <f>IFERROR(VLOOKUP(A469,Internal_lists_bugs!$A$2:$X1014,24,FALSE()),"please select a BUG ID")</f>
        <v>please select a BUG ID</v>
      </c>
      <c r="E469" s="49"/>
      <c r="F469" s="102"/>
      <c r="H469" s="49"/>
      <c r="I469" s="102"/>
      <c r="J469" s="51"/>
    </row>
    <row r="470">
      <c r="A470" s="43"/>
      <c r="B470" s="106" t="str">
        <f>IFERROR(HYPERLINK(VLOOKUP(A470,Internal_lists_bugs!$A$2:$G1014,7,FALSE()),"Intro.Issues: "&amp;VLOOKUP(A470,Internal_lists_bugs!$A$2:$P1014,16,FALSE())),"please select a BUG ID")</f>
        <v>please select a BUG ID</v>
      </c>
      <c r="C470" s="107" t="str">
        <f>IFERROR(VLOOKUP(A470,Internal_lists_bugs!$A$2:$X1014,24,FALSE()),"please select a BUG ID")</f>
        <v>please select a BUG ID</v>
      </c>
      <c r="E470" s="49"/>
      <c r="F470" s="102"/>
      <c r="H470" s="49"/>
      <c r="I470" s="102"/>
      <c r="J470" s="51"/>
    </row>
    <row r="471">
      <c r="A471" s="43"/>
      <c r="B471" s="106" t="str">
        <f>IFERROR(HYPERLINK(VLOOKUP(A471,Internal_lists_bugs!$A$2:$G1014,7,FALSE()),"Intro.Issues: "&amp;VLOOKUP(A471,Internal_lists_bugs!$A$2:$P1014,16,FALSE())),"please select a BUG ID")</f>
        <v>please select a BUG ID</v>
      </c>
      <c r="C471" s="107" t="str">
        <f>IFERROR(VLOOKUP(A471,Internal_lists_bugs!$A$2:$X1014,24,FALSE()),"please select a BUG ID")</f>
        <v>please select a BUG ID</v>
      </c>
      <c r="E471" s="49"/>
      <c r="F471" s="102"/>
      <c r="H471" s="49"/>
      <c r="I471" s="102"/>
      <c r="J471" s="51"/>
    </row>
    <row r="472">
      <c r="A472" s="43"/>
      <c r="B472" s="106" t="str">
        <f>IFERROR(HYPERLINK(VLOOKUP(A472,Internal_lists_bugs!$A$2:$G1014,7,FALSE()),"Intro.Issues: "&amp;VLOOKUP(A472,Internal_lists_bugs!$A$2:$P1014,16,FALSE())),"please select a BUG ID")</f>
        <v>please select a BUG ID</v>
      </c>
      <c r="C472" s="107" t="str">
        <f>IFERROR(VLOOKUP(A472,Internal_lists_bugs!$A$2:$X1014,24,FALSE()),"please select a BUG ID")</f>
        <v>please select a BUG ID</v>
      </c>
      <c r="E472" s="49"/>
      <c r="F472" s="102"/>
      <c r="H472" s="49"/>
      <c r="I472" s="102"/>
      <c r="J472" s="51"/>
    </row>
    <row r="473">
      <c r="A473" s="43"/>
      <c r="B473" s="106" t="str">
        <f>IFERROR(HYPERLINK(VLOOKUP(A473,Internal_lists_bugs!$A$2:$G1014,7,FALSE()),"Intro.Issues: "&amp;VLOOKUP(A473,Internal_lists_bugs!$A$2:$P1014,16,FALSE())),"please select a BUG ID")</f>
        <v>please select a BUG ID</v>
      </c>
      <c r="C473" s="107" t="str">
        <f>IFERROR(VLOOKUP(A473,Internal_lists_bugs!$A$2:$X1014,24,FALSE()),"please select a BUG ID")</f>
        <v>please select a BUG ID</v>
      </c>
      <c r="E473" s="49"/>
      <c r="F473" s="102"/>
      <c r="H473" s="49"/>
      <c r="I473" s="102"/>
      <c r="J473" s="51"/>
    </row>
    <row r="474">
      <c r="A474" s="43"/>
      <c r="B474" s="106" t="str">
        <f>IFERROR(HYPERLINK(VLOOKUP(A474,Internal_lists_bugs!$A$2:$G1014,7,FALSE()),"Intro.Issues: "&amp;VLOOKUP(A474,Internal_lists_bugs!$A$2:$P1014,16,FALSE())),"please select a BUG ID")</f>
        <v>please select a BUG ID</v>
      </c>
      <c r="C474" s="107" t="str">
        <f>IFERROR(VLOOKUP(A474,Internal_lists_bugs!$A$2:$X1014,24,FALSE()),"please select a BUG ID")</f>
        <v>please select a BUG ID</v>
      </c>
      <c r="E474" s="49"/>
      <c r="F474" s="102"/>
      <c r="H474" s="49"/>
      <c r="I474" s="102"/>
      <c r="J474" s="51"/>
    </row>
    <row r="475">
      <c r="A475" s="43"/>
      <c r="B475" s="106" t="str">
        <f>IFERROR(HYPERLINK(VLOOKUP(A475,Internal_lists_bugs!$A$2:$G1014,7,FALSE()),"Intro.Issues: "&amp;VLOOKUP(A475,Internal_lists_bugs!$A$2:$P1014,16,FALSE())),"please select a BUG ID")</f>
        <v>please select a BUG ID</v>
      </c>
      <c r="C475" s="107" t="str">
        <f>IFERROR(VLOOKUP(A475,Internal_lists_bugs!$A$2:$X1014,24,FALSE()),"please select a BUG ID")</f>
        <v>please select a BUG ID</v>
      </c>
      <c r="E475" s="49"/>
      <c r="F475" s="102"/>
      <c r="H475" s="49"/>
      <c r="I475" s="102"/>
      <c r="J475" s="51"/>
    </row>
    <row r="476">
      <c r="A476" s="43"/>
      <c r="B476" s="106" t="str">
        <f>IFERROR(HYPERLINK(VLOOKUP(A476,Internal_lists_bugs!$A$2:$G1014,7,FALSE()),"Intro.Issues: "&amp;VLOOKUP(A476,Internal_lists_bugs!$A$2:$P1014,16,FALSE())),"please select a BUG ID")</f>
        <v>please select a BUG ID</v>
      </c>
      <c r="C476" s="107" t="str">
        <f>IFERROR(VLOOKUP(A476,Internal_lists_bugs!$A$2:$X1014,24,FALSE()),"please select a BUG ID")</f>
        <v>please select a BUG ID</v>
      </c>
      <c r="E476" s="49"/>
      <c r="F476" s="102"/>
      <c r="H476" s="49"/>
      <c r="I476" s="102"/>
      <c r="J476" s="51"/>
    </row>
    <row r="477">
      <c r="A477" s="43"/>
      <c r="B477" s="106" t="str">
        <f>IFERROR(HYPERLINK(VLOOKUP(A477,Internal_lists_bugs!$A$2:$G1014,7,FALSE()),"Intro.Issues: "&amp;VLOOKUP(A477,Internal_lists_bugs!$A$2:$P1014,16,FALSE())),"please select a BUG ID")</f>
        <v>please select a BUG ID</v>
      </c>
      <c r="C477" s="107" t="str">
        <f>IFERROR(VLOOKUP(A477,Internal_lists_bugs!$A$2:$X1014,24,FALSE()),"please select a BUG ID")</f>
        <v>please select a BUG ID</v>
      </c>
      <c r="E477" s="49"/>
      <c r="F477" s="102"/>
      <c r="H477" s="49"/>
      <c r="I477" s="102"/>
      <c r="J477" s="51"/>
    </row>
    <row r="478">
      <c r="A478" s="43"/>
      <c r="B478" s="106" t="str">
        <f>IFERROR(HYPERLINK(VLOOKUP(A478,Internal_lists_bugs!$A$2:$G1014,7,FALSE()),"Intro.Issues: "&amp;VLOOKUP(A478,Internal_lists_bugs!$A$2:$P1014,16,FALSE())),"please select a BUG ID")</f>
        <v>please select a BUG ID</v>
      </c>
      <c r="C478" s="107" t="str">
        <f>IFERROR(VLOOKUP(A478,Internal_lists_bugs!$A$2:$X1014,24,FALSE()),"please select a BUG ID")</f>
        <v>please select a BUG ID</v>
      </c>
      <c r="E478" s="49"/>
      <c r="F478" s="102"/>
      <c r="H478" s="49"/>
      <c r="I478" s="102"/>
      <c r="J478" s="51"/>
    </row>
    <row r="479">
      <c r="A479" s="43"/>
      <c r="B479" s="106" t="str">
        <f>IFERROR(HYPERLINK(VLOOKUP(A479,Internal_lists_bugs!$A$2:$G1014,7,FALSE()),"Intro.Issues: "&amp;VLOOKUP(A479,Internal_lists_bugs!$A$2:$P1014,16,FALSE())),"please select a BUG ID")</f>
        <v>please select a BUG ID</v>
      </c>
      <c r="C479" s="107" t="str">
        <f>IFERROR(VLOOKUP(A479,Internal_lists_bugs!$A$2:$X1014,24,FALSE()),"please select a BUG ID")</f>
        <v>please select a BUG ID</v>
      </c>
      <c r="E479" s="49"/>
      <c r="F479" s="102"/>
      <c r="H479" s="49"/>
      <c r="I479" s="102"/>
      <c r="J479" s="51"/>
    </row>
    <row r="480">
      <c r="A480" s="43"/>
      <c r="B480" s="106" t="str">
        <f>IFERROR(HYPERLINK(VLOOKUP(A480,Internal_lists_bugs!$A$2:$G1014,7,FALSE()),"Intro.Issues: "&amp;VLOOKUP(A480,Internal_lists_bugs!$A$2:$P1014,16,FALSE())),"please select a BUG ID")</f>
        <v>please select a BUG ID</v>
      </c>
      <c r="C480" s="107" t="str">
        <f>IFERROR(VLOOKUP(A480,Internal_lists_bugs!$A$2:$X1014,24,FALSE()),"please select a BUG ID")</f>
        <v>please select a BUG ID</v>
      </c>
      <c r="E480" s="49"/>
      <c r="F480" s="102"/>
      <c r="H480" s="49"/>
      <c r="I480" s="102"/>
      <c r="J480" s="51"/>
    </row>
    <row r="481">
      <c r="A481" s="43"/>
      <c r="B481" s="106" t="str">
        <f>IFERROR(HYPERLINK(VLOOKUP(A481,Internal_lists_bugs!$A$2:$G1014,7,FALSE()),"Intro.Issues: "&amp;VLOOKUP(A481,Internal_lists_bugs!$A$2:$P1014,16,FALSE())),"please select a BUG ID")</f>
        <v>please select a BUG ID</v>
      </c>
      <c r="C481" s="107" t="str">
        <f>IFERROR(VLOOKUP(A481,Internal_lists_bugs!$A$2:$X1014,24,FALSE()),"please select a BUG ID")</f>
        <v>please select a BUG ID</v>
      </c>
      <c r="E481" s="49"/>
      <c r="F481" s="102"/>
      <c r="H481" s="49"/>
      <c r="I481" s="102"/>
      <c r="J481" s="51"/>
    </row>
    <row r="482">
      <c r="A482" s="43"/>
      <c r="B482" s="106" t="str">
        <f>IFERROR(HYPERLINK(VLOOKUP(A482,Internal_lists_bugs!$A$2:$G1014,7,FALSE()),"Intro.Issues: "&amp;VLOOKUP(A482,Internal_lists_bugs!$A$2:$P1014,16,FALSE())),"please select a BUG ID")</f>
        <v>please select a BUG ID</v>
      </c>
      <c r="C482" s="107" t="str">
        <f>IFERROR(VLOOKUP(A482,Internal_lists_bugs!$A$2:$X1014,24,FALSE()),"please select a BUG ID")</f>
        <v>please select a BUG ID</v>
      </c>
      <c r="E482" s="49"/>
      <c r="F482" s="102"/>
      <c r="H482" s="49"/>
      <c r="I482" s="102"/>
      <c r="J482" s="51"/>
    </row>
    <row r="483">
      <c r="A483" s="43"/>
      <c r="B483" s="106" t="str">
        <f>IFERROR(HYPERLINK(VLOOKUP(A483,Internal_lists_bugs!$A$2:$G1014,7,FALSE()),"Intro.Issues: "&amp;VLOOKUP(A483,Internal_lists_bugs!$A$2:$P1014,16,FALSE())),"please select a BUG ID")</f>
        <v>please select a BUG ID</v>
      </c>
      <c r="C483" s="107" t="str">
        <f>IFERROR(VLOOKUP(A483,Internal_lists_bugs!$A$2:$X1014,24,FALSE()),"please select a BUG ID")</f>
        <v>please select a BUG ID</v>
      </c>
      <c r="E483" s="49"/>
      <c r="F483" s="102"/>
      <c r="H483" s="49"/>
      <c r="I483" s="102"/>
      <c r="J483" s="51"/>
    </row>
    <row r="484">
      <c r="A484" s="43"/>
      <c r="B484" s="106" t="str">
        <f>IFERROR(HYPERLINK(VLOOKUP(A484,Internal_lists_bugs!$A$2:$G1014,7,FALSE()),"Intro.Issues: "&amp;VLOOKUP(A484,Internal_lists_bugs!$A$2:$P1014,16,FALSE())),"please select a BUG ID")</f>
        <v>please select a BUG ID</v>
      </c>
      <c r="C484" s="107" t="str">
        <f>IFERROR(VLOOKUP(A484,Internal_lists_bugs!$A$2:$X1014,24,FALSE()),"please select a BUG ID")</f>
        <v>please select a BUG ID</v>
      </c>
      <c r="E484" s="49"/>
      <c r="F484" s="102"/>
      <c r="H484" s="49"/>
      <c r="I484" s="102"/>
      <c r="J484" s="51"/>
    </row>
    <row r="485">
      <c r="A485" s="43"/>
      <c r="B485" s="106" t="str">
        <f>IFERROR(HYPERLINK(VLOOKUP(A485,Internal_lists_bugs!$A$2:$G1014,7,FALSE()),"Intro.Issues: "&amp;VLOOKUP(A485,Internal_lists_bugs!$A$2:$P1014,16,FALSE())),"please select a BUG ID")</f>
        <v>please select a BUG ID</v>
      </c>
      <c r="C485" s="107" t="str">
        <f>IFERROR(VLOOKUP(A485,Internal_lists_bugs!$A$2:$X1014,24,FALSE()),"please select a BUG ID")</f>
        <v>please select a BUG ID</v>
      </c>
      <c r="E485" s="49"/>
      <c r="F485" s="102"/>
      <c r="H485" s="49"/>
      <c r="I485" s="102"/>
      <c r="J485" s="51"/>
    </row>
    <row r="486">
      <c r="A486" s="43"/>
      <c r="B486" s="106" t="str">
        <f>IFERROR(HYPERLINK(VLOOKUP(A486,Internal_lists_bugs!$A$2:$G1014,7,FALSE()),"Intro.Issues: "&amp;VLOOKUP(A486,Internal_lists_bugs!$A$2:$P1014,16,FALSE())),"please select a BUG ID")</f>
        <v>please select a BUG ID</v>
      </c>
      <c r="C486" s="107" t="str">
        <f>IFERROR(VLOOKUP(A486,Internal_lists_bugs!$A$2:$X1014,24,FALSE()),"please select a BUG ID")</f>
        <v>please select a BUG ID</v>
      </c>
      <c r="E486" s="49"/>
      <c r="F486" s="102"/>
      <c r="H486" s="49"/>
      <c r="I486" s="102"/>
      <c r="J486" s="51"/>
    </row>
    <row r="487">
      <c r="A487" s="43"/>
      <c r="B487" s="106" t="str">
        <f>IFERROR(HYPERLINK(VLOOKUP(A487,Internal_lists_bugs!$A$2:$G1014,7,FALSE()),"Intro.Issues: "&amp;VLOOKUP(A487,Internal_lists_bugs!$A$2:$P1014,16,FALSE())),"please select a BUG ID")</f>
        <v>please select a BUG ID</v>
      </c>
      <c r="C487" s="107" t="str">
        <f>IFERROR(VLOOKUP(A487,Internal_lists_bugs!$A$2:$X1014,24,FALSE()),"please select a BUG ID")</f>
        <v>please select a BUG ID</v>
      </c>
      <c r="E487" s="49"/>
      <c r="F487" s="102"/>
      <c r="H487" s="49"/>
      <c r="I487" s="102"/>
      <c r="J487" s="51"/>
    </row>
    <row r="488">
      <c r="A488" s="43"/>
      <c r="B488" s="106" t="str">
        <f>IFERROR(HYPERLINK(VLOOKUP(A488,Internal_lists_bugs!$A$2:$G1014,7,FALSE()),"Intro.Issues: "&amp;VLOOKUP(A488,Internal_lists_bugs!$A$2:$P1014,16,FALSE())),"please select a BUG ID")</f>
        <v>please select a BUG ID</v>
      </c>
      <c r="C488" s="107" t="str">
        <f>IFERROR(VLOOKUP(A488,Internal_lists_bugs!$A$2:$X1014,24,FALSE()),"please select a BUG ID")</f>
        <v>please select a BUG ID</v>
      </c>
      <c r="E488" s="49"/>
      <c r="F488" s="102"/>
      <c r="H488" s="49"/>
      <c r="I488" s="102"/>
      <c r="J488" s="51"/>
    </row>
    <row r="489">
      <c r="A489" s="43"/>
      <c r="B489" s="106" t="str">
        <f>IFERROR(HYPERLINK(VLOOKUP(A489,Internal_lists_bugs!$A$2:$G1014,7,FALSE()),"Intro.Issues: "&amp;VLOOKUP(A489,Internal_lists_bugs!$A$2:$P1014,16,FALSE())),"please select a BUG ID")</f>
        <v>please select a BUG ID</v>
      </c>
      <c r="C489" s="107" t="str">
        <f>IFERROR(VLOOKUP(A489,Internal_lists_bugs!$A$2:$X1014,24,FALSE()),"please select a BUG ID")</f>
        <v>please select a BUG ID</v>
      </c>
      <c r="E489" s="49"/>
      <c r="F489" s="102"/>
      <c r="H489" s="49"/>
      <c r="I489" s="102"/>
      <c r="J489" s="51"/>
    </row>
    <row r="490">
      <c r="A490" s="43"/>
      <c r="B490" s="106" t="str">
        <f>IFERROR(HYPERLINK(VLOOKUP(A490,Internal_lists_bugs!$A$2:$G1014,7,FALSE()),"Intro.Issues: "&amp;VLOOKUP(A490,Internal_lists_bugs!$A$2:$P1014,16,FALSE())),"please select a BUG ID")</f>
        <v>please select a BUG ID</v>
      </c>
      <c r="C490" s="107" t="str">
        <f>IFERROR(VLOOKUP(A490,Internal_lists_bugs!$A$2:$X1014,24,FALSE()),"please select a BUG ID")</f>
        <v>please select a BUG ID</v>
      </c>
      <c r="E490" s="49"/>
      <c r="F490" s="102"/>
      <c r="H490" s="49"/>
      <c r="I490" s="102"/>
      <c r="J490" s="51"/>
    </row>
    <row r="491">
      <c r="A491" s="43"/>
      <c r="B491" s="106" t="str">
        <f>IFERROR(HYPERLINK(VLOOKUP(A491,Internal_lists_bugs!$A$2:$G1014,7,FALSE()),"Intro.Issues: "&amp;VLOOKUP(A491,Internal_lists_bugs!$A$2:$P1014,16,FALSE())),"please select a BUG ID")</f>
        <v>please select a BUG ID</v>
      </c>
      <c r="C491" s="107" t="str">
        <f>IFERROR(VLOOKUP(A491,Internal_lists_bugs!$A$2:$X1014,24,FALSE()),"please select a BUG ID")</f>
        <v>please select a BUG ID</v>
      </c>
      <c r="E491" s="49"/>
      <c r="F491" s="102"/>
      <c r="H491" s="49"/>
      <c r="I491" s="102"/>
      <c r="J491" s="51"/>
    </row>
    <row r="492">
      <c r="A492" s="43"/>
      <c r="B492" s="106" t="str">
        <f>IFERROR(HYPERLINK(VLOOKUP(A492,Internal_lists_bugs!$A$2:$G1014,7,FALSE()),"Intro.Issues: "&amp;VLOOKUP(A492,Internal_lists_bugs!$A$2:$P1014,16,FALSE())),"please select a BUG ID")</f>
        <v>please select a BUG ID</v>
      </c>
      <c r="C492" s="107" t="str">
        <f>IFERROR(VLOOKUP(A492,Internal_lists_bugs!$A$2:$X1014,24,FALSE()),"please select a BUG ID")</f>
        <v>please select a BUG ID</v>
      </c>
      <c r="E492" s="49"/>
      <c r="F492" s="102"/>
      <c r="H492" s="49"/>
      <c r="I492" s="102"/>
      <c r="J492" s="51"/>
    </row>
    <row r="493">
      <c r="A493" s="43"/>
      <c r="B493" s="106" t="str">
        <f>IFERROR(HYPERLINK(VLOOKUP(A493,Internal_lists_bugs!$A$2:$G1014,7,FALSE()),"Intro.Issues: "&amp;VLOOKUP(A493,Internal_lists_bugs!$A$2:$P1014,16,FALSE())),"please select a BUG ID")</f>
        <v>please select a BUG ID</v>
      </c>
      <c r="C493" s="107" t="str">
        <f>IFERROR(VLOOKUP(A493,Internal_lists_bugs!$A$2:$X1014,24,FALSE()),"please select a BUG ID")</f>
        <v>please select a BUG ID</v>
      </c>
      <c r="E493" s="49"/>
      <c r="F493" s="102"/>
      <c r="H493" s="49"/>
      <c r="I493" s="102"/>
      <c r="J493" s="51"/>
    </row>
    <row r="494">
      <c r="A494" s="43"/>
      <c r="B494" s="106" t="str">
        <f>IFERROR(HYPERLINK(VLOOKUP(A494,Internal_lists_bugs!$A$2:$G1014,7,FALSE()),"Intro.Issues: "&amp;VLOOKUP(A494,Internal_lists_bugs!$A$2:$P1014,16,FALSE())),"please select a BUG ID")</f>
        <v>please select a BUG ID</v>
      </c>
      <c r="C494" s="107" t="str">
        <f>IFERROR(VLOOKUP(A494,Internal_lists_bugs!$A$2:$X1014,24,FALSE()),"please select a BUG ID")</f>
        <v>please select a BUG ID</v>
      </c>
      <c r="E494" s="49"/>
      <c r="F494" s="102"/>
      <c r="H494" s="49"/>
      <c r="I494" s="102"/>
      <c r="J494" s="51"/>
    </row>
    <row r="495">
      <c r="A495" s="43"/>
      <c r="B495" s="106" t="str">
        <f>IFERROR(HYPERLINK(VLOOKUP(A495,Internal_lists_bugs!$A$2:$G1014,7,FALSE()),"Intro.Issues: "&amp;VLOOKUP(A495,Internal_lists_bugs!$A$2:$P1014,16,FALSE())),"please select a BUG ID")</f>
        <v>please select a BUG ID</v>
      </c>
      <c r="C495" s="107" t="str">
        <f>IFERROR(VLOOKUP(A495,Internal_lists_bugs!$A$2:$X1014,24,FALSE()),"please select a BUG ID")</f>
        <v>please select a BUG ID</v>
      </c>
      <c r="E495" s="49"/>
      <c r="F495" s="102"/>
      <c r="H495" s="49"/>
      <c r="I495" s="102"/>
      <c r="J495" s="51"/>
    </row>
    <row r="496">
      <c r="A496" s="43"/>
      <c r="B496" s="106" t="str">
        <f>IFERROR(HYPERLINK(VLOOKUP(A496,Internal_lists_bugs!$A$2:$G1014,7,FALSE()),"Intro.Issues: "&amp;VLOOKUP(A496,Internal_lists_bugs!$A$2:$P1014,16,FALSE())),"please select a BUG ID")</f>
        <v>please select a BUG ID</v>
      </c>
      <c r="C496" s="107" t="str">
        <f>IFERROR(VLOOKUP(A496,Internal_lists_bugs!$A$2:$X1014,24,FALSE()),"please select a BUG ID")</f>
        <v>please select a BUG ID</v>
      </c>
      <c r="E496" s="49"/>
      <c r="F496" s="102"/>
      <c r="H496" s="49"/>
      <c r="I496" s="102"/>
      <c r="J496" s="51"/>
    </row>
    <row r="497">
      <c r="A497" s="43"/>
      <c r="B497" s="106" t="str">
        <f>IFERROR(HYPERLINK(VLOOKUP(A497,Internal_lists_bugs!$A$2:$G1014,7,FALSE()),"Intro.Issues: "&amp;VLOOKUP(A497,Internal_lists_bugs!$A$2:$P1014,16,FALSE())),"please select a BUG ID")</f>
        <v>please select a BUG ID</v>
      </c>
      <c r="C497" s="107" t="str">
        <f>IFERROR(VLOOKUP(A497,Internal_lists_bugs!$A$2:$X1014,24,FALSE()),"please select a BUG ID")</f>
        <v>please select a BUG ID</v>
      </c>
      <c r="E497" s="49"/>
      <c r="F497" s="102"/>
      <c r="H497" s="49"/>
      <c r="I497" s="102"/>
      <c r="J497" s="51"/>
    </row>
    <row r="498">
      <c r="A498" s="43"/>
      <c r="B498" s="106" t="str">
        <f>IFERROR(HYPERLINK(VLOOKUP(A498,Internal_lists_bugs!$A$2:$G1014,7,FALSE()),"Intro.Issues: "&amp;VLOOKUP(A498,Internal_lists_bugs!$A$2:$P1014,16,FALSE())),"please select a BUG ID")</f>
        <v>please select a BUG ID</v>
      </c>
      <c r="C498" s="107" t="str">
        <f>IFERROR(VLOOKUP(A498,Internal_lists_bugs!$A$2:$X1014,24,FALSE()),"please select a BUG ID")</f>
        <v>please select a BUG ID</v>
      </c>
      <c r="E498" s="49"/>
      <c r="F498" s="102"/>
      <c r="H498" s="49"/>
      <c r="I498" s="102"/>
      <c r="J498" s="51"/>
    </row>
    <row r="499">
      <c r="A499" s="43"/>
      <c r="B499" s="106" t="str">
        <f>IFERROR(HYPERLINK(VLOOKUP(A499,Internal_lists_bugs!$A$2:$G1014,7,FALSE()),"Intro.Issues: "&amp;VLOOKUP(A499,Internal_lists_bugs!$A$2:$P1014,16,FALSE())),"please select a BUG ID")</f>
        <v>please select a BUG ID</v>
      </c>
      <c r="C499" s="107" t="str">
        <f>IFERROR(VLOOKUP(A499,Internal_lists_bugs!$A$2:$X1014,24,FALSE()),"please select a BUG ID")</f>
        <v>please select a BUG ID</v>
      </c>
      <c r="E499" s="49"/>
      <c r="F499" s="102"/>
      <c r="H499" s="49"/>
      <c r="I499" s="102"/>
      <c r="J499" s="51"/>
    </row>
    <row r="500">
      <c r="A500" s="43"/>
      <c r="B500" s="106" t="str">
        <f>IFERROR(HYPERLINK(VLOOKUP(A500,Internal_lists_bugs!$A$2:$G1014,7,FALSE()),"Intro.Issues: "&amp;VLOOKUP(A500,Internal_lists_bugs!$A$2:$P1014,16,FALSE())),"please select a BUG ID")</f>
        <v>please select a BUG ID</v>
      </c>
      <c r="C500" s="107" t="str">
        <f>IFERROR(VLOOKUP(A500,Internal_lists_bugs!$A$2:$X1014,24,FALSE()),"please select a BUG ID")</f>
        <v>please select a BUG ID</v>
      </c>
      <c r="E500" s="49"/>
      <c r="F500" s="102"/>
      <c r="H500" s="49"/>
      <c r="I500" s="102"/>
      <c r="J500" s="51"/>
    </row>
    <row r="501">
      <c r="A501" s="43"/>
      <c r="B501" s="106" t="str">
        <f>IFERROR(HYPERLINK(VLOOKUP(A501,Internal_lists_bugs!$A$2:$G1014,7,FALSE()),"Intro.Issues: "&amp;VLOOKUP(A501,Internal_lists_bugs!$A$2:$P1014,16,FALSE())),"please select a BUG ID")</f>
        <v>please select a BUG ID</v>
      </c>
      <c r="C501" s="107" t="str">
        <f>IFERROR(VLOOKUP(A501,Internal_lists_bugs!$A$2:$X1014,24,FALSE()),"please select a BUG ID")</f>
        <v>please select a BUG ID</v>
      </c>
      <c r="E501" s="49"/>
      <c r="F501" s="102"/>
      <c r="H501" s="49"/>
      <c r="I501" s="102"/>
      <c r="J501" s="51"/>
    </row>
    <row r="502">
      <c r="A502" s="43"/>
      <c r="B502" s="106" t="str">
        <f>IFERROR(HYPERLINK(VLOOKUP(A502,Internal_lists_bugs!$A$2:$G1014,7,FALSE()),"Intro.Issues: "&amp;VLOOKUP(A502,Internal_lists_bugs!$A$2:$P1014,16,FALSE())),"please select a BUG ID")</f>
        <v>please select a BUG ID</v>
      </c>
      <c r="C502" s="107" t="str">
        <f>IFERROR(VLOOKUP(A502,Internal_lists_bugs!$A$2:$X1014,24,FALSE()),"please select a BUG ID")</f>
        <v>please select a BUG ID</v>
      </c>
      <c r="E502" s="49"/>
      <c r="F502" s="102"/>
      <c r="H502" s="49"/>
      <c r="I502" s="102"/>
      <c r="J502" s="51"/>
    </row>
    <row r="503">
      <c r="A503" s="43"/>
      <c r="B503" s="106" t="str">
        <f>IFERROR(HYPERLINK(VLOOKUP(A503,Internal_lists_bugs!$A$2:$G1014,7,FALSE()),"Intro.Issues: "&amp;VLOOKUP(A503,Internal_lists_bugs!$A$2:$P1014,16,FALSE())),"please select a BUG ID")</f>
        <v>please select a BUG ID</v>
      </c>
      <c r="C503" s="107" t="str">
        <f>IFERROR(VLOOKUP(A503,Internal_lists_bugs!$A$2:$X1014,24,FALSE()),"please select a BUG ID")</f>
        <v>please select a BUG ID</v>
      </c>
      <c r="E503" s="49"/>
      <c r="F503" s="102"/>
      <c r="H503" s="49"/>
      <c r="I503" s="102"/>
      <c r="J503" s="51"/>
    </row>
    <row r="504">
      <c r="A504" s="43"/>
      <c r="B504" s="106" t="str">
        <f>IFERROR(HYPERLINK(VLOOKUP(A504,Internal_lists_bugs!$A$2:$G1014,7,FALSE()),"Intro.Issues: "&amp;VLOOKUP(A504,Internal_lists_bugs!$A$2:$P1014,16,FALSE())),"please select a BUG ID")</f>
        <v>please select a BUG ID</v>
      </c>
      <c r="C504" s="107" t="str">
        <f>IFERROR(VLOOKUP(A504,Internal_lists_bugs!$A$2:$X1014,24,FALSE()),"please select a BUG ID")</f>
        <v>please select a BUG ID</v>
      </c>
      <c r="E504" s="49"/>
      <c r="F504" s="102"/>
      <c r="H504" s="49"/>
      <c r="I504" s="102"/>
      <c r="J504" s="51"/>
    </row>
    <row r="505">
      <c r="A505" s="43"/>
      <c r="B505" s="106" t="str">
        <f>IFERROR(HYPERLINK(VLOOKUP(A505,Internal_lists_bugs!$A$2:$G1014,7,FALSE()),"Intro.Issues: "&amp;VLOOKUP(A505,Internal_lists_bugs!$A$2:$P1014,16,FALSE())),"please select a BUG ID")</f>
        <v>please select a BUG ID</v>
      </c>
      <c r="C505" s="107" t="str">
        <f>IFERROR(VLOOKUP(A505,Internal_lists_bugs!$A$2:$X1014,24,FALSE()),"please select a BUG ID")</f>
        <v>please select a BUG ID</v>
      </c>
      <c r="E505" s="49"/>
      <c r="F505" s="102"/>
      <c r="H505" s="49"/>
      <c r="I505" s="102"/>
      <c r="J505" s="51"/>
    </row>
    <row r="506">
      <c r="A506" s="43"/>
      <c r="B506" s="106" t="str">
        <f>IFERROR(HYPERLINK(VLOOKUP(A506,Internal_lists_bugs!$A$2:$G1014,7,FALSE()),"Intro.Issues: "&amp;VLOOKUP(A506,Internal_lists_bugs!$A$2:$P1014,16,FALSE())),"please select a BUG ID")</f>
        <v>please select a BUG ID</v>
      </c>
      <c r="C506" s="107" t="str">
        <f>IFERROR(VLOOKUP(A506,Internal_lists_bugs!$A$2:$X1014,24,FALSE()),"please select a BUG ID")</f>
        <v>please select a BUG ID</v>
      </c>
      <c r="E506" s="49"/>
      <c r="F506" s="102"/>
      <c r="H506" s="49"/>
      <c r="I506" s="102"/>
      <c r="J506" s="51"/>
    </row>
    <row r="507">
      <c r="A507" s="43"/>
      <c r="B507" s="106" t="str">
        <f>IFERROR(HYPERLINK(VLOOKUP(A507,Internal_lists_bugs!$A$2:$G1014,7,FALSE()),"Intro.Issues: "&amp;VLOOKUP(A507,Internal_lists_bugs!$A$2:$P1014,16,FALSE())),"please select a BUG ID")</f>
        <v>please select a BUG ID</v>
      </c>
      <c r="C507" s="107" t="str">
        <f>IFERROR(VLOOKUP(A507,Internal_lists_bugs!$A$2:$X1014,24,FALSE()),"please select a BUG ID")</f>
        <v>please select a BUG ID</v>
      </c>
      <c r="E507" s="49"/>
      <c r="F507" s="102"/>
      <c r="H507" s="49"/>
      <c r="I507" s="102"/>
      <c r="J507" s="51"/>
    </row>
    <row r="508">
      <c r="A508" s="43"/>
      <c r="B508" s="106" t="str">
        <f>IFERROR(HYPERLINK(VLOOKUP(A508,Internal_lists_bugs!$A$2:$G1014,7,FALSE()),"Intro.Issues: "&amp;VLOOKUP(A508,Internal_lists_bugs!$A$2:$P1014,16,FALSE())),"please select a BUG ID")</f>
        <v>please select a BUG ID</v>
      </c>
      <c r="C508" s="107" t="str">
        <f>IFERROR(VLOOKUP(A508,Internal_lists_bugs!$A$2:$X1014,24,FALSE()),"please select a BUG ID")</f>
        <v>please select a BUG ID</v>
      </c>
      <c r="E508" s="49"/>
      <c r="F508" s="102"/>
      <c r="H508" s="49"/>
      <c r="I508" s="102"/>
      <c r="J508" s="51"/>
    </row>
    <row r="509">
      <c r="A509" s="43"/>
      <c r="B509" s="106" t="str">
        <f>IFERROR(HYPERLINK(VLOOKUP(A509,Internal_lists_bugs!$A$2:$G1014,7,FALSE()),"Intro.Issues: "&amp;VLOOKUP(A509,Internal_lists_bugs!$A$2:$P1014,16,FALSE())),"please select a BUG ID")</f>
        <v>please select a BUG ID</v>
      </c>
      <c r="C509" s="107" t="str">
        <f>IFERROR(VLOOKUP(A509,Internal_lists_bugs!$A$2:$X1014,24,FALSE()),"please select a BUG ID")</f>
        <v>please select a BUG ID</v>
      </c>
      <c r="E509" s="49"/>
      <c r="F509" s="102"/>
      <c r="H509" s="49"/>
      <c r="I509" s="102"/>
      <c r="J509" s="51"/>
    </row>
    <row r="510">
      <c r="A510" s="43"/>
      <c r="B510" s="106" t="str">
        <f>IFERROR(HYPERLINK(VLOOKUP(A510,Internal_lists_bugs!$A$2:$G1014,7,FALSE()),"Intro.Issues: "&amp;VLOOKUP(A510,Internal_lists_bugs!$A$2:$P1014,16,FALSE())),"please select a BUG ID")</f>
        <v>please select a BUG ID</v>
      </c>
      <c r="C510" s="107" t="str">
        <f>IFERROR(VLOOKUP(A510,Internal_lists_bugs!$A$2:$X1014,24,FALSE()),"please select a BUG ID")</f>
        <v>please select a BUG ID</v>
      </c>
      <c r="E510" s="49"/>
      <c r="F510" s="102"/>
      <c r="H510" s="49"/>
      <c r="I510" s="102"/>
      <c r="J510" s="51"/>
    </row>
    <row r="511">
      <c r="A511" s="43"/>
      <c r="B511" s="106" t="str">
        <f>IFERROR(HYPERLINK(VLOOKUP(A511,Internal_lists_bugs!$A$2:$G1014,7,FALSE()),"Intro.Issues: "&amp;VLOOKUP(A511,Internal_lists_bugs!$A$2:$P1014,16,FALSE())),"please select a BUG ID")</f>
        <v>please select a BUG ID</v>
      </c>
      <c r="C511" s="107" t="str">
        <f>IFERROR(VLOOKUP(A511,Internal_lists_bugs!$A$2:$X1014,24,FALSE()),"please select a BUG ID")</f>
        <v>please select a BUG ID</v>
      </c>
      <c r="E511" s="49"/>
      <c r="F511" s="102"/>
      <c r="H511" s="49"/>
      <c r="I511" s="102"/>
      <c r="J511" s="51"/>
    </row>
    <row r="512">
      <c r="A512" s="43"/>
      <c r="B512" s="106" t="str">
        <f>IFERROR(HYPERLINK(VLOOKUP(A512,Internal_lists_bugs!$A$2:$G1014,7,FALSE()),"Intro.Issues: "&amp;VLOOKUP(A512,Internal_lists_bugs!$A$2:$P1014,16,FALSE())),"please select a BUG ID")</f>
        <v>please select a BUG ID</v>
      </c>
      <c r="C512" s="107" t="str">
        <f>IFERROR(VLOOKUP(A512,Internal_lists_bugs!$A$2:$X1014,24,FALSE()),"please select a BUG ID")</f>
        <v>please select a BUG ID</v>
      </c>
      <c r="E512" s="49"/>
      <c r="F512" s="102"/>
      <c r="H512" s="49"/>
      <c r="I512" s="102"/>
      <c r="J512" s="51"/>
    </row>
    <row r="513">
      <c r="A513" s="43"/>
      <c r="B513" s="106" t="str">
        <f>IFERROR(HYPERLINK(VLOOKUP(A513,Internal_lists_bugs!$A$2:$G1014,7,FALSE()),"Intro.Issues: "&amp;VLOOKUP(A513,Internal_lists_bugs!$A$2:$P1014,16,FALSE())),"please select a BUG ID")</f>
        <v>please select a BUG ID</v>
      </c>
      <c r="C513" s="107" t="str">
        <f>IFERROR(VLOOKUP(A513,Internal_lists_bugs!$A$2:$X1014,24,FALSE()),"please select a BUG ID")</f>
        <v>please select a BUG ID</v>
      </c>
      <c r="E513" s="49"/>
      <c r="F513" s="102"/>
      <c r="H513" s="49"/>
      <c r="I513" s="102"/>
      <c r="J513" s="51"/>
    </row>
    <row r="514">
      <c r="A514" s="43"/>
      <c r="B514" s="106" t="str">
        <f>IFERROR(HYPERLINK(VLOOKUP(A514,Internal_lists_bugs!$A$2:$G1014,7,FALSE()),"Intro.Issues: "&amp;VLOOKUP(A514,Internal_lists_bugs!$A$2:$P1014,16,FALSE())),"please select a BUG ID")</f>
        <v>please select a BUG ID</v>
      </c>
      <c r="C514" s="107" t="str">
        <f>IFERROR(VLOOKUP(A514,Internal_lists_bugs!$A$2:$X1014,24,FALSE()),"please select a BUG ID")</f>
        <v>please select a BUG ID</v>
      </c>
      <c r="E514" s="49"/>
      <c r="F514" s="102"/>
      <c r="H514" s="49"/>
      <c r="I514" s="102"/>
      <c r="J514" s="51"/>
    </row>
    <row r="515">
      <c r="A515" s="43"/>
      <c r="B515" s="106" t="str">
        <f>IFERROR(HYPERLINK(VLOOKUP(A515,Internal_lists_bugs!$A$2:$G1014,7,FALSE()),"Intro.Issues: "&amp;VLOOKUP(A515,Internal_lists_bugs!$A$2:$P1014,16,FALSE())),"please select a BUG ID")</f>
        <v>please select a BUG ID</v>
      </c>
      <c r="C515" s="107" t="str">
        <f>IFERROR(VLOOKUP(A515,Internal_lists_bugs!$A$2:$X1014,24,FALSE()),"please select a BUG ID")</f>
        <v>please select a BUG ID</v>
      </c>
      <c r="E515" s="49"/>
      <c r="F515" s="102"/>
      <c r="H515" s="49"/>
      <c r="I515" s="102"/>
      <c r="J515" s="51"/>
    </row>
    <row r="516">
      <c r="A516" s="43"/>
      <c r="B516" s="106" t="str">
        <f>IFERROR(HYPERLINK(VLOOKUP(A516,Internal_lists_bugs!$A$2:$G1014,7,FALSE()),"Intro.Issues: "&amp;VLOOKUP(A516,Internal_lists_bugs!$A$2:$P1014,16,FALSE())),"please select a BUG ID")</f>
        <v>please select a BUG ID</v>
      </c>
      <c r="C516" s="107" t="str">
        <f>IFERROR(VLOOKUP(A516,Internal_lists_bugs!$A$2:$X1014,24,FALSE()),"please select a BUG ID")</f>
        <v>please select a BUG ID</v>
      </c>
      <c r="E516" s="49"/>
      <c r="F516" s="102"/>
      <c r="H516" s="49"/>
      <c r="I516" s="102"/>
      <c r="J516" s="51"/>
    </row>
    <row r="517">
      <c r="A517" s="43"/>
      <c r="B517" s="106" t="str">
        <f>IFERROR(HYPERLINK(VLOOKUP(A517,Internal_lists_bugs!$A$2:$G1014,7,FALSE()),"Intro.Issues: "&amp;VLOOKUP(A517,Internal_lists_bugs!$A$2:$P1014,16,FALSE())),"please select a BUG ID")</f>
        <v>please select a BUG ID</v>
      </c>
      <c r="C517" s="107" t="str">
        <f>IFERROR(VLOOKUP(A517,Internal_lists_bugs!$A$2:$X1014,24,FALSE()),"please select a BUG ID")</f>
        <v>please select a BUG ID</v>
      </c>
      <c r="E517" s="49"/>
      <c r="F517" s="102"/>
      <c r="H517" s="49"/>
      <c r="I517" s="102"/>
      <c r="J517" s="51"/>
    </row>
    <row r="518">
      <c r="A518" s="43"/>
      <c r="B518" s="106" t="str">
        <f>IFERROR(HYPERLINK(VLOOKUP(A518,Internal_lists_bugs!$A$2:$G1014,7,FALSE()),"Intro.Issues: "&amp;VLOOKUP(A518,Internal_lists_bugs!$A$2:$P1014,16,FALSE())),"please select a BUG ID")</f>
        <v>please select a BUG ID</v>
      </c>
      <c r="C518" s="107" t="str">
        <f>IFERROR(VLOOKUP(A518,Internal_lists_bugs!$A$2:$X1014,24,FALSE()),"please select a BUG ID")</f>
        <v>please select a BUG ID</v>
      </c>
      <c r="E518" s="49"/>
      <c r="F518" s="102"/>
      <c r="H518" s="49"/>
      <c r="I518" s="102"/>
      <c r="J518" s="51"/>
    </row>
    <row r="519">
      <c r="A519" s="43"/>
      <c r="B519" s="106" t="str">
        <f>IFERROR(HYPERLINK(VLOOKUP(A519,Internal_lists_bugs!$A$2:$G1014,7,FALSE()),"Intro.Issues: "&amp;VLOOKUP(A519,Internal_lists_bugs!$A$2:$P1014,16,FALSE())),"please select a BUG ID")</f>
        <v>please select a BUG ID</v>
      </c>
      <c r="C519" s="107" t="str">
        <f>IFERROR(VLOOKUP(A519,Internal_lists_bugs!$A$2:$X1014,24,FALSE()),"please select a BUG ID")</f>
        <v>please select a BUG ID</v>
      </c>
      <c r="E519" s="49"/>
      <c r="F519" s="102"/>
      <c r="H519" s="49"/>
      <c r="I519" s="102"/>
      <c r="J519" s="51"/>
    </row>
    <row r="520">
      <c r="A520" s="43"/>
      <c r="B520" s="106" t="str">
        <f>IFERROR(HYPERLINK(VLOOKUP(A520,Internal_lists_bugs!$A$2:$G1014,7,FALSE()),"Intro.Issues: "&amp;VLOOKUP(A520,Internal_lists_bugs!$A$2:$P1014,16,FALSE())),"please select a BUG ID")</f>
        <v>please select a BUG ID</v>
      </c>
      <c r="C520" s="107" t="str">
        <f>IFERROR(VLOOKUP(A520,Internal_lists_bugs!$A$2:$X1014,24,FALSE()),"please select a BUG ID")</f>
        <v>please select a BUG ID</v>
      </c>
      <c r="E520" s="49"/>
      <c r="F520" s="102"/>
      <c r="H520" s="49"/>
      <c r="I520" s="102"/>
      <c r="J520" s="51"/>
    </row>
    <row r="521">
      <c r="A521" s="43"/>
      <c r="B521" s="106" t="str">
        <f>IFERROR(HYPERLINK(VLOOKUP(A521,Internal_lists_bugs!$A$2:$G1014,7,FALSE()),"Intro.Issues: "&amp;VLOOKUP(A521,Internal_lists_bugs!$A$2:$P1014,16,FALSE())),"please select a BUG ID")</f>
        <v>please select a BUG ID</v>
      </c>
      <c r="C521" s="107" t="str">
        <f>IFERROR(VLOOKUP(A521,Internal_lists_bugs!$A$2:$X1014,24,FALSE()),"please select a BUG ID")</f>
        <v>please select a BUG ID</v>
      </c>
      <c r="E521" s="49"/>
      <c r="F521" s="102"/>
      <c r="H521" s="49"/>
      <c r="I521" s="102"/>
      <c r="J521" s="51"/>
    </row>
    <row r="522">
      <c r="A522" s="43"/>
      <c r="B522" s="106" t="str">
        <f>IFERROR(HYPERLINK(VLOOKUP(A522,Internal_lists_bugs!$A$2:$G1014,7,FALSE()),"Intro.Issues: "&amp;VLOOKUP(A522,Internal_lists_bugs!$A$2:$P1014,16,FALSE())),"please select a BUG ID")</f>
        <v>please select a BUG ID</v>
      </c>
      <c r="C522" s="107" t="str">
        <f>IFERROR(VLOOKUP(A522,Internal_lists_bugs!$A$2:$X1014,24,FALSE()),"please select a BUG ID")</f>
        <v>please select a BUG ID</v>
      </c>
      <c r="E522" s="49"/>
      <c r="F522" s="102"/>
      <c r="H522" s="49"/>
      <c r="I522" s="102"/>
      <c r="J522" s="51"/>
    </row>
    <row r="523">
      <c r="A523" s="43"/>
      <c r="B523" s="106" t="str">
        <f>IFERROR(HYPERLINK(VLOOKUP(A523,Internal_lists_bugs!$A$2:$G1014,7,FALSE()),"Intro.Issues: "&amp;VLOOKUP(A523,Internal_lists_bugs!$A$2:$P1014,16,FALSE())),"please select a BUG ID")</f>
        <v>please select a BUG ID</v>
      </c>
      <c r="C523" s="107" t="str">
        <f>IFERROR(VLOOKUP(A523,Internal_lists_bugs!$A$2:$X1014,24,FALSE()),"please select a BUG ID")</f>
        <v>please select a BUG ID</v>
      </c>
      <c r="E523" s="49"/>
      <c r="F523" s="102"/>
      <c r="H523" s="49"/>
      <c r="I523" s="102"/>
      <c r="J523" s="51"/>
    </row>
    <row r="524">
      <c r="A524" s="43"/>
      <c r="B524" s="106" t="str">
        <f>IFERROR(HYPERLINK(VLOOKUP(A524,Internal_lists_bugs!$A$2:$G1014,7,FALSE()),"Intro.Issues: "&amp;VLOOKUP(A524,Internal_lists_bugs!$A$2:$P1014,16,FALSE())),"please select a BUG ID")</f>
        <v>please select a BUG ID</v>
      </c>
      <c r="C524" s="107" t="str">
        <f>IFERROR(VLOOKUP(A524,Internal_lists_bugs!$A$2:$X1014,24,FALSE()),"please select a BUG ID")</f>
        <v>please select a BUG ID</v>
      </c>
      <c r="E524" s="49"/>
      <c r="F524" s="102"/>
      <c r="H524" s="49"/>
      <c r="I524" s="102"/>
      <c r="J524" s="51"/>
    </row>
    <row r="525">
      <c r="A525" s="43"/>
      <c r="B525" s="106" t="str">
        <f>IFERROR(HYPERLINK(VLOOKUP(A525,Internal_lists_bugs!$A$2:$G1014,7,FALSE()),"Intro.Issues: "&amp;VLOOKUP(A525,Internal_lists_bugs!$A$2:$P1014,16,FALSE())),"please select a BUG ID")</f>
        <v>please select a BUG ID</v>
      </c>
      <c r="C525" s="107" t="str">
        <f>IFERROR(VLOOKUP(A525,Internal_lists_bugs!$A$2:$X1014,24,FALSE()),"please select a BUG ID")</f>
        <v>please select a BUG ID</v>
      </c>
      <c r="E525" s="49"/>
      <c r="F525" s="102"/>
      <c r="H525" s="49"/>
      <c r="I525" s="102"/>
      <c r="J525" s="51"/>
    </row>
    <row r="526">
      <c r="A526" s="43"/>
      <c r="B526" s="106" t="str">
        <f>IFERROR(HYPERLINK(VLOOKUP(A526,Internal_lists_bugs!$A$2:$G1014,7,FALSE()),"Intro.Issues: "&amp;VLOOKUP(A526,Internal_lists_bugs!$A$2:$P1014,16,FALSE())),"please select a BUG ID")</f>
        <v>please select a BUG ID</v>
      </c>
      <c r="C526" s="107" t="str">
        <f>IFERROR(VLOOKUP(A526,Internal_lists_bugs!$A$2:$X1014,24,FALSE()),"please select a BUG ID")</f>
        <v>please select a BUG ID</v>
      </c>
      <c r="E526" s="49"/>
      <c r="F526" s="102"/>
      <c r="H526" s="49"/>
      <c r="I526" s="102"/>
      <c r="J526" s="51"/>
    </row>
    <row r="527">
      <c r="A527" s="43"/>
      <c r="B527" s="106" t="str">
        <f>IFERROR(HYPERLINK(VLOOKUP(A527,Internal_lists_bugs!$A$2:$G1014,7,FALSE()),"Intro.Issues: "&amp;VLOOKUP(A527,Internal_lists_bugs!$A$2:$P1014,16,FALSE())),"please select a BUG ID")</f>
        <v>please select a BUG ID</v>
      </c>
      <c r="C527" s="107" t="str">
        <f>IFERROR(VLOOKUP(A527,Internal_lists_bugs!$A$2:$X1014,24,FALSE()),"please select a BUG ID")</f>
        <v>please select a BUG ID</v>
      </c>
      <c r="E527" s="49"/>
      <c r="F527" s="102"/>
      <c r="H527" s="49"/>
      <c r="I527" s="102"/>
      <c r="J527" s="51"/>
    </row>
    <row r="528">
      <c r="A528" s="43"/>
      <c r="B528" s="106" t="str">
        <f>IFERROR(HYPERLINK(VLOOKUP(A528,Internal_lists_bugs!$A$2:$G1014,7,FALSE()),"Intro.Issues: "&amp;VLOOKUP(A528,Internal_lists_bugs!$A$2:$P1014,16,FALSE())),"please select a BUG ID")</f>
        <v>please select a BUG ID</v>
      </c>
      <c r="C528" s="107" t="str">
        <f>IFERROR(VLOOKUP(A528,Internal_lists_bugs!$A$2:$X1014,24,FALSE()),"please select a BUG ID")</f>
        <v>please select a BUG ID</v>
      </c>
      <c r="E528" s="49"/>
      <c r="F528" s="102"/>
      <c r="H528" s="49"/>
      <c r="I528" s="102"/>
      <c r="J528" s="51"/>
    </row>
    <row r="529">
      <c r="A529" s="43"/>
      <c r="B529" s="106" t="str">
        <f>IFERROR(HYPERLINK(VLOOKUP(A529,Internal_lists_bugs!$A$2:$G1014,7,FALSE()),"Intro.Issues: "&amp;VLOOKUP(A529,Internal_lists_bugs!$A$2:$P1014,16,FALSE())),"please select a BUG ID")</f>
        <v>please select a BUG ID</v>
      </c>
      <c r="C529" s="107" t="str">
        <f>IFERROR(VLOOKUP(A529,Internal_lists_bugs!$A$2:$X1014,24,FALSE()),"please select a BUG ID")</f>
        <v>please select a BUG ID</v>
      </c>
      <c r="E529" s="49"/>
      <c r="F529" s="102"/>
      <c r="H529" s="49"/>
      <c r="I529" s="102"/>
      <c r="J529" s="51"/>
    </row>
    <row r="530">
      <c r="A530" s="43"/>
      <c r="B530" s="106" t="str">
        <f>IFERROR(HYPERLINK(VLOOKUP(A530,Internal_lists_bugs!$A$2:$G1014,7,FALSE()),"Intro.Issues: "&amp;VLOOKUP(A530,Internal_lists_bugs!$A$2:$P1014,16,FALSE())),"please select a BUG ID")</f>
        <v>please select a BUG ID</v>
      </c>
      <c r="C530" s="107" t="str">
        <f>IFERROR(VLOOKUP(A530,Internal_lists_bugs!$A$2:$X1014,24,FALSE()),"please select a BUG ID")</f>
        <v>please select a BUG ID</v>
      </c>
      <c r="E530" s="49"/>
      <c r="F530" s="102"/>
      <c r="H530" s="49"/>
      <c r="I530" s="102"/>
      <c r="J530" s="51"/>
    </row>
    <row r="531">
      <c r="A531" s="43"/>
      <c r="B531" s="106" t="str">
        <f>IFERROR(HYPERLINK(VLOOKUP(A531,Internal_lists_bugs!$A$2:$G1014,7,FALSE()),"Intro.Issues: "&amp;VLOOKUP(A531,Internal_lists_bugs!$A$2:$P1014,16,FALSE())),"please select a BUG ID")</f>
        <v>please select a BUG ID</v>
      </c>
      <c r="C531" s="107" t="str">
        <f>IFERROR(VLOOKUP(A531,Internal_lists_bugs!$A$2:$X1014,24,FALSE()),"please select a BUG ID")</f>
        <v>please select a BUG ID</v>
      </c>
      <c r="E531" s="49"/>
      <c r="F531" s="102"/>
      <c r="H531" s="49"/>
      <c r="I531" s="102"/>
      <c r="J531" s="51"/>
    </row>
    <row r="532">
      <c r="A532" s="43"/>
      <c r="B532" s="106" t="str">
        <f>IFERROR(HYPERLINK(VLOOKUP(A532,Internal_lists_bugs!$A$2:$G1014,7,FALSE()),"Intro.Issues: "&amp;VLOOKUP(A532,Internal_lists_bugs!$A$2:$P1014,16,FALSE())),"please select a BUG ID")</f>
        <v>please select a BUG ID</v>
      </c>
      <c r="C532" s="107" t="str">
        <f>IFERROR(VLOOKUP(A532,Internal_lists_bugs!$A$2:$X1014,24,FALSE()),"please select a BUG ID")</f>
        <v>please select a BUG ID</v>
      </c>
      <c r="E532" s="49"/>
      <c r="F532" s="102"/>
      <c r="H532" s="49"/>
      <c r="I532" s="102"/>
      <c r="J532" s="51"/>
    </row>
    <row r="533">
      <c r="A533" s="43"/>
      <c r="B533" s="106" t="str">
        <f>IFERROR(HYPERLINK(VLOOKUP(A533,Internal_lists_bugs!$A$2:$G1014,7,FALSE()),"Intro.Issues: "&amp;VLOOKUP(A533,Internal_lists_bugs!$A$2:$P1014,16,FALSE())),"please select a BUG ID")</f>
        <v>please select a BUG ID</v>
      </c>
      <c r="C533" s="107" t="str">
        <f>IFERROR(VLOOKUP(A533,Internal_lists_bugs!$A$2:$X1014,24,FALSE()),"please select a BUG ID")</f>
        <v>please select a BUG ID</v>
      </c>
      <c r="E533" s="49"/>
      <c r="F533" s="102"/>
      <c r="H533" s="49"/>
      <c r="I533" s="102"/>
      <c r="J533" s="51"/>
    </row>
    <row r="534">
      <c r="A534" s="43"/>
      <c r="B534" s="106" t="str">
        <f>IFERROR(HYPERLINK(VLOOKUP(A534,Internal_lists_bugs!$A$2:$G1014,7,FALSE()),"Intro.Issues: "&amp;VLOOKUP(A534,Internal_lists_bugs!$A$2:$P1014,16,FALSE())),"please select a BUG ID")</f>
        <v>please select a BUG ID</v>
      </c>
      <c r="C534" s="107" t="str">
        <f>IFERROR(VLOOKUP(A534,Internal_lists_bugs!$A$2:$X1014,24,FALSE()),"please select a BUG ID")</f>
        <v>please select a BUG ID</v>
      </c>
      <c r="E534" s="49"/>
      <c r="F534" s="102"/>
      <c r="H534" s="49"/>
      <c r="I534" s="102"/>
      <c r="J534" s="51"/>
    </row>
    <row r="535">
      <c r="A535" s="43"/>
      <c r="B535" s="106" t="str">
        <f>IFERROR(HYPERLINK(VLOOKUP(A535,Internal_lists_bugs!$A$2:$G1014,7,FALSE()),"Intro.Issues: "&amp;VLOOKUP(A535,Internal_lists_bugs!$A$2:$P1014,16,FALSE())),"please select a BUG ID")</f>
        <v>please select a BUG ID</v>
      </c>
      <c r="C535" s="107" t="str">
        <f>IFERROR(VLOOKUP(A535,Internal_lists_bugs!$A$2:$X1014,24,FALSE()),"please select a BUG ID")</f>
        <v>please select a BUG ID</v>
      </c>
      <c r="E535" s="49"/>
      <c r="F535" s="102"/>
      <c r="H535" s="49"/>
      <c r="I535" s="102"/>
      <c r="J535" s="51"/>
    </row>
    <row r="536">
      <c r="A536" s="43"/>
      <c r="B536" s="106" t="str">
        <f>IFERROR(HYPERLINK(VLOOKUP(A536,Internal_lists_bugs!$A$2:$G1014,7,FALSE()),"Intro.Issues: "&amp;VLOOKUP(A536,Internal_lists_bugs!$A$2:$P1014,16,FALSE())),"please select a BUG ID")</f>
        <v>please select a BUG ID</v>
      </c>
      <c r="C536" s="107" t="str">
        <f>IFERROR(VLOOKUP(A536,Internal_lists_bugs!$A$2:$X1014,24,FALSE()),"please select a BUG ID")</f>
        <v>please select a BUG ID</v>
      </c>
      <c r="E536" s="49"/>
      <c r="F536" s="102"/>
      <c r="H536" s="49"/>
      <c r="I536" s="102"/>
      <c r="J536" s="51"/>
    </row>
    <row r="537">
      <c r="A537" s="43"/>
      <c r="B537" s="106" t="str">
        <f>IFERROR(HYPERLINK(VLOOKUP(A537,Internal_lists_bugs!$A$2:$G1014,7,FALSE()),"Intro.Issues: "&amp;VLOOKUP(A537,Internal_lists_bugs!$A$2:$P1014,16,FALSE())),"please select a BUG ID")</f>
        <v>please select a BUG ID</v>
      </c>
      <c r="C537" s="107" t="str">
        <f>IFERROR(VLOOKUP(A537,Internal_lists_bugs!$A$2:$X1014,24,FALSE()),"please select a BUG ID")</f>
        <v>please select a BUG ID</v>
      </c>
      <c r="E537" s="49"/>
      <c r="F537" s="102"/>
      <c r="H537" s="49"/>
      <c r="I537" s="102"/>
      <c r="J537" s="51"/>
    </row>
    <row r="538">
      <c r="A538" s="43"/>
      <c r="B538" s="106" t="str">
        <f>IFERROR(HYPERLINK(VLOOKUP(A538,Internal_lists_bugs!$A$2:$G1014,7,FALSE()),"Intro.Issues: "&amp;VLOOKUP(A538,Internal_lists_bugs!$A$2:$P1014,16,FALSE())),"please select a BUG ID")</f>
        <v>please select a BUG ID</v>
      </c>
      <c r="C538" s="107" t="str">
        <f>IFERROR(VLOOKUP(A538,Internal_lists_bugs!$A$2:$X1014,24,FALSE()),"please select a BUG ID")</f>
        <v>please select a BUG ID</v>
      </c>
      <c r="E538" s="49"/>
      <c r="F538" s="102"/>
      <c r="H538" s="49"/>
      <c r="I538" s="102"/>
      <c r="J538" s="51"/>
    </row>
    <row r="539">
      <c r="A539" s="43"/>
      <c r="B539" s="106" t="str">
        <f>IFERROR(HYPERLINK(VLOOKUP(A539,Internal_lists_bugs!$A$2:$G1014,7,FALSE()),"Intro.Issues: "&amp;VLOOKUP(A539,Internal_lists_bugs!$A$2:$P1014,16,FALSE())),"please select a BUG ID")</f>
        <v>please select a BUG ID</v>
      </c>
      <c r="C539" s="107" t="str">
        <f>IFERROR(VLOOKUP(A539,Internal_lists_bugs!$A$2:$X1014,24,FALSE()),"please select a BUG ID")</f>
        <v>please select a BUG ID</v>
      </c>
      <c r="E539" s="49"/>
      <c r="F539" s="102"/>
      <c r="H539" s="49"/>
      <c r="I539" s="102"/>
      <c r="J539" s="51"/>
    </row>
    <row r="540">
      <c r="A540" s="43"/>
      <c r="B540" s="106" t="str">
        <f>IFERROR(HYPERLINK(VLOOKUP(A540,Internal_lists_bugs!$A$2:$G1014,7,FALSE()),"Intro.Issues: "&amp;VLOOKUP(A540,Internal_lists_bugs!$A$2:$P1014,16,FALSE())),"please select a BUG ID")</f>
        <v>please select a BUG ID</v>
      </c>
      <c r="C540" s="107" t="str">
        <f>IFERROR(VLOOKUP(A540,Internal_lists_bugs!$A$2:$X1014,24,FALSE()),"please select a BUG ID")</f>
        <v>please select a BUG ID</v>
      </c>
      <c r="E540" s="49"/>
      <c r="F540" s="102"/>
      <c r="H540" s="49"/>
      <c r="I540" s="102"/>
      <c r="J540" s="51"/>
    </row>
    <row r="541">
      <c r="A541" s="43"/>
      <c r="B541" s="106" t="str">
        <f>IFERROR(HYPERLINK(VLOOKUP(A541,Internal_lists_bugs!$A$2:$G1014,7,FALSE()),"Intro.Issues: "&amp;VLOOKUP(A541,Internal_lists_bugs!$A$2:$P1014,16,FALSE())),"please select a BUG ID")</f>
        <v>please select a BUG ID</v>
      </c>
      <c r="C541" s="107" t="str">
        <f>IFERROR(VLOOKUP(A541,Internal_lists_bugs!$A$2:$X1014,24,FALSE()),"please select a BUG ID")</f>
        <v>please select a BUG ID</v>
      </c>
      <c r="E541" s="49"/>
      <c r="F541" s="102"/>
      <c r="H541" s="49"/>
      <c r="I541" s="102"/>
      <c r="J541" s="51"/>
    </row>
    <row r="542">
      <c r="A542" s="43"/>
      <c r="B542" s="106" t="str">
        <f>IFERROR(HYPERLINK(VLOOKUP(A542,Internal_lists_bugs!$A$2:$G1014,7,FALSE()),"Intro.Issues: "&amp;VLOOKUP(A542,Internal_lists_bugs!$A$2:$P1014,16,FALSE())),"please select a BUG ID")</f>
        <v>please select a BUG ID</v>
      </c>
      <c r="C542" s="107" t="str">
        <f>IFERROR(VLOOKUP(A542,Internal_lists_bugs!$A$2:$X1014,24,FALSE()),"please select a BUG ID")</f>
        <v>please select a BUG ID</v>
      </c>
      <c r="E542" s="49"/>
      <c r="F542" s="102"/>
      <c r="H542" s="49"/>
      <c r="I542" s="102"/>
      <c r="J542" s="51"/>
    </row>
    <row r="543">
      <c r="A543" s="43"/>
      <c r="B543" s="106" t="str">
        <f>IFERROR(HYPERLINK(VLOOKUP(A543,Internal_lists_bugs!$A$2:$G1014,7,FALSE()),"Intro.Issues: "&amp;VLOOKUP(A543,Internal_lists_bugs!$A$2:$P1014,16,FALSE())),"please select a BUG ID")</f>
        <v>please select a BUG ID</v>
      </c>
      <c r="C543" s="107" t="str">
        <f>IFERROR(VLOOKUP(A543,Internal_lists_bugs!$A$2:$X1014,24,FALSE()),"please select a BUG ID")</f>
        <v>please select a BUG ID</v>
      </c>
      <c r="E543" s="49"/>
      <c r="F543" s="102"/>
      <c r="H543" s="49"/>
      <c r="I543" s="102"/>
      <c r="J543" s="51"/>
    </row>
    <row r="544">
      <c r="A544" s="43"/>
      <c r="B544" s="106" t="str">
        <f>IFERROR(HYPERLINK(VLOOKUP(A544,Internal_lists_bugs!$A$2:$G1014,7,FALSE()),"Intro.Issues: "&amp;VLOOKUP(A544,Internal_lists_bugs!$A$2:$P1014,16,FALSE())),"please select a BUG ID")</f>
        <v>please select a BUG ID</v>
      </c>
      <c r="C544" s="107" t="str">
        <f>IFERROR(VLOOKUP(A544,Internal_lists_bugs!$A$2:$X1014,24,FALSE()),"please select a BUG ID")</f>
        <v>please select a BUG ID</v>
      </c>
      <c r="E544" s="49"/>
      <c r="F544" s="102"/>
      <c r="H544" s="49"/>
      <c r="I544" s="102"/>
      <c r="J544" s="51"/>
    </row>
    <row r="545">
      <c r="A545" s="43"/>
      <c r="B545" s="106" t="str">
        <f>IFERROR(HYPERLINK(VLOOKUP(A545,Internal_lists_bugs!$A$2:$G1014,7,FALSE()),"Intro.Issues: "&amp;VLOOKUP(A545,Internal_lists_bugs!$A$2:$P1014,16,FALSE())),"please select a BUG ID")</f>
        <v>please select a BUG ID</v>
      </c>
      <c r="C545" s="107" t="str">
        <f>IFERROR(VLOOKUP(A545,Internal_lists_bugs!$A$2:$X1014,24,FALSE()),"please select a BUG ID")</f>
        <v>please select a BUG ID</v>
      </c>
      <c r="E545" s="49"/>
      <c r="F545" s="102"/>
      <c r="H545" s="49"/>
      <c r="I545" s="102"/>
      <c r="J545" s="51"/>
    </row>
    <row r="546">
      <c r="A546" s="43"/>
      <c r="B546" s="106" t="str">
        <f>IFERROR(HYPERLINK(VLOOKUP(A546,Internal_lists_bugs!$A$2:$G1014,7,FALSE()),"Intro.Issues: "&amp;VLOOKUP(A546,Internal_lists_bugs!$A$2:$P1014,16,FALSE())),"please select a BUG ID")</f>
        <v>please select a BUG ID</v>
      </c>
      <c r="C546" s="107" t="str">
        <f>IFERROR(VLOOKUP(A546,Internal_lists_bugs!$A$2:$X1014,24,FALSE()),"please select a BUG ID")</f>
        <v>please select a BUG ID</v>
      </c>
      <c r="E546" s="49"/>
      <c r="F546" s="102"/>
      <c r="H546" s="49"/>
      <c r="I546" s="102"/>
      <c r="J546" s="51"/>
    </row>
    <row r="547">
      <c r="A547" s="43"/>
      <c r="B547" s="106" t="str">
        <f>IFERROR(HYPERLINK(VLOOKUP(A547,Internal_lists_bugs!$A$2:$G1014,7,FALSE()),"Intro.Issues: "&amp;VLOOKUP(A547,Internal_lists_bugs!$A$2:$P1014,16,FALSE())),"please select a BUG ID")</f>
        <v>please select a BUG ID</v>
      </c>
      <c r="C547" s="107" t="str">
        <f>IFERROR(VLOOKUP(A547,Internal_lists_bugs!$A$2:$X1014,24,FALSE()),"please select a BUG ID")</f>
        <v>please select a BUG ID</v>
      </c>
      <c r="E547" s="49"/>
      <c r="F547" s="102"/>
      <c r="H547" s="49"/>
      <c r="I547" s="102"/>
      <c r="J547" s="51"/>
    </row>
    <row r="548">
      <c r="A548" s="43"/>
      <c r="B548" s="106" t="str">
        <f>IFERROR(HYPERLINK(VLOOKUP(A548,Internal_lists_bugs!$A$2:$G1014,7,FALSE()),"Intro.Issues: "&amp;VLOOKUP(A548,Internal_lists_bugs!$A$2:$P1014,16,FALSE())),"please select a BUG ID")</f>
        <v>please select a BUG ID</v>
      </c>
      <c r="C548" s="107" t="str">
        <f>IFERROR(VLOOKUP(A548,Internal_lists_bugs!$A$2:$X1014,24,FALSE()),"please select a BUG ID")</f>
        <v>please select a BUG ID</v>
      </c>
      <c r="E548" s="49"/>
      <c r="F548" s="102"/>
      <c r="H548" s="49"/>
      <c r="I548" s="102"/>
      <c r="J548" s="51"/>
    </row>
    <row r="549">
      <c r="A549" s="43"/>
      <c r="B549" s="106" t="str">
        <f>IFERROR(HYPERLINK(VLOOKUP(A549,Internal_lists_bugs!$A$2:$G1014,7,FALSE()),"Intro.Issues: "&amp;VLOOKUP(A549,Internal_lists_bugs!$A$2:$P1014,16,FALSE())),"please select a BUG ID")</f>
        <v>please select a BUG ID</v>
      </c>
      <c r="C549" s="107" t="str">
        <f>IFERROR(VLOOKUP(A549,Internal_lists_bugs!$A$2:$X1014,24,FALSE()),"please select a BUG ID")</f>
        <v>please select a BUG ID</v>
      </c>
      <c r="E549" s="49"/>
      <c r="F549" s="102"/>
      <c r="H549" s="49"/>
      <c r="I549" s="102"/>
      <c r="J549" s="51"/>
    </row>
    <row r="550">
      <c r="A550" s="43"/>
      <c r="B550" s="106" t="str">
        <f>IFERROR(HYPERLINK(VLOOKUP(A550,Internal_lists_bugs!$A$2:$G1014,7,FALSE()),"Intro.Issues: "&amp;VLOOKUP(A550,Internal_lists_bugs!$A$2:$P1014,16,FALSE())),"please select a BUG ID")</f>
        <v>please select a BUG ID</v>
      </c>
      <c r="C550" s="107" t="str">
        <f>IFERROR(VLOOKUP(A550,Internal_lists_bugs!$A$2:$X1014,24,FALSE()),"please select a BUG ID")</f>
        <v>please select a BUG ID</v>
      </c>
      <c r="E550" s="49"/>
      <c r="F550" s="102"/>
      <c r="H550" s="49"/>
      <c r="I550" s="102"/>
      <c r="J550" s="51"/>
    </row>
    <row r="551">
      <c r="A551" s="43"/>
      <c r="B551" s="106" t="str">
        <f>IFERROR(HYPERLINK(VLOOKUP(A551,Internal_lists_bugs!$A$2:$G1014,7,FALSE()),"Intro.Issues: "&amp;VLOOKUP(A551,Internal_lists_bugs!$A$2:$P1014,16,FALSE())),"please select a BUG ID")</f>
        <v>please select a BUG ID</v>
      </c>
      <c r="C551" s="107" t="str">
        <f>IFERROR(VLOOKUP(A551,Internal_lists_bugs!$A$2:$X1014,24,FALSE()),"please select a BUG ID")</f>
        <v>please select a BUG ID</v>
      </c>
      <c r="E551" s="49"/>
      <c r="F551" s="102"/>
      <c r="H551" s="49"/>
      <c r="I551" s="102"/>
      <c r="J551" s="51"/>
    </row>
    <row r="552">
      <c r="A552" s="43"/>
      <c r="B552" s="106" t="str">
        <f>IFERROR(HYPERLINK(VLOOKUP(A552,Internal_lists_bugs!$A$2:$G1014,7,FALSE()),"Intro.Issues: "&amp;VLOOKUP(A552,Internal_lists_bugs!$A$2:$P1014,16,FALSE())),"please select a BUG ID")</f>
        <v>please select a BUG ID</v>
      </c>
      <c r="C552" s="107" t="str">
        <f>IFERROR(VLOOKUP(A552,Internal_lists_bugs!$A$2:$X1014,24,FALSE()),"please select a BUG ID")</f>
        <v>please select a BUG ID</v>
      </c>
      <c r="E552" s="49"/>
      <c r="F552" s="102"/>
      <c r="H552" s="49"/>
      <c r="I552" s="102"/>
      <c r="J552" s="51"/>
    </row>
    <row r="553">
      <c r="A553" s="43"/>
      <c r="B553" s="106" t="str">
        <f>IFERROR(HYPERLINK(VLOOKUP(A553,Internal_lists_bugs!$A$2:$G1014,7,FALSE()),"Intro.Issues: "&amp;VLOOKUP(A553,Internal_lists_bugs!$A$2:$P1014,16,FALSE())),"please select a BUG ID")</f>
        <v>please select a BUG ID</v>
      </c>
      <c r="C553" s="107" t="str">
        <f>IFERROR(VLOOKUP(A553,Internal_lists_bugs!$A$2:$X1014,24,FALSE()),"please select a BUG ID")</f>
        <v>please select a BUG ID</v>
      </c>
      <c r="E553" s="49"/>
      <c r="F553" s="102"/>
      <c r="H553" s="49"/>
      <c r="I553" s="102"/>
      <c r="J553" s="51"/>
    </row>
    <row r="554">
      <c r="A554" s="43"/>
      <c r="B554" s="106" t="str">
        <f>IFERROR(HYPERLINK(VLOOKUP(A554,Internal_lists_bugs!$A$2:$G1014,7,FALSE()),"Intro.Issues: "&amp;VLOOKUP(A554,Internal_lists_bugs!$A$2:$P1014,16,FALSE())),"please select a BUG ID")</f>
        <v>please select a BUG ID</v>
      </c>
      <c r="C554" s="107" t="str">
        <f>IFERROR(VLOOKUP(A554,Internal_lists_bugs!$A$2:$X1014,24,FALSE()),"please select a BUG ID")</f>
        <v>please select a BUG ID</v>
      </c>
      <c r="E554" s="49"/>
      <c r="F554" s="102"/>
      <c r="H554" s="49"/>
      <c r="I554" s="102"/>
      <c r="J554" s="51"/>
    </row>
    <row r="555">
      <c r="A555" s="43"/>
      <c r="B555" s="106" t="str">
        <f>IFERROR(HYPERLINK(VLOOKUP(A555,Internal_lists_bugs!$A$2:$G1014,7,FALSE()),"Intro.Issues: "&amp;VLOOKUP(A555,Internal_lists_bugs!$A$2:$P1014,16,FALSE())),"please select a BUG ID")</f>
        <v>please select a BUG ID</v>
      </c>
      <c r="C555" s="107" t="str">
        <f>IFERROR(VLOOKUP(A555,Internal_lists_bugs!$A$2:$X1014,24,FALSE()),"please select a BUG ID")</f>
        <v>please select a BUG ID</v>
      </c>
      <c r="E555" s="49"/>
      <c r="F555" s="102"/>
      <c r="H555" s="49"/>
      <c r="I555" s="102"/>
      <c r="J555" s="51"/>
    </row>
    <row r="556">
      <c r="A556" s="43"/>
      <c r="B556" s="106" t="str">
        <f>IFERROR(HYPERLINK(VLOOKUP(A556,Internal_lists_bugs!$A$2:$G1014,7,FALSE()),"Intro.Issues: "&amp;VLOOKUP(A556,Internal_lists_bugs!$A$2:$P1014,16,FALSE())),"please select a BUG ID")</f>
        <v>please select a BUG ID</v>
      </c>
      <c r="C556" s="107" t="str">
        <f>IFERROR(VLOOKUP(A556,Internal_lists_bugs!$A$2:$X1014,24,FALSE()),"please select a BUG ID")</f>
        <v>please select a BUG ID</v>
      </c>
      <c r="E556" s="49"/>
      <c r="F556" s="102"/>
      <c r="H556" s="49"/>
      <c r="I556" s="102"/>
      <c r="J556" s="51"/>
    </row>
    <row r="557">
      <c r="A557" s="43"/>
      <c r="B557" s="106" t="str">
        <f>IFERROR(HYPERLINK(VLOOKUP(A557,Internal_lists_bugs!$A$2:$G1014,7,FALSE()),"Intro.Issues: "&amp;VLOOKUP(A557,Internal_lists_bugs!$A$2:$P1014,16,FALSE())),"please select a BUG ID")</f>
        <v>please select a BUG ID</v>
      </c>
      <c r="C557" s="107" t="str">
        <f>IFERROR(VLOOKUP(A557,Internal_lists_bugs!$A$2:$X1014,24,FALSE()),"please select a BUG ID")</f>
        <v>please select a BUG ID</v>
      </c>
      <c r="E557" s="49"/>
      <c r="F557" s="102"/>
      <c r="H557" s="49"/>
      <c r="I557" s="102"/>
      <c r="J557" s="51"/>
    </row>
    <row r="558">
      <c r="A558" s="43"/>
      <c r="B558" s="106" t="str">
        <f>IFERROR(HYPERLINK(VLOOKUP(A558,Internal_lists_bugs!$A$2:$G1014,7,FALSE()),"Intro.Issues: "&amp;VLOOKUP(A558,Internal_lists_bugs!$A$2:$P1014,16,FALSE())),"please select a BUG ID")</f>
        <v>please select a BUG ID</v>
      </c>
      <c r="C558" s="107" t="str">
        <f>IFERROR(VLOOKUP(A558,Internal_lists_bugs!$A$2:$X1014,24,FALSE()),"please select a BUG ID")</f>
        <v>please select a BUG ID</v>
      </c>
      <c r="E558" s="49"/>
      <c r="F558" s="102"/>
      <c r="H558" s="49"/>
      <c r="I558" s="102"/>
      <c r="J558" s="51"/>
    </row>
    <row r="559">
      <c r="A559" s="43"/>
      <c r="B559" s="106" t="str">
        <f>IFERROR(HYPERLINK(VLOOKUP(A559,Internal_lists_bugs!$A$2:$G1014,7,FALSE()),"Intro.Issues: "&amp;VLOOKUP(A559,Internal_lists_bugs!$A$2:$P1014,16,FALSE())),"please select a BUG ID")</f>
        <v>please select a BUG ID</v>
      </c>
      <c r="C559" s="107" t="str">
        <f>IFERROR(VLOOKUP(A559,Internal_lists_bugs!$A$2:$X1014,24,FALSE()),"please select a BUG ID")</f>
        <v>please select a BUG ID</v>
      </c>
      <c r="E559" s="49"/>
      <c r="F559" s="102"/>
      <c r="H559" s="49"/>
      <c r="I559" s="102"/>
      <c r="J559" s="51"/>
    </row>
    <row r="560">
      <c r="A560" s="43"/>
      <c r="B560" s="106" t="str">
        <f>IFERROR(HYPERLINK(VLOOKUP(A560,Internal_lists_bugs!$A$2:$G1014,7,FALSE()),"Intro.Issues: "&amp;VLOOKUP(A560,Internal_lists_bugs!$A$2:$P1014,16,FALSE())),"please select a BUG ID")</f>
        <v>please select a BUG ID</v>
      </c>
      <c r="C560" s="107" t="str">
        <f>IFERROR(VLOOKUP(A560,Internal_lists_bugs!$A$2:$X1014,24,FALSE()),"please select a BUG ID")</f>
        <v>please select a BUG ID</v>
      </c>
      <c r="E560" s="49"/>
      <c r="F560" s="102"/>
      <c r="H560" s="49"/>
      <c r="I560" s="102"/>
      <c r="J560" s="51"/>
    </row>
    <row r="561">
      <c r="A561" s="43"/>
      <c r="B561" s="106" t="str">
        <f>IFERROR(HYPERLINK(VLOOKUP(A561,Internal_lists_bugs!$A$2:$G1014,7,FALSE()),"Intro.Issues: "&amp;VLOOKUP(A561,Internal_lists_bugs!$A$2:$P1014,16,FALSE())),"please select a BUG ID")</f>
        <v>please select a BUG ID</v>
      </c>
      <c r="C561" s="107" t="str">
        <f>IFERROR(VLOOKUP(A561,Internal_lists_bugs!$A$2:$X1014,24,FALSE()),"please select a BUG ID")</f>
        <v>please select a BUG ID</v>
      </c>
      <c r="E561" s="49"/>
      <c r="F561" s="102"/>
      <c r="H561" s="49"/>
      <c r="I561" s="102"/>
      <c r="J561" s="51"/>
    </row>
    <row r="562">
      <c r="A562" s="43"/>
      <c r="B562" s="106" t="str">
        <f>IFERROR(HYPERLINK(VLOOKUP(A562,Internal_lists_bugs!$A$2:$G1014,7,FALSE()),"Intro.Issues: "&amp;VLOOKUP(A562,Internal_lists_bugs!$A$2:$P1014,16,FALSE())),"please select a BUG ID")</f>
        <v>please select a BUG ID</v>
      </c>
      <c r="C562" s="107" t="str">
        <f>IFERROR(VLOOKUP(A562,Internal_lists_bugs!$A$2:$X1014,24,FALSE()),"please select a BUG ID")</f>
        <v>please select a BUG ID</v>
      </c>
      <c r="E562" s="49"/>
      <c r="F562" s="102"/>
      <c r="H562" s="49"/>
      <c r="I562" s="102"/>
      <c r="J562" s="51"/>
    </row>
    <row r="563">
      <c r="A563" s="43"/>
      <c r="B563" s="106" t="str">
        <f>IFERROR(HYPERLINK(VLOOKUP(A563,Internal_lists_bugs!$A$2:$G1014,7,FALSE()),"Intro.Issues: "&amp;VLOOKUP(A563,Internal_lists_bugs!$A$2:$P1014,16,FALSE())),"please select a BUG ID")</f>
        <v>please select a BUG ID</v>
      </c>
      <c r="C563" s="107" t="str">
        <f>IFERROR(VLOOKUP(A563,Internal_lists_bugs!$A$2:$X1014,24,FALSE()),"please select a BUG ID")</f>
        <v>please select a BUG ID</v>
      </c>
      <c r="E563" s="49"/>
      <c r="F563" s="102"/>
      <c r="H563" s="49"/>
      <c r="I563" s="102"/>
      <c r="J563" s="51"/>
    </row>
    <row r="564">
      <c r="A564" s="43"/>
      <c r="B564" s="106" t="str">
        <f>IFERROR(HYPERLINK(VLOOKUP(A564,Internal_lists_bugs!$A$2:$G1014,7,FALSE()),"Intro.Issues: "&amp;VLOOKUP(A564,Internal_lists_bugs!$A$2:$P1014,16,FALSE())),"please select a BUG ID")</f>
        <v>please select a BUG ID</v>
      </c>
      <c r="C564" s="107" t="str">
        <f>IFERROR(VLOOKUP(A564,Internal_lists_bugs!$A$2:$X1014,24,FALSE()),"please select a BUG ID")</f>
        <v>please select a BUG ID</v>
      </c>
      <c r="E564" s="49"/>
      <c r="F564" s="102"/>
      <c r="H564" s="49"/>
      <c r="I564" s="102"/>
      <c r="J564" s="51"/>
    </row>
    <row r="565">
      <c r="A565" s="43"/>
      <c r="B565" s="106" t="str">
        <f>IFERROR(HYPERLINK(VLOOKUP(A565,Internal_lists_bugs!$A$2:$G1014,7,FALSE()),"Intro.Issues: "&amp;VLOOKUP(A565,Internal_lists_bugs!$A$2:$P1014,16,FALSE())),"please select a BUG ID")</f>
        <v>please select a BUG ID</v>
      </c>
      <c r="C565" s="107" t="str">
        <f>IFERROR(VLOOKUP(A565,Internal_lists_bugs!$A$2:$X1014,24,FALSE()),"please select a BUG ID")</f>
        <v>please select a BUG ID</v>
      </c>
      <c r="E565" s="49"/>
      <c r="F565" s="102"/>
      <c r="H565" s="49"/>
      <c r="I565" s="102"/>
      <c r="J565" s="51"/>
    </row>
    <row r="566">
      <c r="A566" s="43"/>
      <c r="B566" s="106" t="str">
        <f>IFERROR(HYPERLINK(VLOOKUP(A566,Internal_lists_bugs!$A$2:$G1014,7,FALSE()),"Intro.Issues: "&amp;VLOOKUP(A566,Internal_lists_bugs!$A$2:$P1014,16,FALSE())),"please select a BUG ID")</f>
        <v>please select a BUG ID</v>
      </c>
      <c r="C566" s="107" t="str">
        <f>IFERROR(VLOOKUP(A566,Internal_lists_bugs!$A$2:$X1014,24,FALSE()),"please select a BUG ID")</f>
        <v>please select a BUG ID</v>
      </c>
      <c r="E566" s="49"/>
      <c r="F566" s="102"/>
      <c r="H566" s="49"/>
      <c r="I566" s="102"/>
      <c r="J566" s="51"/>
    </row>
    <row r="567">
      <c r="A567" s="43"/>
      <c r="B567" s="106" t="str">
        <f>IFERROR(HYPERLINK(VLOOKUP(A567,Internal_lists_bugs!$A$2:$G1014,7,FALSE()),"Intro.Issues: "&amp;VLOOKUP(A567,Internal_lists_bugs!$A$2:$P1014,16,FALSE())),"please select a BUG ID")</f>
        <v>please select a BUG ID</v>
      </c>
      <c r="C567" s="107" t="str">
        <f>IFERROR(VLOOKUP(A567,Internal_lists_bugs!$A$2:$X1014,24,FALSE()),"please select a BUG ID")</f>
        <v>please select a BUG ID</v>
      </c>
      <c r="E567" s="49"/>
      <c r="F567" s="102"/>
      <c r="H567" s="49"/>
      <c r="I567" s="102"/>
      <c r="J567" s="51"/>
    </row>
    <row r="568">
      <c r="A568" s="43"/>
      <c r="B568" s="106" t="str">
        <f>IFERROR(HYPERLINK(VLOOKUP(A568,Internal_lists_bugs!$A$2:$G1014,7,FALSE()),"Intro.Issues: "&amp;VLOOKUP(A568,Internal_lists_bugs!$A$2:$P1014,16,FALSE())),"please select a BUG ID")</f>
        <v>please select a BUG ID</v>
      </c>
      <c r="C568" s="107" t="str">
        <f>IFERROR(VLOOKUP(A568,Internal_lists_bugs!$A$2:$X1014,24,FALSE()),"please select a BUG ID")</f>
        <v>please select a BUG ID</v>
      </c>
      <c r="E568" s="49"/>
      <c r="F568" s="102"/>
      <c r="H568" s="49"/>
      <c r="I568" s="102"/>
      <c r="J568" s="51"/>
    </row>
    <row r="569">
      <c r="A569" s="43"/>
      <c r="B569" s="106" t="str">
        <f>IFERROR(HYPERLINK(VLOOKUP(A569,Internal_lists_bugs!$A$2:$G1014,7,FALSE()),"Intro.Issues: "&amp;VLOOKUP(A569,Internal_lists_bugs!$A$2:$P1014,16,FALSE())),"please select a BUG ID")</f>
        <v>please select a BUG ID</v>
      </c>
      <c r="C569" s="107" t="str">
        <f>IFERROR(VLOOKUP(A569,Internal_lists_bugs!$A$2:$X1014,24,FALSE()),"please select a BUG ID")</f>
        <v>please select a BUG ID</v>
      </c>
      <c r="E569" s="49"/>
      <c r="F569" s="102"/>
      <c r="H569" s="49"/>
      <c r="I569" s="102"/>
      <c r="J569" s="51"/>
    </row>
    <row r="570">
      <c r="A570" s="43"/>
      <c r="B570" s="106" t="str">
        <f>IFERROR(HYPERLINK(VLOOKUP(A570,Internal_lists_bugs!$A$2:$G1014,7,FALSE()),"Intro.Issues: "&amp;VLOOKUP(A570,Internal_lists_bugs!$A$2:$P1014,16,FALSE())),"please select a BUG ID")</f>
        <v>please select a BUG ID</v>
      </c>
      <c r="C570" s="107" t="str">
        <f>IFERROR(VLOOKUP(A570,Internal_lists_bugs!$A$2:$X1014,24,FALSE()),"please select a BUG ID")</f>
        <v>please select a BUG ID</v>
      </c>
      <c r="E570" s="49"/>
      <c r="F570" s="102"/>
      <c r="H570" s="49"/>
      <c r="I570" s="102"/>
      <c r="J570" s="51"/>
    </row>
    <row r="571">
      <c r="A571" s="43"/>
      <c r="B571" s="106" t="str">
        <f>IFERROR(HYPERLINK(VLOOKUP(A571,Internal_lists_bugs!$A$2:$G1014,7,FALSE()),"Intro.Issues: "&amp;VLOOKUP(A571,Internal_lists_bugs!$A$2:$P1014,16,FALSE())),"please select a BUG ID")</f>
        <v>please select a BUG ID</v>
      </c>
      <c r="C571" s="107" t="str">
        <f>IFERROR(VLOOKUP(A571,Internal_lists_bugs!$A$2:$X1014,24,FALSE()),"please select a BUG ID")</f>
        <v>please select a BUG ID</v>
      </c>
      <c r="E571" s="49"/>
      <c r="F571" s="102"/>
      <c r="H571" s="49"/>
      <c r="I571" s="102"/>
      <c r="J571" s="51"/>
    </row>
    <row r="572">
      <c r="A572" s="43"/>
      <c r="B572" s="106" t="str">
        <f>IFERROR(HYPERLINK(VLOOKUP(A572,Internal_lists_bugs!$A$2:$G1014,7,FALSE()),"Intro.Issues: "&amp;VLOOKUP(A572,Internal_lists_bugs!$A$2:$P1014,16,FALSE())),"please select a BUG ID")</f>
        <v>please select a BUG ID</v>
      </c>
      <c r="C572" s="107" t="str">
        <f>IFERROR(VLOOKUP(A572,Internal_lists_bugs!$A$2:$X1014,24,FALSE()),"please select a BUG ID")</f>
        <v>please select a BUG ID</v>
      </c>
      <c r="E572" s="49"/>
      <c r="F572" s="102"/>
      <c r="H572" s="49"/>
      <c r="I572" s="102"/>
      <c r="J572" s="51"/>
    </row>
    <row r="573">
      <c r="A573" s="43"/>
      <c r="B573" s="106" t="str">
        <f>IFERROR(HYPERLINK(VLOOKUP(A573,Internal_lists_bugs!$A$2:$G1014,7,FALSE()),"Intro.Issues: "&amp;VLOOKUP(A573,Internal_lists_bugs!$A$2:$P1014,16,FALSE())),"please select a BUG ID")</f>
        <v>please select a BUG ID</v>
      </c>
      <c r="C573" s="107" t="str">
        <f>IFERROR(VLOOKUP(A573,Internal_lists_bugs!$A$2:$X1014,24,FALSE()),"please select a BUG ID")</f>
        <v>please select a BUG ID</v>
      </c>
      <c r="E573" s="49"/>
      <c r="F573" s="102"/>
      <c r="H573" s="49"/>
      <c r="I573" s="102"/>
      <c r="J573" s="51"/>
    </row>
    <row r="574">
      <c r="A574" s="43"/>
      <c r="B574" s="106" t="str">
        <f>IFERROR(HYPERLINK(VLOOKUP(A574,Internal_lists_bugs!$A$2:$G1014,7,FALSE()),"Intro.Issues: "&amp;VLOOKUP(A574,Internal_lists_bugs!$A$2:$P1014,16,FALSE())),"please select a BUG ID")</f>
        <v>please select a BUG ID</v>
      </c>
      <c r="C574" s="107" t="str">
        <f>IFERROR(VLOOKUP(A574,Internal_lists_bugs!$A$2:$X1014,24,FALSE()),"please select a BUG ID")</f>
        <v>please select a BUG ID</v>
      </c>
      <c r="E574" s="49"/>
      <c r="F574" s="102"/>
      <c r="H574" s="49"/>
      <c r="I574" s="102"/>
      <c r="J574" s="51"/>
    </row>
    <row r="575">
      <c r="A575" s="43"/>
      <c r="B575" s="106" t="str">
        <f>IFERROR(HYPERLINK(VLOOKUP(A575,Internal_lists_bugs!$A$2:$G1014,7,FALSE()),"Intro.Issues: "&amp;VLOOKUP(A575,Internal_lists_bugs!$A$2:$P1014,16,FALSE())),"please select a BUG ID")</f>
        <v>please select a BUG ID</v>
      </c>
      <c r="C575" s="107" t="str">
        <f>IFERROR(VLOOKUP(A575,Internal_lists_bugs!$A$2:$X1014,24,FALSE()),"please select a BUG ID")</f>
        <v>please select a BUG ID</v>
      </c>
      <c r="E575" s="49"/>
      <c r="F575" s="102"/>
      <c r="H575" s="49"/>
      <c r="I575" s="102"/>
      <c r="J575" s="51"/>
    </row>
    <row r="576">
      <c r="A576" s="43"/>
      <c r="B576" s="106" t="str">
        <f>IFERROR(HYPERLINK(VLOOKUP(A576,Internal_lists_bugs!$A$2:$G1014,7,FALSE()),"Intro.Issues: "&amp;VLOOKUP(A576,Internal_lists_bugs!$A$2:$P1014,16,FALSE())),"please select a BUG ID")</f>
        <v>please select a BUG ID</v>
      </c>
      <c r="C576" s="107" t="str">
        <f>IFERROR(VLOOKUP(A576,Internal_lists_bugs!$A$2:$X1014,24,FALSE()),"please select a BUG ID")</f>
        <v>please select a BUG ID</v>
      </c>
      <c r="E576" s="49"/>
      <c r="F576" s="102"/>
      <c r="H576" s="49"/>
      <c r="I576" s="102"/>
      <c r="J576" s="51"/>
    </row>
    <row r="577">
      <c r="A577" s="43"/>
      <c r="B577" s="106" t="str">
        <f>IFERROR(HYPERLINK(VLOOKUP(A577,Internal_lists_bugs!$A$2:$G1014,7,FALSE()),"Intro.Issues: "&amp;VLOOKUP(A577,Internal_lists_bugs!$A$2:$P1014,16,FALSE())),"please select a BUG ID")</f>
        <v>please select a BUG ID</v>
      </c>
      <c r="C577" s="107" t="str">
        <f>IFERROR(VLOOKUP(A577,Internal_lists_bugs!$A$2:$X1014,24,FALSE()),"please select a BUG ID")</f>
        <v>please select a BUG ID</v>
      </c>
      <c r="E577" s="49"/>
      <c r="F577" s="102"/>
      <c r="H577" s="49"/>
      <c r="I577" s="102"/>
      <c r="J577" s="51"/>
    </row>
    <row r="578">
      <c r="A578" s="43"/>
      <c r="B578" s="106" t="str">
        <f>IFERROR(HYPERLINK(VLOOKUP(A578,Internal_lists_bugs!$A$2:$G1014,7,FALSE()),"Intro.Issues: "&amp;VLOOKUP(A578,Internal_lists_bugs!$A$2:$P1014,16,FALSE())),"please select a BUG ID")</f>
        <v>please select a BUG ID</v>
      </c>
      <c r="C578" s="107" t="str">
        <f>IFERROR(VLOOKUP(A578,Internal_lists_bugs!$A$2:$X1014,24,FALSE()),"please select a BUG ID")</f>
        <v>please select a BUG ID</v>
      </c>
      <c r="E578" s="49"/>
      <c r="F578" s="102"/>
      <c r="H578" s="49"/>
      <c r="I578" s="102"/>
      <c r="J578" s="51"/>
    </row>
    <row r="579">
      <c r="A579" s="43"/>
      <c r="B579" s="106" t="str">
        <f>IFERROR(HYPERLINK(VLOOKUP(A579,Internal_lists_bugs!$A$2:$G1014,7,FALSE()),"Intro.Issues: "&amp;VLOOKUP(A579,Internal_lists_bugs!$A$2:$P1014,16,FALSE())),"please select a BUG ID")</f>
        <v>please select a BUG ID</v>
      </c>
      <c r="C579" s="107" t="str">
        <f>IFERROR(VLOOKUP(A579,Internal_lists_bugs!$A$2:$X1014,24,FALSE()),"please select a BUG ID")</f>
        <v>please select a BUG ID</v>
      </c>
      <c r="E579" s="49"/>
      <c r="F579" s="102"/>
      <c r="H579" s="49"/>
      <c r="I579" s="102"/>
      <c r="J579" s="51"/>
    </row>
    <row r="580">
      <c r="A580" s="43"/>
      <c r="B580" s="106" t="str">
        <f>IFERROR(HYPERLINK(VLOOKUP(A580,Internal_lists_bugs!$A$2:$G1014,7,FALSE()),"Intro.Issues: "&amp;VLOOKUP(A580,Internal_lists_bugs!$A$2:$P1014,16,FALSE())),"please select a BUG ID")</f>
        <v>please select a BUG ID</v>
      </c>
      <c r="C580" s="107" t="str">
        <f>IFERROR(VLOOKUP(A580,Internal_lists_bugs!$A$2:$X1014,24,FALSE()),"please select a BUG ID")</f>
        <v>please select a BUG ID</v>
      </c>
      <c r="E580" s="49"/>
      <c r="F580" s="102"/>
      <c r="H580" s="49"/>
      <c r="I580" s="102"/>
      <c r="J580" s="51"/>
    </row>
    <row r="581">
      <c r="A581" s="43"/>
      <c r="B581" s="106" t="str">
        <f>IFERROR(HYPERLINK(VLOOKUP(A581,Internal_lists_bugs!$A$2:$G1014,7,FALSE()),"Intro.Issues: "&amp;VLOOKUP(A581,Internal_lists_bugs!$A$2:$P1014,16,FALSE())),"please select a BUG ID")</f>
        <v>please select a BUG ID</v>
      </c>
      <c r="C581" s="107" t="str">
        <f>IFERROR(VLOOKUP(A581,Internal_lists_bugs!$A$2:$X1014,24,FALSE()),"please select a BUG ID")</f>
        <v>please select a BUG ID</v>
      </c>
      <c r="E581" s="49"/>
      <c r="F581" s="102"/>
      <c r="H581" s="49"/>
      <c r="I581" s="102"/>
      <c r="J581" s="51"/>
    </row>
    <row r="582">
      <c r="A582" s="43"/>
      <c r="B582" s="106" t="str">
        <f>IFERROR(HYPERLINK(VLOOKUP(A582,Internal_lists_bugs!$A$2:$G1014,7,FALSE()),"Intro.Issues: "&amp;VLOOKUP(A582,Internal_lists_bugs!$A$2:$P1014,16,FALSE())),"please select a BUG ID")</f>
        <v>please select a BUG ID</v>
      </c>
      <c r="C582" s="107" t="str">
        <f>IFERROR(VLOOKUP(A582,Internal_lists_bugs!$A$2:$X1014,24,FALSE()),"please select a BUG ID")</f>
        <v>please select a BUG ID</v>
      </c>
      <c r="E582" s="49"/>
      <c r="F582" s="102"/>
      <c r="H582" s="49"/>
      <c r="I582" s="102"/>
      <c r="J582" s="51"/>
    </row>
    <row r="583">
      <c r="A583" s="43"/>
      <c r="B583" s="106" t="str">
        <f>IFERROR(HYPERLINK(VLOOKUP(A583,Internal_lists_bugs!$A$2:$G1014,7,FALSE()),"Intro.Issues: "&amp;VLOOKUP(A583,Internal_lists_bugs!$A$2:$P1014,16,FALSE())),"please select a BUG ID")</f>
        <v>please select a BUG ID</v>
      </c>
      <c r="C583" s="107" t="str">
        <f>IFERROR(VLOOKUP(A583,Internal_lists_bugs!$A$2:$X1014,24,FALSE()),"please select a BUG ID")</f>
        <v>please select a BUG ID</v>
      </c>
      <c r="E583" s="49"/>
      <c r="F583" s="102"/>
      <c r="H583" s="49"/>
      <c r="I583" s="102"/>
      <c r="J583" s="51"/>
    </row>
    <row r="584">
      <c r="A584" s="43"/>
      <c r="B584" s="106" t="str">
        <f>IFERROR(HYPERLINK(VLOOKUP(A584,Internal_lists_bugs!$A$2:$G1014,7,FALSE()),"Intro.Issues: "&amp;VLOOKUP(A584,Internal_lists_bugs!$A$2:$P1014,16,FALSE())),"please select a BUG ID")</f>
        <v>please select a BUG ID</v>
      </c>
      <c r="C584" s="107" t="str">
        <f>IFERROR(VLOOKUP(A584,Internal_lists_bugs!$A$2:$X1014,24,FALSE()),"please select a BUG ID")</f>
        <v>please select a BUG ID</v>
      </c>
      <c r="E584" s="49"/>
      <c r="F584" s="102"/>
      <c r="H584" s="49"/>
      <c r="I584" s="102"/>
      <c r="J584" s="51"/>
    </row>
    <row r="585">
      <c r="A585" s="43"/>
      <c r="B585" s="106" t="str">
        <f>IFERROR(HYPERLINK(VLOOKUP(A585,Internal_lists_bugs!$A$2:$G1014,7,FALSE()),"Intro.Issues: "&amp;VLOOKUP(A585,Internal_lists_bugs!$A$2:$P1014,16,FALSE())),"please select a BUG ID")</f>
        <v>please select a BUG ID</v>
      </c>
      <c r="C585" s="107" t="str">
        <f>IFERROR(VLOOKUP(A585,Internal_lists_bugs!$A$2:$X1014,24,FALSE()),"please select a BUG ID")</f>
        <v>please select a BUG ID</v>
      </c>
      <c r="E585" s="49"/>
      <c r="F585" s="102"/>
      <c r="H585" s="49"/>
      <c r="I585" s="102"/>
      <c r="J585" s="51"/>
    </row>
    <row r="586">
      <c r="A586" s="43"/>
      <c r="B586" s="106" t="str">
        <f>IFERROR(HYPERLINK(VLOOKUP(A586,Internal_lists_bugs!$A$2:$G1014,7,FALSE()),"Intro.Issues: "&amp;VLOOKUP(A586,Internal_lists_bugs!$A$2:$P1014,16,FALSE())),"please select a BUG ID")</f>
        <v>please select a BUG ID</v>
      </c>
      <c r="C586" s="107" t="str">
        <f>IFERROR(VLOOKUP(A586,Internal_lists_bugs!$A$2:$X1014,24,FALSE()),"please select a BUG ID")</f>
        <v>please select a BUG ID</v>
      </c>
      <c r="E586" s="49"/>
      <c r="F586" s="102"/>
      <c r="H586" s="49"/>
      <c r="I586" s="102"/>
      <c r="J586" s="51"/>
    </row>
    <row r="587">
      <c r="A587" s="43"/>
      <c r="B587" s="106" t="str">
        <f>IFERROR(HYPERLINK(VLOOKUP(A587,Internal_lists_bugs!$A$2:$G1014,7,FALSE()),"Intro.Issues: "&amp;VLOOKUP(A587,Internal_lists_bugs!$A$2:$P1014,16,FALSE())),"please select a BUG ID")</f>
        <v>please select a BUG ID</v>
      </c>
      <c r="C587" s="107" t="str">
        <f>IFERROR(VLOOKUP(A587,Internal_lists_bugs!$A$2:$X1014,24,FALSE()),"please select a BUG ID")</f>
        <v>please select a BUG ID</v>
      </c>
      <c r="E587" s="49"/>
      <c r="F587" s="102"/>
      <c r="H587" s="49"/>
      <c r="I587" s="102"/>
      <c r="J587" s="51"/>
    </row>
    <row r="588">
      <c r="A588" s="43"/>
      <c r="B588" s="106" t="str">
        <f>IFERROR(HYPERLINK(VLOOKUP(A588,Internal_lists_bugs!$A$2:$G1014,7,FALSE()),"Intro.Issues: "&amp;VLOOKUP(A588,Internal_lists_bugs!$A$2:$P1014,16,FALSE())),"please select a BUG ID")</f>
        <v>please select a BUG ID</v>
      </c>
      <c r="C588" s="107" t="str">
        <f>IFERROR(VLOOKUP(A588,Internal_lists_bugs!$A$2:$X1014,24,FALSE()),"please select a BUG ID")</f>
        <v>please select a BUG ID</v>
      </c>
      <c r="E588" s="49"/>
      <c r="F588" s="102"/>
      <c r="H588" s="49"/>
      <c r="I588" s="102"/>
      <c r="J588" s="51"/>
    </row>
    <row r="589">
      <c r="A589" s="43"/>
      <c r="B589" s="106" t="str">
        <f>IFERROR(HYPERLINK(VLOOKUP(A589,Internal_lists_bugs!$A$2:$G1014,7,FALSE()),"Intro.Issues: "&amp;VLOOKUP(A589,Internal_lists_bugs!$A$2:$P1014,16,FALSE())),"please select a BUG ID")</f>
        <v>please select a BUG ID</v>
      </c>
      <c r="C589" s="107" t="str">
        <f>IFERROR(VLOOKUP(A589,Internal_lists_bugs!$A$2:$X1014,24,FALSE()),"please select a BUG ID")</f>
        <v>please select a BUG ID</v>
      </c>
      <c r="E589" s="49"/>
      <c r="F589" s="102"/>
      <c r="H589" s="49"/>
      <c r="I589" s="102"/>
      <c r="J589" s="51"/>
    </row>
    <row r="590">
      <c r="A590" s="43"/>
      <c r="B590" s="106" t="str">
        <f>IFERROR(HYPERLINK(VLOOKUP(A590,Internal_lists_bugs!$A$2:$G1014,7,FALSE()),"Intro.Issues: "&amp;VLOOKUP(A590,Internal_lists_bugs!$A$2:$P1014,16,FALSE())),"please select a BUG ID")</f>
        <v>please select a BUG ID</v>
      </c>
      <c r="C590" s="107" t="str">
        <f>IFERROR(VLOOKUP(A590,Internal_lists_bugs!$A$2:$X1014,24,FALSE()),"please select a BUG ID")</f>
        <v>please select a BUG ID</v>
      </c>
      <c r="E590" s="49"/>
      <c r="F590" s="102"/>
      <c r="H590" s="49"/>
      <c r="I590" s="102"/>
      <c r="J590" s="51"/>
    </row>
    <row r="591">
      <c r="A591" s="43"/>
      <c r="B591" s="106" t="str">
        <f>IFERROR(HYPERLINK(VLOOKUP(A591,Internal_lists_bugs!$A$2:$G1014,7,FALSE()),"Intro.Issues: "&amp;VLOOKUP(A591,Internal_lists_bugs!$A$2:$P1014,16,FALSE())),"please select a BUG ID")</f>
        <v>please select a BUG ID</v>
      </c>
      <c r="C591" s="107" t="str">
        <f>IFERROR(VLOOKUP(A591,Internal_lists_bugs!$A$2:$X1014,24,FALSE()),"please select a BUG ID")</f>
        <v>please select a BUG ID</v>
      </c>
      <c r="E591" s="49"/>
      <c r="F591" s="102"/>
      <c r="H591" s="49"/>
      <c r="I591" s="102"/>
      <c r="J591" s="51"/>
    </row>
    <row r="592">
      <c r="A592" s="43"/>
      <c r="B592" s="106" t="str">
        <f>IFERROR(HYPERLINK(VLOOKUP(A592,Internal_lists_bugs!$A$2:$G1014,7,FALSE()),"Intro.Issues: "&amp;VLOOKUP(A592,Internal_lists_bugs!$A$2:$P1014,16,FALSE())),"please select a BUG ID")</f>
        <v>please select a BUG ID</v>
      </c>
      <c r="C592" s="107" t="str">
        <f>IFERROR(VLOOKUP(A592,Internal_lists_bugs!$A$2:$X1014,24,FALSE()),"please select a BUG ID")</f>
        <v>please select a BUG ID</v>
      </c>
      <c r="E592" s="49"/>
      <c r="F592" s="102"/>
      <c r="H592" s="49"/>
      <c r="I592" s="102"/>
      <c r="J592" s="51"/>
    </row>
    <row r="593">
      <c r="A593" s="43"/>
      <c r="B593" s="106" t="str">
        <f>IFERROR(HYPERLINK(VLOOKUP(A593,Internal_lists_bugs!$A$2:$G1014,7,FALSE()),"Intro.Issues: "&amp;VLOOKUP(A593,Internal_lists_bugs!$A$2:$P1014,16,FALSE())),"please select a BUG ID")</f>
        <v>please select a BUG ID</v>
      </c>
      <c r="C593" s="107" t="str">
        <f>IFERROR(VLOOKUP(A593,Internal_lists_bugs!$A$2:$X1014,24,FALSE()),"please select a BUG ID")</f>
        <v>please select a BUG ID</v>
      </c>
      <c r="E593" s="49"/>
      <c r="F593" s="102"/>
      <c r="H593" s="49"/>
      <c r="I593" s="102"/>
      <c r="J593" s="51"/>
    </row>
    <row r="594">
      <c r="A594" s="43"/>
      <c r="B594" s="106" t="str">
        <f>IFERROR(HYPERLINK(VLOOKUP(A594,Internal_lists_bugs!$A$2:$G1014,7,FALSE()),"Intro.Issues: "&amp;VLOOKUP(A594,Internal_lists_bugs!$A$2:$P1014,16,FALSE())),"please select a BUG ID")</f>
        <v>please select a BUG ID</v>
      </c>
      <c r="C594" s="107" t="str">
        <f>IFERROR(VLOOKUP(A594,Internal_lists_bugs!$A$2:$X1014,24,FALSE()),"please select a BUG ID")</f>
        <v>please select a BUG ID</v>
      </c>
      <c r="E594" s="49"/>
      <c r="F594" s="102"/>
      <c r="H594" s="49"/>
      <c r="I594" s="102"/>
      <c r="J594" s="51"/>
    </row>
    <row r="595">
      <c r="A595" s="43"/>
      <c r="B595" s="106" t="str">
        <f>IFERROR(HYPERLINK(VLOOKUP(A595,Internal_lists_bugs!$A$2:$G1014,7,FALSE()),"Intro.Issues: "&amp;VLOOKUP(A595,Internal_lists_bugs!$A$2:$P1014,16,FALSE())),"please select a BUG ID")</f>
        <v>please select a BUG ID</v>
      </c>
      <c r="C595" s="107" t="str">
        <f>IFERROR(VLOOKUP(A595,Internal_lists_bugs!$A$2:$X1014,24,FALSE()),"please select a BUG ID")</f>
        <v>please select a BUG ID</v>
      </c>
      <c r="E595" s="49"/>
      <c r="F595" s="102"/>
      <c r="H595" s="49"/>
      <c r="I595" s="102"/>
      <c r="J595" s="51"/>
    </row>
    <row r="596">
      <c r="A596" s="43"/>
      <c r="B596" s="106" t="str">
        <f>IFERROR(HYPERLINK(VLOOKUP(A596,Internal_lists_bugs!$A$2:$G1014,7,FALSE()),"Intro.Issues: "&amp;VLOOKUP(A596,Internal_lists_bugs!$A$2:$P1014,16,FALSE())),"please select a BUG ID")</f>
        <v>please select a BUG ID</v>
      </c>
      <c r="C596" s="107" t="str">
        <f>IFERROR(VLOOKUP(A596,Internal_lists_bugs!$A$2:$X1014,24,FALSE()),"please select a BUG ID")</f>
        <v>please select a BUG ID</v>
      </c>
      <c r="E596" s="49"/>
      <c r="F596" s="102"/>
      <c r="H596" s="49"/>
      <c r="I596" s="102"/>
      <c r="J596" s="51"/>
    </row>
    <row r="597">
      <c r="A597" s="43"/>
      <c r="B597" s="106" t="str">
        <f>IFERROR(HYPERLINK(VLOOKUP(A597,Internal_lists_bugs!$A$2:$G1014,7,FALSE()),"Intro.Issues: "&amp;VLOOKUP(A597,Internal_lists_bugs!$A$2:$P1014,16,FALSE())),"please select a BUG ID")</f>
        <v>please select a BUG ID</v>
      </c>
      <c r="C597" s="107" t="str">
        <f>IFERROR(VLOOKUP(A597,Internal_lists_bugs!$A$2:$X1014,24,FALSE()),"please select a BUG ID")</f>
        <v>please select a BUG ID</v>
      </c>
      <c r="E597" s="49"/>
      <c r="F597" s="102"/>
      <c r="H597" s="49"/>
      <c r="I597" s="102"/>
      <c r="J597" s="51"/>
    </row>
    <row r="598">
      <c r="A598" s="43"/>
      <c r="B598" s="106" t="str">
        <f>IFERROR(HYPERLINK(VLOOKUP(A598,Internal_lists_bugs!$A$2:$G1014,7,FALSE()),"Intro.Issues: "&amp;VLOOKUP(A598,Internal_lists_bugs!$A$2:$P1014,16,FALSE())),"please select a BUG ID")</f>
        <v>please select a BUG ID</v>
      </c>
      <c r="C598" s="107" t="str">
        <f>IFERROR(VLOOKUP(A598,Internal_lists_bugs!$A$2:$X1014,24,FALSE()),"please select a BUG ID")</f>
        <v>please select a BUG ID</v>
      </c>
      <c r="E598" s="49"/>
      <c r="F598" s="102"/>
      <c r="H598" s="49"/>
      <c r="I598" s="102"/>
      <c r="J598" s="51"/>
    </row>
    <row r="599">
      <c r="A599" s="43"/>
      <c r="B599" s="106" t="str">
        <f>IFERROR(HYPERLINK(VLOOKUP(A599,Internal_lists_bugs!$A$2:$G1014,7,FALSE()),"Intro.Issues: "&amp;VLOOKUP(A599,Internal_lists_bugs!$A$2:$P1014,16,FALSE())),"please select a BUG ID")</f>
        <v>please select a BUG ID</v>
      </c>
      <c r="C599" s="107" t="str">
        <f>IFERROR(VLOOKUP(A599,Internal_lists_bugs!$A$2:$X1014,24,FALSE()),"please select a BUG ID")</f>
        <v>please select a BUG ID</v>
      </c>
      <c r="E599" s="49"/>
      <c r="F599" s="102"/>
      <c r="H599" s="49"/>
      <c r="I599" s="102"/>
      <c r="J599" s="51"/>
    </row>
    <row r="600">
      <c r="A600" s="43"/>
      <c r="B600" s="106" t="str">
        <f>IFERROR(HYPERLINK(VLOOKUP(A600,Internal_lists_bugs!$A$2:$G1014,7,FALSE()),"Intro.Issues: "&amp;VLOOKUP(A600,Internal_lists_bugs!$A$2:$P1014,16,FALSE())),"please select a BUG ID")</f>
        <v>please select a BUG ID</v>
      </c>
      <c r="C600" s="107" t="str">
        <f>IFERROR(VLOOKUP(A600,Internal_lists_bugs!$A$2:$X1014,24,FALSE()),"please select a BUG ID")</f>
        <v>please select a BUG ID</v>
      </c>
      <c r="E600" s="49"/>
      <c r="F600" s="102"/>
      <c r="H600" s="49"/>
      <c r="I600" s="102"/>
      <c r="J600" s="51"/>
    </row>
    <row r="601">
      <c r="A601" s="43"/>
      <c r="B601" s="106" t="str">
        <f>IFERROR(HYPERLINK(VLOOKUP(A601,Internal_lists_bugs!$A$2:$G1014,7,FALSE()),"Intro.Issues: "&amp;VLOOKUP(A601,Internal_lists_bugs!$A$2:$P1014,16,FALSE())),"please select a BUG ID")</f>
        <v>please select a BUG ID</v>
      </c>
      <c r="C601" s="107" t="str">
        <f>IFERROR(VLOOKUP(A601,Internal_lists_bugs!$A$2:$X1014,24,FALSE()),"please select a BUG ID")</f>
        <v>please select a BUG ID</v>
      </c>
      <c r="E601" s="49"/>
      <c r="F601" s="102"/>
      <c r="H601" s="49"/>
      <c r="I601" s="102"/>
      <c r="J601" s="51"/>
    </row>
    <row r="602">
      <c r="A602" s="43"/>
      <c r="B602" s="106" t="str">
        <f>IFERROR(HYPERLINK(VLOOKUP(A602,Internal_lists_bugs!$A$2:$G1014,7,FALSE()),"Intro.Issues: "&amp;VLOOKUP(A602,Internal_lists_bugs!$A$2:$P1014,16,FALSE())),"please select a BUG ID")</f>
        <v>please select a BUG ID</v>
      </c>
      <c r="C602" s="107" t="str">
        <f>IFERROR(VLOOKUP(A602,Internal_lists_bugs!$A$2:$X1014,24,FALSE()),"please select a BUG ID")</f>
        <v>please select a BUG ID</v>
      </c>
      <c r="E602" s="49"/>
      <c r="F602" s="102"/>
      <c r="H602" s="49"/>
      <c r="I602" s="102"/>
      <c r="J602" s="51"/>
    </row>
    <row r="603">
      <c r="A603" s="43"/>
      <c r="B603" s="106" t="str">
        <f>IFERROR(HYPERLINK(VLOOKUP(A603,Internal_lists_bugs!$A$2:$G1014,7,FALSE()),"Intro.Issues: "&amp;VLOOKUP(A603,Internal_lists_bugs!$A$2:$P1014,16,FALSE())),"please select a BUG ID")</f>
        <v>please select a BUG ID</v>
      </c>
      <c r="C603" s="107" t="str">
        <f>IFERROR(VLOOKUP(A603,Internal_lists_bugs!$A$2:$X1014,24,FALSE()),"please select a BUG ID")</f>
        <v>please select a BUG ID</v>
      </c>
      <c r="E603" s="49"/>
      <c r="F603" s="102"/>
      <c r="H603" s="49"/>
      <c r="I603" s="102"/>
      <c r="J603" s="51"/>
    </row>
    <row r="604">
      <c r="A604" s="43"/>
      <c r="B604" s="106" t="str">
        <f>IFERROR(HYPERLINK(VLOOKUP(A604,Internal_lists_bugs!$A$2:$G1014,7,FALSE()),"Intro.Issues: "&amp;VLOOKUP(A604,Internal_lists_bugs!$A$2:$P1014,16,FALSE())),"please select a BUG ID")</f>
        <v>please select a BUG ID</v>
      </c>
      <c r="C604" s="107" t="str">
        <f>IFERROR(VLOOKUP(A604,Internal_lists_bugs!$A$2:$X1014,24,FALSE()),"please select a BUG ID")</f>
        <v>please select a BUG ID</v>
      </c>
      <c r="E604" s="49"/>
      <c r="F604" s="102"/>
      <c r="H604" s="49"/>
      <c r="I604" s="102"/>
      <c r="J604" s="51"/>
    </row>
    <row r="605">
      <c r="A605" s="43"/>
      <c r="B605" s="106" t="str">
        <f>IFERROR(HYPERLINK(VLOOKUP(A605,Internal_lists_bugs!$A$2:$G1014,7,FALSE()),"Intro.Issues: "&amp;VLOOKUP(A605,Internal_lists_bugs!$A$2:$P1014,16,FALSE())),"please select a BUG ID")</f>
        <v>please select a BUG ID</v>
      </c>
      <c r="C605" s="107" t="str">
        <f>IFERROR(VLOOKUP(A605,Internal_lists_bugs!$A$2:$X1014,24,FALSE()),"please select a BUG ID")</f>
        <v>please select a BUG ID</v>
      </c>
      <c r="E605" s="49"/>
      <c r="F605" s="102"/>
      <c r="H605" s="49"/>
      <c r="I605" s="102"/>
      <c r="J605" s="51"/>
    </row>
    <row r="606">
      <c r="A606" s="43"/>
      <c r="B606" s="106" t="str">
        <f>IFERROR(HYPERLINK(VLOOKUP(A606,Internal_lists_bugs!$A$2:$G1014,7,FALSE()),"Intro.Issues: "&amp;VLOOKUP(A606,Internal_lists_bugs!$A$2:$P1014,16,FALSE())),"please select a BUG ID")</f>
        <v>please select a BUG ID</v>
      </c>
      <c r="C606" s="107" t="str">
        <f>IFERROR(VLOOKUP(A606,Internal_lists_bugs!$A$2:$X1014,24,FALSE()),"please select a BUG ID")</f>
        <v>please select a BUG ID</v>
      </c>
      <c r="E606" s="49"/>
      <c r="F606" s="102"/>
      <c r="H606" s="49"/>
      <c r="I606" s="102"/>
      <c r="J606" s="51"/>
    </row>
    <row r="607">
      <c r="A607" s="43"/>
      <c r="B607" s="106" t="str">
        <f>IFERROR(HYPERLINK(VLOOKUP(A607,Internal_lists_bugs!$A$2:$G1014,7,FALSE()),"Intro.Issues: "&amp;VLOOKUP(A607,Internal_lists_bugs!$A$2:$P1014,16,FALSE())),"please select a BUG ID")</f>
        <v>please select a BUG ID</v>
      </c>
      <c r="C607" s="107" t="str">
        <f>IFERROR(VLOOKUP(A607,Internal_lists_bugs!$A$2:$X1014,24,FALSE()),"please select a BUG ID")</f>
        <v>please select a BUG ID</v>
      </c>
      <c r="E607" s="49"/>
      <c r="F607" s="102"/>
      <c r="H607" s="49"/>
      <c r="I607" s="102"/>
      <c r="J607" s="51"/>
    </row>
    <row r="608">
      <c r="A608" s="43"/>
      <c r="B608" s="106" t="str">
        <f>IFERROR(HYPERLINK(VLOOKUP(A608,Internal_lists_bugs!$A$2:$G1014,7,FALSE()),"Intro.Issues: "&amp;VLOOKUP(A608,Internal_lists_bugs!$A$2:$P1014,16,FALSE())),"please select a BUG ID")</f>
        <v>please select a BUG ID</v>
      </c>
      <c r="C608" s="107" t="str">
        <f>IFERROR(VLOOKUP(A608,Internal_lists_bugs!$A$2:$X1014,24,FALSE()),"please select a BUG ID")</f>
        <v>please select a BUG ID</v>
      </c>
      <c r="E608" s="49"/>
      <c r="F608" s="102"/>
      <c r="H608" s="49"/>
      <c r="I608" s="102"/>
      <c r="J608" s="51"/>
    </row>
    <row r="609">
      <c r="A609" s="43"/>
      <c r="B609" s="106" t="str">
        <f>IFERROR(HYPERLINK(VLOOKUP(A609,Internal_lists_bugs!$A$2:$G1014,7,FALSE()),"Intro.Issues: "&amp;VLOOKUP(A609,Internal_lists_bugs!$A$2:$P1014,16,FALSE())),"please select a BUG ID")</f>
        <v>please select a BUG ID</v>
      </c>
      <c r="C609" s="107" t="str">
        <f>IFERROR(VLOOKUP(A609,Internal_lists_bugs!$A$2:$X1014,24,FALSE()),"please select a BUG ID")</f>
        <v>please select a BUG ID</v>
      </c>
      <c r="E609" s="49"/>
      <c r="F609" s="102"/>
      <c r="H609" s="49"/>
      <c r="I609" s="102"/>
      <c r="J609" s="51"/>
    </row>
    <row r="610">
      <c r="A610" s="43"/>
      <c r="B610" s="106" t="str">
        <f>IFERROR(HYPERLINK(VLOOKUP(A610,Internal_lists_bugs!$A$2:$G1014,7,FALSE()),"Intro.Issues: "&amp;VLOOKUP(A610,Internal_lists_bugs!$A$2:$P1014,16,FALSE())),"please select a BUG ID")</f>
        <v>please select a BUG ID</v>
      </c>
      <c r="C610" s="107" t="str">
        <f>IFERROR(VLOOKUP(A610,Internal_lists_bugs!$A$2:$X1014,24,FALSE()),"please select a BUG ID")</f>
        <v>please select a BUG ID</v>
      </c>
      <c r="E610" s="49"/>
      <c r="F610" s="102"/>
      <c r="H610" s="49"/>
      <c r="I610" s="102"/>
      <c r="J610" s="51"/>
    </row>
    <row r="611">
      <c r="A611" s="43"/>
      <c r="B611" s="106" t="str">
        <f>IFERROR(HYPERLINK(VLOOKUP(A611,Internal_lists_bugs!$A$2:$G1014,7,FALSE()),"Intro.Issues: "&amp;VLOOKUP(A611,Internal_lists_bugs!$A$2:$P1014,16,FALSE())),"please select a BUG ID")</f>
        <v>please select a BUG ID</v>
      </c>
      <c r="C611" s="107" t="str">
        <f>IFERROR(VLOOKUP(A611,Internal_lists_bugs!$A$2:$X1014,24,FALSE()),"please select a BUG ID")</f>
        <v>please select a BUG ID</v>
      </c>
      <c r="E611" s="49"/>
      <c r="F611" s="102"/>
      <c r="H611" s="49"/>
      <c r="I611" s="102"/>
      <c r="J611" s="51"/>
    </row>
    <row r="612">
      <c r="A612" s="43"/>
      <c r="B612" s="106" t="str">
        <f>IFERROR(HYPERLINK(VLOOKUP(A612,Internal_lists_bugs!$A$2:$G1014,7,FALSE()),"Intro.Issues: "&amp;VLOOKUP(A612,Internal_lists_bugs!$A$2:$P1014,16,FALSE())),"please select a BUG ID")</f>
        <v>please select a BUG ID</v>
      </c>
      <c r="C612" s="107" t="str">
        <f>IFERROR(VLOOKUP(A612,Internal_lists_bugs!$A$2:$X1014,24,FALSE()),"please select a BUG ID")</f>
        <v>please select a BUG ID</v>
      </c>
      <c r="E612" s="49"/>
      <c r="F612" s="102"/>
      <c r="H612" s="49"/>
      <c r="I612" s="102"/>
      <c r="J612" s="51"/>
    </row>
    <row r="613">
      <c r="A613" s="43"/>
      <c r="B613" s="106" t="str">
        <f>IFERROR(HYPERLINK(VLOOKUP(A613,Internal_lists_bugs!$A$2:$G1014,7,FALSE()),"Intro.Issues: "&amp;VLOOKUP(A613,Internal_lists_bugs!$A$2:$P1014,16,FALSE())),"please select a BUG ID")</f>
        <v>please select a BUG ID</v>
      </c>
      <c r="C613" s="107" t="str">
        <f>IFERROR(VLOOKUP(A613,Internal_lists_bugs!$A$2:$X1014,24,FALSE()),"please select a BUG ID")</f>
        <v>please select a BUG ID</v>
      </c>
      <c r="E613" s="49"/>
      <c r="F613" s="102"/>
      <c r="H613" s="49"/>
      <c r="I613" s="102"/>
      <c r="J613" s="51"/>
    </row>
    <row r="614">
      <c r="A614" s="43"/>
      <c r="B614" s="106" t="str">
        <f>IFERROR(HYPERLINK(VLOOKUP(A614,Internal_lists_bugs!$A$2:$G1014,7,FALSE()),"Intro.Issues: "&amp;VLOOKUP(A614,Internal_lists_bugs!$A$2:$P1014,16,FALSE())),"please select a BUG ID")</f>
        <v>please select a BUG ID</v>
      </c>
      <c r="C614" s="107" t="str">
        <f>IFERROR(VLOOKUP(A614,Internal_lists_bugs!$A$2:$X1014,24,FALSE()),"please select a BUG ID")</f>
        <v>please select a BUG ID</v>
      </c>
      <c r="E614" s="49"/>
      <c r="F614" s="102"/>
      <c r="H614" s="49"/>
      <c r="I614" s="102"/>
      <c r="J614" s="51"/>
    </row>
    <row r="615">
      <c r="A615" s="43"/>
      <c r="B615" s="106" t="str">
        <f>IFERROR(HYPERLINK(VLOOKUP(A615,Internal_lists_bugs!$A$2:$G1014,7,FALSE()),"Intro.Issues: "&amp;VLOOKUP(A615,Internal_lists_bugs!$A$2:$P1014,16,FALSE())),"please select a BUG ID")</f>
        <v>please select a BUG ID</v>
      </c>
      <c r="C615" s="107" t="str">
        <f>IFERROR(VLOOKUP(A615,Internal_lists_bugs!$A$2:$X1014,24,FALSE()),"please select a BUG ID")</f>
        <v>please select a BUG ID</v>
      </c>
      <c r="E615" s="49"/>
      <c r="F615" s="102"/>
      <c r="H615" s="49"/>
      <c r="I615" s="102"/>
      <c r="J615" s="51"/>
    </row>
    <row r="616">
      <c r="A616" s="43"/>
      <c r="B616" s="106" t="str">
        <f>IFERROR(HYPERLINK(VLOOKUP(A616,Internal_lists_bugs!$A$2:$G1014,7,FALSE()),"Intro.Issues: "&amp;VLOOKUP(A616,Internal_lists_bugs!$A$2:$P1014,16,FALSE())),"please select a BUG ID")</f>
        <v>please select a BUG ID</v>
      </c>
      <c r="C616" s="107" t="str">
        <f>IFERROR(VLOOKUP(A616,Internal_lists_bugs!$A$2:$X1014,24,FALSE()),"please select a BUG ID")</f>
        <v>please select a BUG ID</v>
      </c>
      <c r="E616" s="49"/>
      <c r="F616" s="102"/>
      <c r="H616" s="49"/>
      <c r="I616" s="102"/>
      <c r="J616" s="51"/>
    </row>
    <row r="617">
      <c r="A617" s="43"/>
      <c r="B617" s="106" t="str">
        <f>IFERROR(HYPERLINK(VLOOKUP(A617,Internal_lists_bugs!$A$2:$G1014,7,FALSE()),"Intro.Issues: "&amp;VLOOKUP(A617,Internal_lists_bugs!$A$2:$P1014,16,FALSE())),"please select a BUG ID")</f>
        <v>please select a BUG ID</v>
      </c>
      <c r="C617" s="107" t="str">
        <f>IFERROR(VLOOKUP(A617,Internal_lists_bugs!$A$2:$X1014,24,FALSE()),"please select a BUG ID")</f>
        <v>please select a BUG ID</v>
      </c>
      <c r="E617" s="49"/>
      <c r="F617" s="102"/>
      <c r="H617" s="49"/>
      <c r="I617" s="102"/>
      <c r="J617" s="51"/>
    </row>
    <row r="618">
      <c r="A618" s="43"/>
      <c r="B618" s="106" t="str">
        <f>IFERROR(HYPERLINK(VLOOKUP(A618,Internal_lists_bugs!$A$2:$G1014,7,FALSE()),"Intro.Issues: "&amp;VLOOKUP(A618,Internal_lists_bugs!$A$2:$P1014,16,FALSE())),"please select a BUG ID")</f>
        <v>please select a BUG ID</v>
      </c>
      <c r="C618" s="107" t="str">
        <f>IFERROR(VLOOKUP(A618,Internal_lists_bugs!$A$2:$X1014,24,FALSE()),"please select a BUG ID")</f>
        <v>please select a BUG ID</v>
      </c>
      <c r="E618" s="49"/>
      <c r="F618" s="102"/>
      <c r="H618" s="49"/>
      <c r="I618" s="102"/>
      <c r="J618" s="51"/>
    </row>
    <row r="619">
      <c r="A619" s="43"/>
      <c r="B619" s="106" t="str">
        <f>IFERROR(HYPERLINK(VLOOKUP(A619,Internal_lists_bugs!$A$2:$G1014,7,FALSE()),"Intro.Issues: "&amp;VLOOKUP(A619,Internal_lists_bugs!$A$2:$P1014,16,FALSE())),"please select a BUG ID")</f>
        <v>please select a BUG ID</v>
      </c>
      <c r="C619" s="107" t="str">
        <f>IFERROR(VLOOKUP(A619,Internal_lists_bugs!$A$2:$X1014,24,FALSE()),"please select a BUG ID")</f>
        <v>please select a BUG ID</v>
      </c>
      <c r="E619" s="49"/>
      <c r="F619" s="102"/>
      <c r="H619" s="49"/>
      <c r="I619" s="102"/>
      <c r="J619" s="51"/>
    </row>
    <row r="620">
      <c r="A620" s="43"/>
      <c r="B620" s="106" t="str">
        <f>IFERROR(HYPERLINK(VLOOKUP(A620,Internal_lists_bugs!$A$2:$G1014,7,FALSE()),"Intro.Issues: "&amp;VLOOKUP(A620,Internal_lists_bugs!$A$2:$P1014,16,FALSE())),"please select a BUG ID")</f>
        <v>please select a BUG ID</v>
      </c>
      <c r="C620" s="107" t="str">
        <f>IFERROR(VLOOKUP(A620,Internal_lists_bugs!$A$2:$X1014,24,FALSE()),"please select a BUG ID")</f>
        <v>please select a BUG ID</v>
      </c>
      <c r="E620" s="49"/>
      <c r="F620" s="102"/>
      <c r="H620" s="49"/>
      <c r="I620" s="102"/>
      <c r="J620" s="51"/>
    </row>
    <row r="621">
      <c r="A621" s="43"/>
      <c r="B621" s="106" t="str">
        <f>IFERROR(HYPERLINK(VLOOKUP(A621,Internal_lists_bugs!$A$2:$G1014,7,FALSE()),"Intro.Issues: "&amp;VLOOKUP(A621,Internal_lists_bugs!$A$2:$P1014,16,FALSE())),"please select a BUG ID")</f>
        <v>please select a BUG ID</v>
      </c>
      <c r="C621" s="107" t="str">
        <f>IFERROR(VLOOKUP(A621,Internal_lists_bugs!$A$2:$X1014,24,FALSE()),"please select a BUG ID")</f>
        <v>please select a BUG ID</v>
      </c>
      <c r="E621" s="49"/>
      <c r="F621" s="102"/>
      <c r="H621" s="49"/>
      <c r="I621" s="102"/>
      <c r="J621" s="51"/>
    </row>
    <row r="622">
      <c r="A622" s="43"/>
      <c r="B622" s="106" t="str">
        <f>IFERROR(HYPERLINK(VLOOKUP(A622,Internal_lists_bugs!$A$2:$G1014,7,FALSE()),"Intro.Issues: "&amp;VLOOKUP(A622,Internal_lists_bugs!$A$2:$P1014,16,FALSE())),"please select a BUG ID")</f>
        <v>please select a BUG ID</v>
      </c>
      <c r="C622" s="107" t="str">
        <f>IFERROR(VLOOKUP(A622,Internal_lists_bugs!$A$2:$X1014,24,FALSE()),"please select a BUG ID")</f>
        <v>please select a BUG ID</v>
      </c>
      <c r="E622" s="49"/>
      <c r="F622" s="102"/>
      <c r="H622" s="49"/>
      <c r="I622" s="102"/>
      <c r="J622" s="51"/>
    </row>
    <row r="623">
      <c r="A623" s="43"/>
      <c r="B623" s="106" t="str">
        <f>IFERROR(HYPERLINK(VLOOKUP(A623,Internal_lists_bugs!$A$2:$G1014,7,FALSE()),"Intro.Issues: "&amp;VLOOKUP(A623,Internal_lists_bugs!$A$2:$P1014,16,FALSE())),"please select a BUG ID")</f>
        <v>please select a BUG ID</v>
      </c>
      <c r="C623" s="107" t="str">
        <f>IFERROR(VLOOKUP(A623,Internal_lists_bugs!$A$2:$X1014,24,FALSE()),"please select a BUG ID")</f>
        <v>please select a BUG ID</v>
      </c>
      <c r="E623" s="49"/>
      <c r="F623" s="102"/>
      <c r="H623" s="49"/>
      <c r="I623" s="102"/>
      <c r="J623" s="51"/>
    </row>
    <row r="624">
      <c r="A624" s="43"/>
      <c r="B624" s="106" t="str">
        <f>IFERROR(HYPERLINK(VLOOKUP(A624,Internal_lists_bugs!$A$2:$G1014,7,FALSE()),"Intro.Issues: "&amp;VLOOKUP(A624,Internal_lists_bugs!$A$2:$P1014,16,FALSE())),"please select a BUG ID")</f>
        <v>please select a BUG ID</v>
      </c>
      <c r="C624" s="107" t="str">
        <f>IFERROR(VLOOKUP(A624,Internal_lists_bugs!$A$2:$X1014,24,FALSE()),"please select a BUG ID")</f>
        <v>please select a BUG ID</v>
      </c>
      <c r="E624" s="49"/>
      <c r="F624" s="102"/>
      <c r="H624" s="49"/>
      <c r="I624" s="102"/>
      <c r="J624" s="51"/>
    </row>
    <row r="625">
      <c r="A625" s="43"/>
      <c r="B625" s="106" t="str">
        <f>IFERROR(HYPERLINK(VLOOKUP(A625,Internal_lists_bugs!$A$2:$G1014,7,FALSE()),"Intro.Issues: "&amp;VLOOKUP(A625,Internal_lists_bugs!$A$2:$P1014,16,FALSE())),"please select a BUG ID")</f>
        <v>please select a BUG ID</v>
      </c>
      <c r="C625" s="107" t="str">
        <f>IFERROR(VLOOKUP(A625,Internal_lists_bugs!$A$2:$X1014,24,FALSE()),"please select a BUG ID")</f>
        <v>please select a BUG ID</v>
      </c>
      <c r="E625" s="49"/>
      <c r="F625" s="102"/>
      <c r="H625" s="49"/>
      <c r="I625" s="102"/>
      <c r="J625" s="51"/>
    </row>
    <row r="626">
      <c r="A626" s="43"/>
      <c r="B626" s="106" t="str">
        <f>IFERROR(HYPERLINK(VLOOKUP(A626,Internal_lists_bugs!$A$2:$G1014,7,FALSE()),"Intro.Issues: "&amp;VLOOKUP(A626,Internal_lists_bugs!$A$2:$P1014,16,FALSE())),"please select a BUG ID")</f>
        <v>please select a BUG ID</v>
      </c>
      <c r="C626" s="107" t="str">
        <f>IFERROR(VLOOKUP(A626,Internal_lists_bugs!$A$2:$X1014,24,FALSE()),"please select a BUG ID")</f>
        <v>please select a BUG ID</v>
      </c>
      <c r="E626" s="49"/>
      <c r="F626" s="102"/>
      <c r="H626" s="49"/>
      <c r="I626" s="102"/>
      <c r="J626" s="51"/>
    </row>
    <row r="627">
      <c r="A627" s="43"/>
      <c r="B627" s="106" t="str">
        <f>IFERROR(HYPERLINK(VLOOKUP(A627,Internal_lists_bugs!$A$2:$G1014,7,FALSE()),"Intro.Issues: "&amp;VLOOKUP(A627,Internal_lists_bugs!$A$2:$P1014,16,FALSE())),"please select a BUG ID")</f>
        <v>please select a BUG ID</v>
      </c>
      <c r="C627" s="107" t="str">
        <f>IFERROR(VLOOKUP(A627,Internal_lists_bugs!$A$2:$X1014,24,FALSE()),"please select a BUG ID")</f>
        <v>please select a BUG ID</v>
      </c>
      <c r="E627" s="49"/>
      <c r="F627" s="102"/>
      <c r="H627" s="49"/>
      <c r="I627" s="102"/>
      <c r="J627" s="51"/>
    </row>
    <row r="628">
      <c r="A628" s="43"/>
      <c r="B628" s="106" t="str">
        <f>IFERROR(HYPERLINK(VLOOKUP(A628,Internal_lists_bugs!$A$2:$G1014,7,FALSE()),"Intro.Issues: "&amp;VLOOKUP(A628,Internal_lists_bugs!$A$2:$P1014,16,FALSE())),"please select a BUG ID")</f>
        <v>please select a BUG ID</v>
      </c>
      <c r="C628" s="107" t="str">
        <f>IFERROR(VLOOKUP(A628,Internal_lists_bugs!$A$2:$X1014,24,FALSE()),"please select a BUG ID")</f>
        <v>please select a BUG ID</v>
      </c>
      <c r="E628" s="49"/>
      <c r="F628" s="102"/>
      <c r="H628" s="49"/>
      <c r="I628" s="102"/>
      <c r="J628" s="51"/>
    </row>
    <row r="629">
      <c r="A629" s="43"/>
      <c r="B629" s="106" t="str">
        <f>IFERROR(HYPERLINK(VLOOKUP(A629,Internal_lists_bugs!$A$2:$G1014,7,FALSE()),"Intro.Issues: "&amp;VLOOKUP(A629,Internal_lists_bugs!$A$2:$P1014,16,FALSE())),"please select a BUG ID")</f>
        <v>please select a BUG ID</v>
      </c>
      <c r="C629" s="107" t="str">
        <f>IFERROR(VLOOKUP(A629,Internal_lists_bugs!$A$2:$X1014,24,FALSE()),"please select a BUG ID")</f>
        <v>please select a BUG ID</v>
      </c>
      <c r="E629" s="49"/>
      <c r="F629" s="102"/>
      <c r="H629" s="49"/>
      <c r="I629" s="102"/>
      <c r="J629" s="51"/>
    </row>
    <row r="630">
      <c r="A630" s="43"/>
      <c r="B630" s="106" t="str">
        <f>IFERROR(HYPERLINK(VLOOKUP(A630,Internal_lists_bugs!$A$2:$G1014,7,FALSE()),"Intro.Issues: "&amp;VLOOKUP(A630,Internal_lists_bugs!$A$2:$P1014,16,FALSE())),"please select a BUG ID")</f>
        <v>please select a BUG ID</v>
      </c>
      <c r="C630" s="107" t="str">
        <f>IFERROR(VLOOKUP(A630,Internal_lists_bugs!$A$2:$X1014,24,FALSE()),"please select a BUG ID")</f>
        <v>please select a BUG ID</v>
      </c>
      <c r="E630" s="49"/>
      <c r="F630" s="102"/>
      <c r="H630" s="49"/>
      <c r="I630" s="102"/>
      <c r="J630" s="51"/>
    </row>
    <row r="631">
      <c r="A631" s="43"/>
      <c r="B631" s="106" t="str">
        <f>IFERROR(HYPERLINK(VLOOKUP(A631,Internal_lists_bugs!$A$2:$G1014,7,FALSE()),"Intro.Issues: "&amp;VLOOKUP(A631,Internal_lists_bugs!$A$2:$P1014,16,FALSE())),"please select a BUG ID")</f>
        <v>please select a BUG ID</v>
      </c>
      <c r="C631" s="107" t="str">
        <f>IFERROR(VLOOKUP(A631,Internal_lists_bugs!$A$2:$X1014,24,FALSE()),"please select a BUG ID")</f>
        <v>please select a BUG ID</v>
      </c>
      <c r="E631" s="49"/>
      <c r="F631" s="102"/>
      <c r="H631" s="49"/>
      <c r="I631" s="102"/>
      <c r="J631" s="51"/>
    </row>
    <row r="632">
      <c r="A632" s="43"/>
      <c r="B632" s="106" t="str">
        <f>IFERROR(HYPERLINK(VLOOKUP(A632,Internal_lists_bugs!$A$2:$G1014,7,FALSE()),"Intro.Issues: "&amp;VLOOKUP(A632,Internal_lists_bugs!$A$2:$P1014,16,FALSE())),"please select a BUG ID")</f>
        <v>please select a BUG ID</v>
      </c>
      <c r="C632" s="107" t="str">
        <f>IFERROR(VLOOKUP(A632,Internal_lists_bugs!$A$2:$X1014,24,FALSE()),"please select a BUG ID")</f>
        <v>please select a BUG ID</v>
      </c>
      <c r="E632" s="49"/>
      <c r="F632" s="102"/>
      <c r="H632" s="49"/>
      <c r="I632" s="102"/>
      <c r="J632" s="51"/>
    </row>
    <row r="633">
      <c r="A633" s="43"/>
      <c r="B633" s="106" t="str">
        <f>IFERROR(HYPERLINK(VLOOKUP(A633,Internal_lists_bugs!$A$2:$G1014,7,FALSE()),"Intro.Issues: "&amp;VLOOKUP(A633,Internal_lists_bugs!$A$2:$P1014,16,FALSE())),"please select a BUG ID")</f>
        <v>please select a BUG ID</v>
      </c>
      <c r="C633" s="107" t="str">
        <f>IFERROR(VLOOKUP(A633,Internal_lists_bugs!$A$2:$X1014,24,FALSE()),"please select a BUG ID")</f>
        <v>please select a BUG ID</v>
      </c>
      <c r="E633" s="49"/>
      <c r="F633" s="102"/>
      <c r="H633" s="49"/>
      <c r="I633" s="102"/>
      <c r="J633" s="51"/>
    </row>
    <row r="634">
      <c r="A634" s="43"/>
      <c r="B634" s="106" t="str">
        <f>IFERROR(HYPERLINK(VLOOKUP(A634,Internal_lists_bugs!$A$2:$G1014,7,FALSE()),"Intro.Issues: "&amp;VLOOKUP(A634,Internal_lists_bugs!$A$2:$P1014,16,FALSE())),"please select a BUG ID")</f>
        <v>please select a BUG ID</v>
      </c>
      <c r="C634" s="107" t="str">
        <f>IFERROR(VLOOKUP(A634,Internal_lists_bugs!$A$2:$X1014,24,FALSE()),"please select a BUG ID")</f>
        <v>please select a BUG ID</v>
      </c>
      <c r="E634" s="49"/>
      <c r="F634" s="102"/>
      <c r="H634" s="49"/>
      <c r="I634" s="102"/>
      <c r="J634" s="51"/>
    </row>
    <row r="635">
      <c r="A635" s="43"/>
      <c r="B635" s="106" t="str">
        <f>IFERROR(HYPERLINK(VLOOKUP(A635,Internal_lists_bugs!$A$2:$G1014,7,FALSE()),"Intro.Issues: "&amp;VLOOKUP(A635,Internal_lists_bugs!$A$2:$P1014,16,FALSE())),"please select a BUG ID")</f>
        <v>please select a BUG ID</v>
      </c>
      <c r="C635" s="107" t="str">
        <f>IFERROR(VLOOKUP(A635,Internal_lists_bugs!$A$2:$X1014,24,FALSE()),"please select a BUG ID")</f>
        <v>please select a BUG ID</v>
      </c>
      <c r="E635" s="49"/>
      <c r="F635" s="102"/>
      <c r="H635" s="49"/>
      <c r="I635" s="102"/>
      <c r="J635" s="51"/>
    </row>
    <row r="636">
      <c r="A636" s="43"/>
      <c r="B636" s="106" t="str">
        <f>IFERROR(HYPERLINK(VLOOKUP(A636,Internal_lists_bugs!$A$2:$G1014,7,FALSE()),"Intro.Issues: "&amp;VLOOKUP(A636,Internal_lists_bugs!$A$2:$P1014,16,FALSE())),"please select a BUG ID")</f>
        <v>please select a BUG ID</v>
      </c>
      <c r="C636" s="107" t="str">
        <f>IFERROR(VLOOKUP(A636,Internal_lists_bugs!$A$2:$X1014,24,FALSE()),"please select a BUG ID")</f>
        <v>please select a BUG ID</v>
      </c>
      <c r="E636" s="49"/>
      <c r="F636" s="102"/>
      <c r="H636" s="49"/>
      <c r="I636" s="102"/>
      <c r="J636" s="51"/>
    </row>
    <row r="637">
      <c r="A637" s="43"/>
      <c r="B637" s="106" t="str">
        <f>IFERROR(HYPERLINK(VLOOKUP(A637,Internal_lists_bugs!$A$2:$G1014,7,FALSE()),"Intro.Issues: "&amp;VLOOKUP(A637,Internal_lists_bugs!$A$2:$P1014,16,FALSE())),"please select a BUG ID")</f>
        <v>please select a BUG ID</v>
      </c>
      <c r="C637" s="107" t="str">
        <f>IFERROR(VLOOKUP(A637,Internal_lists_bugs!$A$2:$X1014,24,FALSE()),"please select a BUG ID")</f>
        <v>please select a BUG ID</v>
      </c>
      <c r="E637" s="49"/>
      <c r="F637" s="102"/>
      <c r="H637" s="49"/>
      <c r="I637" s="102"/>
      <c r="J637" s="51"/>
    </row>
    <row r="638">
      <c r="A638" s="43"/>
      <c r="B638" s="106" t="str">
        <f>IFERROR(HYPERLINK(VLOOKUP(A638,Internal_lists_bugs!$A$2:$G1014,7,FALSE()),"Intro.Issues: "&amp;VLOOKUP(A638,Internal_lists_bugs!$A$2:$P1014,16,FALSE())),"please select a BUG ID")</f>
        <v>please select a BUG ID</v>
      </c>
      <c r="C638" s="107" t="str">
        <f>IFERROR(VLOOKUP(A638,Internal_lists_bugs!$A$2:$X1014,24,FALSE()),"please select a BUG ID")</f>
        <v>please select a BUG ID</v>
      </c>
      <c r="E638" s="49"/>
      <c r="F638" s="102"/>
      <c r="H638" s="49"/>
      <c r="I638" s="102"/>
      <c r="J638" s="51"/>
    </row>
    <row r="639">
      <c r="A639" s="43"/>
      <c r="B639" s="106" t="str">
        <f>IFERROR(HYPERLINK(VLOOKUP(A639,Internal_lists_bugs!$A$2:$G1014,7,FALSE()),"Intro.Issues: "&amp;VLOOKUP(A639,Internal_lists_bugs!$A$2:$P1014,16,FALSE())),"please select a BUG ID")</f>
        <v>please select a BUG ID</v>
      </c>
      <c r="C639" s="107" t="str">
        <f>IFERROR(VLOOKUP(A639,Internal_lists_bugs!$A$2:$X1014,24,FALSE()),"please select a BUG ID")</f>
        <v>please select a BUG ID</v>
      </c>
      <c r="E639" s="49"/>
      <c r="F639" s="102"/>
      <c r="H639" s="49"/>
      <c r="I639" s="102"/>
      <c r="J639" s="51"/>
    </row>
    <row r="640">
      <c r="A640" s="43"/>
      <c r="B640" s="106" t="str">
        <f>IFERROR(HYPERLINK(VLOOKUP(A640,Internal_lists_bugs!$A$2:$G1014,7,FALSE()),"Intro.Issues: "&amp;VLOOKUP(A640,Internal_lists_bugs!$A$2:$P1014,16,FALSE())),"please select a BUG ID")</f>
        <v>please select a BUG ID</v>
      </c>
      <c r="C640" s="107" t="str">
        <f>IFERROR(VLOOKUP(A640,Internal_lists_bugs!$A$2:$X1014,24,FALSE()),"please select a BUG ID")</f>
        <v>please select a BUG ID</v>
      </c>
      <c r="E640" s="49"/>
      <c r="F640" s="102"/>
      <c r="H640" s="49"/>
      <c r="I640" s="102"/>
      <c r="J640" s="51"/>
    </row>
    <row r="641">
      <c r="A641" s="43"/>
      <c r="B641" s="106" t="str">
        <f>IFERROR(HYPERLINK(VLOOKUP(A641,Internal_lists_bugs!$A$2:$G1014,7,FALSE()),"Intro.Issues: "&amp;VLOOKUP(A641,Internal_lists_bugs!$A$2:$P1014,16,FALSE())),"please select a BUG ID")</f>
        <v>please select a BUG ID</v>
      </c>
      <c r="C641" s="107" t="str">
        <f>IFERROR(VLOOKUP(A641,Internal_lists_bugs!$A$2:$X1014,24,FALSE()),"please select a BUG ID")</f>
        <v>please select a BUG ID</v>
      </c>
      <c r="E641" s="49"/>
      <c r="F641" s="102"/>
      <c r="H641" s="49"/>
      <c r="I641" s="102"/>
      <c r="J641" s="51"/>
    </row>
    <row r="642">
      <c r="A642" s="43"/>
      <c r="B642" s="106" t="str">
        <f>IFERROR(HYPERLINK(VLOOKUP(A642,Internal_lists_bugs!$A$2:$G1014,7,FALSE()),"Intro.Issues: "&amp;VLOOKUP(A642,Internal_lists_bugs!$A$2:$P1014,16,FALSE())),"please select a BUG ID")</f>
        <v>please select a BUG ID</v>
      </c>
      <c r="C642" s="107" t="str">
        <f>IFERROR(VLOOKUP(A642,Internal_lists_bugs!$A$2:$X1014,24,FALSE()),"please select a BUG ID")</f>
        <v>please select a BUG ID</v>
      </c>
      <c r="E642" s="49"/>
      <c r="F642" s="102"/>
      <c r="H642" s="49"/>
      <c r="I642" s="102"/>
      <c r="J642" s="51"/>
    </row>
    <row r="643">
      <c r="A643" s="43"/>
      <c r="B643" s="106" t="str">
        <f>IFERROR(HYPERLINK(VLOOKUP(A643,Internal_lists_bugs!$A$2:$G1014,7,FALSE()),"Intro.Issues: "&amp;VLOOKUP(A643,Internal_lists_bugs!$A$2:$P1014,16,FALSE())),"please select a BUG ID")</f>
        <v>please select a BUG ID</v>
      </c>
      <c r="C643" s="107" t="str">
        <f>IFERROR(VLOOKUP(A643,Internal_lists_bugs!$A$2:$X1014,24,FALSE()),"please select a BUG ID")</f>
        <v>please select a BUG ID</v>
      </c>
      <c r="E643" s="49"/>
      <c r="F643" s="102"/>
      <c r="H643" s="49"/>
      <c r="I643" s="102"/>
      <c r="J643" s="51"/>
    </row>
    <row r="644">
      <c r="A644" s="43"/>
      <c r="B644" s="106" t="str">
        <f>IFERROR(HYPERLINK(VLOOKUP(A644,Internal_lists_bugs!$A$2:$G1014,7,FALSE()),"Intro.Issues: "&amp;VLOOKUP(A644,Internal_lists_bugs!$A$2:$P1014,16,FALSE())),"please select a BUG ID")</f>
        <v>please select a BUG ID</v>
      </c>
      <c r="C644" s="107" t="str">
        <f>IFERROR(VLOOKUP(A644,Internal_lists_bugs!$A$2:$X1014,24,FALSE()),"please select a BUG ID")</f>
        <v>please select a BUG ID</v>
      </c>
      <c r="E644" s="49"/>
      <c r="F644" s="102"/>
      <c r="H644" s="49"/>
      <c r="I644" s="102"/>
      <c r="J644" s="51"/>
    </row>
    <row r="645">
      <c r="A645" s="43"/>
      <c r="B645" s="106" t="str">
        <f>IFERROR(HYPERLINK(VLOOKUP(A645,Internal_lists_bugs!$A$2:$G1014,7,FALSE()),"Intro.Issues: "&amp;VLOOKUP(A645,Internal_lists_bugs!$A$2:$P1014,16,FALSE())),"please select a BUG ID")</f>
        <v>please select a BUG ID</v>
      </c>
      <c r="C645" s="107" t="str">
        <f>IFERROR(VLOOKUP(A645,Internal_lists_bugs!$A$2:$X1014,24,FALSE()),"please select a BUG ID")</f>
        <v>please select a BUG ID</v>
      </c>
      <c r="E645" s="49"/>
      <c r="F645" s="102"/>
      <c r="H645" s="49"/>
      <c r="I645" s="102"/>
      <c r="J645" s="51"/>
    </row>
    <row r="646">
      <c r="A646" s="43"/>
      <c r="B646" s="106" t="str">
        <f>IFERROR(HYPERLINK(VLOOKUP(A646,Internal_lists_bugs!$A$2:$G1014,7,FALSE()),"Intro.Issues: "&amp;VLOOKUP(A646,Internal_lists_bugs!$A$2:$P1014,16,FALSE())),"please select a BUG ID")</f>
        <v>please select a BUG ID</v>
      </c>
      <c r="C646" s="107" t="str">
        <f>IFERROR(VLOOKUP(A646,Internal_lists_bugs!$A$2:$X1014,24,FALSE()),"please select a BUG ID")</f>
        <v>please select a BUG ID</v>
      </c>
      <c r="E646" s="49"/>
      <c r="F646" s="102"/>
      <c r="H646" s="49"/>
      <c r="I646" s="102"/>
      <c r="J646" s="51"/>
    </row>
    <row r="647">
      <c r="A647" s="43"/>
      <c r="B647" s="106" t="str">
        <f>IFERROR(HYPERLINK(VLOOKUP(A647,Internal_lists_bugs!$A$2:$G1014,7,FALSE()),"Intro.Issues: "&amp;VLOOKUP(A647,Internal_lists_bugs!$A$2:$P1014,16,FALSE())),"please select a BUG ID")</f>
        <v>please select a BUG ID</v>
      </c>
      <c r="C647" s="107" t="str">
        <f>IFERROR(VLOOKUP(A647,Internal_lists_bugs!$A$2:$X1014,24,FALSE()),"please select a BUG ID")</f>
        <v>please select a BUG ID</v>
      </c>
      <c r="E647" s="49"/>
      <c r="F647" s="102"/>
      <c r="H647" s="49"/>
      <c r="I647" s="102"/>
      <c r="J647" s="51"/>
    </row>
    <row r="648">
      <c r="A648" s="43"/>
      <c r="B648" s="106" t="str">
        <f>IFERROR(HYPERLINK(VLOOKUP(A648,Internal_lists_bugs!$A$2:$G1014,7,FALSE()),"Intro.Issues: "&amp;VLOOKUP(A648,Internal_lists_bugs!$A$2:$P1014,16,FALSE())),"please select a BUG ID")</f>
        <v>please select a BUG ID</v>
      </c>
      <c r="C648" s="107" t="str">
        <f>IFERROR(VLOOKUP(A648,Internal_lists_bugs!$A$2:$X1014,24,FALSE()),"please select a BUG ID")</f>
        <v>please select a BUG ID</v>
      </c>
      <c r="E648" s="49"/>
      <c r="F648" s="102"/>
      <c r="H648" s="49"/>
      <c r="I648" s="102"/>
      <c r="J648" s="51"/>
    </row>
    <row r="649">
      <c r="A649" s="43"/>
      <c r="B649" s="106" t="str">
        <f>IFERROR(HYPERLINK(VLOOKUP(A649,Internal_lists_bugs!$A$2:$G1014,7,FALSE()),"Intro.Issues: "&amp;VLOOKUP(A649,Internal_lists_bugs!$A$2:$P1014,16,FALSE())),"please select a BUG ID")</f>
        <v>please select a BUG ID</v>
      </c>
      <c r="C649" s="107" t="str">
        <f>IFERROR(VLOOKUP(A649,Internal_lists_bugs!$A$2:$X1014,24,FALSE()),"please select a BUG ID")</f>
        <v>please select a BUG ID</v>
      </c>
      <c r="E649" s="49"/>
      <c r="F649" s="102"/>
      <c r="H649" s="49"/>
      <c r="I649" s="102"/>
      <c r="J649" s="51"/>
    </row>
    <row r="650">
      <c r="A650" s="43"/>
      <c r="B650" s="106" t="str">
        <f>IFERROR(HYPERLINK(VLOOKUP(A650,Internal_lists_bugs!$A$2:$G1014,7,FALSE()),"Intro.Issues: "&amp;VLOOKUP(A650,Internal_lists_bugs!$A$2:$P1014,16,FALSE())),"please select a BUG ID")</f>
        <v>please select a BUG ID</v>
      </c>
      <c r="C650" s="107" t="str">
        <f>IFERROR(VLOOKUP(A650,Internal_lists_bugs!$A$2:$X1014,24,FALSE()),"please select a BUG ID")</f>
        <v>please select a BUG ID</v>
      </c>
      <c r="E650" s="49"/>
      <c r="F650" s="102"/>
      <c r="H650" s="49"/>
      <c r="I650" s="102"/>
      <c r="J650" s="51"/>
    </row>
    <row r="651">
      <c r="A651" s="43"/>
      <c r="B651" s="106" t="str">
        <f>IFERROR(HYPERLINK(VLOOKUP(A651,Internal_lists_bugs!$A$2:$G1014,7,FALSE()),"Intro.Issues: "&amp;VLOOKUP(A651,Internal_lists_bugs!$A$2:$P1014,16,FALSE())),"please select a BUG ID")</f>
        <v>please select a BUG ID</v>
      </c>
      <c r="C651" s="107" t="str">
        <f>IFERROR(VLOOKUP(A651,Internal_lists_bugs!$A$2:$X1014,24,FALSE()),"please select a BUG ID")</f>
        <v>please select a BUG ID</v>
      </c>
      <c r="E651" s="49"/>
      <c r="F651" s="102"/>
      <c r="H651" s="49"/>
      <c r="I651" s="102"/>
      <c r="J651" s="51"/>
    </row>
    <row r="652">
      <c r="A652" s="43"/>
      <c r="B652" s="106" t="str">
        <f>IFERROR(HYPERLINK(VLOOKUP(A652,Internal_lists_bugs!$A$2:$G1014,7,FALSE()),"Intro.Issues: "&amp;VLOOKUP(A652,Internal_lists_bugs!$A$2:$P1014,16,FALSE())),"please select a BUG ID")</f>
        <v>please select a BUG ID</v>
      </c>
      <c r="C652" s="107" t="str">
        <f>IFERROR(VLOOKUP(A652,Internal_lists_bugs!$A$2:$X1014,24,FALSE()),"please select a BUG ID")</f>
        <v>please select a BUG ID</v>
      </c>
      <c r="E652" s="49"/>
      <c r="F652" s="102"/>
      <c r="H652" s="49"/>
      <c r="I652" s="102"/>
      <c r="J652" s="51"/>
    </row>
    <row r="653">
      <c r="A653" s="43"/>
      <c r="B653" s="106" t="str">
        <f>IFERROR(HYPERLINK(VLOOKUP(A653,Internal_lists_bugs!$A$2:$G1014,7,FALSE()),"Intro.Issues: "&amp;VLOOKUP(A653,Internal_lists_bugs!$A$2:$P1014,16,FALSE())),"please select a BUG ID")</f>
        <v>please select a BUG ID</v>
      </c>
      <c r="C653" s="107" t="str">
        <f>IFERROR(VLOOKUP(A653,Internal_lists_bugs!$A$2:$X1014,24,FALSE()),"please select a BUG ID")</f>
        <v>please select a BUG ID</v>
      </c>
      <c r="E653" s="49"/>
      <c r="F653" s="102"/>
      <c r="H653" s="49"/>
      <c r="I653" s="102"/>
      <c r="J653" s="51"/>
    </row>
    <row r="654">
      <c r="A654" s="43"/>
      <c r="B654" s="106" t="str">
        <f>IFERROR(HYPERLINK(VLOOKUP(A654,Internal_lists_bugs!$A$2:$G1014,7,FALSE()),"Intro.Issues: "&amp;VLOOKUP(A654,Internal_lists_bugs!$A$2:$P1014,16,FALSE())),"please select a BUG ID")</f>
        <v>please select a BUG ID</v>
      </c>
      <c r="C654" s="107" t="str">
        <f>IFERROR(VLOOKUP(A654,Internal_lists_bugs!$A$2:$X1014,24,FALSE()),"please select a BUG ID")</f>
        <v>please select a BUG ID</v>
      </c>
      <c r="E654" s="49"/>
      <c r="F654" s="102"/>
      <c r="H654" s="49"/>
      <c r="I654" s="102"/>
      <c r="J654" s="51"/>
    </row>
    <row r="655">
      <c r="A655" s="43"/>
      <c r="B655" s="106" t="str">
        <f>IFERROR(HYPERLINK(VLOOKUP(A655,Internal_lists_bugs!$A$2:$G1014,7,FALSE()),"Intro.Issues: "&amp;VLOOKUP(A655,Internal_lists_bugs!$A$2:$P1014,16,FALSE())),"please select a BUG ID")</f>
        <v>please select a BUG ID</v>
      </c>
      <c r="C655" s="107" t="str">
        <f>IFERROR(VLOOKUP(A655,Internal_lists_bugs!$A$2:$X1014,24,FALSE()),"please select a BUG ID")</f>
        <v>please select a BUG ID</v>
      </c>
      <c r="E655" s="49"/>
      <c r="F655" s="102"/>
      <c r="H655" s="49"/>
      <c r="I655" s="102"/>
      <c r="J655" s="51"/>
    </row>
    <row r="656">
      <c r="A656" s="43"/>
      <c r="B656" s="106" t="str">
        <f>IFERROR(HYPERLINK(VLOOKUP(A656,Internal_lists_bugs!$A$2:$G1014,7,FALSE()),"Intro.Issues: "&amp;VLOOKUP(A656,Internal_lists_bugs!$A$2:$P1014,16,FALSE())),"please select a BUG ID")</f>
        <v>please select a BUG ID</v>
      </c>
      <c r="C656" s="107" t="str">
        <f>IFERROR(VLOOKUP(A656,Internal_lists_bugs!$A$2:$X1014,24,FALSE()),"please select a BUG ID")</f>
        <v>please select a BUG ID</v>
      </c>
      <c r="E656" s="49"/>
      <c r="F656" s="102"/>
      <c r="H656" s="49"/>
      <c r="I656" s="102"/>
      <c r="J656" s="51"/>
    </row>
    <row r="657">
      <c r="A657" s="43"/>
      <c r="B657" s="106" t="str">
        <f>IFERROR(HYPERLINK(VLOOKUP(A657,Internal_lists_bugs!$A$2:$G1014,7,FALSE()),"Intro.Issues: "&amp;VLOOKUP(A657,Internal_lists_bugs!$A$2:$P1014,16,FALSE())),"please select a BUG ID")</f>
        <v>please select a BUG ID</v>
      </c>
      <c r="C657" s="107" t="str">
        <f>IFERROR(VLOOKUP(A657,Internal_lists_bugs!$A$2:$X1014,24,FALSE()),"please select a BUG ID")</f>
        <v>please select a BUG ID</v>
      </c>
      <c r="E657" s="49"/>
      <c r="F657" s="102"/>
      <c r="H657" s="49"/>
      <c r="I657" s="102"/>
      <c r="J657" s="51"/>
    </row>
    <row r="658">
      <c r="A658" s="43"/>
      <c r="B658" s="106" t="str">
        <f>IFERROR(HYPERLINK(VLOOKUP(A658,Internal_lists_bugs!$A$2:$G1014,7,FALSE()),"Intro.Issues: "&amp;VLOOKUP(A658,Internal_lists_bugs!$A$2:$P1014,16,FALSE())),"please select a BUG ID")</f>
        <v>please select a BUG ID</v>
      </c>
      <c r="C658" s="107" t="str">
        <f>IFERROR(VLOOKUP(A658,Internal_lists_bugs!$A$2:$X1014,24,FALSE()),"please select a BUG ID")</f>
        <v>please select a BUG ID</v>
      </c>
      <c r="E658" s="49"/>
      <c r="F658" s="102"/>
      <c r="H658" s="49"/>
      <c r="I658" s="102"/>
      <c r="J658" s="51"/>
    </row>
    <row r="659">
      <c r="A659" s="43"/>
      <c r="B659" s="106" t="str">
        <f>IFERROR(HYPERLINK(VLOOKUP(A659,Internal_lists_bugs!$A$2:$G1014,7,FALSE()),"Intro.Issues: "&amp;VLOOKUP(A659,Internal_lists_bugs!$A$2:$P1014,16,FALSE())),"please select a BUG ID")</f>
        <v>please select a BUG ID</v>
      </c>
      <c r="C659" s="107" t="str">
        <f>IFERROR(VLOOKUP(A659,Internal_lists_bugs!$A$2:$X1014,24,FALSE()),"please select a BUG ID")</f>
        <v>please select a BUG ID</v>
      </c>
      <c r="E659" s="49"/>
      <c r="F659" s="102"/>
      <c r="H659" s="49"/>
      <c r="I659" s="102"/>
      <c r="J659" s="51"/>
    </row>
    <row r="660">
      <c r="A660" s="43"/>
      <c r="B660" s="106" t="str">
        <f>IFERROR(HYPERLINK(VLOOKUP(A660,Internal_lists_bugs!$A$2:$G1014,7,FALSE()),"Intro.Issues: "&amp;VLOOKUP(A660,Internal_lists_bugs!$A$2:$P1014,16,FALSE())),"please select a BUG ID")</f>
        <v>please select a BUG ID</v>
      </c>
      <c r="C660" s="107" t="str">
        <f>IFERROR(VLOOKUP(A660,Internal_lists_bugs!$A$2:$X1014,24,FALSE()),"please select a BUG ID")</f>
        <v>please select a BUG ID</v>
      </c>
      <c r="E660" s="49"/>
      <c r="F660" s="102"/>
      <c r="H660" s="49"/>
      <c r="I660" s="102"/>
      <c r="J660" s="51"/>
    </row>
    <row r="661">
      <c r="A661" s="43"/>
      <c r="B661" s="106" t="str">
        <f>IFERROR(HYPERLINK(VLOOKUP(A661,Internal_lists_bugs!$A$2:$G1014,7,FALSE()),"Intro.Issues: "&amp;VLOOKUP(A661,Internal_lists_bugs!$A$2:$P1014,16,FALSE())),"please select a BUG ID")</f>
        <v>please select a BUG ID</v>
      </c>
      <c r="C661" s="107" t="str">
        <f>IFERROR(VLOOKUP(A661,Internal_lists_bugs!$A$2:$X1014,24,FALSE()),"please select a BUG ID")</f>
        <v>please select a BUG ID</v>
      </c>
      <c r="E661" s="49"/>
      <c r="F661" s="102"/>
      <c r="H661" s="49"/>
      <c r="I661" s="102"/>
      <c r="J661" s="51"/>
    </row>
    <row r="662">
      <c r="A662" s="43"/>
      <c r="B662" s="106" t="str">
        <f>IFERROR(HYPERLINK(VLOOKUP(A662,Internal_lists_bugs!$A$2:$G1014,7,FALSE()),"Intro.Issues: "&amp;VLOOKUP(A662,Internal_lists_bugs!$A$2:$P1014,16,FALSE())),"please select a BUG ID")</f>
        <v>please select a BUG ID</v>
      </c>
      <c r="C662" s="107" t="str">
        <f>IFERROR(VLOOKUP(A662,Internal_lists_bugs!$A$2:$X1014,24,FALSE()),"please select a BUG ID")</f>
        <v>please select a BUG ID</v>
      </c>
      <c r="E662" s="49"/>
      <c r="F662" s="102"/>
      <c r="H662" s="49"/>
      <c r="I662" s="102"/>
      <c r="J662" s="51"/>
    </row>
    <row r="663">
      <c r="A663" s="43"/>
      <c r="B663" s="106" t="str">
        <f>IFERROR(HYPERLINK(VLOOKUP(A663,Internal_lists_bugs!$A$2:$G1014,7,FALSE()),"Intro.Issues: "&amp;VLOOKUP(A663,Internal_lists_bugs!$A$2:$P1014,16,FALSE())),"please select a BUG ID")</f>
        <v>please select a BUG ID</v>
      </c>
      <c r="C663" s="107" t="str">
        <f>IFERROR(VLOOKUP(A663,Internal_lists_bugs!$A$2:$X1014,24,FALSE()),"please select a BUG ID")</f>
        <v>please select a BUG ID</v>
      </c>
      <c r="E663" s="49"/>
      <c r="F663" s="102"/>
      <c r="H663" s="49"/>
      <c r="I663" s="102"/>
      <c r="J663" s="51"/>
    </row>
    <row r="664">
      <c r="A664" s="43"/>
      <c r="B664" s="106" t="str">
        <f>IFERROR(HYPERLINK(VLOOKUP(A664,Internal_lists_bugs!$A$2:$G1014,7,FALSE()),"Intro.Issues: "&amp;VLOOKUP(A664,Internal_lists_bugs!$A$2:$P1014,16,FALSE())),"please select a BUG ID")</f>
        <v>please select a BUG ID</v>
      </c>
      <c r="C664" s="107" t="str">
        <f>IFERROR(VLOOKUP(A664,Internal_lists_bugs!$A$2:$X1014,24,FALSE()),"please select a BUG ID")</f>
        <v>please select a BUG ID</v>
      </c>
      <c r="E664" s="49"/>
      <c r="F664" s="102"/>
      <c r="H664" s="49"/>
      <c r="I664" s="102"/>
      <c r="J664" s="51"/>
    </row>
    <row r="665">
      <c r="A665" s="43"/>
      <c r="B665" s="106" t="str">
        <f>IFERROR(HYPERLINK(VLOOKUP(A665,Internal_lists_bugs!$A$2:$G1014,7,FALSE()),"Intro.Issues: "&amp;VLOOKUP(A665,Internal_lists_bugs!$A$2:$P1014,16,FALSE())),"please select a BUG ID")</f>
        <v>please select a BUG ID</v>
      </c>
      <c r="C665" s="107" t="str">
        <f>IFERROR(VLOOKUP(A665,Internal_lists_bugs!$A$2:$X1014,24,FALSE()),"please select a BUG ID")</f>
        <v>please select a BUG ID</v>
      </c>
      <c r="E665" s="49"/>
      <c r="F665" s="102"/>
      <c r="H665" s="49"/>
      <c r="I665" s="102"/>
      <c r="J665" s="51"/>
    </row>
    <row r="666">
      <c r="A666" s="43"/>
      <c r="B666" s="106" t="str">
        <f>IFERROR(HYPERLINK(VLOOKUP(A666,Internal_lists_bugs!$A$2:$G1014,7,FALSE()),"Intro.Issues: "&amp;VLOOKUP(A666,Internal_lists_bugs!$A$2:$P1014,16,FALSE())),"please select a BUG ID")</f>
        <v>please select a BUG ID</v>
      </c>
      <c r="C666" s="107" t="str">
        <f>IFERROR(VLOOKUP(A666,Internal_lists_bugs!$A$2:$X1014,24,FALSE()),"please select a BUG ID")</f>
        <v>please select a BUG ID</v>
      </c>
      <c r="E666" s="49"/>
      <c r="F666" s="102"/>
      <c r="H666" s="49"/>
      <c r="I666" s="102"/>
      <c r="J666" s="51"/>
    </row>
    <row r="667">
      <c r="A667" s="43"/>
      <c r="B667" s="106" t="str">
        <f>IFERROR(HYPERLINK(VLOOKUP(A667,Internal_lists_bugs!$A$2:$G1014,7,FALSE()),"Intro.Issues: "&amp;VLOOKUP(A667,Internal_lists_bugs!$A$2:$P1014,16,FALSE())),"please select a BUG ID")</f>
        <v>please select a BUG ID</v>
      </c>
      <c r="C667" s="107" t="str">
        <f>IFERROR(VLOOKUP(A667,Internal_lists_bugs!$A$2:$X1014,24,FALSE()),"please select a BUG ID")</f>
        <v>please select a BUG ID</v>
      </c>
      <c r="E667" s="49"/>
      <c r="F667" s="102"/>
      <c r="H667" s="49"/>
      <c r="I667" s="102"/>
      <c r="J667" s="51"/>
    </row>
    <row r="668">
      <c r="A668" s="43"/>
      <c r="B668" s="106" t="str">
        <f>IFERROR(HYPERLINK(VLOOKUP(A668,Internal_lists_bugs!$A$2:$G1014,7,FALSE()),"Intro.Issues: "&amp;VLOOKUP(A668,Internal_lists_bugs!$A$2:$P1014,16,FALSE())),"please select a BUG ID")</f>
        <v>please select a BUG ID</v>
      </c>
      <c r="C668" s="107" t="str">
        <f>IFERROR(VLOOKUP(A668,Internal_lists_bugs!$A$2:$X1014,24,FALSE()),"please select a BUG ID")</f>
        <v>please select a BUG ID</v>
      </c>
      <c r="E668" s="49"/>
      <c r="F668" s="102"/>
      <c r="H668" s="49"/>
      <c r="I668" s="102"/>
      <c r="J668" s="51"/>
    </row>
    <row r="669">
      <c r="A669" s="43"/>
      <c r="B669" s="106" t="str">
        <f>IFERROR(HYPERLINK(VLOOKUP(A669,Internal_lists_bugs!$A$2:$G1014,7,FALSE()),"Intro.Issues: "&amp;VLOOKUP(A669,Internal_lists_bugs!$A$2:$P1014,16,FALSE())),"please select a BUG ID")</f>
        <v>please select a BUG ID</v>
      </c>
      <c r="C669" s="107" t="str">
        <f>IFERROR(VLOOKUP(A669,Internal_lists_bugs!$A$2:$X1014,24,FALSE()),"please select a BUG ID")</f>
        <v>please select a BUG ID</v>
      </c>
      <c r="E669" s="49"/>
      <c r="F669" s="102"/>
      <c r="H669" s="49"/>
      <c r="I669" s="102"/>
      <c r="J669" s="51"/>
    </row>
    <row r="670">
      <c r="A670" s="43"/>
      <c r="B670" s="106" t="str">
        <f>IFERROR(HYPERLINK(VLOOKUP(A670,Internal_lists_bugs!$A$2:$G1014,7,FALSE()),"Intro.Issues: "&amp;VLOOKUP(A670,Internal_lists_bugs!$A$2:$P1014,16,FALSE())),"please select a BUG ID")</f>
        <v>please select a BUG ID</v>
      </c>
      <c r="C670" s="107" t="str">
        <f>IFERROR(VLOOKUP(A670,Internal_lists_bugs!$A$2:$X1014,24,FALSE()),"please select a BUG ID")</f>
        <v>please select a BUG ID</v>
      </c>
      <c r="E670" s="49"/>
      <c r="F670" s="102"/>
      <c r="H670" s="49"/>
      <c r="I670" s="102"/>
      <c r="J670" s="51"/>
    </row>
    <row r="671">
      <c r="A671" s="43"/>
      <c r="B671" s="106" t="str">
        <f>IFERROR(HYPERLINK(VLOOKUP(A671,Internal_lists_bugs!$A$2:$G1014,7,FALSE()),"Intro.Issues: "&amp;VLOOKUP(A671,Internal_lists_bugs!$A$2:$P1014,16,FALSE())),"please select a BUG ID")</f>
        <v>please select a BUG ID</v>
      </c>
      <c r="C671" s="107" t="str">
        <f>IFERROR(VLOOKUP(A671,Internal_lists_bugs!$A$2:$X1014,24,FALSE()),"please select a BUG ID")</f>
        <v>please select a BUG ID</v>
      </c>
      <c r="E671" s="49"/>
      <c r="F671" s="102"/>
      <c r="H671" s="49"/>
      <c r="I671" s="102"/>
      <c r="J671" s="51"/>
    </row>
    <row r="672">
      <c r="A672" s="43"/>
      <c r="B672" s="106" t="str">
        <f>IFERROR(HYPERLINK(VLOOKUP(A672,Internal_lists_bugs!$A$2:$G1014,7,FALSE()),"Intro.Issues: "&amp;VLOOKUP(A672,Internal_lists_bugs!$A$2:$P1014,16,FALSE())),"please select a BUG ID")</f>
        <v>please select a BUG ID</v>
      </c>
      <c r="C672" s="107" t="str">
        <f>IFERROR(VLOOKUP(A672,Internal_lists_bugs!$A$2:$X1014,24,FALSE()),"please select a BUG ID")</f>
        <v>please select a BUG ID</v>
      </c>
      <c r="E672" s="49"/>
      <c r="F672" s="102"/>
      <c r="H672" s="49"/>
      <c r="I672" s="102"/>
      <c r="J672" s="51"/>
    </row>
    <row r="673">
      <c r="A673" s="43"/>
      <c r="B673" s="106" t="str">
        <f>IFERROR(HYPERLINK(VLOOKUP(A673,Internal_lists_bugs!$A$2:$G1014,7,FALSE()),"Intro.Issues: "&amp;VLOOKUP(A673,Internal_lists_bugs!$A$2:$P1014,16,FALSE())),"please select a BUG ID")</f>
        <v>please select a BUG ID</v>
      </c>
      <c r="C673" s="107" t="str">
        <f>IFERROR(VLOOKUP(A673,Internal_lists_bugs!$A$2:$X1014,24,FALSE()),"please select a BUG ID")</f>
        <v>please select a BUG ID</v>
      </c>
      <c r="E673" s="49"/>
      <c r="F673" s="102"/>
      <c r="H673" s="49"/>
      <c r="I673" s="102"/>
      <c r="J673" s="51"/>
    </row>
    <row r="674">
      <c r="A674" s="43"/>
      <c r="B674" s="106" t="str">
        <f>IFERROR(HYPERLINK(VLOOKUP(A674,Internal_lists_bugs!$A$2:$G1014,7,FALSE()),"Intro.Issues: "&amp;VLOOKUP(A674,Internal_lists_bugs!$A$2:$P1014,16,FALSE())),"please select a BUG ID")</f>
        <v>please select a BUG ID</v>
      </c>
      <c r="C674" s="107" t="str">
        <f>IFERROR(VLOOKUP(A674,Internal_lists_bugs!$A$2:$X1014,24,FALSE()),"please select a BUG ID")</f>
        <v>please select a BUG ID</v>
      </c>
      <c r="E674" s="49"/>
      <c r="F674" s="102"/>
      <c r="H674" s="49"/>
      <c r="I674" s="102"/>
      <c r="J674" s="51"/>
    </row>
    <row r="675">
      <c r="A675" s="43"/>
      <c r="B675" s="106" t="str">
        <f>IFERROR(HYPERLINK(VLOOKUP(A675,Internal_lists_bugs!$A$2:$G1014,7,FALSE()),"Intro.Issues: "&amp;VLOOKUP(A675,Internal_lists_bugs!$A$2:$P1014,16,FALSE())),"please select a BUG ID")</f>
        <v>please select a BUG ID</v>
      </c>
      <c r="C675" s="107" t="str">
        <f>IFERROR(VLOOKUP(A675,Internal_lists_bugs!$A$2:$X1014,24,FALSE()),"please select a BUG ID")</f>
        <v>please select a BUG ID</v>
      </c>
      <c r="E675" s="49"/>
      <c r="F675" s="102"/>
      <c r="H675" s="49"/>
      <c r="I675" s="102"/>
      <c r="J675" s="51"/>
    </row>
    <row r="676">
      <c r="A676" s="43"/>
      <c r="B676" s="106" t="str">
        <f>IFERROR(HYPERLINK(VLOOKUP(A676,Internal_lists_bugs!$A$2:$G1014,7,FALSE()),"Intro.Issues: "&amp;VLOOKUP(A676,Internal_lists_bugs!$A$2:$P1014,16,FALSE())),"please select a BUG ID")</f>
        <v>please select a BUG ID</v>
      </c>
      <c r="C676" s="107" t="str">
        <f>IFERROR(VLOOKUP(A676,Internal_lists_bugs!$A$2:$X1014,24,FALSE()),"please select a BUG ID")</f>
        <v>please select a BUG ID</v>
      </c>
      <c r="E676" s="49"/>
      <c r="F676" s="102"/>
      <c r="H676" s="49"/>
      <c r="I676" s="102"/>
      <c r="J676" s="51"/>
    </row>
    <row r="677">
      <c r="A677" s="43"/>
      <c r="B677" s="106" t="str">
        <f>IFERROR(HYPERLINK(VLOOKUP(A677,Internal_lists_bugs!$A$2:$G1014,7,FALSE()),"Intro.Issues: "&amp;VLOOKUP(A677,Internal_lists_bugs!$A$2:$P1014,16,FALSE())),"please select a BUG ID")</f>
        <v>please select a BUG ID</v>
      </c>
      <c r="C677" s="107" t="str">
        <f>IFERROR(VLOOKUP(A677,Internal_lists_bugs!$A$2:$X1014,24,FALSE()),"please select a BUG ID")</f>
        <v>please select a BUG ID</v>
      </c>
      <c r="E677" s="49"/>
      <c r="F677" s="102"/>
      <c r="H677" s="49"/>
      <c r="I677" s="102"/>
      <c r="J677" s="51"/>
    </row>
    <row r="678">
      <c r="A678" s="43"/>
      <c r="B678" s="106" t="str">
        <f>IFERROR(HYPERLINK(VLOOKUP(A678,Internal_lists_bugs!$A$2:$G1014,7,FALSE()),"Intro.Issues: "&amp;VLOOKUP(A678,Internal_lists_bugs!$A$2:$P1014,16,FALSE())),"please select a BUG ID")</f>
        <v>please select a BUG ID</v>
      </c>
      <c r="C678" s="107" t="str">
        <f>IFERROR(VLOOKUP(A678,Internal_lists_bugs!$A$2:$X1014,24,FALSE()),"please select a BUG ID")</f>
        <v>please select a BUG ID</v>
      </c>
      <c r="E678" s="49"/>
      <c r="F678" s="102"/>
      <c r="H678" s="49"/>
      <c r="I678" s="102"/>
      <c r="J678" s="51"/>
    </row>
    <row r="679">
      <c r="A679" s="43"/>
      <c r="B679" s="106" t="str">
        <f>IFERROR(HYPERLINK(VLOOKUP(A679,Internal_lists_bugs!$A$2:$G1014,7,FALSE()),"Intro.Issues: "&amp;VLOOKUP(A679,Internal_lists_bugs!$A$2:$P1014,16,FALSE())),"please select a BUG ID")</f>
        <v>please select a BUG ID</v>
      </c>
      <c r="C679" s="107" t="str">
        <f>IFERROR(VLOOKUP(A679,Internal_lists_bugs!$A$2:$X1014,24,FALSE()),"please select a BUG ID")</f>
        <v>please select a BUG ID</v>
      </c>
      <c r="E679" s="49"/>
      <c r="F679" s="102"/>
      <c r="H679" s="49"/>
      <c r="I679" s="102"/>
      <c r="J679" s="51"/>
    </row>
    <row r="680">
      <c r="A680" s="43"/>
      <c r="B680" s="106" t="str">
        <f>IFERROR(HYPERLINK(VLOOKUP(A680,Internal_lists_bugs!$A$2:$G1014,7,FALSE()),"Intro.Issues: "&amp;VLOOKUP(A680,Internal_lists_bugs!$A$2:$P1014,16,FALSE())),"please select a BUG ID")</f>
        <v>please select a BUG ID</v>
      </c>
      <c r="C680" s="107" t="str">
        <f>IFERROR(VLOOKUP(A680,Internal_lists_bugs!$A$2:$X1014,24,FALSE()),"please select a BUG ID")</f>
        <v>please select a BUG ID</v>
      </c>
      <c r="E680" s="49"/>
      <c r="F680" s="102"/>
      <c r="H680" s="49"/>
      <c r="I680" s="102"/>
      <c r="J680" s="51"/>
    </row>
    <row r="681">
      <c r="A681" s="43"/>
      <c r="B681" s="106" t="str">
        <f>IFERROR(HYPERLINK(VLOOKUP(A681,Internal_lists_bugs!$A$2:$G1014,7,FALSE()),"Intro.Issues: "&amp;VLOOKUP(A681,Internal_lists_bugs!$A$2:$P1014,16,FALSE())),"please select a BUG ID")</f>
        <v>please select a BUG ID</v>
      </c>
      <c r="C681" s="107" t="str">
        <f>IFERROR(VLOOKUP(A681,Internal_lists_bugs!$A$2:$X1014,24,FALSE()),"please select a BUG ID")</f>
        <v>please select a BUG ID</v>
      </c>
      <c r="E681" s="49"/>
      <c r="F681" s="102"/>
      <c r="H681" s="49"/>
      <c r="I681" s="102"/>
      <c r="J681" s="51"/>
    </row>
    <row r="682">
      <c r="A682" s="43"/>
      <c r="B682" s="106" t="str">
        <f>IFERROR(HYPERLINK(VLOOKUP(A682,Internal_lists_bugs!$A$2:$G1014,7,FALSE()),"Intro.Issues: "&amp;VLOOKUP(A682,Internal_lists_bugs!$A$2:$P1014,16,FALSE())),"please select a BUG ID")</f>
        <v>please select a BUG ID</v>
      </c>
      <c r="C682" s="107" t="str">
        <f>IFERROR(VLOOKUP(A682,Internal_lists_bugs!$A$2:$X1014,24,FALSE()),"please select a BUG ID")</f>
        <v>please select a BUG ID</v>
      </c>
      <c r="E682" s="49"/>
      <c r="F682" s="102"/>
      <c r="H682" s="49"/>
      <c r="I682" s="102"/>
      <c r="J682" s="51"/>
    </row>
    <row r="683">
      <c r="A683" s="43"/>
      <c r="B683" s="106" t="str">
        <f>IFERROR(HYPERLINK(VLOOKUP(A683,Internal_lists_bugs!$A$2:$G1014,7,FALSE()),"Intro.Issues: "&amp;VLOOKUP(A683,Internal_lists_bugs!$A$2:$P1014,16,FALSE())),"please select a BUG ID")</f>
        <v>please select a BUG ID</v>
      </c>
      <c r="C683" s="107" t="str">
        <f>IFERROR(VLOOKUP(A683,Internal_lists_bugs!$A$2:$X1014,24,FALSE()),"please select a BUG ID")</f>
        <v>please select a BUG ID</v>
      </c>
      <c r="E683" s="49"/>
      <c r="F683" s="102"/>
      <c r="H683" s="49"/>
      <c r="I683" s="102"/>
      <c r="J683" s="51"/>
    </row>
    <row r="684">
      <c r="A684" s="43"/>
      <c r="B684" s="106" t="str">
        <f>IFERROR(HYPERLINK(VLOOKUP(A684,Internal_lists_bugs!$A$2:$G1014,7,FALSE()),"Intro.Issues: "&amp;VLOOKUP(A684,Internal_lists_bugs!$A$2:$P1014,16,FALSE())),"please select a BUG ID")</f>
        <v>please select a BUG ID</v>
      </c>
      <c r="C684" s="107" t="str">
        <f>IFERROR(VLOOKUP(A684,Internal_lists_bugs!$A$2:$X1014,24,FALSE()),"please select a BUG ID")</f>
        <v>please select a BUG ID</v>
      </c>
      <c r="E684" s="49"/>
      <c r="F684" s="102"/>
      <c r="H684" s="49"/>
      <c r="I684" s="102"/>
      <c r="J684" s="51"/>
    </row>
    <row r="685">
      <c r="A685" s="43"/>
      <c r="B685" s="106" t="str">
        <f>IFERROR(HYPERLINK(VLOOKUP(A685,Internal_lists_bugs!$A$2:$G1014,7,FALSE()),"Intro.Issues: "&amp;VLOOKUP(A685,Internal_lists_bugs!$A$2:$P1014,16,FALSE())),"please select a BUG ID")</f>
        <v>please select a BUG ID</v>
      </c>
      <c r="C685" s="107" t="str">
        <f>IFERROR(VLOOKUP(A685,Internal_lists_bugs!$A$2:$X1014,24,FALSE()),"please select a BUG ID")</f>
        <v>please select a BUG ID</v>
      </c>
      <c r="E685" s="49"/>
      <c r="F685" s="102"/>
      <c r="H685" s="49"/>
      <c r="I685" s="102"/>
      <c r="J685" s="51"/>
    </row>
    <row r="686">
      <c r="A686" s="43"/>
      <c r="B686" s="106" t="str">
        <f>IFERROR(HYPERLINK(VLOOKUP(A686,Internal_lists_bugs!$A$2:$G1014,7,FALSE()),"Intro.Issues: "&amp;VLOOKUP(A686,Internal_lists_bugs!$A$2:$P1014,16,FALSE())),"please select a BUG ID")</f>
        <v>please select a BUG ID</v>
      </c>
      <c r="C686" s="107" t="str">
        <f>IFERROR(VLOOKUP(A686,Internal_lists_bugs!$A$2:$X1014,24,FALSE()),"please select a BUG ID")</f>
        <v>please select a BUG ID</v>
      </c>
      <c r="E686" s="49"/>
      <c r="F686" s="102"/>
      <c r="H686" s="49"/>
      <c r="I686" s="102"/>
      <c r="J686" s="51"/>
    </row>
    <row r="687">
      <c r="A687" s="43"/>
      <c r="B687" s="106" t="str">
        <f>IFERROR(HYPERLINK(VLOOKUP(A687,Internal_lists_bugs!$A$2:$G1014,7,FALSE()),"Intro.Issues: "&amp;VLOOKUP(A687,Internal_lists_bugs!$A$2:$P1014,16,FALSE())),"please select a BUG ID")</f>
        <v>please select a BUG ID</v>
      </c>
      <c r="C687" s="107" t="str">
        <f>IFERROR(VLOOKUP(A687,Internal_lists_bugs!$A$2:$X1014,24,FALSE()),"please select a BUG ID")</f>
        <v>please select a BUG ID</v>
      </c>
      <c r="E687" s="49"/>
      <c r="F687" s="102"/>
      <c r="H687" s="49"/>
      <c r="I687" s="102"/>
      <c r="J687" s="51"/>
    </row>
    <row r="688">
      <c r="A688" s="43"/>
      <c r="B688" s="106" t="str">
        <f>IFERROR(HYPERLINK(VLOOKUP(A688,Internal_lists_bugs!$A$2:$G1014,7,FALSE()),"Intro.Issues: "&amp;VLOOKUP(A688,Internal_lists_bugs!$A$2:$P1014,16,FALSE())),"please select a BUG ID")</f>
        <v>please select a BUG ID</v>
      </c>
      <c r="C688" s="107" t="str">
        <f>IFERROR(VLOOKUP(A688,Internal_lists_bugs!$A$2:$X1014,24,FALSE()),"please select a BUG ID")</f>
        <v>please select a BUG ID</v>
      </c>
      <c r="E688" s="49"/>
      <c r="F688" s="102"/>
      <c r="H688" s="49"/>
      <c r="I688" s="102"/>
      <c r="J688" s="51"/>
    </row>
    <row r="689">
      <c r="A689" s="43"/>
      <c r="B689" s="106" t="str">
        <f>IFERROR(HYPERLINK(VLOOKUP(A689,Internal_lists_bugs!$A$2:$G1014,7,FALSE()),"Intro.Issues: "&amp;VLOOKUP(A689,Internal_lists_bugs!$A$2:$P1014,16,FALSE())),"please select a BUG ID")</f>
        <v>please select a BUG ID</v>
      </c>
      <c r="C689" s="107" t="str">
        <f>IFERROR(VLOOKUP(A689,Internal_lists_bugs!$A$2:$X1014,24,FALSE()),"please select a BUG ID")</f>
        <v>please select a BUG ID</v>
      </c>
      <c r="E689" s="49"/>
      <c r="F689" s="102"/>
      <c r="H689" s="49"/>
      <c r="I689" s="102"/>
      <c r="J689" s="51"/>
    </row>
    <row r="690">
      <c r="A690" s="43"/>
      <c r="B690" s="106" t="str">
        <f>IFERROR(HYPERLINK(VLOOKUP(A690,Internal_lists_bugs!$A$2:$G1014,7,FALSE()),"Intro.Issues: "&amp;VLOOKUP(A690,Internal_lists_bugs!$A$2:$P1014,16,FALSE())),"please select a BUG ID")</f>
        <v>please select a BUG ID</v>
      </c>
      <c r="C690" s="107" t="str">
        <f>IFERROR(VLOOKUP(A690,Internal_lists_bugs!$A$2:$X1014,24,FALSE()),"please select a BUG ID")</f>
        <v>please select a BUG ID</v>
      </c>
      <c r="E690" s="49"/>
      <c r="F690" s="102"/>
      <c r="H690" s="49"/>
      <c r="I690" s="102"/>
      <c r="J690" s="51"/>
    </row>
    <row r="691">
      <c r="A691" s="43"/>
      <c r="B691" s="106" t="str">
        <f>IFERROR(HYPERLINK(VLOOKUP(A691,Internal_lists_bugs!$A$2:$G1014,7,FALSE()),"Intro.Issues: "&amp;VLOOKUP(A691,Internal_lists_bugs!$A$2:$P1014,16,FALSE())),"please select a BUG ID")</f>
        <v>please select a BUG ID</v>
      </c>
      <c r="C691" s="107" t="str">
        <f>IFERROR(VLOOKUP(A691,Internal_lists_bugs!$A$2:$X1014,24,FALSE()),"please select a BUG ID")</f>
        <v>please select a BUG ID</v>
      </c>
      <c r="E691" s="49"/>
      <c r="F691" s="102"/>
      <c r="H691" s="49"/>
      <c r="I691" s="102"/>
      <c r="J691" s="51"/>
    </row>
    <row r="692">
      <c r="A692" s="43"/>
      <c r="B692" s="106" t="str">
        <f>IFERROR(HYPERLINK(VLOOKUP(A692,Internal_lists_bugs!$A$2:$G1014,7,FALSE()),"Intro.Issues: "&amp;VLOOKUP(A692,Internal_lists_bugs!$A$2:$P1014,16,FALSE())),"please select a BUG ID")</f>
        <v>please select a BUG ID</v>
      </c>
      <c r="C692" s="107" t="str">
        <f>IFERROR(VLOOKUP(A692,Internal_lists_bugs!$A$2:$X1014,24,FALSE()),"please select a BUG ID")</f>
        <v>please select a BUG ID</v>
      </c>
      <c r="E692" s="49"/>
      <c r="F692" s="102"/>
      <c r="H692" s="49"/>
      <c r="I692" s="102"/>
      <c r="J692" s="51"/>
    </row>
    <row r="693">
      <c r="A693" s="43"/>
      <c r="B693" s="106" t="str">
        <f>IFERROR(HYPERLINK(VLOOKUP(A693,Internal_lists_bugs!$A$2:$G1014,7,FALSE()),"Intro.Issues: "&amp;VLOOKUP(A693,Internal_lists_bugs!$A$2:$P1014,16,FALSE())),"please select a BUG ID")</f>
        <v>please select a BUG ID</v>
      </c>
      <c r="C693" s="107" t="str">
        <f>IFERROR(VLOOKUP(A693,Internal_lists_bugs!$A$2:$X1014,24,FALSE()),"please select a BUG ID")</f>
        <v>please select a BUG ID</v>
      </c>
      <c r="E693" s="49"/>
      <c r="F693" s="102"/>
      <c r="H693" s="49"/>
      <c r="I693" s="102"/>
      <c r="J693" s="51"/>
    </row>
    <row r="694">
      <c r="A694" s="43"/>
      <c r="B694" s="106" t="str">
        <f>IFERROR(HYPERLINK(VLOOKUP(A694,Internal_lists_bugs!$A$2:$G1014,7,FALSE()),"Intro.Issues: "&amp;VLOOKUP(A694,Internal_lists_bugs!$A$2:$P1014,16,FALSE())),"please select a BUG ID")</f>
        <v>please select a BUG ID</v>
      </c>
      <c r="C694" s="107" t="str">
        <f>IFERROR(VLOOKUP(A694,Internal_lists_bugs!$A$2:$X1014,24,FALSE()),"please select a BUG ID")</f>
        <v>please select a BUG ID</v>
      </c>
      <c r="E694" s="49"/>
      <c r="F694" s="102"/>
      <c r="H694" s="49"/>
      <c r="I694" s="102"/>
      <c r="J694" s="51"/>
    </row>
    <row r="695">
      <c r="A695" s="43"/>
      <c r="B695" s="106" t="str">
        <f>IFERROR(HYPERLINK(VLOOKUP(A695,Internal_lists_bugs!$A$2:$G1014,7,FALSE()),"Intro.Issues: "&amp;VLOOKUP(A695,Internal_lists_bugs!$A$2:$P1014,16,FALSE())),"please select a BUG ID")</f>
        <v>please select a BUG ID</v>
      </c>
      <c r="C695" s="107" t="str">
        <f>IFERROR(VLOOKUP(A695,Internal_lists_bugs!$A$2:$X1014,24,FALSE()),"please select a BUG ID")</f>
        <v>please select a BUG ID</v>
      </c>
      <c r="E695" s="49"/>
      <c r="F695" s="102"/>
      <c r="H695" s="49"/>
      <c r="I695" s="102"/>
      <c r="J695" s="51"/>
    </row>
    <row r="696">
      <c r="A696" s="43"/>
      <c r="B696" s="106" t="str">
        <f>IFERROR(HYPERLINK(VLOOKUP(A696,Internal_lists_bugs!$A$2:$G1014,7,FALSE()),"Intro.Issues: "&amp;VLOOKUP(A696,Internal_lists_bugs!$A$2:$P1014,16,FALSE())),"please select a BUG ID")</f>
        <v>please select a BUG ID</v>
      </c>
      <c r="C696" s="107" t="str">
        <f>IFERROR(VLOOKUP(A696,Internal_lists_bugs!$A$2:$X1014,24,FALSE()),"please select a BUG ID")</f>
        <v>please select a BUG ID</v>
      </c>
      <c r="E696" s="49"/>
      <c r="F696" s="102"/>
      <c r="H696" s="49"/>
      <c r="I696" s="102"/>
      <c r="J696" s="51"/>
    </row>
    <row r="697">
      <c r="A697" s="43"/>
      <c r="B697" s="106" t="str">
        <f>IFERROR(HYPERLINK(VLOOKUP(A697,Internal_lists_bugs!$A$2:$G1014,7,FALSE()),"Intro.Issues: "&amp;VLOOKUP(A697,Internal_lists_bugs!$A$2:$P1014,16,FALSE())),"please select a BUG ID")</f>
        <v>please select a BUG ID</v>
      </c>
      <c r="C697" s="107" t="str">
        <f>IFERROR(VLOOKUP(A697,Internal_lists_bugs!$A$2:$X1014,24,FALSE()),"please select a BUG ID")</f>
        <v>please select a BUG ID</v>
      </c>
      <c r="E697" s="49"/>
      <c r="F697" s="102"/>
      <c r="H697" s="49"/>
      <c r="I697" s="102"/>
      <c r="J697" s="51"/>
    </row>
    <row r="698">
      <c r="A698" s="43"/>
      <c r="B698" s="106" t="str">
        <f>IFERROR(HYPERLINK(VLOOKUP(A698,Internal_lists_bugs!$A$2:$G1014,7,FALSE()),"Intro.Issues: "&amp;VLOOKUP(A698,Internal_lists_bugs!$A$2:$P1014,16,FALSE())),"please select a BUG ID")</f>
        <v>please select a BUG ID</v>
      </c>
      <c r="C698" s="107" t="str">
        <f>IFERROR(VLOOKUP(A698,Internal_lists_bugs!$A$2:$X1014,24,FALSE()),"please select a BUG ID")</f>
        <v>please select a BUG ID</v>
      </c>
      <c r="E698" s="49"/>
      <c r="F698" s="102"/>
      <c r="H698" s="49"/>
      <c r="I698" s="102"/>
      <c r="J698" s="51"/>
    </row>
    <row r="699">
      <c r="A699" s="43"/>
      <c r="B699" s="106" t="str">
        <f>IFERROR(HYPERLINK(VLOOKUP(A699,Internal_lists_bugs!$A$2:$G1014,7,FALSE()),"Intro.Issues: "&amp;VLOOKUP(A699,Internal_lists_bugs!$A$2:$P1014,16,FALSE())),"please select a BUG ID")</f>
        <v>please select a BUG ID</v>
      </c>
      <c r="C699" s="107" t="str">
        <f>IFERROR(VLOOKUP(A699,Internal_lists_bugs!$A$2:$X1014,24,FALSE()),"please select a BUG ID")</f>
        <v>please select a BUG ID</v>
      </c>
      <c r="E699" s="49"/>
      <c r="F699" s="102"/>
      <c r="H699" s="49"/>
      <c r="I699" s="102"/>
      <c r="J699" s="51"/>
    </row>
    <row r="700">
      <c r="A700" s="43"/>
      <c r="B700" s="106" t="str">
        <f>IFERROR(HYPERLINK(VLOOKUP(A700,Internal_lists_bugs!$A$2:$G1014,7,FALSE()),"Intro.Issues: "&amp;VLOOKUP(A700,Internal_lists_bugs!$A$2:$P1014,16,FALSE())),"please select a BUG ID")</f>
        <v>please select a BUG ID</v>
      </c>
      <c r="C700" s="107" t="str">
        <f>IFERROR(VLOOKUP(A700,Internal_lists_bugs!$A$2:$X1014,24,FALSE()),"please select a BUG ID")</f>
        <v>please select a BUG ID</v>
      </c>
      <c r="E700" s="49"/>
      <c r="F700" s="102"/>
      <c r="H700" s="49"/>
      <c r="I700" s="102"/>
      <c r="J700" s="51"/>
    </row>
    <row r="701">
      <c r="A701" s="43"/>
      <c r="B701" s="106" t="str">
        <f>IFERROR(HYPERLINK(VLOOKUP(A701,Internal_lists_bugs!$A$2:$G1014,7,FALSE()),"Intro.Issues: "&amp;VLOOKUP(A701,Internal_lists_bugs!$A$2:$P1014,16,FALSE())),"please select a BUG ID")</f>
        <v>please select a BUG ID</v>
      </c>
      <c r="C701" s="107" t="str">
        <f>IFERROR(VLOOKUP(A701,Internal_lists_bugs!$A$2:$X1014,24,FALSE()),"please select a BUG ID")</f>
        <v>please select a BUG ID</v>
      </c>
      <c r="E701" s="49"/>
      <c r="F701" s="102"/>
      <c r="H701" s="49"/>
      <c r="I701" s="102"/>
      <c r="J701" s="51"/>
    </row>
    <row r="702">
      <c r="A702" s="43"/>
      <c r="B702" s="106" t="str">
        <f>IFERROR(HYPERLINK(VLOOKUP(A702,Internal_lists_bugs!$A$2:$G1014,7,FALSE()),"Intro.Issues: "&amp;VLOOKUP(A702,Internal_lists_bugs!$A$2:$P1014,16,FALSE())),"please select a BUG ID")</f>
        <v>please select a BUG ID</v>
      </c>
      <c r="C702" s="107" t="str">
        <f>IFERROR(VLOOKUP(A702,Internal_lists_bugs!$A$2:$X1014,24,FALSE()),"please select a BUG ID")</f>
        <v>please select a BUG ID</v>
      </c>
      <c r="E702" s="49"/>
      <c r="F702" s="102"/>
      <c r="H702" s="49"/>
      <c r="I702" s="102"/>
      <c r="J702" s="51"/>
    </row>
    <row r="703">
      <c r="A703" s="43"/>
      <c r="B703" s="106" t="str">
        <f>IFERROR(HYPERLINK(VLOOKUP(A703,Internal_lists_bugs!$A$2:$G1014,7,FALSE()),"Intro.Issues: "&amp;VLOOKUP(A703,Internal_lists_bugs!$A$2:$P1014,16,FALSE())),"please select a BUG ID")</f>
        <v>please select a BUG ID</v>
      </c>
      <c r="C703" s="107" t="str">
        <f>IFERROR(VLOOKUP(A703,Internal_lists_bugs!$A$2:$X1014,24,FALSE()),"please select a BUG ID")</f>
        <v>please select a BUG ID</v>
      </c>
      <c r="E703" s="49"/>
      <c r="F703" s="102"/>
      <c r="H703" s="49"/>
      <c r="I703" s="102"/>
      <c r="J703" s="51"/>
    </row>
    <row r="704">
      <c r="A704" s="43"/>
      <c r="B704" s="106" t="str">
        <f>IFERROR(HYPERLINK(VLOOKUP(A704,Internal_lists_bugs!$A$2:$G1014,7,FALSE()),"Intro.Issues: "&amp;VLOOKUP(A704,Internal_lists_bugs!$A$2:$P1014,16,FALSE())),"please select a BUG ID")</f>
        <v>please select a BUG ID</v>
      </c>
      <c r="C704" s="107" t="str">
        <f>IFERROR(VLOOKUP(A704,Internal_lists_bugs!$A$2:$X1014,24,FALSE()),"please select a BUG ID")</f>
        <v>please select a BUG ID</v>
      </c>
      <c r="E704" s="49"/>
      <c r="F704" s="102"/>
      <c r="H704" s="49"/>
      <c r="I704" s="102"/>
      <c r="J704" s="51"/>
    </row>
    <row r="705">
      <c r="A705" s="43"/>
      <c r="B705" s="106" t="str">
        <f>IFERROR(HYPERLINK(VLOOKUP(A705,Internal_lists_bugs!$A$2:$G1014,7,FALSE()),"Intro.Issues: "&amp;VLOOKUP(A705,Internal_lists_bugs!$A$2:$P1014,16,FALSE())),"please select a BUG ID")</f>
        <v>please select a BUG ID</v>
      </c>
      <c r="C705" s="107" t="str">
        <f>IFERROR(VLOOKUP(A705,Internal_lists_bugs!$A$2:$X1014,24,FALSE()),"please select a BUG ID")</f>
        <v>please select a BUG ID</v>
      </c>
      <c r="E705" s="49"/>
      <c r="F705" s="102"/>
      <c r="H705" s="49"/>
      <c r="I705" s="102"/>
      <c r="J705" s="51"/>
    </row>
    <row r="706">
      <c r="A706" s="43"/>
      <c r="B706" s="106" t="str">
        <f>IFERROR(HYPERLINK(VLOOKUP(A706,Internal_lists_bugs!$A$2:$G1014,7,FALSE()),"Intro.Issues: "&amp;VLOOKUP(A706,Internal_lists_bugs!$A$2:$P1014,16,FALSE())),"please select a BUG ID")</f>
        <v>please select a BUG ID</v>
      </c>
      <c r="C706" s="107" t="str">
        <f>IFERROR(VLOOKUP(A706,Internal_lists_bugs!$A$2:$X1014,24,FALSE()),"please select a BUG ID")</f>
        <v>please select a BUG ID</v>
      </c>
      <c r="E706" s="49"/>
      <c r="F706" s="102"/>
      <c r="H706" s="49"/>
      <c r="I706" s="102"/>
      <c r="J706" s="51"/>
    </row>
    <row r="707">
      <c r="A707" s="43"/>
      <c r="B707" s="106" t="str">
        <f>IFERROR(HYPERLINK(VLOOKUP(A707,Internal_lists_bugs!$A$2:$G1014,7,FALSE()),"Intro.Issues: "&amp;VLOOKUP(A707,Internal_lists_bugs!$A$2:$P1014,16,FALSE())),"please select a BUG ID")</f>
        <v>please select a BUG ID</v>
      </c>
      <c r="C707" s="107" t="str">
        <f>IFERROR(VLOOKUP(A707,Internal_lists_bugs!$A$2:$X1014,24,FALSE()),"please select a BUG ID")</f>
        <v>please select a BUG ID</v>
      </c>
      <c r="E707" s="49"/>
      <c r="F707" s="102"/>
      <c r="H707" s="49"/>
      <c r="I707" s="102"/>
      <c r="J707" s="51"/>
    </row>
    <row r="708">
      <c r="A708" s="43"/>
      <c r="B708" s="106" t="str">
        <f>IFERROR(HYPERLINK(VLOOKUP(A708,Internal_lists_bugs!$A$2:$G1014,7,FALSE()),"Intro.Issues: "&amp;VLOOKUP(A708,Internal_lists_bugs!$A$2:$P1014,16,FALSE())),"please select a BUG ID")</f>
        <v>please select a BUG ID</v>
      </c>
      <c r="C708" s="107" t="str">
        <f>IFERROR(VLOOKUP(A708,Internal_lists_bugs!$A$2:$X1014,24,FALSE()),"please select a BUG ID")</f>
        <v>please select a BUG ID</v>
      </c>
      <c r="E708" s="49"/>
      <c r="F708" s="102"/>
      <c r="H708" s="49"/>
      <c r="I708" s="102"/>
      <c r="J708" s="51"/>
    </row>
    <row r="709">
      <c r="A709" s="43"/>
      <c r="B709" s="106" t="str">
        <f>IFERROR(HYPERLINK(VLOOKUP(A709,Internal_lists_bugs!$A$2:$G1014,7,FALSE()),"Intro.Issues: "&amp;VLOOKUP(A709,Internal_lists_bugs!$A$2:$P1014,16,FALSE())),"please select a BUG ID")</f>
        <v>please select a BUG ID</v>
      </c>
      <c r="C709" s="107" t="str">
        <f>IFERROR(VLOOKUP(A709,Internal_lists_bugs!$A$2:$X1014,24,FALSE()),"please select a BUG ID")</f>
        <v>please select a BUG ID</v>
      </c>
      <c r="E709" s="49"/>
      <c r="F709" s="102"/>
      <c r="H709" s="49"/>
      <c r="I709" s="102"/>
      <c r="J709" s="51"/>
    </row>
    <row r="710">
      <c r="A710" s="43"/>
      <c r="B710" s="106" t="str">
        <f>IFERROR(HYPERLINK(VLOOKUP(A710,Internal_lists_bugs!$A$2:$G1014,7,FALSE()),"Intro.Issues: "&amp;VLOOKUP(A710,Internal_lists_bugs!$A$2:$P1014,16,FALSE())),"please select a BUG ID")</f>
        <v>please select a BUG ID</v>
      </c>
      <c r="C710" s="107" t="str">
        <f>IFERROR(VLOOKUP(A710,Internal_lists_bugs!$A$2:$X1014,24,FALSE()),"please select a BUG ID")</f>
        <v>please select a BUG ID</v>
      </c>
      <c r="E710" s="49"/>
      <c r="F710" s="102"/>
      <c r="H710" s="49"/>
      <c r="I710" s="102"/>
      <c r="J710" s="51"/>
    </row>
    <row r="711">
      <c r="A711" s="43"/>
      <c r="B711" s="106" t="str">
        <f>IFERROR(HYPERLINK(VLOOKUP(A711,Internal_lists_bugs!$A$2:$G1014,7,FALSE()),"Intro.Issues: "&amp;VLOOKUP(A711,Internal_lists_bugs!$A$2:$P1014,16,FALSE())),"please select a BUG ID")</f>
        <v>please select a BUG ID</v>
      </c>
      <c r="C711" s="107" t="str">
        <f>IFERROR(VLOOKUP(A711,Internal_lists_bugs!$A$2:$X1014,24,FALSE()),"please select a BUG ID")</f>
        <v>please select a BUG ID</v>
      </c>
      <c r="E711" s="49"/>
      <c r="F711" s="102"/>
      <c r="H711" s="49"/>
      <c r="I711" s="102"/>
      <c r="J711" s="51"/>
    </row>
    <row r="712">
      <c r="A712" s="43"/>
      <c r="B712" s="106" t="str">
        <f>IFERROR(HYPERLINK(VLOOKUP(A712,Internal_lists_bugs!$A$2:$G1014,7,FALSE()),"Intro.Issues: "&amp;VLOOKUP(A712,Internal_lists_bugs!$A$2:$P1014,16,FALSE())),"please select a BUG ID")</f>
        <v>please select a BUG ID</v>
      </c>
      <c r="C712" s="107" t="str">
        <f>IFERROR(VLOOKUP(A712,Internal_lists_bugs!$A$2:$X1014,24,FALSE()),"please select a BUG ID")</f>
        <v>please select a BUG ID</v>
      </c>
      <c r="E712" s="49"/>
      <c r="F712" s="102"/>
      <c r="H712" s="49"/>
      <c r="I712" s="102"/>
      <c r="J712" s="51"/>
    </row>
    <row r="713">
      <c r="A713" s="43"/>
      <c r="B713" s="106" t="str">
        <f>IFERROR(HYPERLINK(VLOOKUP(A713,Internal_lists_bugs!$A$2:$G1014,7,FALSE()),"Intro.Issues: "&amp;VLOOKUP(A713,Internal_lists_bugs!$A$2:$P1014,16,FALSE())),"please select a BUG ID")</f>
        <v>please select a BUG ID</v>
      </c>
      <c r="C713" s="107" t="str">
        <f>IFERROR(VLOOKUP(A713,Internal_lists_bugs!$A$2:$X1014,24,FALSE()),"please select a BUG ID")</f>
        <v>please select a BUG ID</v>
      </c>
      <c r="E713" s="49"/>
      <c r="F713" s="102"/>
      <c r="H713" s="49"/>
      <c r="I713" s="102"/>
      <c r="J713" s="51"/>
    </row>
    <row r="714">
      <c r="A714" s="43"/>
      <c r="B714" s="106" t="str">
        <f>IFERROR(HYPERLINK(VLOOKUP(A714,Internal_lists_bugs!$A$2:$G1014,7,FALSE()),"Intro.Issues: "&amp;VLOOKUP(A714,Internal_lists_bugs!$A$2:$P1014,16,FALSE())),"please select a BUG ID")</f>
        <v>please select a BUG ID</v>
      </c>
      <c r="C714" s="107" t="str">
        <f>IFERROR(VLOOKUP(A714,Internal_lists_bugs!$A$2:$X1014,24,FALSE()),"please select a BUG ID")</f>
        <v>please select a BUG ID</v>
      </c>
      <c r="E714" s="49"/>
      <c r="F714" s="102"/>
      <c r="H714" s="49"/>
      <c r="I714" s="102"/>
      <c r="J714" s="51"/>
    </row>
    <row r="715">
      <c r="A715" s="43"/>
      <c r="B715" s="106" t="str">
        <f>IFERROR(HYPERLINK(VLOOKUP(A715,Internal_lists_bugs!$A$2:$G1014,7,FALSE()),"Intro.Issues: "&amp;VLOOKUP(A715,Internal_lists_bugs!$A$2:$P1014,16,FALSE())),"please select a BUG ID")</f>
        <v>please select a BUG ID</v>
      </c>
      <c r="C715" s="107" t="str">
        <f>IFERROR(VLOOKUP(A715,Internal_lists_bugs!$A$2:$X1014,24,FALSE()),"please select a BUG ID")</f>
        <v>please select a BUG ID</v>
      </c>
      <c r="E715" s="49"/>
      <c r="F715" s="102"/>
      <c r="H715" s="49"/>
      <c r="I715" s="102"/>
      <c r="J715" s="51"/>
    </row>
    <row r="716">
      <c r="A716" s="43"/>
      <c r="B716" s="106" t="str">
        <f>IFERROR(HYPERLINK(VLOOKUP(A716,Internal_lists_bugs!$A$2:$G1014,7,FALSE()),"Intro.Issues: "&amp;VLOOKUP(A716,Internal_lists_bugs!$A$2:$P1014,16,FALSE())),"please select a BUG ID")</f>
        <v>please select a BUG ID</v>
      </c>
      <c r="C716" s="107" t="str">
        <f>IFERROR(VLOOKUP(A716,Internal_lists_bugs!$A$2:$X1014,24,FALSE()),"please select a BUG ID")</f>
        <v>please select a BUG ID</v>
      </c>
      <c r="E716" s="49"/>
      <c r="F716" s="102"/>
      <c r="H716" s="49"/>
      <c r="I716" s="102"/>
      <c r="J716" s="51"/>
    </row>
    <row r="717">
      <c r="A717" s="43"/>
      <c r="B717" s="106" t="str">
        <f>IFERROR(HYPERLINK(VLOOKUP(A717,Internal_lists_bugs!$A$2:$G1014,7,FALSE()),"Intro.Issues: "&amp;VLOOKUP(A717,Internal_lists_bugs!$A$2:$P1014,16,FALSE())),"please select a BUG ID")</f>
        <v>please select a BUG ID</v>
      </c>
      <c r="C717" s="107" t="str">
        <f>IFERROR(VLOOKUP(A717,Internal_lists_bugs!$A$2:$X1014,24,FALSE()),"please select a BUG ID")</f>
        <v>please select a BUG ID</v>
      </c>
      <c r="E717" s="49"/>
      <c r="F717" s="102"/>
      <c r="H717" s="49"/>
      <c r="I717" s="102"/>
      <c r="J717" s="51"/>
    </row>
    <row r="718">
      <c r="A718" s="43"/>
      <c r="B718" s="106" t="str">
        <f>IFERROR(HYPERLINK(VLOOKUP(A718,Internal_lists_bugs!$A$2:$G1014,7,FALSE()),"Intro.Issues: "&amp;VLOOKUP(A718,Internal_lists_bugs!$A$2:$P1014,16,FALSE())),"please select a BUG ID")</f>
        <v>please select a BUG ID</v>
      </c>
      <c r="C718" s="107" t="str">
        <f>IFERROR(VLOOKUP(A718,Internal_lists_bugs!$A$2:$X1014,24,FALSE()),"please select a BUG ID")</f>
        <v>please select a BUG ID</v>
      </c>
      <c r="E718" s="49"/>
      <c r="F718" s="102"/>
      <c r="H718" s="49"/>
      <c r="I718" s="102"/>
      <c r="J718" s="51"/>
    </row>
    <row r="719">
      <c r="A719" s="43"/>
      <c r="B719" s="106" t="str">
        <f>IFERROR(HYPERLINK(VLOOKUP(A719,Internal_lists_bugs!$A$2:$G1014,7,FALSE()),"Intro.Issues: "&amp;VLOOKUP(A719,Internal_lists_bugs!$A$2:$P1014,16,FALSE())),"please select a BUG ID")</f>
        <v>please select a BUG ID</v>
      </c>
      <c r="C719" s="107" t="str">
        <f>IFERROR(VLOOKUP(A719,Internal_lists_bugs!$A$2:$X1014,24,FALSE()),"please select a BUG ID")</f>
        <v>please select a BUG ID</v>
      </c>
      <c r="E719" s="49"/>
      <c r="F719" s="102"/>
      <c r="H719" s="49"/>
      <c r="I719" s="102"/>
      <c r="J719" s="51"/>
    </row>
    <row r="720">
      <c r="A720" s="43"/>
      <c r="B720" s="106" t="str">
        <f>IFERROR(HYPERLINK(VLOOKUP(A720,Internal_lists_bugs!$A$2:$G1014,7,FALSE()),"Intro.Issues: "&amp;VLOOKUP(A720,Internal_lists_bugs!$A$2:$P1014,16,FALSE())),"please select a BUG ID")</f>
        <v>please select a BUG ID</v>
      </c>
      <c r="C720" s="107" t="str">
        <f>IFERROR(VLOOKUP(A720,Internal_lists_bugs!$A$2:$X1014,24,FALSE()),"please select a BUG ID")</f>
        <v>please select a BUG ID</v>
      </c>
      <c r="E720" s="49"/>
      <c r="F720" s="102"/>
      <c r="H720" s="49"/>
      <c r="I720" s="102"/>
      <c r="J720" s="51"/>
    </row>
    <row r="721">
      <c r="A721" s="43"/>
      <c r="B721" s="106" t="str">
        <f>IFERROR(HYPERLINK(VLOOKUP(A721,Internal_lists_bugs!$A$2:$G1014,7,FALSE()),"Intro.Issues: "&amp;VLOOKUP(A721,Internal_lists_bugs!$A$2:$P1014,16,FALSE())),"please select a BUG ID")</f>
        <v>please select a BUG ID</v>
      </c>
      <c r="C721" s="107" t="str">
        <f>IFERROR(VLOOKUP(A721,Internal_lists_bugs!$A$2:$X1014,24,FALSE()),"please select a BUG ID")</f>
        <v>please select a BUG ID</v>
      </c>
      <c r="E721" s="49"/>
      <c r="F721" s="102"/>
      <c r="H721" s="49"/>
      <c r="I721" s="102"/>
      <c r="J721" s="51"/>
    </row>
    <row r="722">
      <c r="A722" s="43"/>
      <c r="B722" s="106" t="str">
        <f>IFERROR(HYPERLINK(VLOOKUP(A722,Internal_lists_bugs!$A$2:$G1014,7,FALSE()),"Intro.Issues: "&amp;VLOOKUP(A722,Internal_lists_bugs!$A$2:$P1014,16,FALSE())),"please select a BUG ID")</f>
        <v>please select a BUG ID</v>
      </c>
      <c r="C722" s="107" t="str">
        <f>IFERROR(VLOOKUP(A722,Internal_lists_bugs!$A$2:$X1014,24,FALSE()),"please select a BUG ID")</f>
        <v>please select a BUG ID</v>
      </c>
      <c r="E722" s="49"/>
      <c r="F722" s="102"/>
      <c r="H722" s="49"/>
      <c r="I722" s="102"/>
      <c r="J722" s="51"/>
    </row>
    <row r="723">
      <c r="A723" s="43"/>
      <c r="B723" s="106" t="str">
        <f>IFERROR(HYPERLINK(VLOOKUP(A723,Internal_lists_bugs!$A$2:$G1014,7,FALSE()),"Intro.Issues: "&amp;VLOOKUP(A723,Internal_lists_bugs!$A$2:$P1014,16,FALSE())),"please select a BUG ID")</f>
        <v>please select a BUG ID</v>
      </c>
      <c r="C723" s="107" t="str">
        <f>IFERROR(VLOOKUP(A723,Internal_lists_bugs!$A$2:$X1014,24,FALSE()),"please select a BUG ID")</f>
        <v>please select a BUG ID</v>
      </c>
      <c r="E723" s="49"/>
      <c r="F723" s="102"/>
      <c r="H723" s="49"/>
      <c r="I723" s="102"/>
      <c r="J723" s="51"/>
    </row>
    <row r="724">
      <c r="A724" s="43"/>
      <c r="B724" s="106" t="str">
        <f>IFERROR(HYPERLINK(VLOOKUP(A724,Internal_lists_bugs!$A$2:$G1014,7,FALSE()),"Intro.Issues: "&amp;VLOOKUP(A724,Internal_lists_bugs!$A$2:$P1014,16,FALSE())),"please select a BUG ID")</f>
        <v>please select a BUG ID</v>
      </c>
      <c r="C724" s="107" t="str">
        <f>IFERROR(VLOOKUP(A724,Internal_lists_bugs!$A$2:$X1014,24,FALSE()),"please select a BUG ID")</f>
        <v>please select a BUG ID</v>
      </c>
      <c r="E724" s="49"/>
      <c r="F724" s="102"/>
      <c r="H724" s="49"/>
      <c r="I724" s="102"/>
      <c r="J724" s="51"/>
    </row>
    <row r="725">
      <c r="A725" s="43"/>
      <c r="B725" s="106" t="str">
        <f>IFERROR(HYPERLINK(VLOOKUP(A725,Internal_lists_bugs!$A$2:$G1014,7,FALSE()),"Intro.Issues: "&amp;VLOOKUP(A725,Internal_lists_bugs!$A$2:$P1014,16,FALSE())),"please select a BUG ID")</f>
        <v>please select a BUG ID</v>
      </c>
      <c r="C725" s="107" t="str">
        <f>IFERROR(VLOOKUP(A725,Internal_lists_bugs!$A$2:$X1014,24,FALSE()),"please select a BUG ID")</f>
        <v>please select a BUG ID</v>
      </c>
      <c r="E725" s="49"/>
      <c r="F725" s="102"/>
      <c r="H725" s="49"/>
      <c r="I725" s="102"/>
      <c r="J725" s="51"/>
    </row>
    <row r="726">
      <c r="A726" s="43"/>
      <c r="B726" s="106" t="str">
        <f>IFERROR(HYPERLINK(VLOOKUP(A726,Internal_lists_bugs!$A$2:$G1014,7,FALSE()),"Intro.Issues: "&amp;VLOOKUP(A726,Internal_lists_bugs!$A$2:$P1014,16,FALSE())),"please select a BUG ID")</f>
        <v>please select a BUG ID</v>
      </c>
      <c r="C726" s="107" t="str">
        <f>IFERROR(VLOOKUP(A726,Internal_lists_bugs!$A$2:$X1014,24,FALSE()),"please select a BUG ID")</f>
        <v>please select a BUG ID</v>
      </c>
      <c r="E726" s="49"/>
      <c r="F726" s="102"/>
      <c r="H726" s="49"/>
      <c r="I726" s="102"/>
      <c r="J726" s="51"/>
    </row>
    <row r="727">
      <c r="A727" s="43"/>
      <c r="B727" s="106" t="str">
        <f>IFERROR(HYPERLINK(VLOOKUP(A727,Internal_lists_bugs!$A$2:$G1014,7,FALSE()),"Intro.Issues: "&amp;VLOOKUP(A727,Internal_lists_bugs!$A$2:$P1014,16,FALSE())),"please select a BUG ID")</f>
        <v>please select a BUG ID</v>
      </c>
      <c r="C727" s="107" t="str">
        <f>IFERROR(VLOOKUP(A727,Internal_lists_bugs!$A$2:$X1014,24,FALSE()),"please select a BUG ID")</f>
        <v>please select a BUG ID</v>
      </c>
      <c r="E727" s="49"/>
      <c r="F727" s="102"/>
      <c r="H727" s="49"/>
      <c r="I727" s="102"/>
      <c r="J727" s="51"/>
    </row>
    <row r="728">
      <c r="A728" s="43"/>
      <c r="B728" s="106" t="str">
        <f>IFERROR(HYPERLINK(VLOOKUP(A728,Internal_lists_bugs!$A$2:$G1014,7,FALSE()),"Intro.Issues: "&amp;VLOOKUP(A728,Internal_lists_bugs!$A$2:$P1014,16,FALSE())),"please select a BUG ID")</f>
        <v>please select a BUG ID</v>
      </c>
      <c r="C728" s="107" t="str">
        <f>IFERROR(VLOOKUP(A728,Internal_lists_bugs!$A$2:$X1014,24,FALSE()),"please select a BUG ID")</f>
        <v>please select a BUG ID</v>
      </c>
      <c r="E728" s="49"/>
      <c r="F728" s="102"/>
      <c r="H728" s="49"/>
      <c r="I728" s="102"/>
      <c r="J728" s="51"/>
    </row>
    <row r="729">
      <c r="A729" s="43"/>
      <c r="B729" s="106" t="str">
        <f>IFERROR(HYPERLINK(VLOOKUP(A729,Internal_lists_bugs!$A$2:$G1014,7,FALSE()),"Intro.Issues: "&amp;VLOOKUP(A729,Internal_lists_bugs!$A$2:$P1014,16,FALSE())),"please select a BUG ID")</f>
        <v>please select a BUG ID</v>
      </c>
      <c r="C729" s="107" t="str">
        <f>IFERROR(VLOOKUP(A729,Internal_lists_bugs!$A$2:$X1014,24,FALSE()),"please select a BUG ID")</f>
        <v>please select a BUG ID</v>
      </c>
      <c r="E729" s="49"/>
      <c r="F729" s="102"/>
      <c r="H729" s="49"/>
      <c r="I729" s="102"/>
      <c r="J729" s="51"/>
    </row>
    <row r="730">
      <c r="A730" s="43"/>
      <c r="B730" s="106" t="str">
        <f>IFERROR(HYPERLINK(VLOOKUP(A730,Internal_lists_bugs!$A$2:$G1014,7,FALSE()),"Intro.Issues: "&amp;VLOOKUP(A730,Internal_lists_bugs!$A$2:$P1014,16,FALSE())),"please select a BUG ID")</f>
        <v>please select a BUG ID</v>
      </c>
      <c r="C730" s="107" t="str">
        <f>IFERROR(VLOOKUP(A730,Internal_lists_bugs!$A$2:$X1014,24,FALSE()),"please select a BUG ID")</f>
        <v>please select a BUG ID</v>
      </c>
      <c r="E730" s="49"/>
      <c r="F730" s="102"/>
      <c r="H730" s="49"/>
      <c r="I730" s="102"/>
      <c r="J730" s="51"/>
    </row>
    <row r="731">
      <c r="A731" s="43"/>
      <c r="B731" s="106" t="str">
        <f>IFERROR(HYPERLINK(VLOOKUP(A731,Internal_lists_bugs!$A$2:$G1014,7,FALSE()),"Intro.Issues: "&amp;VLOOKUP(A731,Internal_lists_bugs!$A$2:$P1014,16,FALSE())),"please select a BUG ID")</f>
        <v>please select a BUG ID</v>
      </c>
      <c r="C731" s="107" t="str">
        <f>IFERROR(VLOOKUP(A731,Internal_lists_bugs!$A$2:$X1014,24,FALSE()),"please select a BUG ID")</f>
        <v>please select a BUG ID</v>
      </c>
      <c r="E731" s="49"/>
      <c r="F731" s="102"/>
      <c r="H731" s="49"/>
      <c r="I731" s="102"/>
      <c r="J731" s="51"/>
    </row>
    <row r="732">
      <c r="A732" s="43"/>
      <c r="B732" s="106" t="str">
        <f>IFERROR(HYPERLINK(VLOOKUP(A732,Internal_lists_bugs!$A$2:$G1014,7,FALSE()),"Intro.Issues: "&amp;VLOOKUP(A732,Internal_lists_bugs!$A$2:$P1014,16,FALSE())),"please select a BUG ID")</f>
        <v>please select a BUG ID</v>
      </c>
      <c r="C732" s="107" t="str">
        <f>IFERROR(VLOOKUP(A732,Internal_lists_bugs!$A$2:$X1014,24,FALSE()),"please select a BUG ID")</f>
        <v>please select a BUG ID</v>
      </c>
      <c r="E732" s="49"/>
      <c r="F732" s="102"/>
      <c r="H732" s="49"/>
      <c r="I732" s="102"/>
      <c r="J732" s="51"/>
    </row>
    <row r="733">
      <c r="A733" s="43"/>
      <c r="B733" s="106" t="str">
        <f>IFERROR(HYPERLINK(VLOOKUP(A733,Internal_lists_bugs!$A$2:$G1014,7,FALSE()),"Intro.Issues: "&amp;VLOOKUP(A733,Internal_lists_bugs!$A$2:$P1014,16,FALSE())),"please select a BUG ID")</f>
        <v>please select a BUG ID</v>
      </c>
      <c r="C733" s="107" t="str">
        <f>IFERROR(VLOOKUP(A733,Internal_lists_bugs!$A$2:$X1014,24,FALSE()),"please select a BUG ID")</f>
        <v>please select a BUG ID</v>
      </c>
      <c r="E733" s="49"/>
      <c r="F733" s="102"/>
      <c r="H733" s="49"/>
      <c r="I733" s="102"/>
      <c r="J733" s="51"/>
    </row>
    <row r="734">
      <c r="A734" s="43"/>
      <c r="B734" s="106" t="str">
        <f>IFERROR(HYPERLINK(VLOOKUP(A734,Internal_lists_bugs!$A$2:$G1014,7,FALSE()),"Intro.Issues: "&amp;VLOOKUP(A734,Internal_lists_bugs!$A$2:$P1014,16,FALSE())),"please select a BUG ID")</f>
        <v>please select a BUG ID</v>
      </c>
      <c r="C734" s="107" t="str">
        <f>IFERROR(VLOOKUP(A734,Internal_lists_bugs!$A$2:$X1014,24,FALSE()),"please select a BUG ID")</f>
        <v>please select a BUG ID</v>
      </c>
      <c r="E734" s="49"/>
      <c r="F734" s="102"/>
      <c r="H734" s="49"/>
      <c r="I734" s="102"/>
      <c r="J734" s="51"/>
    </row>
    <row r="735">
      <c r="A735" s="43"/>
      <c r="B735" s="106" t="str">
        <f>IFERROR(HYPERLINK(VLOOKUP(A735,Internal_lists_bugs!$A$2:$G1014,7,FALSE()),"Intro.Issues: "&amp;VLOOKUP(A735,Internal_lists_bugs!$A$2:$P1014,16,FALSE())),"please select a BUG ID")</f>
        <v>please select a BUG ID</v>
      </c>
      <c r="C735" s="107" t="str">
        <f>IFERROR(VLOOKUP(A735,Internal_lists_bugs!$A$2:$X1014,24,FALSE()),"please select a BUG ID")</f>
        <v>please select a BUG ID</v>
      </c>
      <c r="E735" s="49"/>
      <c r="F735" s="102"/>
      <c r="H735" s="49"/>
      <c r="I735" s="102"/>
      <c r="J735" s="51"/>
    </row>
    <row r="736">
      <c r="A736" s="43"/>
      <c r="B736" s="106" t="str">
        <f>IFERROR(HYPERLINK(VLOOKUP(A736,Internal_lists_bugs!$A$2:$G1014,7,FALSE()),"Intro.Issues: "&amp;VLOOKUP(A736,Internal_lists_bugs!$A$2:$P1014,16,FALSE())),"please select a BUG ID")</f>
        <v>please select a BUG ID</v>
      </c>
      <c r="C736" s="107" t="str">
        <f>IFERROR(VLOOKUP(A736,Internal_lists_bugs!$A$2:$X1014,24,FALSE()),"please select a BUG ID")</f>
        <v>please select a BUG ID</v>
      </c>
      <c r="E736" s="49"/>
      <c r="F736" s="102"/>
      <c r="H736" s="49"/>
      <c r="I736" s="102"/>
      <c r="J736" s="51"/>
    </row>
    <row r="737">
      <c r="A737" s="43"/>
      <c r="B737" s="106" t="str">
        <f>IFERROR(HYPERLINK(VLOOKUP(A737,Internal_lists_bugs!$A$2:$G1014,7,FALSE()),"Intro.Issues: "&amp;VLOOKUP(A737,Internal_lists_bugs!$A$2:$P1014,16,FALSE())),"please select a BUG ID")</f>
        <v>please select a BUG ID</v>
      </c>
      <c r="C737" s="107" t="str">
        <f>IFERROR(VLOOKUP(A737,Internal_lists_bugs!$A$2:$X1014,24,FALSE()),"please select a BUG ID")</f>
        <v>please select a BUG ID</v>
      </c>
      <c r="E737" s="49"/>
      <c r="F737" s="102"/>
      <c r="H737" s="49"/>
      <c r="I737" s="102"/>
      <c r="J737" s="51"/>
    </row>
    <row r="738">
      <c r="A738" s="43"/>
      <c r="B738" s="106" t="str">
        <f>IFERROR(HYPERLINK(VLOOKUP(A738,Internal_lists_bugs!$A$2:$G1014,7,FALSE()),"Intro.Issues: "&amp;VLOOKUP(A738,Internal_lists_bugs!$A$2:$P1014,16,FALSE())),"please select a BUG ID")</f>
        <v>please select a BUG ID</v>
      </c>
      <c r="C738" s="107" t="str">
        <f>IFERROR(VLOOKUP(A738,Internal_lists_bugs!$A$2:$X1014,24,FALSE()),"please select a BUG ID")</f>
        <v>please select a BUG ID</v>
      </c>
      <c r="E738" s="49"/>
      <c r="F738" s="102"/>
      <c r="H738" s="49"/>
      <c r="I738" s="102"/>
      <c r="J738" s="51"/>
    </row>
    <row r="739">
      <c r="A739" s="43"/>
      <c r="B739" s="106" t="str">
        <f>IFERROR(HYPERLINK(VLOOKUP(A739,Internal_lists_bugs!$A$2:$G1014,7,FALSE()),"Intro.Issues: "&amp;VLOOKUP(A739,Internal_lists_bugs!$A$2:$P1014,16,FALSE())),"please select a BUG ID")</f>
        <v>please select a BUG ID</v>
      </c>
      <c r="C739" s="107" t="str">
        <f>IFERROR(VLOOKUP(A739,Internal_lists_bugs!$A$2:$X1014,24,FALSE()),"please select a BUG ID")</f>
        <v>please select a BUG ID</v>
      </c>
      <c r="E739" s="49"/>
      <c r="F739" s="102"/>
      <c r="H739" s="49"/>
      <c r="I739" s="102"/>
      <c r="J739" s="51"/>
    </row>
    <row r="740">
      <c r="A740" s="43"/>
      <c r="B740" s="106" t="str">
        <f>IFERROR(HYPERLINK(VLOOKUP(A740,Internal_lists_bugs!$A$2:$G1014,7,FALSE()),"Intro.Issues: "&amp;VLOOKUP(A740,Internal_lists_bugs!$A$2:$P1014,16,FALSE())),"please select a BUG ID")</f>
        <v>please select a BUG ID</v>
      </c>
      <c r="C740" s="107" t="str">
        <f>IFERROR(VLOOKUP(A740,Internal_lists_bugs!$A$2:$X1014,24,FALSE()),"please select a BUG ID")</f>
        <v>please select a BUG ID</v>
      </c>
      <c r="E740" s="49"/>
      <c r="F740" s="102"/>
      <c r="H740" s="49"/>
      <c r="I740" s="102"/>
      <c r="J740" s="51"/>
    </row>
    <row r="741">
      <c r="A741" s="43"/>
      <c r="B741" s="106" t="str">
        <f>IFERROR(HYPERLINK(VLOOKUP(A741,Internal_lists_bugs!$A$2:$G1014,7,FALSE()),"Intro.Issues: "&amp;VLOOKUP(A741,Internal_lists_bugs!$A$2:$P1014,16,FALSE())),"please select a BUG ID")</f>
        <v>please select a BUG ID</v>
      </c>
      <c r="C741" s="107" t="str">
        <f>IFERROR(VLOOKUP(A741,Internal_lists_bugs!$A$2:$X1014,24,FALSE()),"please select a BUG ID")</f>
        <v>please select a BUG ID</v>
      </c>
      <c r="E741" s="49"/>
      <c r="F741" s="102"/>
      <c r="H741" s="49"/>
      <c r="I741" s="102"/>
      <c r="J741" s="51"/>
    </row>
    <row r="742">
      <c r="A742" s="43"/>
      <c r="B742" s="106" t="str">
        <f>IFERROR(HYPERLINK(VLOOKUP(A742,Internal_lists_bugs!$A$2:$G1014,7,FALSE()),"Intro.Issues: "&amp;VLOOKUP(A742,Internal_lists_bugs!$A$2:$P1014,16,FALSE())),"please select a BUG ID")</f>
        <v>please select a BUG ID</v>
      </c>
      <c r="C742" s="107" t="str">
        <f>IFERROR(VLOOKUP(A742,Internal_lists_bugs!$A$2:$X1014,24,FALSE()),"please select a BUG ID")</f>
        <v>please select a BUG ID</v>
      </c>
      <c r="E742" s="49"/>
      <c r="F742" s="102"/>
      <c r="H742" s="49"/>
      <c r="I742" s="102"/>
      <c r="J742" s="51"/>
    </row>
    <row r="743">
      <c r="A743" s="43"/>
      <c r="B743" s="106" t="str">
        <f>IFERROR(HYPERLINK(VLOOKUP(A743,Internal_lists_bugs!$A$2:$G1014,7,FALSE()),"Intro.Issues: "&amp;VLOOKUP(A743,Internal_lists_bugs!$A$2:$P1014,16,FALSE())),"please select a BUG ID")</f>
        <v>please select a BUG ID</v>
      </c>
      <c r="C743" s="107" t="str">
        <f>IFERROR(VLOOKUP(A743,Internal_lists_bugs!$A$2:$X1014,24,FALSE()),"please select a BUG ID")</f>
        <v>please select a BUG ID</v>
      </c>
      <c r="E743" s="49"/>
      <c r="F743" s="102"/>
      <c r="H743" s="49"/>
      <c r="I743" s="102"/>
      <c r="J743" s="51"/>
    </row>
    <row r="744">
      <c r="A744" s="43"/>
      <c r="B744" s="106" t="str">
        <f>IFERROR(HYPERLINK(VLOOKUP(A744,Internal_lists_bugs!$A$2:$G1014,7,FALSE()),"Intro.Issues: "&amp;VLOOKUP(A744,Internal_lists_bugs!$A$2:$P1014,16,FALSE())),"please select a BUG ID")</f>
        <v>please select a BUG ID</v>
      </c>
      <c r="C744" s="107" t="str">
        <f>IFERROR(VLOOKUP(A744,Internal_lists_bugs!$A$2:$X1014,24,FALSE()),"please select a BUG ID")</f>
        <v>please select a BUG ID</v>
      </c>
      <c r="E744" s="49"/>
      <c r="F744" s="102"/>
      <c r="H744" s="49"/>
      <c r="I744" s="102"/>
      <c r="J744" s="51"/>
    </row>
    <row r="745">
      <c r="A745" s="43"/>
      <c r="B745" s="106" t="str">
        <f>IFERROR(HYPERLINK(VLOOKUP(A745,Internal_lists_bugs!$A$2:$G1014,7,FALSE()),"Intro.Issues: "&amp;VLOOKUP(A745,Internal_lists_bugs!$A$2:$P1014,16,FALSE())),"please select a BUG ID")</f>
        <v>please select a BUG ID</v>
      </c>
      <c r="C745" s="107" t="str">
        <f>IFERROR(VLOOKUP(A745,Internal_lists_bugs!$A$2:$X1014,24,FALSE()),"please select a BUG ID")</f>
        <v>please select a BUG ID</v>
      </c>
      <c r="E745" s="49"/>
      <c r="F745" s="102"/>
      <c r="H745" s="49"/>
      <c r="I745" s="102"/>
      <c r="J745" s="51"/>
    </row>
    <row r="746">
      <c r="A746" s="43"/>
      <c r="B746" s="106" t="str">
        <f>IFERROR(HYPERLINK(VLOOKUP(A746,Internal_lists_bugs!$A$2:$G1014,7,FALSE()),"Intro.Issues: "&amp;VLOOKUP(A746,Internal_lists_bugs!$A$2:$P1014,16,FALSE())),"please select a BUG ID")</f>
        <v>please select a BUG ID</v>
      </c>
      <c r="C746" s="107" t="str">
        <f>IFERROR(VLOOKUP(A746,Internal_lists_bugs!$A$2:$X1014,24,FALSE()),"please select a BUG ID")</f>
        <v>please select a BUG ID</v>
      </c>
      <c r="E746" s="49"/>
      <c r="F746" s="102"/>
      <c r="H746" s="49"/>
      <c r="I746" s="102"/>
      <c r="J746" s="51"/>
    </row>
    <row r="747">
      <c r="A747" s="43"/>
      <c r="B747" s="106" t="str">
        <f>IFERROR(HYPERLINK(VLOOKUP(A747,Internal_lists_bugs!$A$2:$G1014,7,FALSE()),"Intro.Issues: "&amp;VLOOKUP(A747,Internal_lists_bugs!$A$2:$P1014,16,FALSE())),"please select a BUG ID")</f>
        <v>please select a BUG ID</v>
      </c>
      <c r="C747" s="107" t="str">
        <f>IFERROR(VLOOKUP(A747,Internal_lists_bugs!$A$2:$X1014,24,FALSE()),"please select a BUG ID")</f>
        <v>please select a BUG ID</v>
      </c>
      <c r="E747" s="49"/>
      <c r="F747" s="102"/>
      <c r="H747" s="49"/>
      <c r="I747" s="102"/>
      <c r="J747" s="51"/>
    </row>
    <row r="748">
      <c r="A748" s="43"/>
      <c r="B748" s="106" t="str">
        <f>IFERROR(HYPERLINK(VLOOKUP(A748,Internal_lists_bugs!$A$2:$G1014,7,FALSE()),"Intro.Issues: "&amp;VLOOKUP(A748,Internal_lists_bugs!$A$2:$P1014,16,FALSE())),"please select a BUG ID")</f>
        <v>please select a BUG ID</v>
      </c>
      <c r="C748" s="107" t="str">
        <f>IFERROR(VLOOKUP(A748,Internal_lists_bugs!$A$2:$X1014,24,FALSE()),"please select a BUG ID")</f>
        <v>please select a BUG ID</v>
      </c>
      <c r="E748" s="49"/>
      <c r="F748" s="102"/>
      <c r="H748" s="49"/>
      <c r="I748" s="102"/>
      <c r="J748" s="51"/>
    </row>
    <row r="749">
      <c r="A749" s="43"/>
      <c r="B749" s="106" t="str">
        <f>IFERROR(HYPERLINK(VLOOKUP(A749,Internal_lists_bugs!$A$2:$G1014,7,FALSE()),"Intro.Issues: "&amp;VLOOKUP(A749,Internal_lists_bugs!$A$2:$P1014,16,FALSE())),"please select a BUG ID")</f>
        <v>please select a BUG ID</v>
      </c>
      <c r="C749" s="107" t="str">
        <f>IFERROR(VLOOKUP(A749,Internal_lists_bugs!$A$2:$X1014,24,FALSE()),"please select a BUG ID")</f>
        <v>please select a BUG ID</v>
      </c>
      <c r="E749" s="49"/>
      <c r="F749" s="102"/>
      <c r="H749" s="49"/>
      <c r="I749" s="102"/>
      <c r="J749" s="51"/>
    </row>
    <row r="750">
      <c r="A750" s="43"/>
      <c r="B750" s="106" t="str">
        <f>IFERROR(HYPERLINK(VLOOKUP(A750,Internal_lists_bugs!$A$2:$G1014,7,FALSE()),"Intro.Issues: "&amp;VLOOKUP(A750,Internal_lists_bugs!$A$2:$P1014,16,FALSE())),"please select a BUG ID")</f>
        <v>please select a BUG ID</v>
      </c>
      <c r="C750" s="107" t="str">
        <f>IFERROR(VLOOKUP(A750,Internal_lists_bugs!$A$2:$X1014,24,FALSE()),"please select a BUG ID")</f>
        <v>please select a BUG ID</v>
      </c>
      <c r="E750" s="49"/>
      <c r="F750" s="102"/>
      <c r="H750" s="49"/>
      <c r="I750" s="102"/>
      <c r="J750" s="51"/>
    </row>
    <row r="751">
      <c r="A751" s="43"/>
      <c r="B751" s="106" t="str">
        <f>IFERROR(HYPERLINK(VLOOKUP(A751,Internal_lists_bugs!$A$2:$G1014,7,FALSE()),"Intro.Issues: "&amp;VLOOKUP(A751,Internal_lists_bugs!$A$2:$P1014,16,FALSE())),"please select a BUG ID")</f>
        <v>please select a BUG ID</v>
      </c>
      <c r="C751" s="107" t="str">
        <f>IFERROR(VLOOKUP(A751,Internal_lists_bugs!$A$2:$X1014,24,FALSE()),"please select a BUG ID")</f>
        <v>please select a BUG ID</v>
      </c>
      <c r="E751" s="49"/>
      <c r="F751" s="102"/>
      <c r="H751" s="49"/>
      <c r="I751" s="102"/>
      <c r="J751" s="51"/>
    </row>
    <row r="752">
      <c r="A752" s="43"/>
      <c r="B752" s="106" t="str">
        <f>IFERROR(HYPERLINK(VLOOKUP(A752,Internal_lists_bugs!$A$2:$G1014,7,FALSE()),"Intro.Issues: "&amp;VLOOKUP(A752,Internal_lists_bugs!$A$2:$P1014,16,FALSE())),"please select a BUG ID")</f>
        <v>please select a BUG ID</v>
      </c>
      <c r="C752" s="107" t="str">
        <f>IFERROR(VLOOKUP(A752,Internal_lists_bugs!$A$2:$X1014,24,FALSE()),"please select a BUG ID")</f>
        <v>please select a BUG ID</v>
      </c>
      <c r="E752" s="49"/>
      <c r="F752" s="102"/>
      <c r="H752" s="49"/>
      <c r="I752" s="102"/>
      <c r="J752" s="51"/>
    </row>
    <row r="753">
      <c r="A753" s="43"/>
      <c r="B753" s="106" t="str">
        <f>IFERROR(HYPERLINK(VLOOKUP(A753,Internal_lists_bugs!$A$2:$G1014,7,FALSE()),"Intro.Issues: "&amp;VLOOKUP(A753,Internal_lists_bugs!$A$2:$P1014,16,FALSE())),"please select a BUG ID")</f>
        <v>please select a BUG ID</v>
      </c>
      <c r="C753" s="107" t="str">
        <f>IFERROR(VLOOKUP(A753,Internal_lists_bugs!$A$2:$X1014,24,FALSE()),"please select a BUG ID")</f>
        <v>please select a BUG ID</v>
      </c>
      <c r="E753" s="49"/>
      <c r="F753" s="102"/>
      <c r="H753" s="49"/>
      <c r="I753" s="102"/>
      <c r="J753" s="51"/>
    </row>
    <row r="754">
      <c r="A754" s="43"/>
      <c r="B754" s="106" t="str">
        <f>IFERROR(HYPERLINK(VLOOKUP(A754,Internal_lists_bugs!$A$2:$G1014,7,FALSE()),"Intro.Issues: "&amp;VLOOKUP(A754,Internal_lists_bugs!$A$2:$P1014,16,FALSE())),"please select a BUG ID")</f>
        <v>please select a BUG ID</v>
      </c>
      <c r="C754" s="107" t="str">
        <f>IFERROR(VLOOKUP(A754,Internal_lists_bugs!$A$2:$X1014,24,FALSE()),"please select a BUG ID")</f>
        <v>please select a BUG ID</v>
      </c>
      <c r="E754" s="49"/>
      <c r="F754" s="102"/>
      <c r="H754" s="49"/>
      <c r="I754" s="102"/>
      <c r="J754" s="51"/>
    </row>
    <row r="755">
      <c r="A755" s="43"/>
      <c r="B755" s="106" t="str">
        <f>IFERROR(HYPERLINK(VLOOKUP(A755,Internal_lists_bugs!$A$2:$G1014,7,FALSE()),"Intro.Issues: "&amp;VLOOKUP(A755,Internal_lists_bugs!$A$2:$P1014,16,FALSE())),"please select a BUG ID")</f>
        <v>please select a BUG ID</v>
      </c>
      <c r="C755" s="107" t="str">
        <f>IFERROR(VLOOKUP(A755,Internal_lists_bugs!$A$2:$X1014,24,FALSE()),"please select a BUG ID")</f>
        <v>please select a BUG ID</v>
      </c>
      <c r="E755" s="49"/>
      <c r="F755" s="102"/>
      <c r="H755" s="49"/>
      <c r="I755" s="102"/>
      <c r="J755" s="51"/>
    </row>
    <row r="756">
      <c r="A756" s="43"/>
      <c r="B756" s="106" t="str">
        <f>IFERROR(HYPERLINK(VLOOKUP(A756,Internal_lists_bugs!$A$2:$G1014,7,FALSE()),"Intro.Issues: "&amp;VLOOKUP(A756,Internal_lists_bugs!$A$2:$P1014,16,FALSE())),"please select a BUG ID")</f>
        <v>please select a BUG ID</v>
      </c>
      <c r="C756" s="107" t="str">
        <f>IFERROR(VLOOKUP(A756,Internal_lists_bugs!$A$2:$X1014,24,FALSE()),"please select a BUG ID")</f>
        <v>please select a BUG ID</v>
      </c>
      <c r="E756" s="49"/>
      <c r="F756" s="102"/>
      <c r="H756" s="49"/>
      <c r="I756" s="102"/>
      <c r="J756" s="51"/>
    </row>
    <row r="757">
      <c r="A757" s="43"/>
      <c r="B757" s="106" t="str">
        <f>IFERROR(HYPERLINK(VLOOKUP(A757,Internal_lists_bugs!$A$2:$G1014,7,FALSE()),"Intro.Issues: "&amp;VLOOKUP(A757,Internal_lists_bugs!$A$2:$P1014,16,FALSE())),"please select a BUG ID")</f>
        <v>please select a BUG ID</v>
      </c>
      <c r="C757" s="107" t="str">
        <f>IFERROR(VLOOKUP(A757,Internal_lists_bugs!$A$2:$X1014,24,FALSE()),"please select a BUG ID")</f>
        <v>please select a BUG ID</v>
      </c>
      <c r="E757" s="49"/>
      <c r="F757" s="102"/>
      <c r="H757" s="49"/>
      <c r="I757" s="102"/>
      <c r="J757" s="51"/>
    </row>
    <row r="758">
      <c r="A758" s="43"/>
      <c r="B758" s="106" t="str">
        <f>IFERROR(HYPERLINK(VLOOKUP(A758,Internal_lists_bugs!$A$2:$G1014,7,FALSE()),"Intro.Issues: "&amp;VLOOKUP(A758,Internal_lists_bugs!$A$2:$P1014,16,FALSE())),"please select a BUG ID")</f>
        <v>please select a BUG ID</v>
      </c>
      <c r="C758" s="107" t="str">
        <f>IFERROR(VLOOKUP(A758,Internal_lists_bugs!$A$2:$X1014,24,FALSE()),"please select a BUG ID")</f>
        <v>please select a BUG ID</v>
      </c>
      <c r="E758" s="49"/>
      <c r="F758" s="102"/>
      <c r="H758" s="49"/>
      <c r="I758" s="102"/>
      <c r="J758" s="51"/>
    </row>
    <row r="759">
      <c r="A759" s="43"/>
      <c r="B759" s="106" t="str">
        <f>IFERROR(HYPERLINK(VLOOKUP(A759,Internal_lists_bugs!$A$2:$G1014,7,FALSE()),"Intro.Issues: "&amp;VLOOKUP(A759,Internal_lists_bugs!$A$2:$P1014,16,FALSE())),"please select a BUG ID")</f>
        <v>please select a BUG ID</v>
      </c>
      <c r="C759" s="107" t="str">
        <f>IFERROR(VLOOKUP(A759,Internal_lists_bugs!$A$2:$X1014,24,FALSE()),"please select a BUG ID")</f>
        <v>please select a BUG ID</v>
      </c>
      <c r="E759" s="49"/>
      <c r="F759" s="102"/>
      <c r="H759" s="49"/>
      <c r="I759" s="102"/>
      <c r="J759" s="51"/>
    </row>
    <row r="760">
      <c r="A760" s="43"/>
      <c r="B760" s="106" t="str">
        <f>IFERROR(HYPERLINK(VLOOKUP(A760,Internal_lists_bugs!$A$2:$G1014,7,FALSE()),"Intro.Issues: "&amp;VLOOKUP(A760,Internal_lists_bugs!$A$2:$P1014,16,FALSE())),"please select a BUG ID")</f>
        <v>please select a BUG ID</v>
      </c>
      <c r="C760" s="107" t="str">
        <f>IFERROR(VLOOKUP(A760,Internal_lists_bugs!$A$2:$X1014,24,FALSE()),"please select a BUG ID")</f>
        <v>please select a BUG ID</v>
      </c>
      <c r="E760" s="49"/>
      <c r="F760" s="102"/>
      <c r="H760" s="49"/>
      <c r="I760" s="102"/>
      <c r="J760" s="51"/>
    </row>
    <row r="761">
      <c r="A761" s="43"/>
      <c r="B761" s="106" t="str">
        <f>IFERROR(HYPERLINK(VLOOKUP(A761,Internal_lists_bugs!$A$2:$G1014,7,FALSE()),"Intro.Issues: "&amp;VLOOKUP(A761,Internal_lists_bugs!$A$2:$P1014,16,FALSE())),"please select a BUG ID")</f>
        <v>please select a BUG ID</v>
      </c>
      <c r="C761" s="107" t="str">
        <f>IFERROR(VLOOKUP(A761,Internal_lists_bugs!$A$2:$X1014,24,FALSE()),"please select a BUG ID")</f>
        <v>please select a BUG ID</v>
      </c>
      <c r="E761" s="49"/>
      <c r="F761" s="102"/>
      <c r="H761" s="49"/>
      <c r="I761" s="102"/>
      <c r="J761" s="51"/>
    </row>
    <row r="762">
      <c r="A762" s="43"/>
      <c r="B762" s="106" t="str">
        <f>IFERROR(HYPERLINK(VLOOKUP(A762,Internal_lists_bugs!$A$2:$G1014,7,FALSE()),"Intro.Issues: "&amp;VLOOKUP(A762,Internal_lists_bugs!$A$2:$P1014,16,FALSE())),"please select a BUG ID")</f>
        <v>please select a BUG ID</v>
      </c>
      <c r="C762" s="107" t="str">
        <f>IFERROR(VLOOKUP(A762,Internal_lists_bugs!$A$2:$X1014,24,FALSE()),"please select a BUG ID")</f>
        <v>please select a BUG ID</v>
      </c>
      <c r="E762" s="49"/>
      <c r="F762" s="102"/>
      <c r="H762" s="49"/>
      <c r="I762" s="102"/>
      <c r="J762" s="51"/>
    </row>
    <row r="763">
      <c r="A763" s="43"/>
      <c r="B763" s="106" t="str">
        <f>IFERROR(HYPERLINK(VLOOKUP(A763,Internal_lists_bugs!$A$2:$G1014,7,FALSE()),"Intro.Issues: "&amp;VLOOKUP(A763,Internal_lists_bugs!$A$2:$P1014,16,FALSE())),"please select a BUG ID")</f>
        <v>please select a BUG ID</v>
      </c>
      <c r="C763" s="107" t="str">
        <f>IFERROR(VLOOKUP(A763,Internal_lists_bugs!$A$2:$X1014,24,FALSE()),"please select a BUG ID")</f>
        <v>please select a BUG ID</v>
      </c>
      <c r="E763" s="49"/>
      <c r="F763" s="102"/>
      <c r="H763" s="49"/>
      <c r="I763" s="102"/>
      <c r="J763" s="51"/>
    </row>
    <row r="764">
      <c r="A764" s="43"/>
      <c r="B764" s="106" t="str">
        <f>IFERROR(HYPERLINK(VLOOKUP(A764,Internal_lists_bugs!$A$2:$G1014,7,FALSE()),"Intro.Issues: "&amp;VLOOKUP(A764,Internal_lists_bugs!$A$2:$P1014,16,FALSE())),"please select a BUG ID")</f>
        <v>please select a BUG ID</v>
      </c>
      <c r="C764" s="107" t="str">
        <f>IFERROR(VLOOKUP(A764,Internal_lists_bugs!$A$2:$X1014,24,FALSE()),"please select a BUG ID")</f>
        <v>please select a BUG ID</v>
      </c>
      <c r="E764" s="49"/>
      <c r="F764" s="102"/>
      <c r="H764" s="49"/>
      <c r="I764" s="102"/>
      <c r="J764" s="51"/>
    </row>
    <row r="765">
      <c r="A765" s="43"/>
      <c r="B765" s="106" t="str">
        <f>IFERROR(HYPERLINK(VLOOKUP(A765,Internal_lists_bugs!$A$2:$G1014,7,FALSE()),"Intro.Issues: "&amp;VLOOKUP(A765,Internal_lists_bugs!$A$2:$P1014,16,FALSE())),"please select a BUG ID")</f>
        <v>please select a BUG ID</v>
      </c>
      <c r="C765" s="107" t="str">
        <f>IFERROR(VLOOKUP(A765,Internal_lists_bugs!$A$2:$X1014,24,FALSE()),"please select a BUG ID")</f>
        <v>please select a BUG ID</v>
      </c>
      <c r="E765" s="49"/>
      <c r="F765" s="102"/>
      <c r="H765" s="49"/>
      <c r="I765" s="102"/>
      <c r="J765" s="51"/>
    </row>
    <row r="766">
      <c r="A766" s="43"/>
      <c r="B766" s="106" t="str">
        <f>IFERROR(HYPERLINK(VLOOKUP(A766,Internal_lists_bugs!$A$2:$G1014,7,FALSE()),"Intro.Issues: "&amp;VLOOKUP(A766,Internal_lists_bugs!$A$2:$P1014,16,FALSE())),"please select a BUG ID")</f>
        <v>please select a BUG ID</v>
      </c>
      <c r="C766" s="107" t="str">
        <f>IFERROR(VLOOKUP(A766,Internal_lists_bugs!$A$2:$X1014,24,FALSE()),"please select a BUG ID")</f>
        <v>please select a BUG ID</v>
      </c>
      <c r="E766" s="49"/>
      <c r="F766" s="102"/>
      <c r="H766" s="49"/>
      <c r="I766" s="102"/>
      <c r="J766" s="51"/>
    </row>
    <row r="767">
      <c r="A767" s="43"/>
      <c r="B767" s="106" t="str">
        <f>IFERROR(HYPERLINK(VLOOKUP(A767,Internal_lists_bugs!$A$2:$G1014,7,FALSE()),"Intro.Issues: "&amp;VLOOKUP(A767,Internal_lists_bugs!$A$2:$P1014,16,FALSE())),"please select a BUG ID")</f>
        <v>please select a BUG ID</v>
      </c>
      <c r="C767" s="107" t="str">
        <f>IFERROR(VLOOKUP(A767,Internal_lists_bugs!$A$2:$X1014,24,FALSE()),"please select a BUG ID")</f>
        <v>please select a BUG ID</v>
      </c>
      <c r="E767" s="49"/>
      <c r="F767" s="102"/>
      <c r="H767" s="49"/>
      <c r="I767" s="102"/>
      <c r="J767" s="51"/>
    </row>
    <row r="768">
      <c r="A768" s="43"/>
      <c r="B768" s="106" t="str">
        <f>IFERROR(HYPERLINK(VLOOKUP(A768,Internal_lists_bugs!$A$2:$G1014,7,FALSE()),"Intro.Issues: "&amp;VLOOKUP(A768,Internal_lists_bugs!$A$2:$P1014,16,FALSE())),"please select a BUG ID")</f>
        <v>please select a BUG ID</v>
      </c>
      <c r="C768" s="107" t="str">
        <f>IFERROR(VLOOKUP(A768,Internal_lists_bugs!$A$2:$X1014,24,FALSE()),"please select a BUG ID")</f>
        <v>please select a BUG ID</v>
      </c>
      <c r="E768" s="49"/>
      <c r="F768" s="102"/>
      <c r="H768" s="49"/>
      <c r="I768" s="102"/>
      <c r="J768" s="51"/>
    </row>
    <row r="769">
      <c r="A769" s="43"/>
      <c r="B769" s="106" t="str">
        <f>IFERROR(HYPERLINK(VLOOKUP(A769,Internal_lists_bugs!$A$2:$G1014,7,FALSE()),"Intro.Issues: "&amp;VLOOKUP(A769,Internal_lists_bugs!$A$2:$P1014,16,FALSE())),"please select a BUG ID")</f>
        <v>please select a BUG ID</v>
      </c>
      <c r="C769" s="107" t="str">
        <f>IFERROR(VLOOKUP(A769,Internal_lists_bugs!$A$2:$X1014,24,FALSE()),"please select a BUG ID")</f>
        <v>please select a BUG ID</v>
      </c>
      <c r="E769" s="49"/>
      <c r="F769" s="102"/>
      <c r="H769" s="49"/>
      <c r="I769" s="102"/>
      <c r="J769" s="51"/>
    </row>
    <row r="770">
      <c r="A770" s="43"/>
      <c r="B770" s="106" t="str">
        <f>IFERROR(HYPERLINK(VLOOKUP(A770,Internal_lists_bugs!$A$2:$G1014,7,FALSE()),"Intro.Issues: "&amp;VLOOKUP(A770,Internal_lists_bugs!$A$2:$P1014,16,FALSE())),"please select a BUG ID")</f>
        <v>please select a BUG ID</v>
      </c>
      <c r="C770" s="107" t="str">
        <f>IFERROR(VLOOKUP(A770,Internal_lists_bugs!$A$2:$X1014,24,FALSE()),"please select a BUG ID")</f>
        <v>please select a BUG ID</v>
      </c>
      <c r="E770" s="49"/>
      <c r="F770" s="102"/>
      <c r="H770" s="49"/>
      <c r="I770" s="102"/>
      <c r="J770" s="51"/>
    </row>
    <row r="771">
      <c r="A771" s="43"/>
      <c r="B771" s="106" t="str">
        <f>IFERROR(HYPERLINK(VLOOKUP(A771,Internal_lists_bugs!$A$2:$G1014,7,FALSE()),"Intro.Issues: "&amp;VLOOKUP(A771,Internal_lists_bugs!$A$2:$P1014,16,FALSE())),"please select a BUG ID")</f>
        <v>please select a BUG ID</v>
      </c>
      <c r="C771" s="107" t="str">
        <f>IFERROR(VLOOKUP(A771,Internal_lists_bugs!$A$2:$X1014,24,FALSE()),"please select a BUG ID")</f>
        <v>please select a BUG ID</v>
      </c>
      <c r="E771" s="49"/>
      <c r="F771" s="102"/>
      <c r="H771" s="49"/>
      <c r="I771" s="102"/>
      <c r="J771" s="51"/>
    </row>
    <row r="772">
      <c r="A772" s="43"/>
      <c r="B772" s="106" t="str">
        <f>IFERROR(HYPERLINK(VLOOKUP(A772,Internal_lists_bugs!$A$2:$G1014,7,FALSE()),"Intro.Issues: "&amp;VLOOKUP(A772,Internal_lists_bugs!$A$2:$P1014,16,FALSE())),"please select a BUG ID")</f>
        <v>please select a BUG ID</v>
      </c>
      <c r="C772" s="107" t="str">
        <f>IFERROR(VLOOKUP(A772,Internal_lists_bugs!$A$2:$X1014,24,FALSE()),"please select a BUG ID")</f>
        <v>please select a BUG ID</v>
      </c>
      <c r="E772" s="49"/>
      <c r="F772" s="102"/>
      <c r="H772" s="49"/>
      <c r="I772" s="102"/>
      <c r="J772" s="51"/>
    </row>
    <row r="773">
      <c r="A773" s="43"/>
      <c r="B773" s="106" t="str">
        <f>IFERROR(HYPERLINK(VLOOKUP(A773,Internal_lists_bugs!$A$2:$G1014,7,FALSE()),"Intro.Issues: "&amp;VLOOKUP(A773,Internal_lists_bugs!$A$2:$P1014,16,FALSE())),"please select a BUG ID")</f>
        <v>please select a BUG ID</v>
      </c>
      <c r="C773" s="107" t="str">
        <f>IFERROR(VLOOKUP(A773,Internal_lists_bugs!$A$2:$X1014,24,FALSE()),"please select a BUG ID")</f>
        <v>please select a BUG ID</v>
      </c>
      <c r="E773" s="49"/>
      <c r="F773" s="102"/>
      <c r="H773" s="49"/>
      <c r="I773" s="102"/>
      <c r="J773" s="51"/>
    </row>
    <row r="774">
      <c r="A774" s="43"/>
      <c r="B774" s="106" t="str">
        <f>IFERROR(HYPERLINK(VLOOKUP(A774,Internal_lists_bugs!$A$2:$G1014,7,FALSE()),"Intro.Issues: "&amp;VLOOKUP(A774,Internal_lists_bugs!$A$2:$P1014,16,FALSE())),"please select a BUG ID")</f>
        <v>please select a BUG ID</v>
      </c>
      <c r="C774" s="107" t="str">
        <f>IFERROR(VLOOKUP(A774,Internal_lists_bugs!$A$2:$X1014,24,FALSE()),"please select a BUG ID")</f>
        <v>please select a BUG ID</v>
      </c>
      <c r="E774" s="49"/>
      <c r="F774" s="102"/>
      <c r="H774" s="49"/>
      <c r="I774" s="102"/>
      <c r="J774" s="51"/>
    </row>
    <row r="775">
      <c r="A775" s="43"/>
      <c r="B775" s="106" t="str">
        <f>IFERROR(HYPERLINK(VLOOKUP(A775,Internal_lists_bugs!$A$2:$G1014,7,FALSE()),"Intro.Issues: "&amp;VLOOKUP(A775,Internal_lists_bugs!$A$2:$P1014,16,FALSE())),"please select a BUG ID")</f>
        <v>please select a BUG ID</v>
      </c>
      <c r="C775" s="107" t="str">
        <f>IFERROR(VLOOKUP(A775,Internal_lists_bugs!$A$2:$X1014,24,FALSE()),"please select a BUG ID")</f>
        <v>please select a BUG ID</v>
      </c>
      <c r="E775" s="49"/>
      <c r="F775" s="102"/>
      <c r="H775" s="49"/>
      <c r="I775" s="102"/>
      <c r="J775" s="51"/>
    </row>
    <row r="776">
      <c r="A776" s="43"/>
      <c r="B776" s="106" t="str">
        <f>IFERROR(HYPERLINK(VLOOKUP(A776,Internal_lists_bugs!$A$2:$G1014,7,FALSE()),"Intro.Issues: "&amp;VLOOKUP(A776,Internal_lists_bugs!$A$2:$P1014,16,FALSE())),"please select a BUG ID")</f>
        <v>please select a BUG ID</v>
      </c>
      <c r="C776" s="107" t="str">
        <f>IFERROR(VLOOKUP(A776,Internal_lists_bugs!$A$2:$X1014,24,FALSE()),"please select a BUG ID")</f>
        <v>please select a BUG ID</v>
      </c>
      <c r="E776" s="49"/>
      <c r="F776" s="102"/>
      <c r="H776" s="49"/>
      <c r="I776" s="102"/>
      <c r="J776" s="51"/>
    </row>
    <row r="777">
      <c r="A777" s="43"/>
      <c r="B777" s="106" t="str">
        <f>IFERROR(HYPERLINK(VLOOKUP(A777,Internal_lists_bugs!$A$2:$G1014,7,FALSE()),"Intro.Issues: "&amp;VLOOKUP(A777,Internal_lists_bugs!$A$2:$P1014,16,FALSE())),"please select a BUG ID")</f>
        <v>please select a BUG ID</v>
      </c>
      <c r="C777" s="107" t="str">
        <f>IFERROR(VLOOKUP(A777,Internal_lists_bugs!$A$2:$X1014,24,FALSE()),"please select a BUG ID")</f>
        <v>please select a BUG ID</v>
      </c>
      <c r="E777" s="49"/>
      <c r="F777" s="102"/>
      <c r="H777" s="49"/>
      <c r="I777" s="102"/>
      <c r="J777" s="51"/>
    </row>
    <row r="778">
      <c r="A778" s="43"/>
      <c r="B778" s="106" t="str">
        <f>IFERROR(HYPERLINK(VLOOKUP(A778,Internal_lists_bugs!$A$2:$G1014,7,FALSE()),"Intro.Issues: "&amp;VLOOKUP(A778,Internal_lists_bugs!$A$2:$P1014,16,FALSE())),"please select a BUG ID")</f>
        <v>please select a BUG ID</v>
      </c>
      <c r="C778" s="107" t="str">
        <f>IFERROR(VLOOKUP(A778,Internal_lists_bugs!$A$2:$X1014,24,FALSE()),"please select a BUG ID")</f>
        <v>please select a BUG ID</v>
      </c>
      <c r="E778" s="49"/>
      <c r="F778" s="102"/>
      <c r="H778" s="49"/>
      <c r="I778" s="102"/>
      <c r="J778" s="51"/>
    </row>
    <row r="779">
      <c r="A779" s="43"/>
      <c r="B779" s="106" t="str">
        <f>IFERROR(HYPERLINK(VLOOKUP(A779,Internal_lists_bugs!$A$2:$G1014,7,FALSE()),"Intro.Issues: "&amp;VLOOKUP(A779,Internal_lists_bugs!$A$2:$P1014,16,FALSE())),"please select a BUG ID")</f>
        <v>please select a BUG ID</v>
      </c>
      <c r="C779" s="107" t="str">
        <f>IFERROR(VLOOKUP(A779,Internal_lists_bugs!$A$2:$X1014,24,FALSE()),"please select a BUG ID")</f>
        <v>please select a BUG ID</v>
      </c>
      <c r="E779" s="49"/>
      <c r="F779" s="102"/>
      <c r="H779" s="49"/>
      <c r="I779" s="102"/>
      <c r="J779" s="51"/>
    </row>
    <row r="780">
      <c r="A780" s="43"/>
      <c r="B780" s="106" t="str">
        <f>IFERROR(HYPERLINK(VLOOKUP(A780,Internal_lists_bugs!$A$2:$G1014,7,FALSE()),"Intro.Issues: "&amp;VLOOKUP(A780,Internal_lists_bugs!$A$2:$P1014,16,FALSE())),"please select a BUG ID")</f>
        <v>please select a BUG ID</v>
      </c>
      <c r="C780" s="107" t="str">
        <f>IFERROR(VLOOKUP(A780,Internal_lists_bugs!$A$2:$X1014,24,FALSE()),"please select a BUG ID")</f>
        <v>please select a BUG ID</v>
      </c>
      <c r="E780" s="49"/>
      <c r="F780" s="102"/>
      <c r="H780" s="49"/>
      <c r="I780" s="102"/>
      <c r="J780" s="51"/>
    </row>
    <row r="781">
      <c r="A781" s="43"/>
      <c r="B781" s="106" t="str">
        <f>IFERROR(HYPERLINK(VLOOKUP(A781,Internal_lists_bugs!$A$2:$G1014,7,FALSE()),"Intro.Issues: "&amp;VLOOKUP(A781,Internal_lists_bugs!$A$2:$P1014,16,FALSE())),"please select a BUG ID")</f>
        <v>please select a BUG ID</v>
      </c>
      <c r="C781" s="107" t="str">
        <f>IFERROR(VLOOKUP(A781,Internal_lists_bugs!$A$2:$X1014,24,FALSE()),"please select a BUG ID")</f>
        <v>please select a BUG ID</v>
      </c>
      <c r="E781" s="49"/>
      <c r="F781" s="102"/>
      <c r="H781" s="49"/>
      <c r="I781" s="102"/>
      <c r="J781" s="51"/>
    </row>
    <row r="782">
      <c r="A782" s="43"/>
      <c r="B782" s="106" t="str">
        <f>IFERROR(HYPERLINK(VLOOKUP(A782,Internal_lists_bugs!$A$2:$G1014,7,FALSE()),"Intro.Issues: "&amp;VLOOKUP(A782,Internal_lists_bugs!$A$2:$P1014,16,FALSE())),"please select a BUG ID")</f>
        <v>please select a BUG ID</v>
      </c>
      <c r="C782" s="107" t="str">
        <f>IFERROR(VLOOKUP(A782,Internal_lists_bugs!$A$2:$X1014,24,FALSE()),"please select a BUG ID")</f>
        <v>please select a BUG ID</v>
      </c>
      <c r="E782" s="49"/>
      <c r="F782" s="102"/>
      <c r="H782" s="49"/>
      <c r="I782" s="102"/>
      <c r="J782" s="51"/>
    </row>
    <row r="783">
      <c r="A783" s="43"/>
      <c r="B783" s="106" t="str">
        <f>IFERROR(HYPERLINK(VLOOKUP(A783,Internal_lists_bugs!$A$2:$G1014,7,FALSE()),"Intro.Issues: "&amp;VLOOKUP(A783,Internal_lists_bugs!$A$2:$P1014,16,FALSE())),"please select a BUG ID")</f>
        <v>please select a BUG ID</v>
      </c>
      <c r="C783" s="107" t="str">
        <f>IFERROR(VLOOKUP(A783,Internal_lists_bugs!$A$2:$X1014,24,FALSE()),"please select a BUG ID")</f>
        <v>please select a BUG ID</v>
      </c>
      <c r="E783" s="49"/>
      <c r="F783" s="102"/>
      <c r="H783" s="49"/>
      <c r="I783" s="102"/>
      <c r="J783" s="51"/>
    </row>
    <row r="784">
      <c r="A784" s="43"/>
      <c r="B784" s="106" t="str">
        <f>IFERROR(HYPERLINK(VLOOKUP(A784,Internal_lists_bugs!$A$2:$G1014,7,FALSE()),"Intro.Issues: "&amp;VLOOKUP(A784,Internal_lists_bugs!$A$2:$P1014,16,FALSE())),"please select a BUG ID")</f>
        <v>please select a BUG ID</v>
      </c>
      <c r="C784" s="107" t="str">
        <f>IFERROR(VLOOKUP(A784,Internal_lists_bugs!$A$2:$X1014,24,FALSE()),"please select a BUG ID")</f>
        <v>please select a BUG ID</v>
      </c>
      <c r="E784" s="49"/>
      <c r="F784" s="102"/>
      <c r="H784" s="49"/>
      <c r="I784" s="102"/>
      <c r="J784" s="51"/>
    </row>
    <row r="785">
      <c r="A785" s="43"/>
      <c r="B785" s="106" t="str">
        <f>IFERROR(HYPERLINK(VLOOKUP(A785,Internal_lists_bugs!$A$2:$G1014,7,FALSE()),"Intro.Issues: "&amp;VLOOKUP(A785,Internal_lists_bugs!$A$2:$P1014,16,FALSE())),"please select a BUG ID")</f>
        <v>please select a BUG ID</v>
      </c>
      <c r="C785" s="107" t="str">
        <f>IFERROR(VLOOKUP(A785,Internal_lists_bugs!$A$2:$X1014,24,FALSE()),"please select a BUG ID")</f>
        <v>please select a BUG ID</v>
      </c>
      <c r="E785" s="49"/>
      <c r="F785" s="102"/>
      <c r="H785" s="49"/>
      <c r="I785" s="102"/>
      <c r="J785" s="51"/>
    </row>
    <row r="786">
      <c r="A786" s="43"/>
      <c r="B786" s="106" t="str">
        <f>IFERROR(HYPERLINK(VLOOKUP(A786,Internal_lists_bugs!$A$2:$G1014,7,FALSE()),"Intro.Issues: "&amp;VLOOKUP(A786,Internal_lists_bugs!$A$2:$P1014,16,FALSE())),"please select a BUG ID")</f>
        <v>please select a BUG ID</v>
      </c>
      <c r="C786" s="107" t="str">
        <f>IFERROR(VLOOKUP(A786,Internal_lists_bugs!$A$2:$X1014,24,FALSE()),"please select a BUG ID")</f>
        <v>please select a BUG ID</v>
      </c>
      <c r="E786" s="49"/>
      <c r="F786" s="102"/>
      <c r="H786" s="49"/>
      <c r="I786" s="102"/>
      <c r="J786" s="51"/>
    </row>
    <row r="787">
      <c r="A787" s="43"/>
      <c r="B787" s="106" t="str">
        <f>IFERROR(HYPERLINK(VLOOKUP(A787,Internal_lists_bugs!$A$2:$G1014,7,FALSE()),"Intro.Issues: "&amp;VLOOKUP(A787,Internal_lists_bugs!$A$2:$P1014,16,FALSE())),"please select a BUG ID")</f>
        <v>please select a BUG ID</v>
      </c>
      <c r="C787" s="107" t="str">
        <f>IFERROR(VLOOKUP(A787,Internal_lists_bugs!$A$2:$X1014,24,FALSE()),"please select a BUG ID")</f>
        <v>please select a BUG ID</v>
      </c>
      <c r="E787" s="49"/>
      <c r="F787" s="102"/>
      <c r="H787" s="49"/>
      <c r="I787" s="102"/>
      <c r="J787" s="51"/>
    </row>
    <row r="788">
      <c r="A788" s="43"/>
      <c r="B788" s="106" t="str">
        <f>IFERROR(HYPERLINK(VLOOKUP(A788,Internal_lists_bugs!$A$2:$G1014,7,FALSE()),"Intro.Issues: "&amp;VLOOKUP(A788,Internal_lists_bugs!$A$2:$P1014,16,FALSE())),"please select a BUG ID")</f>
        <v>please select a BUG ID</v>
      </c>
      <c r="C788" s="107" t="str">
        <f>IFERROR(VLOOKUP(A788,Internal_lists_bugs!$A$2:$X1014,24,FALSE()),"please select a BUG ID")</f>
        <v>please select a BUG ID</v>
      </c>
      <c r="E788" s="49"/>
      <c r="F788" s="102"/>
      <c r="H788" s="49"/>
      <c r="I788" s="102"/>
      <c r="J788" s="51"/>
    </row>
    <row r="789">
      <c r="A789" s="43"/>
      <c r="B789" s="106" t="str">
        <f>IFERROR(HYPERLINK(VLOOKUP(A789,Internal_lists_bugs!$A$2:$G1014,7,FALSE()),"Intro.Issues: "&amp;VLOOKUP(A789,Internal_lists_bugs!$A$2:$P1014,16,FALSE())),"please select a BUG ID")</f>
        <v>please select a BUG ID</v>
      </c>
      <c r="C789" s="107" t="str">
        <f>IFERROR(VLOOKUP(A789,Internal_lists_bugs!$A$2:$X1014,24,FALSE()),"please select a BUG ID")</f>
        <v>please select a BUG ID</v>
      </c>
      <c r="E789" s="49"/>
      <c r="F789" s="102"/>
      <c r="H789" s="49"/>
      <c r="I789" s="102"/>
      <c r="J789" s="51"/>
    </row>
    <row r="790">
      <c r="A790" s="43"/>
      <c r="B790" s="106" t="str">
        <f>IFERROR(HYPERLINK(VLOOKUP(A790,Internal_lists_bugs!$A$2:$G1014,7,FALSE()),"Intro.Issues: "&amp;VLOOKUP(A790,Internal_lists_bugs!$A$2:$P1014,16,FALSE())),"please select a BUG ID")</f>
        <v>please select a BUG ID</v>
      </c>
      <c r="C790" s="107" t="str">
        <f>IFERROR(VLOOKUP(A790,Internal_lists_bugs!$A$2:$X1014,24,FALSE()),"please select a BUG ID")</f>
        <v>please select a BUG ID</v>
      </c>
      <c r="E790" s="49"/>
      <c r="F790" s="102"/>
      <c r="H790" s="49"/>
      <c r="I790" s="102"/>
      <c r="J790" s="51"/>
    </row>
    <row r="791">
      <c r="A791" s="43"/>
      <c r="B791" s="106" t="str">
        <f>IFERROR(HYPERLINK(VLOOKUP(A791,Internal_lists_bugs!$A$2:$G1014,7,FALSE()),"Intro.Issues: "&amp;VLOOKUP(A791,Internal_lists_bugs!$A$2:$P1014,16,FALSE())),"please select a BUG ID")</f>
        <v>please select a BUG ID</v>
      </c>
      <c r="C791" s="107" t="str">
        <f>IFERROR(VLOOKUP(A791,Internal_lists_bugs!$A$2:$X1014,24,FALSE()),"please select a BUG ID")</f>
        <v>please select a BUG ID</v>
      </c>
      <c r="E791" s="49"/>
      <c r="F791" s="102"/>
      <c r="H791" s="49"/>
      <c r="I791" s="102"/>
      <c r="J791" s="51"/>
    </row>
    <row r="792">
      <c r="A792" s="43"/>
      <c r="B792" s="106" t="str">
        <f>IFERROR(HYPERLINK(VLOOKUP(A792,Internal_lists_bugs!$A$2:$G1014,7,FALSE()),"Intro.Issues: "&amp;VLOOKUP(A792,Internal_lists_bugs!$A$2:$P1014,16,FALSE())),"please select a BUG ID")</f>
        <v>please select a BUG ID</v>
      </c>
      <c r="C792" s="107" t="str">
        <f>IFERROR(VLOOKUP(A792,Internal_lists_bugs!$A$2:$X1014,24,FALSE()),"please select a BUG ID")</f>
        <v>please select a BUG ID</v>
      </c>
      <c r="E792" s="49"/>
      <c r="F792" s="102"/>
      <c r="H792" s="49"/>
      <c r="I792" s="102"/>
      <c r="J792" s="51"/>
    </row>
    <row r="793">
      <c r="A793" s="43"/>
      <c r="B793" s="106" t="str">
        <f>IFERROR(HYPERLINK(VLOOKUP(A793,Internal_lists_bugs!$A$2:$G1014,7,FALSE()),"Intro.Issues: "&amp;VLOOKUP(A793,Internal_lists_bugs!$A$2:$P1014,16,FALSE())),"please select a BUG ID")</f>
        <v>please select a BUG ID</v>
      </c>
      <c r="C793" s="107" t="str">
        <f>IFERROR(VLOOKUP(A793,Internal_lists_bugs!$A$2:$X1014,24,FALSE()),"please select a BUG ID")</f>
        <v>please select a BUG ID</v>
      </c>
      <c r="E793" s="49"/>
      <c r="F793" s="102"/>
      <c r="H793" s="49"/>
      <c r="I793" s="102"/>
      <c r="J793" s="51"/>
    </row>
    <row r="794">
      <c r="A794" s="43"/>
      <c r="B794" s="106" t="str">
        <f>IFERROR(HYPERLINK(VLOOKUP(A794,Internal_lists_bugs!$A$2:$G1014,7,FALSE()),"Intro.Issues: "&amp;VLOOKUP(A794,Internal_lists_bugs!$A$2:$P1014,16,FALSE())),"please select a BUG ID")</f>
        <v>please select a BUG ID</v>
      </c>
      <c r="C794" s="107" t="str">
        <f>IFERROR(VLOOKUP(A794,Internal_lists_bugs!$A$2:$X1014,24,FALSE()),"please select a BUG ID")</f>
        <v>please select a BUG ID</v>
      </c>
      <c r="E794" s="49"/>
      <c r="F794" s="102"/>
      <c r="H794" s="49"/>
      <c r="I794" s="102"/>
      <c r="J794" s="51"/>
    </row>
    <row r="795">
      <c r="A795" s="43"/>
      <c r="B795" s="106" t="str">
        <f>IFERROR(HYPERLINK(VLOOKUP(A795,Internal_lists_bugs!$A$2:$G1014,7,FALSE()),"Intro.Issues: "&amp;VLOOKUP(A795,Internal_lists_bugs!$A$2:$P1014,16,FALSE())),"please select a BUG ID")</f>
        <v>please select a BUG ID</v>
      </c>
      <c r="C795" s="107" t="str">
        <f>IFERROR(VLOOKUP(A795,Internal_lists_bugs!$A$2:$X1014,24,FALSE()),"please select a BUG ID")</f>
        <v>please select a BUG ID</v>
      </c>
      <c r="E795" s="49"/>
      <c r="F795" s="102"/>
      <c r="H795" s="49"/>
      <c r="I795" s="102"/>
      <c r="J795" s="51"/>
    </row>
    <row r="796">
      <c r="A796" s="43"/>
      <c r="B796" s="106" t="str">
        <f>IFERROR(HYPERLINK(VLOOKUP(A796,Internal_lists_bugs!$A$2:$G1014,7,FALSE()),"Intro.Issues: "&amp;VLOOKUP(A796,Internal_lists_bugs!$A$2:$P1014,16,FALSE())),"please select a BUG ID")</f>
        <v>please select a BUG ID</v>
      </c>
      <c r="C796" s="107" t="str">
        <f>IFERROR(VLOOKUP(A796,Internal_lists_bugs!$A$2:$X1014,24,FALSE()),"please select a BUG ID")</f>
        <v>please select a BUG ID</v>
      </c>
      <c r="E796" s="49"/>
      <c r="F796" s="102"/>
      <c r="H796" s="49"/>
      <c r="I796" s="102"/>
      <c r="J796" s="51"/>
    </row>
    <row r="797">
      <c r="A797" s="43"/>
      <c r="B797" s="106" t="str">
        <f>IFERROR(HYPERLINK(VLOOKUP(A797,Internal_lists_bugs!$A$2:$G1014,7,FALSE()),"Intro.Issues: "&amp;VLOOKUP(A797,Internal_lists_bugs!$A$2:$P1014,16,FALSE())),"please select a BUG ID")</f>
        <v>please select a BUG ID</v>
      </c>
      <c r="C797" s="107" t="str">
        <f>IFERROR(VLOOKUP(A797,Internal_lists_bugs!$A$2:$X1014,24,FALSE()),"please select a BUG ID")</f>
        <v>please select a BUG ID</v>
      </c>
      <c r="E797" s="49"/>
      <c r="F797" s="102"/>
      <c r="H797" s="49"/>
      <c r="I797" s="102"/>
      <c r="J797" s="51"/>
    </row>
    <row r="798">
      <c r="A798" s="43"/>
      <c r="B798" s="106" t="str">
        <f>IFERROR(HYPERLINK(VLOOKUP(A798,Internal_lists_bugs!$A$2:$G1014,7,FALSE()),"Intro.Issues: "&amp;VLOOKUP(A798,Internal_lists_bugs!$A$2:$P1014,16,FALSE())),"please select a BUG ID")</f>
        <v>please select a BUG ID</v>
      </c>
      <c r="C798" s="107" t="str">
        <f>IFERROR(VLOOKUP(A798,Internal_lists_bugs!$A$2:$X1014,24,FALSE()),"please select a BUG ID")</f>
        <v>please select a BUG ID</v>
      </c>
      <c r="E798" s="49"/>
      <c r="F798" s="102"/>
      <c r="H798" s="49"/>
      <c r="I798" s="102"/>
      <c r="J798" s="51"/>
    </row>
    <row r="799">
      <c r="A799" s="43"/>
      <c r="B799" s="106" t="str">
        <f>IFERROR(HYPERLINK(VLOOKUP(A799,Internal_lists_bugs!$A$2:$G1014,7,FALSE()),"Intro.Issues: "&amp;VLOOKUP(A799,Internal_lists_bugs!$A$2:$P1014,16,FALSE())),"please select a BUG ID")</f>
        <v>please select a BUG ID</v>
      </c>
      <c r="C799" s="107" t="str">
        <f>IFERROR(VLOOKUP(A799,Internal_lists_bugs!$A$2:$X1014,24,FALSE()),"please select a BUG ID")</f>
        <v>please select a BUG ID</v>
      </c>
      <c r="E799" s="49"/>
      <c r="F799" s="102"/>
      <c r="H799" s="49"/>
      <c r="I799" s="102"/>
      <c r="J799" s="51"/>
    </row>
    <row r="800">
      <c r="A800" s="43"/>
      <c r="B800" s="106" t="str">
        <f>IFERROR(HYPERLINK(VLOOKUP(A800,Internal_lists_bugs!$A$2:$G1014,7,FALSE()),"Intro.Issues: "&amp;VLOOKUP(A800,Internal_lists_bugs!$A$2:$P1014,16,FALSE())),"please select a BUG ID")</f>
        <v>please select a BUG ID</v>
      </c>
      <c r="C800" s="107" t="str">
        <f>IFERROR(VLOOKUP(A800,Internal_lists_bugs!$A$2:$X1014,24,FALSE()),"please select a BUG ID")</f>
        <v>please select a BUG ID</v>
      </c>
      <c r="E800" s="49"/>
      <c r="F800" s="102"/>
      <c r="H800" s="49"/>
      <c r="I800" s="102"/>
      <c r="J800" s="51"/>
    </row>
    <row r="801">
      <c r="A801" s="43"/>
      <c r="B801" s="106" t="str">
        <f>IFERROR(HYPERLINK(VLOOKUP(A801,Internal_lists_bugs!$A$2:$G1014,7,FALSE()),"Intro.Issues: "&amp;VLOOKUP(A801,Internal_lists_bugs!$A$2:$P1014,16,FALSE())),"please select a BUG ID")</f>
        <v>please select a BUG ID</v>
      </c>
      <c r="C801" s="107" t="str">
        <f>IFERROR(VLOOKUP(A801,Internal_lists_bugs!$A$2:$X1014,24,FALSE()),"please select a BUG ID")</f>
        <v>please select a BUG ID</v>
      </c>
      <c r="E801" s="49"/>
      <c r="F801" s="102"/>
      <c r="H801" s="49"/>
      <c r="I801" s="102"/>
      <c r="J801" s="51"/>
    </row>
    <row r="802">
      <c r="A802" s="43"/>
      <c r="B802" s="106" t="str">
        <f>IFERROR(HYPERLINK(VLOOKUP(A802,Internal_lists_bugs!$A$2:$G1014,7,FALSE()),"Intro.Issues: "&amp;VLOOKUP(A802,Internal_lists_bugs!$A$2:$P1014,16,FALSE())),"please select a BUG ID")</f>
        <v>please select a BUG ID</v>
      </c>
      <c r="C802" s="107" t="str">
        <f>IFERROR(VLOOKUP(A802,Internal_lists_bugs!$A$2:$X1014,24,FALSE()),"please select a BUG ID")</f>
        <v>please select a BUG ID</v>
      </c>
      <c r="E802" s="49"/>
      <c r="F802" s="102"/>
      <c r="H802" s="49"/>
      <c r="I802" s="102"/>
      <c r="J802" s="51"/>
    </row>
    <row r="803">
      <c r="A803" s="43"/>
      <c r="B803" s="106" t="str">
        <f>IFERROR(HYPERLINK(VLOOKUP(A803,Internal_lists_bugs!$A$2:$G1014,7,FALSE()),"Intro.Issues: "&amp;VLOOKUP(A803,Internal_lists_bugs!$A$2:$P1014,16,FALSE())),"please select a BUG ID")</f>
        <v>please select a BUG ID</v>
      </c>
      <c r="C803" s="107" t="str">
        <f>IFERROR(VLOOKUP(A803,Internal_lists_bugs!$A$2:$X1014,24,FALSE()),"please select a BUG ID")</f>
        <v>please select a BUG ID</v>
      </c>
      <c r="E803" s="49"/>
      <c r="F803" s="102"/>
      <c r="H803" s="49"/>
      <c r="I803" s="102"/>
      <c r="J803" s="51"/>
    </row>
    <row r="804">
      <c r="A804" s="43"/>
      <c r="B804" s="106" t="str">
        <f>IFERROR(HYPERLINK(VLOOKUP(A804,Internal_lists_bugs!$A$2:$G1014,7,FALSE()),"Intro.Issues: "&amp;VLOOKUP(A804,Internal_lists_bugs!$A$2:$P1014,16,FALSE())),"please select a BUG ID")</f>
        <v>please select a BUG ID</v>
      </c>
      <c r="C804" s="107" t="str">
        <f>IFERROR(VLOOKUP(A804,Internal_lists_bugs!$A$2:$X1014,24,FALSE()),"please select a BUG ID")</f>
        <v>please select a BUG ID</v>
      </c>
      <c r="E804" s="49"/>
      <c r="F804" s="102"/>
      <c r="H804" s="49"/>
      <c r="I804" s="102"/>
      <c r="J804" s="51"/>
    </row>
    <row r="805">
      <c r="A805" s="43"/>
      <c r="B805" s="106" t="str">
        <f>IFERROR(HYPERLINK(VLOOKUP(A805,Internal_lists_bugs!$A$2:$G1014,7,FALSE()),"Intro.Issues: "&amp;VLOOKUP(A805,Internal_lists_bugs!$A$2:$P1014,16,FALSE())),"please select a BUG ID")</f>
        <v>please select a BUG ID</v>
      </c>
      <c r="C805" s="107" t="str">
        <f>IFERROR(VLOOKUP(A805,Internal_lists_bugs!$A$2:$X1014,24,FALSE()),"please select a BUG ID")</f>
        <v>please select a BUG ID</v>
      </c>
      <c r="E805" s="49"/>
      <c r="F805" s="102"/>
      <c r="H805" s="49"/>
      <c r="I805" s="102"/>
      <c r="J805" s="51"/>
    </row>
    <row r="806">
      <c r="A806" s="43"/>
      <c r="B806" s="106" t="str">
        <f>IFERROR(HYPERLINK(VLOOKUP(A806,Internal_lists_bugs!$A$2:$G1014,7,FALSE()),"Intro.Issues: "&amp;VLOOKUP(A806,Internal_lists_bugs!$A$2:$P1014,16,FALSE())),"please select a BUG ID")</f>
        <v>please select a BUG ID</v>
      </c>
      <c r="C806" s="107" t="str">
        <f>IFERROR(VLOOKUP(A806,Internal_lists_bugs!$A$2:$X1014,24,FALSE()),"please select a BUG ID")</f>
        <v>please select a BUG ID</v>
      </c>
      <c r="E806" s="49"/>
      <c r="F806" s="102"/>
      <c r="H806" s="49"/>
      <c r="I806" s="102"/>
      <c r="J806" s="51"/>
    </row>
    <row r="807">
      <c r="A807" s="43"/>
      <c r="B807" s="106" t="str">
        <f>IFERROR(HYPERLINK(VLOOKUP(A807,Internal_lists_bugs!$A$2:$G1014,7,FALSE()),"Intro.Issues: "&amp;VLOOKUP(A807,Internal_lists_bugs!$A$2:$P1014,16,FALSE())),"please select a BUG ID")</f>
        <v>please select a BUG ID</v>
      </c>
      <c r="C807" s="107" t="str">
        <f>IFERROR(VLOOKUP(A807,Internal_lists_bugs!$A$2:$X1014,24,FALSE()),"please select a BUG ID")</f>
        <v>please select a BUG ID</v>
      </c>
      <c r="E807" s="49"/>
      <c r="F807" s="102"/>
      <c r="H807" s="49"/>
      <c r="I807" s="102"/>
      <c r="J807" s="51"/>
    </row>
    <row r="808">
      <c r="A808" s="43"/>
      <c r="B808" s="106" t="str">
        <f>IFERROR(HYPERLINK(VLOOKUP(A808,Internal_lists_bugs!$A$2:$G1014,7,FALSE()),"Intro.Issues: "&amp;VLOOKUP(A808,Internal_lists_bugs!$A$2:$P1014,16,FALSE())),"please select a BUG ID")</f>
        <v>please select a BUG ID</v>
      </c>
      <c r="C808" s="107" t="str">
        <f>IFERROR(VLOOKUP(A808,Internal_lists_bugs!$A$2:$X1014,24,FALSE()),"please select a BUG ID")</f>
        <v>please select a BUG ID</v>
      </c>
      <c r="E808" s="49"/>
      <c r="F808" s="102"/>
      <c r="H808" s="49"/>
      <c r="I808" s="102"/>
      <c r="J808" s="51"/>
    </row>
    <row r="809">
      <c r="A809" s="43"/>
      <c r="B809" s="106" t="str">
        <f>IFERROR(HYPERLINK(VLOOKUP(A809,Internal_lists_bugs!$A$2:$G1014,7,FALSE()),"Intro.Issues: "&amp;VLOOKUP(A809,Internal_lists_bugs!$A$2:$P1014,16,FALSE())),"please select a BUG ID")</f>
        <v>please select a BUG ID</v>
      </c>
      <c r="C809" s="107" t="str">
        <f>IFERROR(VLOOKUP(A809,Internal_lists_bugs!$A$2:$X1014,24,FALSE()),"please select a BUG ID")</f>
        <v>please select a BUG ID</v>
      </c>
      <c r="E809" s="49"/>
      <c r="F809" s="102"/>
      <c r="H809" s="49"/>
      <c r="I809" s="102"/>
      <c r="J809" s="51"/>
    </row>
    <row r="810">
      <c r="A810" s="43"/>
      <c r="B810" s="106" t="str">
        <f>IFERROR(HYPERLINK(VLOOKUP(A810,Internal_lists_bugs!$A$2:$G1014,7,FALSE()),"Intro.Issues: "&amp;VLOOKUP(A810,Internal_lists_bugs!$A$2:$P1014,16,FALSE())),"please select a BUG ID")</f>
        <v>please select a BUG ID</v>
      </c>
      <c r="C810" s="107" t="str">
        <f>IFERROR(VLOOKUP(A810,Internal_lists_bugs!$A$2:$X1014,24,FALSE()),"please select a BUG ID")</f>
        <v>please select a BUG ID</v>
      </c>
      <c r="E810" s="49"/>
      <c r="F810" s="102"/>
      <c r="H810" s="49"/>
      <c r="I810" s="102"/>
      <c r="J810" s="51"/>
    </row>
    <row r="811">
      <c r="A811" s="43"/>
      <c r="B811" s="106" t="str">
        <f>IFERROR(HYPERLINK(VLOOKUP(A811,Internal_lists_bugs!$A$2:$G1014,7,FALSE()),"Intro.Issues: "&amp;VLOOKUP(A811,Internal_lists_bugs!$A$2:$P1014,16,FALSE())),"please select a BUG ID")</f>
        <v>please select a BUG ID</v>
      </c>
      <c r="C811" s="107" t="str">
        <f>IFERROR(VLOOKUP(A811,Internal_lists_bugs!$A$2:$X1014,24,FALSE()),"please select a BUG ID")</f>
        <v>please select a BUG ID</v>
      </c>
      <c r="E811" s="49"/>
      <c r="F811" s="102"/>
      <c r="H811" s="49"/>
      <c r="I811" s="102"/>
      <c r="J811" s="51"/>
    </row>
    <row r="812">
      <c r="A812" s="43"/>
      <c r="B812" s="106" t="str">
        <f>IFERROR(HYPERLINK(VLOOKUP(A812,Internal_lists_bugs!$A$2:$G1014,7,FALSE()),"Intro.Issues: "&amp;VLOOKUP(A812,Internal_lists_bugs!$A$2:$P1014,16,FALSE())),"please select a BUG ID")</f>
        <v>please select a BUG ID</v>
      </c>
      <c r="C812" s="107" t="str">
        <f>IFERROR(VLOOKUP(A812,Internal_lists_bugs!$A$2:$X1014,24,FALSE()),"please select a BUG ID")</f>
        <v>please select a BUG ID</v>
      </c>
      <c r="E812" s="49"/>
      <c r="F812" s="102"/>
      <c r="H812" s="49"/>
      <c r="I812" s="102"/>
      <c r="J812" s="51"/>
    </row>
    <row r="813">
      <c r="A813" s="43"/>
      <c r="B813" s="106" t="str">
        <f>IFERROR(HYPERLINK(VLOOKUP(A813,Internal_lists_bugs!$A$2:$G1014,7,FALSE()),"Intro.Issues: "&amp;VLOOKUP(A813,Internal_lists_bugs!$A$2:$P1014,16,FALSE())),"please select a BUG ID")</f>
        <v>please select a BUG ID</v>
      </c>
      <c r="C813" s="107" t="str">
        <f>IFERROR(VLOOKUP(A813,Internal_lists_bugs!$A$2:$X1014,24,FALSE()),"please select a BUG ID")</f>
        <v>please select a BUG ID</v>
      </c>
      <c r="E813" s="49"/>
      <c r="F813" s="102"/>
      <c r="H813" s="49"/>
      <c r="I813" s="102"/>
      <c r="J813" s="51"/>
    </row>
    <row r="814">
      <c r="A814" s="43"/>
      <c r="B814" s="106" t="str">
        <f>IFERROR(HYPERLINK(VLOOKUP(A814,Internal_lists_bugs!$A$2:$G1014,7,FALSE()),"Intro.Issues: "&amp;VLOOKUP(A814,Internal_lists_bugs!$A$2:$P1014,16,FALSE())),"please select a BUG ID")</f>
        <v>please select a BUG ID</v>
      </c>
      <c r="C814" s="107" t="str">
        <f>IFERROR(VLOOKUP(A814,Internal_lists_bugs!$A$2:$X1014,24,FALSE()),"please select a BUG ID")</f>
        <v>please select a BUG ID</v>
      </c>
      <c r="E814" s="49"/>
      <c r="F814" s="102"/>
      <c r="H814" s="49"/>
      <c r="I814" s="102"/>
      <c r="J814" s="51"/>
    </row>
    <row r="815">
      <c r="A815" s="43"/>
      <c r="B815" s="106" t="str">
        <f>IFERROR(HYPERLINK(VLOOKUP(A815,Internal_lists_bugs!$A$2:$G1014,7,FALSE()),"Intro.Issues: "&amp;VLOOKUP(A815,Internal_lists_bugs!$A$2:$P1014,16,FALSE())),"please select a BUG ID")</f>
        <v>please select a BUG ID</v>
      </c>
      <c r="C815" s="107" t="str">
        <f>IFERROR(VLOOKUP(A815,Internal_lists_bugs!$A$2:$X1014,24,FALSE()),"please select a BUG ID")</f>
        <v>please select a BUG ID</v>
      </c>
      <c r="E815" s="49"/>
      <c r="F815" s="102"/>
      <c r="H815" s="49"/>
      <c r="I815" s="102"/>
      <c r="J815" s="51"/>
    </row>
    <row r="816">
      <c r="A816" s="43"/>
      <c r="B816" s="106" t="str">
        <f>IFERROR(HYPERLINK(VLOOKUP(A816,Internal_lists_bugs!$A$2:$G1014,7,FALSE()),"Intro.Issues: "&amp;VLOOKUP(A816,Internal_lists_bugs!$A$2:$P1014,16,FALSE())),"please select a BUG ID")</f>
        <v>please select a BUG ID</v>
      </c>
      <c r="C816" s="107" t="str">
        <f>IFERROR(VLOOKUP(A816,Internal_lists_bugs!$A$2:$X1014,24,FALSE()),"please select a BUG ID")</f>
        <v>please select a BUG ID</v>
      </c>
      <c r="E816" s="49"/>
      <c r="F816" s="102"/>
      <c r="H816" s="49"/>
      <c r="I816" s="102"/>
      <c r="J816" s="51"/>
    </row>
    <row r="817">
      <c r="A817" s="43"/>
      <c r="B817" s="106" t="str">
        <f>IFERROR(HYPERLINK(VLOOKUP(A817,Internal_lists_bugs!$A$2:$G1014,7,FALSE()),"Intro.Issues: "&amp;VLOOKUP(A817,Internal_lists_bugs!$A$2:$P1014,16,FALSE())),"please select a BUG ID")</f>
        <v>please select a BUG ID</v>
      </c>
      <c r="C817" s="107" t="str">
        <f>IFERROR(VLOOKUP(A817,Internal_lists_bugs!$A$2:$X1014,24,FALSE()),"please select a BUG ID")</f>
        <v>please select a BUG ID</v>
      </c>
      <c r="E817" s="49"/>
      <c r="F817" s="102"/>
      <c r="H817" s="49"/>
      <c r="I817" s="102"/>
      <c r="J817" s="51"/>
    </row>
    <row r="818">
      <c r="A818" s="43"/>
      <c r="B818" s="106" t="str">
        <f>IFERROR(HYPERLINK(VLOOKUP(A818,Internal_lists_bugs!$A$2:$G1014,7,FALSE()),"Intro.Issues: "&amp;VLOOKUP(A818,Internal_lists_bugs!$A$2:$P1014,16,FALSE())),"please select a BUG ID")</f>
        <v>please select a BUG ID</v>
      </c>
      <c r="C818" s="107" t="str">
        <f>IFERROR(VLOOKUP(A818,Internal_lists_bugs!$A$2:$X1014,24,FALSE()),"please select a BUG ID")</f>
        <v>please select a BUG ID</v>
      </c>
      <c r="E818" s="49"/>
      <c r="F818" s="102"/>
      <c r="H818" s="49"/>
      <c r="I818" s="102"/>
      <c r="J818" s="51"/>
    </row>
    <row r="819">
      <c r="A819" s="43"/>
      <c r="B819" s="106" t="str">
        <f>IFERROR(HYPERLINK(VLOOKUP(A819,Internal_lists_bugs!$A$2:$G1014,7,FALSE()),"Intro.Issues: "&amp;VLOOKUP(A819,Internal_lists_bugs!$A$2:$P1014,16,FALSE())),"please select a BUG ID")</f>
        <v>please select a BUG ID</v>
      </c>
      <c r="C819" s="107" t="str">
        <f>IFERROR(VLOOKUP(A819,Internal_lists_bugs!$A$2:$X1014,24,FALSE()),"please select a BUG ID")</f>
        <v>please select a BUG ID</v>
      </c>
      <c r="E819" s="49"/>
      <c r="F819" s="102"/>
      <c r="H819" s="49"/>
      <c r="I819" s="102"/>
      <c r="J819" s="51"/>
    </row>
    <row r="820">
      <c r="A820" s="43"/>
      <c r="B820" s="106" t="str">
        <f>IFERROR(HYPERLINK(VLOOKUP(A820,Internal_lists_bugs!$A$2:$G1014,7,FALSE()),"Intro.Issues: "&amp;VLOOKUP(A820,Internal_lists_bugs!$A$2:$P1014,16,FALSE())),"please select a BUG ID")</f>
        <v>please select a BUG ID</v>
      </c>
      <c r="C820" s="107" t="str">
        <f>IFERROR(VLOOKUP(A820,Internal_lists_bugs!$A$2:$X1014,24,FALSE()),"please select a BUG ID")</f>
        <v>please select a BUG ID</v>
      </c>
      <c r="E820" s="49"/>
      <c r="F820" s="102"/>
      <c r="H820" s="49"/>
      <c r="I820" s="102"/>
      <c r="J820" s="51"/>
    </row>
    <row r="821">
      <c r="A821" s="43"/>
      <c r="B821" s="106" t="str">
        <f>IFERROR(HYPERLINK(VLOOKUP(A821,Internal_lists_bugs!$A$2:$G1014,7,FALSE()),"Intro.Issues: "&amp;VLOOKUP(A821,Internal_lists_bugs!$A$2:$P1014,16,FALSE())),"please select a BUG ID")</f>
        <v>please select a BUG ID</v>
      </c>
      <c r="C821" s="107" t="str">
        <f>IFERROR(VLOOKUP(A821,Internal_lists_bugs!$A$2:$X1014,24,FALSE()),"please select a BUG ID")</f>
        <v>please select a BUG ID</v>
      </c>
      <c r="E821" s="49"/>
      <c r="F821" s="102"/>
      <c r="H821" s="49"/>
      <c r="I821" s="102"/>
      <c r="J821" s="51"/>
    </row>
    <row r="822">
      <c r="A822" s="43"/>
      <c r="B822" s="106" t="str">
        <f>IFERROR(HYPERLINK(VLOOKUP(A822,Internal_lists_bugs!$A$2:$G1014,7,FALSE()),"Intro.Issues: "&amp;VLOOKUP(A822,Internal_lists_bugs!$A$2:$P1014,16,FALSE())),"please select a BUG ID")</f>
        <v>please select a BUG ID</v>
      </c>
      <c r="C822" s="107" t="str">
        <f>IFERROR(VLOOKUP(A822,Internal_lists_bugs!$A$2:$X1014,24,FALSE()),"please select a BUG ID")</f>
        <v>please select a BUG ID</v>
      </c>
      <c r="E822" s="49"/>
      <c r="F822" s="102"/>
      <c r="H822" s="49"/>
      <c r="I822" s="102"/>
      <c r="J822" s="51"/>
    </row>
    <row r="823">
      <c r="A823" s="43"/>
      <c r="B823" s="106" t="str">
        <f>IFERROR(HYPERLINK(VLOOKUP(A823,Internal_lists_bugs!$A$2:$G1014,7,FALSE()),"Intro.Issues: "&amp;VLOOKUP(A823,Internal_lists_bugs!$A$2:$P1014,16,FALSE())),"please select a BUG ID")</f>
        <v>please select a BUG ID</v>
      </c>
      <c r="C823" s="107" t="str">
        <f>IFERROR(VLOOKUP(A823,Internal_lists_bugs!$A$2:$X1014,24,FALSE()),"please select a BUG ID")</f>
        <v>please select a BUG ID</v>
      </c>
      <c r="E823" s="49"/>
      <c r="F823" s="102"/>
      <c r="H823" s="49"/>
      <c r="I823" s="102"/>
      <c r="J823" s="51"/>
    </row>
    <row r="824">
      <c r="A824" s="43"/>
      <c r="B824" s="106" t="str">
        <f>IFERROR(HYPERLINK(VLOOKUP(A824,Internal_lists_bugs!$A$2:$G1014,7,FALSE()),"Intro.Issues: "&amp;VLOOKUP(A824,Internal_lists_bugs!$A$2:$P1014,16,FALSE())),"please select a BUG ID")</f>
        <v>please select a BUG ID</v>
      </c>
      <c r="C824" s="107" t="str">
        <f>IFERROR(VLOOKUP(A824,Internal_lists_bugs!$A$2:$X1014,24,FALSE()),"please select a BUG ID")</f>
        <v>please select a BUG ID</v>
      </c>
      <c r="E824" s="49"/>
      <c r="F824" s="102"/>
      <c r="H824" s="49"/>
      <c r="I824" s="102"/>
      <c r="J824" s="51"/>
    </row>
    <row r="825">
      <c r="A825" s="43"/>
      <c r="B825" s="106" t="str">
        <f>IFERROR(HYPERLINK(VLOOKUP(A825,Internal_lists_bugs!$A$2:$G1014,7,FALSE()),"Intro.Issues: "&amp;VLOOKUP(A825,Internal_lists_bugs!$A$2:$P1014,16,FALSE())),"please select a BUG ID")</f>
        <v>please select a BUG ID</v>
      </c>
      <c r="C825" s="107" t="str">
        <f>IFERROR(VLOOKUP(A825,Internal_lists_bugs!$A$2:$X1014,24,FALSE()),"please select a BUG ID")</f>
        <v>please select a BUG ID</v>
      </c>
      <c r="E825" s="49"/>
      <c r="F825" s="102"/>
      <c r="H825" s="49"/>
      <c r="I825" s="102"/>
      <c r="J825" s="51"/>
    </row>
    <row r="826">
      <c r="A826" s="43"/>
      <c r="B826" s="106" t="str">
        <f>IFERROR(HYPERLINK(VLOOKUP(A826,Internal_lists_bugs!$A$2:$G1014,7,FALSE()),"Intro.Issues: "&amp;VLOOKUP(A826,Internal_lists_bugs!$A$2:$P1014,16,FALSE())),"please select a BUG ID")</f>
        <v>please select a BUG ID</v>
      </c>
      <c r="C826" s="107" t="str">
        <f>IFERROR(VLOOKUP(A826,Internal_lists_bugs!$A$2:$X1014,24,FALSE()),"please select a BUG ID")</f>
        <v>please select a BUG ID</v>
      </c>
      <c r="E826" s="49"/>
      <c r="F826" s="102"/>
      <c r="H826" s="49"/>
      <c r="I826" s="102"/>
      <c r="J826" s="51"/>
    </row>
    <row r="827">
      <c r="A827" s="43"/>
      <c r="B827" s="106" t="str">
        <f>IFERROR(HYPERLINK(VLOOKUP(A827,Internal_lists_bugs!$A$2:$G1014,7,FALSE()),"Intro.Issues: "&amp;VLOOKUP(A827,Internal_lists_bugs!$A$2:$P1014,16,FALSE())),"please select a BUG ID")</f>
        <v>please select a BUG ID</v>
      </c>
      <c r="C827" s="107" t="str">
        <f>IFERROR(VLOOKUP(A827,Internal_lists_bugs!$A$2:$X1014,24,FALSE()),"please select a BUG ID")</f>
        <v>please select a BUG ID</v>
      </c>
      <c r="E827" s="49"/>
      <c r="F827" s="102"/>
      <c r="H827" s="49"/>
      <c r="I827" s="102"/>
      <c r="J827" s="51"/>
    </row>
    <row r="828">
      <c r="A828" s="43"/>
      <c r="B828" s="106" t="str">
        <f>IFERROR(HYPERLINK(VLOOKUP(A828,Internal_lists_bugs!$A$2:$G1014,7,FALSE()),"Intro.Issues: "&amp;VLOOKUP(A828,Internal_lists_bugs!$A$2:$P1014,16,FALSE())),"please select a BUG ID")</f>
        <v>please select a BUG ID</v>
      </c>
      <c r="C828" s="107" t="str">
        <f>IFERROR(VLOOKUP(A828,Internal_lists_bugs!$A$2:$X1014,24,FALSE()),"please select a BUG ID")</f>
        <v>please select a BUG ID</v>
      </c>
      <c r="E828" s="49"/>
      <c r="F828" s="102"/>
      <c r="H828" s="49"/>
      <c r="I828" s="102"/>
      <c r="J828" s="51"/>
    </row>
    <row r="829">
      <c r="A829" s="43"/>
      <c r="B829" s="106" t="str">
        <f>IFERROR(HYPERLINK(VLOOKUP(A829,Internal_lists_bugs!$A$2:$G1014,7,FALSE()),"Intro.Issues: "&amp;VLOOKUP(A829,Internal_lists_bugs!$A$2:$P1014,16,FALSE())),"please select a BUG ID")</f>
        <v>please select a BUG ID</v>
      </c>
      <c r="C829" s="107" t="str">
        <f>IFERROR(VLOOKUP(A829,Internal_lists_bugs!$A$2:$X1014,24,FALSE()),"please select a BUG ID")</f>
        <v>please select a BUG ID</v>
      </c>
      <c r="E829" s="49"/>
      <c r="F829" s="102"/>
      <c r="H829" s="49"/>
      <c r="I829" s="102"/>
      <c r="J829" s="51"/>
    </row>
    <row r="830">
      <c r="A830" s="43"/>
      <c r="B830" s="106" t="str">
        <f>IFERROR(HYPERLINK(VLOOKUP(A830,Internal_lists_bugs!$A$2:$G1014,7,FALSE()),"Intro.Issues: "&amp;VLOOKUP(A830,Internal_lists_bugs!$A$2:$P1014,16,FALSE())),"please select a BUG ID")</f>
        <v>please select a BUG ID</v>
      </c>
      <c r="C830" s="107" t="str">
        <f>IFERROR(VLOOKUP(A830,Internal_lists_bugs!$A$2:$X1014,24,FALSE()),"please select a BUG ID")</f>
        <v>please select a BUG ID</v>
      </c>
      <c r="E830" s="49"/>
      <c r="F830" s="102"/>
      <c r="H830" s="49"/>
      <c r="I830" s="102"/>
      <c r="J830" s="51"/>
    </row>
    <row r="831">
      <c r="A831" s="43"/>
      <c r="B831" s="106" t="str">
        <f>IFERROR(HYPERLINK(VLOOKUP(A831,Internal_lists_bugs!$A$2:$G1014,7,FALSE()),"Intro.Issues: "&amp;VLOOKUP(A831,Internal_lists_bugs!$A$2:$P1014,16,FALSE())),"please select a BUG ID")</f>
        <v>please select a BUG ID</v>
      </c>
      <c r="C831" s="107" t="str">
        <f>IFERROR(VLOOKUP(A831,Internal_lists_bugs!$A$2:$X1014,24,FALSE()),"please select a BUG ID")</f>
        <v>please select a BUG ID</v>
      </c>
      <c r="E831" s="49"/>
      <c r="F831" s="102"/>
      <c r="H831" s="49"/>
      <c r="I831" s="102"/>
      <c r="J831" s="51"/>
    </row>
    <row r="832">
      <c r="A832" s="43"/>
      <c r="B832" s="106" t="str">
        <f>IFERROR(HYPERLINK(VLOOKUP(A832,Internal_lists_bugs!$A$2:$G1014,7,FALSE()),"Intro.Issues: "&amp;VLOOKUP(A832,Internal_lists_bugs!$A$2:$P1014,16,FALSE())),"please select a BUG ID")</f>
        <v>please select a BUG ID</v>
      </c>
      <c r="C832" s="107" t="str">
        <f>IFERROR(VLOOKUP(A832,Internal_lists_bugs!$A$2:$X1014,24,FALSE()),"please select a BUG ID")</f>
        <v>please select a BUG ID</v>
      </c>
      <c r="E832" s="49"/>
      <c r="F832" s="102"/>
      <c r="H832" s="49"/>
      <c r="I832" s="102"/>
      <c r="J832" s="51"/>
    </row>
    <row r="833">
      <c r="A833" s="43"/>
      <c r="B833" s="106" t="str">
        <f>IFERROR(HYPERLINK(VLOOKUP(A833,Internal_lists_bugs!$A$2:$G1014,7,FALSE()),"Intro.Issues: "&amp;VLOOKUP(A833,Internal_lists_bugs!$A$2:$P1014,16,FALSE())),"please select a BUG ID")</f>
        <v>please select a BUG ID</v>
      </c>
      <c r="C833" s="107" t="str">
        <f>IFERROR(VLOOKUP(A833,Internal_lists_bugs!$A$2:$X1014,24,FALSE()),"please select a BUG ID")</f>
        <v>please select a BUG ID</v>
      </c>
      <c r="E833" s="49"/>
      <c r="F833" s="102"/>
      <c r="H833" s="49"/>
      <c r="I833" s="102"/>
      <c r="J833" s="51"/>
    </row>
    <row r="834">
      <c r="A834" s="43"/>
      <c r="B834" s="106" t="str">
        <f>IFERROR(HYPERLINK(VLOOKUP(A834,Internal_lists_bugs!$A$2:$G1014,7,FALSE()),"Intro.Issues: "&amp;VLOOKUP(A834,Internal_lists_bugs!$A$2:$P1014,16,FALSE())),"please select a BUG ID")</f>
        <v>please select a BUG ID</v>
      </c>
      <c r="C834" s="107" t="str">
        <f>IFERROR(VLOOKUP(A834,Internal_lists_bugs!$A$2:$X1014,24,FALSE()),"please select a BUG ID")</f>
        <v>please select a BUG ID</v>
      </c>
      <c r="E834" s="49"/>
      <c r="F834" s="102"/>
      <c r="H834" s="49"/>
      <c r="I834" s="102"/>
      <c r="J834" s="51"/>
    </row>
    <row r="835">
      <c r="A835" s="43"/>
      <c r="B835" s="106" t="str">
        <f>IFERROR(HYPERLINK(VLOOKUP(A835,Internal_lists_bugs!$A$2:$G1014,7,FALSE()),"Intro.Issues: "&amp;VLOOKUP(A835,Internal_lists_bugs!$A$2:$P1014,16,FALSE())),"please select a BUG ID")</f>
        <v>please select a BUG ID</v>
      </c>
      <c r="C835" s="107" t="str">
        <f>IFERROR(VLOOKUP(A835,Internal_lists_bugs!$A$2:$X1014,24,FALSE()),"please select a BUG ID")</f>
        <v>please select a BUG ID</v>
      </c>
      <c r="E835" s="49"/>
      <c r="F835" s="102"/>
      <c r="H835" s="49"/>
      <c r="I835" s="102"/>
      <c r="J835" s="51"/>
    </row>
    <row r="836">
      <c r="A836" s="43"/>
      <c r="B836" s="106" t="str">
        <f>IFERROR(HYPERLINK(VLOOKUP(A836,Internal_lists_bugs!$A$2:$G1014,7,FALSE()),"Intro.Issues: "&amp;VLOOKUP(A836,Internal_lists_bugs!$A$2:$P1014,16,FALSE())),"please select a BUG ID")</f>
        <v>please select a BUG ID</v>
      </c>
      <c r="C836" s="107" t="str">
        <f>IFERROR(VLOOKUP(A836,Internal_lists_bugs!$A$2:$X1014,24,FALSE()),"please select a BUG ID")</f>
        <v>please select a BUG ID</v>
      </c>
      <c r="E836" s="49"/>
      <c r="F836" s="102"/>
      <c r="H836" s="49"/>
      <c r="I836" s="102"/>
      <c r="J836" s="51"/>
    </row>
    <row r="837">
      <c r="A837" s="43"/>
      <c r="B837" s="106" t="str">
        <f>IFERROR(HYPERLINK(VLOOKUP(A837,Internal_lists_bugs!$A$2:$G1014,7,FALSE()),"Intro.Issues: "&amp;VLOOKUP(A837,Internal_lists_bugs!$A$2:$P1014,16,FALSE())),"please select a BUG ID")</f>
        <v>please select a BUG ID</v>
      </c>
      <c r="C837" s="107" t="str">
        <f>IFERROR(VLOOKUP(A837,Internal_lists_bugs!$A$2:$X1014,24,FALSE()),"please select a BUG ID")</f>
        <v>please select a BUG ID</v>
      </c>
      <c r="E837" s="49"/>
      <c r="F837" s="102"/>
      <c r="H837" s="49"/>
      <c r="I837" s="102"/>
      <c r="J837" s="51"/>
    </row>
    <row r="838">
      <c r="A838" s="43"/>
      <c r="B838" s="106" t="str">
        <f>IFERROR(HYPERLINK(VLOOKUP(A838,Internal_lists_bugs!$A$2:$G1014,7,FALSE()),"Intro.Issues: "&amp;VLOOKUP(A838,Internal_lists_bugs!$A$2:$P1014,16,FALSE())),"please select a BUG ID")</f>
        <v>please select a BUG ID</v>
      </c>
      <c r="C838" s="107" t="str">
        <f>IFERROR(VLOOKUP(A838,Internal_lists_bugs!$A$2:$X1014,24,FALSE()),"please select a BUG ID")</f>
        <v>please select a BUG ID</v>
      </c>
      <c r="E838" s="49"/>
      <c r="F838" s="102"/>
      <c r="H838" s="49"/>
      <c r="I838" s="102"/>
      <c r="J838" s="51"/>
    </row>
    <row r="839">
      <c r="A839" s="43"/>
      <c r="B839" s="106" t="str">
        <f>IFERROR(HYPERLINK(VLOOKUP(A839,Internal_lists_bugs!$A$2:$G1014,7,FALSE()),"Intro.Issues: "&amp;VLOOKUP(A839,Internal_lists_bugs!$A$2:$P1014,16,FALSE())),"please select a BUG ID")</f>
        <v>please select a BUG ID</v>
      </c>
      <c r="C839" s="107" t="str">
        <f>IFERROR(VLOOKUP(A839,Internal_lists_bugs!$A$2:$X1014,24,FALSE()),"please select a BUG ID")</f>
        <v>please select a BUG ID</v>
      </c>
      <c r="E839" s="49"/>
      <c r="F839" s="102"/>
      <c r="H839" s="49"/>
      <c r="I839" s="102"/>
      <c r="J839" s="51"/>
    </row>
    <row r="840">
      <c r="A840" s="43"/>
      <c r="B840" s="106" t="str">
        <f>IFERROR(HYPERLINK(VLOOKUP(A840,Internal_lists_bugs!$A$2:$G1014,7,FALSE()),"Intro.Issues: "&amp;VLOOKUP(A840,Internal_lists_bugs!$A$2:$P1014,16,FALSE())),"please select a BUG ID")</f>
        <v>please select a BUG ID</v>
      </c>
      <c r="C840" s="107" t="str">
        <f>IFERROR(VLOOKUP(A840,Internal_lists_bugs!$A$2:$X1014,24,FALSE()),"please select a BUG ID")</f>
        <v>please select a BUG ID</v>
      </c>
      <c r="E840" s="49"/>
      <c r="F840" s="102"/>
      <c r="H840" s="49"/>
      <c r="I840" s="102"/>
      <c r="J840" s="51"/>
    </row>
    <row r="841">
      <c r="A841" s="43"/>
      <c r="B841" s="106" t="str">
        <f>IFERROR(HYPERLINK(VLOOKUP(A841,Internal_lists_bugs!$A$2:$G1014,7,FALSE()),"Intro.Issues: "&amp;VLOOKUP(A841,Internal_lists_bugs!$A$2:$P1014,16,FALSE())),"please select a BUG ID")</f>
        <v>please select a BUG ID</v>
      </c>
      <c r="C841" s="107" t="str">
        <f>IFERROR(VLOOKUP(A841,Internal_lists_bugs!$A$2:$X1014,24,FALSE()),"please select a BUG ID")</f>
        <v>please select a BUG ID</v>
      </c>
      <c r="E841" s="49"/>
      <c r="F841" s="102"/>
      <c r="H841" s="49"/>
      <c r="I841" s="102"/>
      <c r="J841" s="51"/>
    </row>
    <row r="842">
      <c r="A842" s="43"/>
      <c r="B842" s="106" t="str">
        <f>IFERROR(HYPERLINK(VLOOKUP(A842,Internal_lists_bugs!$A$2:$G1014,7,FALSE()),"Intro.Issues: "&amp;VLOOKUP(A842,Internal_lists_bugs!$A$2:$P1014,16,FALSE())),"please select a BUG ID")</f>
        <v>please select a BUG ID</v>
      </c>
      <c r="C842" s="107" t="str">
        <f>IFERROR(VLOOKUP(A842,Internal_lists_bugs!$A$2:$X1014,24,FALSE()),"please select a BUG ID")</f>
        <v>please select a BUG ID</v>
      </c>
      <c r="E842" s="49"/>
      <c r="F842" s="102"/>
      <c r="H842" s="49"/>
      <c r="I842" s="102"/>
      <c r="J842" s="51"/>
    </row>
    <row r="843">
      <c r="A843" s="43"/>
      <c r="B843" s="106" t="str">
        <f>IFERROR(HYPERLINK(VLOOKUP(A843,Internal_lists_bugs!$A$2:$G1014,7,FALSE()),"Intro.Issues: "&amp;VLOOKUP(A843,Internal_lists_bugs!$A$2:$P1014,16,FALSE())),"please select a BUG ID")</f>
        <v>please select a BUG ID</v>
      </c>
      <c r="C843" s="107" t="str">
        <f>IFERROR(VLOOKUP(A843,Internal_lists_bugs!$A$2:$X1014,24,FALSE()),"please select a BUG ID")</f>
        <v>please select a BUG ID</v>
      </c>
      <c r="E843" s="49"/>
      <c r="F843" s="102"/>
      <c r="H843" s="49"/>
      <c r="I843" s="102"/>
      <c r="J843" s="51"/>
    </row>
    <row r="844">
      <c r="A844" s="43"/>
      <c r="B844" s="106" t="str">
        <f>IFERROR(HYPERLINK(VLOOKUP(A844,Internal_lists_bugs!$A$2:$G1014,7,FALSE()),"Intro.Issues: "&amp;VLOOKUP(A844,Internal_lists_bugs!$A$2:$P1014,16,FALSE())),"please select a BUG ID")</f>
        <v>please select a BUG ID</v>
      </c>
      <c r="C844" s="107" t="str">
        <f>IFERROR(VLOOKUP(A844,Internal_lists_bugs!$A$2:$X1014,24,FALSE()),"please select a BUG ID")</f>
        <v>please select a BUG ID</v>
      </c>
      <c r="E844" s="49"/>
      <c r="F844" s="102"/>
      <c r="H844" s="49"/>
      <c r="I844" s="102"/>
      <c r="J844" s="51"/>
    </row>
    <row r="845">
      <c r="A845" s="43"/>
      <c r="B845" s="106" t="str">
        <f>IFERROR(HYPERLINK(VLOOKUP(A845,Internal_lists_bugs!$A$2:$G1014,7,FALSE()),"Intro.Issues: "&amp;VLOOKUP(A845,Internal_lists_bugs!$A$2:$P1014,16,FALSE())),"please select a BUG ID")</f>
        <v>please select a BUG ID</v>
      </c>
      <c r="C845" s="107" t="str">
        <f>IFERROR(VLOOKUP(A845,Internal_lists_bugs!$A$2:$X1014,24,FALSE()),"please select a BUG ID")</f>
        <v>please select a BUG ID</v>
      </c>
      <c r="E845" s="49"/>
      <c r="F845" s="102"/>
      <c r="H845" s="49"/>
      <c r="I845" s="102"/>
      <c r="J845" s="51"/>
    </row>
    <row r="846">
      <c r="A846" s="43"/>
      <c r="B846" s="106" t="str">
        <f>IFERROR(HYPERLINK(VLOOKUP(A846,Internal_lists_bugs!$A$2:$G1014,7,FALSE()),"Intro.Issues: "&amp;VLOOKUP(A846,Internal_lists_bugs!$A$2:$P1014,16,FALSE())),"please select a BUG ID")</f>
        <v>please select a BUG ID</v>
      </c>
      <c r="C846" s="107" t="str">
        <f>IFERROR(VLOOKUP(A846,Internal_lists_bugs!$A$2:$X1014,24,FALSE()),"please select a BUG ID")</f>
        <v>please select a BUG ID</v>
      </c>
      <c r="E846" s="49"/>
      <c r="F846" s="102"/>
      <c r="H846" s="49"/>
      <c r="I846" s="102"/>
      <c r="J846" s="51"/>
    </row>
    <row r="847">
      <c r="A847" s="43"/>
      <c r="B847" s="106" t="str">
        <f>IFERROR(HYPERLINK(VLOOKUP(A847,Internal_lists_bugs!$A$2:$G1014,7,FALSE()),"Intro.Issues: "&amp;VLOOKUP(A847,Internal_lists_bugs!$A$2:$P1014,16,FALSE())),"please select a BUG ID")</f>
        <v>please select a BUG ID</v>
      </c>
      <c r="C847" s="107" t="str">
        <f>IFERROR(VLOOKUP(A847,Internal_lists_bugs!$A$2:$X1014,24,FALSE()),"please select a BUG ID")</f>
        <v>please select a BUG ID</v>
      </c>
      <c r="E847" s="49"/>
      <c r="F847" s="102"/>
      <c r="H847" s="49"/>
      <c r="I847" s="102"/>
      <c r="J847" s="51"/>
    </row>
    <row r="848">
      <c r="A848" s="43"/>
      <c r="B848" s="106" t="str">
        <f>IFERROR(HYPERLINK(VLOOKUP(A848,Internal_lists_bugs!$A$2:$G1014,7,FALSE()),"Intro.Issues: "&amp;VLOOKUP(A848,Internal_lists_bugs!$A$2:$P1014,16,FALSE())),"please select a BUG ID")</f>
        <v>please select a BUG ID</v>
      </c>
      <c r="C848" s="107" t="str">
        <f>IFERROR(VLOOKUP(A848,Internal_lists_bugs!$A$2:$X1014,24,FALSE()),"please select a BUG ID")</f>
        <v>please select a BUG ID</v>
      </c>
      <c r="E848" s="49"/>
      <c r="F848" s="102"/>
      <c r="H848" s="49"/>
      <c r="I848" s="102"/>
      <c r="J848" s="51"/>
    </row>
    <row r="849">
      <c r="A849" s="43"/>
      <c r="B849" s="106" t="str">
        <f>IFERROR(HYPERLINK(VLOOKUP(A849,Internal_lists_bugs!$A$2:$G1014,7,FALSE()),"Intro.Issues: "&amp;VLOOKUP(A849,Internal_lists_bugs!$A$2:$P1014,16,FALSE())),"please select a BUG ID")</f>
        <v>please select a BUG ID</v>
      </c>
      <c r="C849" s="107" t="str">
        <f>IFERROR(VLOOKUP(A849,Internal_lists_bugs!$A$2:$X1014,24,FALSE()),"please select a BUG ID")</f>
        <v>please select a BUG ID</v>
      </c>
      <c r="E849" s="49"/>
      <c r="F849" s="102"/>
      <c r="H849" s="49"/>
      <c r="I849" s="102"/>
      <c r="J849" s="51"/>
    </row>
    <row r="850">
      <c r="A850" s="43"/>
      <c r="B850" s="106" t="str">
        <f>IFERROR(HYPERLINK(VLOOKUP(A850,Internal_lists_bugs!$A$2:$G1014,7,FALSE()),"Intro.Issues: "&amp;VLOOKUP(A850,Internal_lists_bugs!$A$2:$P1014,16,FALSE())),"please select a BUG ID")</f>
        <v>please select a BUG ID</v>
      </c>
      <c r="C850" s="107" t="str">
        <f>IFERROR(VLOOKUP(A850,Internal_lists_bugs!$A$2:$X1014,24,FALSE()),"please select a BUG ID")</f>
        <v>please select a BUG ID</v>
      </c>
      <c r="E850" s="49"/>
      <c r="F850" s="102"/>
      <c r="H850" s="49"/>
      <c r="I850" s="102"/>
      <c r="J850" s="51"/>
    </row>
    <row r="851">
      <c r="A851" s="43"/>
      <c r="B851" s="106" t="str">
        <f>IFERROR(HYPERLINK(VLOOKUP(A851,Internal_lists_bugs!$A$2:$G1014,7,FALSE()),"Intro.Issues: "&amp;VLOOKUP(A851,Internal_lists_bugs!$A$2:$P1014,16,FALSE())),"please select a BUG ID")</f>
        <v>please select a BUG ID</v>
      </c>
      <c r="C851" s="107" t="str">
        <f>IFERROR(VLOOKUP(A851,Internal_lists_bugs!$A$2:$X1014,24,FALSE()),"please select a BUG ID")</f>
        <v>please select a BUG ID</v>
      </c>
      <c r="E851" s="49"/>
      <c r="F851" s="102"/>
      <c r="H851" s="49"/>
      <c r="I851" s="102"/>
      <c r="J851" s="51"/>
    </row>
    <row r="852">
      <c r="A852" s="43"/>
      <c r="B852" s="106" t="str">
        <f>IFERROR(HYPERLINK(VLOOKUP(A852,Internal_lists_bugs!$A$2:$G1014,7,FALSE()),"Intro.Issues: "&amp;VLOOKUP(A852,Internal_lists_bugs!$A$2:$P1014,16,FALSE())),"please select a BUG ID")</f>
        <v>please select a BUG ID</v>
      </c>
      <c r="C852" s="107" t="str">
        <f>IFERROR(VLOOKUP(A852,Internal_lists_bugs!$A$2:$X1014,24,FALSE()),"please select a BUG ID")</f>
        <v>please select a BUG ID</v>
      </c>
      <c r="E852" s="49"/>
      <c r="F852" s="102"/>
      <c r="H852" s="49"/>
      <c r="I852" s="102"/>
      <c r="J852" s="51"/>
    </row>
    <row r="853">
      <c r="A853" s="43"/>
      <c r="B853" s="106" t="str">
        <f>IFERROR(HYPERLINK(VLOOKUP(A853,Internal_lists_bugs!$A$2:$G1014,7,FALSE()),"Intro.Issues: "&amp;VLOOKUP(A853,Internal_lists_bugs!$A$2:$P1014,16,FALSE())),"please select a BUG ID")</f>
        <v>please select a BUG ID</v>
      </c>
      <c r="C853" s="107" t="str">
        <f>IFERROR(VLOOKUP(A853,Internal_lists_bugs!$A$2:$X1014,24,FALSE()),"please select a BUG ID")</f>
        <v>please select a BUG ID</v>
      </c>
      <c r="E853" s="49"/>
      <c r="F853" s="102"/>
      <c r="H853" s="49"/>
      <c r="I853" s="102"/>
      <c r="J853" s="51"/>
    </row>
    <row r="854">
      <c r="A854" s="43"/>
      <c r="B854" s="106" t="str">
        <f>IFERROR(HYPERLINK(VLOOKUP(A854,Internal_lists_bugs!$A$2:$G1014,7,FALSE()),"Intro.Issues: "&amp;VLOOKUP(A854,Internal_lists_bugs!$A$2:$P1014,16,FALSE())),"please select a BUG ID")</f>
        <v>please select a BUG ID</v>
      </c>
      <c r="C854" s="107" t="str">
        <f>IFERROR(VLOOKUP(A854,Internal_lists_bugs!$A$2:$X1014,24,FALSE()),"please select a BUG ID")</f>
        <v>please select a BUG ID</v>
      </c>
      <c r="E854" s="49"/>
      <c r="F854" s="102"/>
      <c r="H854" s="49"/>
      <c r="I854" s="102"/>
      <c r="J854" s="51"/>
    </row>
    <row r="855">
      <c r="A855" s="43"/>
      <c r="B855" s="106" t="str">
        <f>IFERROR(HYPERLINK(VLOOKUP(A855,Internal_lists_bugs!$A$2:$G1014,7,FALSE()),"Intro.Issues: "&amp;VLOOKUP(A855,Internal_lists_bugs!$A$2:$P1014,16,FALSE())),"please select a BUG ID")</f>
        <v>please select a BUG ID</v>
      </c>
      <c r="C855" s="107" t="str">
        <f>IFERROR(VLOOKUP(A855,Internal_lists_bugs!$A$2:$X1014,24,FALSE()),"please select a BUG ID")</f>
        <v>please select a BUG ID</v>
      </c>
      <c r="E855" s="49"/>
      <c r="F855" s="102"/>
      <c r="H855" s="49"/>
      <c r="I855" s="102"/>
      <c r="J855" s="51"/>
    </row>
    <row r="856">
      <c r="A856" s="43"/>
      <c r="B856" s="106" t="str">
        <f>IFERROR(HYPERLINK(VLOOKUP(A856,Internal_lists_bugs!$A$2:$G1014,7,FALSE()),"Intro.Issues: "&amp;VLOOKUP(A856,Internal_lists_bugs!$A$2:$P1014,16,FALSE())),"please select a BUG ID")</f>
        <v>please select a BUG ID</v>
      </c>
      <c r="C856" s="107" t="str">
        <f>IFERROR(VLOOKUP(A856,Internal_lists_bugs!$A$2:$X1014,24,FALSE()),"please select a BUG ID")</f>
        <v>please select a BUG ID</v>
      </c>
      <c r="E856" s="49"/>
      <c r="F856" s="102"/>
      <c r="H856" s="49"/>
      <c r="I856" s="102"/>
      <c r="J856" s="51"/>
    </row>
    <row r="857">
      <c r="A857" s="43"/>
      <c r="B857" s="106" t="str">
        <f>IFERROR(HYPERLINK(VLOOKUP(A857,Internal_lists_bugs!$A$2:$G1014,7,FALSE()),"Intro.Issues: "&amp;VLOOKUP(A857,Internal_lists_bugs!$A$2:$P1014,16,FALSE())),"please select a BUG ID")</f>
        <v>please select a BUG ID</v>
      </c>
      <c r="C857" s="107" t="str">
        <f>IFERROR(VLOOKUP(A857,Internal_lists_bugs!$A$2:$X1014,24,FALSE()),"please select a BUG ID")</f>
        <v>please select a BUG ID</v>
      </c>
      <c r="E857" s="49"/>
      <c r="F857" s="102"/>
      <c r="H857" s="49"/>
      <c r="I857" s="102"/>
      <c r="J857" s="51"/>
    </row>
    <row r="858">
      <c r="A858" s="43"/>
      <c r="B858" s="106" t="str">
        <f>IFERROR(HYPERLINK(VLOOKUP(A858,Internal_lists_bugs!$A$2:$G1014,7,FALSE()),"Intro.Issues: "&amp;VLOOKUP(A858,Internal_lists_bugs!$A$2:$P1014,16,FALSE())),"please select a BUG ID")</f>
        <v>please select a BUG ID</v>
      </c>
      <c r="C858" s="107" t="str">
        <f>IFERROR(VLOOKUP(A858,Internal_lists_bugs!$A$2:$X1014,24,FALSE()),"please select a BUG ID")</f>
        <v>please select a BUG ID</v>
      </c>
      <c r="E858" s="49"/>
      <c r="F858" s="102"/>
      <c r="H858" s="49"/>
      <c r="I858" s="102"/>
      <c r="J858" s="51"/>
    </row>
    <row r="859">
      <c r="A859" s="43"/>
      <c r="B859" s="106" t="str">
        <f>IFERROR(HYPERLINK(VLOOKUP(A859,Internal_lists_bugs!$A$2:$G1014,7,FALSE()),"Intro.Issues: "&amp;VLOOKUP(A859,Internal_lists_bugs!$A$2:$P1014,16,FALSE())),"please select a BUG ID")</f>
        <v>please select a BUG ID</v>
      </c>
      <c r="C859" s="107" t="str">
        <f>IFERROR(VLOOKUP(A859,Internal_lists_bugs!$A$2:$X1014,24,FALSE()),"please select a BUG ID")</f>
        <v>please select a BUG ID</v>
      </c>
      <c r="E859" s="49"/>
      <c r="F859" s="102"/>
      <c r="H859" s="49"/>
      <c r="I859" s="102"/>
      <c r="J859" s="51"/>
    </row>
    <row r="860">
      <c r="A860" s="43"/>
      <c r="B860" s="106" t="str">
        <f>IFERROR(HYPERLINK(VLOOKUP(A860,Internal_lists_bugs!$A$2:$G1014,7,FALSE()),"Intro.Issues: "&amp;VLOOKUP(A860,Internal_lists_bugs!$A$2:$P1014,16,FALSE())),"please select a BUG ID")</f>
        <v>please select a BUG ID</v>
      </c>
      <c r="C860" s="107" t="str">
        <f>IFERROR(VLOOKUP(A860,Internal_lists_bugs!$A$2:$X1014,24,FALSE()),"please select a BUG ID")</f>
        <v>please select a BUG ID</v>
      </c>
      <c r="E860" s="49"/>
      <c r="F860" s="102"/>
      <c r="H860" s="49"/>
      <c r="I860" s="102"/>
      <c r="J860" s="51"/>
    </row>
    <row r="861">
      <c r="A861" s="43"/>
      <c r="B861" s="106" t="str">
        <f>IFERROR(HYPERLINK(VLOOKUP(A861,Internal_lists_bugs!$A$2:$G1014,7,FALSE()),"Intro.Issues: "&amp;VLOOKUP(A861,Internal_lists_bugs!$A$2:$P1014,16,FALSE())),"please select a BUG ID")</f>
        <v>please select a BUG ID</v>
      </c>
      <c r="C861" s="107" t="str">
        <f>IFERROR(VLOOKUP(A861,Internal_lists_bugs!$A$2:$X1014,24,FALSE()),"please select a BUG ID")</f>
        <v>please select a BUG ID</v>
      </c>
      <c r="E861" s="49"/>
      <c r="F861" s="102"/>
      <c r="H861" s="49"/>
      <c r="I861" s="102"/>
      <c r="J861" s="51"/>
    </row>
    <row r="862">
      <c r="A862" s="43"/>
      <c r="B862" s="106" t="str">
        <f>IFERROR(HYPERLINK(VLOOKUP(A862,Internal_lists_bugs!$A$2:$G1014,7,FALSE()),"Intro.Issues: "&amp;VLOOKUP(A862,Internal_lists_bugs!$A$2:$P1014,16,FALSE())),"please select a BUG ID")</f>
        <v>please select a BUG ID</v>
      </c>
      <c r="C862" s="107" t="str">
        <f>IFERROR(VLOOKUP(A862,Internal_lists_bugs!$A$2:$X1014,24,FALSE()),"please select a BUG ID")</f>
        <v>please select a BUG ID</v>
      </c>
      <c r="E862" s="49"/>
      <c r="F862" s="102"/>
      <c r="H862" s="49"/>
      <c r="I862" s="102"/>
      <c r="J862" s="51"/>
    </row>
    <row r="863">
      <c r="A863" s="43"/>
      <c r="B863" s="106" t="str">
        <f>IFERROR(HYPERLINK(VLOOKUP(A863,Internal_lists_bugs!$A$2:$G1014,7,FALSE()),"Intro.Issues: "&amp;VLOOKUP(A863,Internal_lists_bugs!$A$2:$P1014,16,FALSE())),"please select a BUG ID")</f>
        <v>please select a BUG ID</v>
      </c>
      <c r="C863" s="107" t="str">
        <f>IFERROR(VLOOKUP(A863,Internal_lists_bugs!$A$2:$X1014,24,FALSE()),"please select a BUG ID")</f>
        <v>please select a BUG ID</v>
      </c>
      <c r="E863" s="49"/>
      <c r="F863" s="102"/>
      <c r="H863" s="49"/>
      <c r="I863" s="102"/>
      <c r="J863" s="51"/>
    </row>
    <row r="864">
      <c r="A864" s="43"/>
      <c r="B864" s="106" t="str">
        <f>IFERROR(HYPERLINK(VLOOKUP(A864,Internal_lists_bugs!$A$2:$G1014,7,FALSE()),"Intro.Issues: "&amp;VLOOKUP(A864,Internal_lists_bugs!$A$2:$P1014,16,FALSE())),"please select a BUG ID")</f>
        <v>please select a BUG ID</v>
      </c>
      <c r="C864" s="107" t="str">
        <f>IFERROR(VLOOKUP(A864,Internal_lists_bugs!$A$2:$X1014,24,FALSE()),"please select a BUG ID")</f>
        <v>please select a BUG ID</v>
      </c>
      <c r="E864" s="49"/>
      <c r="F864" s="102"/>
      <c r="H864" s="49"/>
      <c r="I864" s="102"/>
      <c r="J864" s="51"/>
    </row>
    <row r="865">
      <c r="A865" s="43"/>
      <c r="B865" s="106" t="str">
        <f>IFERROR(HYPERLINK(VLOOKUP(A865,Internal_lists_bugs!$A$2:$G1014,7,FALSE()),"Intro.Issues: "&amp;VLOOKUP(A865,Internal_lists_bugs!$A$2:$P1014,16,FALSE())),"please select a BUG ID")</f>
        <v>please select a BUG ID</v>
      </c>
      <c r="C865" s="107" t="str">
        <f>IFERROR(VLOOKUP(A865,Internal_lists_bugs!$A$2:$X1014,24,FALSE()),"please select a BUG ID")</f>
        <v>please select a BUG ID</v>
      </c>
      <c r="E865" s="49"/>
      <c r="F865" s="102"/>
      <c r="H865" s="49"/>
      <c r="I865" s="102"/>
      <c r="J865" s="51"/>
    </row>
    <row r="866">
      <c r="A866" s="43"/>
      <c r="B866" s="106" t="str">
        <f>IFERROR(HYPERLINK(VLOOKUP(A866,Internal_lists_bugs!$A$2:$G1014,7,FALSE()),"Intro.Issues: "&amp;VLOOKUP(A866,Internal_lists_bugs!$A$2:$P1014,16,FALSE())),"please select a BUG ID")</f>
        <v>please select a BUG ID</v>
      </c>
      <c r="C866" s="107" t="str">
        <f>IFERROR(VLOOKUP(A866,Internal_lists_bugs!$A$2:$X1014,24,FALSE()),"please select a BUG ID")</f>
        <v>please select a BUG ID</v>
      </c>
      <c r="E866" s="49"/>
      <c r="F866" s="102"/>
      <c r="H866" s="49"/>
      <c r="I866" s="102"/>
      <c r="J866" s="51"/>
    </row>
    <row r="867">
      <c r="A867" s="43"/>
      <c r="B867" s="106" t="str">
        <f>IFERROR(HYPERLINK(VLOOKUP(A867,Internal_lists_bugs!$A$2:$G1014,7,FALSE()),"Intro.Issues: "&amp;VLOOKUP(A867,Internal_lists_bugs!$A$2:$P1014,16,FALSE())),"please select a BUG ID")</f>
        <v>please select a BUG ID</v>
      </c>
      <c r="C867" s="107" t="str">
        <f>IFERROR(VLOOKUP(A867,Internal_lists_bugs!$A$2:$X1014,24,FALSE()),"please select a BUG ID")</f>
        <v>please select a BUG ID</v>
      </c>
      <c r="E867" s="49"/>
      <c r="F867" s="102"/>
      <c r="H867" s="49"/>
      <c r="I867" s="102"/>
      <c r="J867" s="51"/>
    </row>
    <row r="868">
      <c r="A868" s="43"/>
      <c r="B868" s="106" t="str">
        <f>IFERROR(HYPERLINK(VLOOKUP(A868,Internal_lists_bugs!$A$2:$G1014,7,FALSE()),"Intro.Issues: "&amp;VLOOKUP(A868,Internal_lists_bugs!$A$2:$P1014,16,FALSE())),"please select a BUG ID")</f>
        <v>please select a BUG ID</v>
      </c>
      <c r="C868" s="107" t="str">
        <f>IFERROR(VLOOKUP(A868,Internal_lists_bugs!$A$2:$X1014,24,FALSE()),"please select a BUG ID")</f>
        <v>please select a BUG ID</v>
      </c>
      <c r="E868" s="49"/>
      <c r="F868" s="102"/>
      <c r="H868" s="49"/>
      <c r="I868" s="102"/>
      <c r="J868" s="51"/>
    </row>
    <row r="869">
      <c r="A869" s="43"/>
      <c r="B869" s="106" t="str">
        <f>IFERROR(HYPERLINK(VLOOKUP(A869,Internal_lists_bugs!$A$2:$G1014,7,FALSE()),"Intro.Issues: "&amp;VLOOKUP(A869,Internal_lists_bugs!$A$2:$P1014,16,FALSE())),"please select a BUG ID")</f>
        <v>please select a BUG ID</v>
      </c>
      <c r="C869" s="107" t="str">
        <f>IFERROR(VLOOKUP(A869,Internal_lists_bugs!$A$2:$X1014,24,FALSE()),"please select a BUG ID")</f>
        <v>please select a BUG ID</v>
      </c>
      <c r="E869" s="49"/>
      <c r="F869" s="102"/>
      <c r="H869" s="49"/>
      <c r="I869" s="102"/>
      <c r="J869" s="51"/>
    </row>
    <row r="870">
      <c r="A870" s="43"/>
      <c r="B870" s="106" t="str">
        <f>IFERROR(HYPERLINK(VLOOKUP(A870,Internal_lists_bugs!$A$2:$G1014,7,FALSE()),"Intro.Issues: "&amp;VLOOKUP(A870,Internal_lists_bugs!$A$2:$P1014,16,FALSE())),"please select a BUG ID")</f>
        <v>please select a BUG ID</v>
      </c>
      <c r="C870" s="107" t="str">
        <f>IFERROR(VLOOKUP(A870,Internal_lists_bugs!$A$2:$X1014,24,FALSE()),"please select a BUG ID")</f>
        <v>please select a BUG ID</v>
      </c>
      <c r="E870" s="49"/>
      <c r="F870" s="102"/>
      <c r="H870" s="49"/>
      <c r="I870" s="102"/>
      <c r="J870" s="51"/>
    </row>
    <row r="871">
      <c r="A871" s="43"/>
      <c r="B871" s="106" t="str">
        <f>IFERROR(HYPERLINK(VLOOKUP(A871,Internal_lists_bugs!$A$2:$G1014,7,FALSE()),"Intro.Issues: "&amp;VLOOKUP(A871,Internal_lists_bugs!$A$2:$P1014,16,FALSE())),"please select a BUG ID")</f>
        <v>please select a BUG ID</v>
      </c>
      <c r="C871" s="107" t="str">
        <f>IFERROR(VLOOKUP(A871,Internal_lists_bugs!$A$2:$X1014,24,FALSE()),"please select a BUG ID")</f>
        <v>please select a BUG ID</v>
      </c>
      <c r="E871" s="49"/>
      <c r="F871" s="102"/>
      <c r="H871" s="49"/>
      <c r="I871" s="102"/>
      <c r="J871" s="51"/>
    </row>
    <row r="872">
      <c r="A872" s="43"/>
      <c r="B872" s="106" t="str">
        <f>IFERROR(HYPERLINK(VLOOKUP(A872,Internal_lists_bugs!$A$2:$G1014,7,FALSE()),"Intro.Issues: "&amp;VLOOKUP(A872,Internal_lists_bugs!$A$2:$P1014,16,FALSE())),"please select a BUG ID")</f>
        <v>please select a BUG ID</v>
      </c>
      <c r="C872" s="107" t="str">
        <f>IFERROR(VLOOKUP(A872,Internal_lists_bugs!$A$2:$X1014,24,FALSE()),"please select a BUG ID")</f>
        <v>please select a BUG ID</v>
      </c>
      <c r="E872" s="49"/>
      <c r="F872" s="102"/>
      <c r="H872" s="49"/>
      <c r="I872" s="102"/>
      <c r="J872" s="51"/>
    </row>
    <row r="873">
      <c r="A873" s="43"/>
      <c r="B873" s="106" t="str">
        <f>IFERROR(HYPERLINK(VLOOKUP(A873,Internal_lists_bugs!$A$2:$G1014,7,FALSE()),"Intro.Issues: "&amp;VLOOKUP(A873,Internal_lists_bugs!$A$2:$P1014,16,FALSE())),"please select a BUG ID")</f>
        <v>please select a BUG ID</v>
      </c>
      <c r="C873" s="107" t="str">
        <f>IFERROR(VLOOKUP(A873,Internal_lists_bugs!$A$2:$X1014,24,FALSE()),"please select a BUG ID")</f>
        <v>please select a BUG ID</v>
      </c>
      <c r="E873" s="49"/>
      <c r="F873" s="102"/>
      <c r="H873" s="49"/>
      <c r="I873" s="102"/>
      <c r="J873" s="51"/>
    </row>
    <row r="874">
      <c r="A874" s="43"/>
      <c r="B874" s="106" t="str">
        <f>IFERROR(HYPERLINK(VLOOKUP(A874,Internal_lists_bugs!$A$2:$G1014,7,FALSE()),"Intro.Issues: "&amp;VLOOKUP(A874,Internal_lists_bugs!$A$2:$P1014,16,FALSE())),"please select a BUG ID")</f>
        <v>please select a BUG ID</v>
      </c>
      <c r="C874" s="107" t="str">
        <f>IFERROR(VLOOKUP(A874,Internal_lists_bugs!$A$2:$X1014,24,FALSE()),"please select a BUG ID")</f>
        <v>please select a BUG ID</v>
      </c>
      <c r="E874" s="49"/>
      <c r="F874" s="102"/>
      <c r="H874" s="49"/>
      <c r="I874" s="102"/>
      <c r="J874" s="51"/>
    </row>
    <row r="875">
      <c r="A875" s="43"/>
      <c r="B875" s="106" t="str">
        <f>IFERROR(HYPERLINK(VLOOKUP(A875,Internal_lists_bugs!$A$2:$G1014,7,FALSE()),"Intro.Issues: "&amp;VLOOKUP(A875,Internal_lists_bugs!$A$2:$P1014,16,FALSE())),"please select a BUG ID")</f>
        <v>please select a BUG ID</v>
      </c>
      <c r="C875" s="107" t="str">
        <f>IFERROR(VLOOKUP(A875,Internal_lists_bugs!$A$2:$X1014,24,FALSE()),"please select a BUG ID")</f>
        <v>please select a BUG ID</v>
      </c>
      <c r="E875" s="49"/>
      <c r="F875" s="102"/>
      <c r="H875" s="49"/>
      <c r="I875" s="102"/>
      <c r="J875" s="51"/>
    </row>
    <row r="876">
      <c r="A876" s="43"/>
      <c r="B876" s="106" t="str">
        <f>IFERROR(HYPERLINK(VLOOKUP(A876,Internal_lists_bugs!$A$2:$G1014,7,FALSE()),"Intro.Issues: "&amp;VLOOKUP(A876,Internal_lists_bugs!$A$2:$P1014,16,FALSE())),"please select a BUG ID")</f>
        <v>please select a BUG ID</v>
      </c>
      <c r="C876" s="107" t="str">
        <f>IFERROR(VLOOKUP(A876,Internal_lists_bugs!$A$2:$X1014,24,FALSE()),"please select a BUG ID")</f>
        <v>please select a BUG ID</v>
      </c>
      <c r="E876" s="49"/>
      <c r="F876" s="102"/>
      <c r="H876" s="49"/>
      <c r="I876" s="102"/>
      <c r="J876" s="51"/>
    </row>
    <row r="877">
      <c r="A877" s="43"/>
      <c r="B877" s="106" t="str">
        <f>IFERROR(HYPERLINK(VLOOKUP(A877,Internal_lists_bugs!$A$2:$G1014,7,FALSE()),"Intro.Issues: "&amp;VLOOKUP(A877,Internal_lists_bugs!$A$2:$P1014,16,FALSE())),"please select a BUG ID")</f>
        <v>please select a BUG ID</v>
      </c>
      <c r="C877" s="107" t="str">
        <f>IFERROR(VLOOKUP(A877,Internal_lists_bugs!$A$2:$X1014,24,FALSE()),"please select a BUG ID")</f>
        <v>please select a BUG ID</v>
      </c>
      <c r="E877" s="49"/>
      <c r="F877" s="102"/>
      <c r="H877" s="49"/>
      <c r="I877" s="102"/>
      <c r="J877" s="51"/>
    </row>
    <row r="878">
      <c r="A878" s="43"/>
      <c r="B878" s="106" t="str">
        <f>IFERROR(HYPERLINK(VLOOKUP(A878,Internal_lists_bugs!$A$2:$G1014,7,FALSE()),"Intro.Issues: "&amp;VLOOKUP(A878,Internal_lists_bugs!$A$2:$P1014,16,FALSE())),"please select a BUG ID")</f>
        <v>please select a BUG ID</v>
      </c>
      <c r="C878" s="107" t="str">
        <f>IFERROR(VLOOKUP(A878,Internal_lists_bugs!$A$2:$X1014,24,FALSE()),"please select a BUG ID")</f>
        <v>please select a BUG ID</v>
      </c>
      <c r="E878" s="49"/>
      <c r="F878" s="102"/>
      <c r="H878" s="49"/>
      <c r="I878" s="102"/>
      <c r="J878" s="51"/>
    </row>
    <row r="879">
      <c r="A879" s="43"/>
      <c r="B879" s="106" t="str">
        <f>IFERROR(HYPERLINK(VLOOKUP(A879,Internal_lists_bugs!$A$2:$G1014,7,FALSE()),"Intro.Issues: "&amp;VLOOKUP(A879,Internal_lists_bugs!$A$2:$P1014,16,FALSE())),"please select a BUG ID")</f>
        <v>please select a BUG ID</v>
      </c>
      <c r="C879" s="107" t="str">
        <f>IFERROR(VLOOKUP(A879,Internal_lists_bugs!$A$2:$X1014,24,FALSE()),"please select a BUG ID")</f>
        <v>please select a BUG ID</v>
      </c>
      <c r="E879" s="49"/>
      <c r="F879" s="102"/>
      <c r="H879" s="49"/>
      <c r="I879" s="102"/>
      <c r="J879" s="51"/>
    </row>
    <row r="880">
      <c r="A880" s="43"/>
      <c r="B880" s="106" t="str">
        <f>IFERROR(HYPERLINK(VLOOKUP(A880,Internal_lists_bugs!$A$2:$G1014,7,FALSE()),"Intro.Issues: "&amp;VLOOKUP(A880,Internal_lists_bugs!$A$2:$P1014,16,FALSE())),"please select a BUG ID")</f>
        <v>please select a BUG ID</v>
      </c>
      <c r="C880" s="107" t="str">
        <f>IFERROR(VLOOKUP(A880,Internal_lists_bugs!$A$2:$X1014,24,FALSE()),"please select a BUG ID")</f>
        <v>please select a BUG ID</v>
      </c>
      <c r="E880" s="49"/>
      <c r="F880" s="102"/>
      <c r="H880" s="49"/>
      <c r="I880" s="102"/>
      <c r="J880" s="51"/>
    </row>
    <row r="881">
      <c r="A881" s="43"/>
      <c r="B881" s="106" t="str">
        <f>IFERROR(HYPERLINK(VLOOKUP(A881,Internal_lists_bugs!$A$2:$G1014,7,FALSE()),"Intro.Issues: "&amp;VLOOKUP(A881,Internal_lists_bugs!$A$2:$P1014,16,FALSE())),"please select a BUG ID")</f>
        <v>please select a BUG ID</v>
      </c>
      <c r="C881" s="107" t="str">
        <f>IFERROR(VLOOKUP(A881,Internal_lists_bugs!$A$2:$X1014,24,FALSE()),"please select a BUG ID")</f>
        <v>please select a BUG ID</v>
      </c>
      <c r="E881" s="49"/>
      <c r="F881" s="102"/>
      <c r="H881" s="49"/>
      <c r="I881" s="102"/>
      <c r="J881" s="51"/>
    </row>
    <row r="882">
      <c r="A882" s="43"/>
      <c r="B882" s="106" t="str">
        <f>IFERROR(HYPERLINK(VLOOKUP(A882,Internal_lists_bugs!$A$2:$G1014,7,FALSE()),"Intro.Issues: "&amp;VLOOKUP(A882,Internal_lists_bugs!$A$2:$P1014,16,FALSE())),"please select a BUG ID")</f>
        <v>please select a BUG ID</v>
      </c>
      <c r="C882" s="107" t="str">
        <f>IFERROR(VLOOKUP(A882,Internal_lists_bugs!$A$2:$X1014,24,FALSE()),"please select a BUG ID")</f>
        <v>please select a BUG ID</v>
      </c>
      <c r="E882" s="49"/>
      <c r="F882" s="102"/>
      <c r="H882" s="49"/>
      <c r="I882" s="102"/>
      <c r="J882" s="51"/>
    </row>
    <row r="883">
      <c r="A883" s="43"/>
      <c r="B883" s="106" t="str">
        <f>IFERROR(HYPERLINK(VLOOKUP(A883,Internal_lists_bugs!$A$2:$G1014,7,FALSE()),"Intro.Issues: "&amp;VLOOKUP(A883,Internal_lists_bugs!$A$2:$P1014,16,FALSE())),"please select a BUG ID")</f>
        <v>please select a BUG ID</v>
      </c>
      <c r="C883" s="107" t="str">
        <f>IFERROR(VLOOKUP(A883,Internal_lists_bugs!$A$2:$X1014,24,FALSE()),"please select a BUG ID")</f>
        <v>please select a BUG ID</v>
      </c>
      <c r="E883" s="49"/>
      <c r="F883" s="102"/>
      <c r="H883" s="49"/>
      <c r="I883" s="102"/>
      <c r="J883" s="51"/>
    </row>
    <row r="884">
      <c r="A884" s="43"/>
      <c r="B884" s="106" t="str">
        <f>IFERROR(HYPERLINK(VLOOKUP(A884,Internal_lists_bugs!$A$2:$G1014,7,FALSE()),"Intro.Issues: "&amp;VLOOKUP(A884,Internal_lists_bugs!$A$2:$P1014,16,FALSE())),"please select a BUG ID")</f>
        <v>please select a BUG ID</v>
      </c>
      <c r="C884" s="107" t="str">
        <f>IFERROR(VLOOKUP(A884,Internal_lists_bugs!$A$2:$X1014,24,FALSE()),"please select a BUG ID")</f>
        <v>please select a BUG ID</v>
      </c>
      <c r="E884" s="49"/>
      <c r="F884" s="102"/>
      <c r="H884" s="49"/>
      <c r="I884" s="102"/>
      <c r="J884" s="51"/>
    </row>
    <row r="885">
      <c r="A885" s="43"/>
      <c r="B885" s="106" t="str">
        <f>IFERROR(HYPERLINK(VLOOKUP(A885,Internal_lists_bugs!$A$2:$G1014,7,FALSE()),"Intro.Issues: "&amp;VLOOKUP(A885,Internal_lists_bugs!$A$2:$P1014,16,FALSE())),"please select a BUG ID")</f>
        <v>please select a BUG ID</v>
      </c>
      <c r="C885" s="107" t="str">
        <f>IFERROR(VLOOKUP(A885,Internal_lists_bugs!$A$2:$X1014,24,FALSE()),"please select a BUG ID")</f>
        <v>please select a BUG ID</v>
      </c>
      <c r="E885" s="49"/>
      <c r="F885" s="102"/>
      <c r="H885" s="49"/>
      <c r="I885" s="102"/>
      <c r="J885" s="51"/>
    </row>
    <row r="886">
      <c r="A886" s="43"/>
      <c r="B886" s="106" t="str">
        <f>IFERROR(HYPERLINK(VLOOKUP(A886,Internal_lists_bugs!$A$2:$G1014,7,FALSE()),"Intro.Issues: "&amp;VLOOKUP(A886,Internal_lists_bugs!$A$2:$P1014,16,FALSE())),"please select a BUG ID")</f>
        <v>please select a BUG ID</v>
      </c>
      <c r="C886" s="107" t="str">
        <f>IFERROR(VLOOKUP(A886,Internal_lists_bugs!$A$2:$X1014,24,FALSE()),"please select a BUG ID")</f>
        <v>please select a BUG ID</v>
      </c>
      <c r="E886" s="49"/>
      <c r="F886" s="102"/>
      <c r="H886" s="49"/>
      <c r="I886" s="102"/>
      <c r="J886" s="51"/>
    </row>
    <row r="887">
      <c r="A887" s="43"/>
      <c r="B887" s="106" t="str">
        <f>IFERROR(HYPERLINK(VLOOKUP(A887,Internal_lists_bugs!$A$2:$G1014,7,FALSE()),"Intro.Issues: "&amp;VLOOKUP(A887,Internal_lists_bugs!$A$2:$P1014,16,FALSE())),"please select a BUG ID")</f>
        <v>please select a BUG ID</v>
      </c>
      <c r="C887" s="107" t="str">
        <f>IFERROR(VLOOKUP(A887,Internal_lists_bugs!$A$2:$X1014,24,FALSE()),"please select a BUG ID")</f>
        <v>please select a BUG ID</v>
      </c>
      <c r="E887" s="49"/>
      <c r="F887" s="102"/>
      <c r="H887" s="49"/>
      <c r="I887" s="102"/>
      <c r="J887" s="51"/>
    </row>
    <row r="888">
      <c r="A888" s="43"/>
      <c r="B888" s="106" t="str">
        <f>IFERROR(HYPERLINK(VLOOKUP(A888,Internal_lists_bugs!$A$2:$G1014,7,FALSE()),"Intro.Issues: "&amp;VLOOKUP(A888,Internal_lists_bugs!$A$2:$P1014,16,FALSE())),"please select a BUG ID")</f>
        <v>please select a BUG ID</v>
      </c>
      <c r="C888" s="107" t="str">
        <f>IFERROR(VLOOKUP(A888,Internal_lists_bugs!$A$2:$X1014,24,FALSE()),"please select a BUG ID")</f>
        <v>please select a BUG ID</v>
      </c>
      <c r="E888" s="49"/>
      <c r="F888" s="102"/>
      <c r="H888" s="49"/>
      <c r="I888" s="102"/>
      <c r="J888" s="51"/>
    </row>
    <row r="889">
      <c r="A889" s="43"/>
      <c r="B889" s="106" t="str">
        <f>IFERROR(HYPERLINK(VLOOKUP(A889,Internal_lists_bugs!$A$2:$G1014,7,FALSE()),"Intro.Issues: "&amp;VLOOKUP(A889,Internal_lists_bugs!$A$2:$P1014,16,FALSE())),"please select a BUG ID")</f>
        <v>please select a BUG ID</v>
      </c>
      <c r="C889" s="107" t="str">
        <f>IFERROR(VLOOKUP(A889,Internal_lists_bugs!$A$2:$X1014,24,FALSE()),"please select a BUG ID")</f>
        <v>please select a BUG ID</v>
      </c>
      <c r="E889" s="49"/>
      <c r="F889" s="102"/>
      <c r="H889" s="49"/>
      <c r="I889" s="102"/>
      <c r="J889" s="51"/>
    </row>
    <row r="890">
      <c r="A890" s="43"/>
      <c r="B890" s="106" t="str">
        <f>IFERROR(HYPERLINK(VLOOKUP(A890,Internal_lists_bugs!$A$2:$G1014,7,FALSE()),"Intro.Issues: "&amp;VLOOKUP(A890,Internal_lists_bugs!$A$2:$P1014,16,FALSE())),"please select a BUG ID")</f>
        <v>please select a BUG ID</v>
      </c>
      <c r="C890" s="107" t="str">
        <f>IFERROR(VLOOKUP(A890,Internal_lists_bugs!$A$2:$X1014,24,FALSE()),"please select a BUG ID")</f>
        <v>please select a BUG ID</v>
      </c>
      <c r="E890" s="49"/>
      <c r="F890" s="102"/>
      <c r="H890" s="49"/>
      <c r="I890" s="102"/>
      <c r="J890" s="51"/>
    </row>
    <row r="891">
      <c r="A891" s="43"/>
      <c r="B891" s="106" t="str">
        <f>IFERROR(HYPERLINK(VLOOKUP(A891,Internal_lists_bugs!$A$2:$G1014,7,FALSE()),"Intro.Issues: "&amp;VLOOKUP(A891,Internal_lists_bugs!$A$2:$P1014,16,FALSE())),"please select a BUG ID")</f>
        <v>please select a BUG ID</v>
      </c>
      <c r="C891" s="107" t="str">
        <f>IFERROR(VLOOKUP(A891,Internal_lists_bugs!$A$2:$X1014,24,FALSE()),"please select a BUG ID")</f>
        <v>please select a BUG ID</v>
      </c>
      <c r="E891" s="49"/>
      <c r="F891" s="102"/>
      <c r="H891" s="49"/>
      <c r="I891" s="102"/>
      <c r="J891" s="51"/>
    </row>
    <row r="892">
      <c r="A892" s="43"/>
      <c r="B892" s="106" t="str">
        <f>IFERROR(HYPERLINK(VLOOKUP(A892,Internal_lists_bugs!$A$2:$G1014,7,FALSE()),"Intro.Issues: "&amp;VLOOKUP(A892,Internal_lists_bugs!$A$2:$P1014,16,FALSE())),"please select a BUG ID")</f>
        <v>please select a BUG ID</v>
      </c>
      <c r="C892" s="107" t="str">
        <f>IFERROR(VLOOKUP(A892,Internal_lists_bugs!$A$2:$X1014,24,FALSE()),"please select a BUG ID")</f>
        <v>please select a BUG ID</v>
      </c>
      <c r="E892" s="49"/>
      <c r="F892" s="102"/>
      <c r="H892" s="49"/>
      <c r="I892" s="102"/>
      <c r="J892" s="51"/>
    </row>
    <row r="893">
      <c r="A893" s="43"/>
      <c r="B893" s="106" t="str">
        <f>IFERROR(HYPERLINK(VLOOKUP(A893,Internal_lists_bugs!$A$2:$G1014,7,FALSE()),"Intro.Issues: "&amp;VLOOKUP(A893,Internal_lists_bugs!$A$2:$P1014,16,FALSE())),"please select a BUG ID")</f>
        <v>please select a BUG ID</v>
      </c>
      <c r="C893" s="107" t="str">
        <f>IFERROR(VLOOKUP(A893,Internal_lists_bugs!$A$2:$X1014,24,FALSE()),"please select a BUG ID")</f>
        <v>please select a BUG ID</v>
      </c>
      <c r="E893" s="49"/>
      <c r="F893" s="102"/>
      <c r="H893" s="49"/>
      <c r="I893" s="102"/>
      <c r="J893" s="51"/>
    </row>
    <row r="894">
      <c r="A894" s="43"/>
      <c r="B894" s="106" t="str">
        <f>IFERROR(HYPERLINK(VLOOKUP(A894,Internal_lists_bugs!$A$2:$G1014,7,FALSE()),"Intro.Issues: "&amp;VLOOKUP(A894,Internal_lists_bugs!$A$2:$P1014,16,FALSE())),"please select a BUG ID")</f>
        <v>please select a BUG ID</v>
      </c>
      <c r="C894" s="107" t="str">
        <f>IFERROR(VLOOKUP(A894,Internal_lists_bugs!$A$2:$X1014,24,FALSE()),"please select a BUG ID")</f>
        <v>please select a BUG ID</v>
      </c>
      <c r="E894" s="49"/>
      <c r="F894" s="102"/>
      <c r="H894" s="49"/>
      <c r="I894" s="102"/>
      <c r="J894" s="51"/>
    </row>
    <row r="895">
      <c r="A895" s="43"/>
      <c r="B895" s="106" t="str">
        <f>IFERROR(HYPERLINK(VLOOKUP(A895,Internal_lists_bugs!$A$2:$G1014,7,FALSE()),"Intro.Issues: "&amp;VLOOKUP(A895,Internal_lists_bugs!$A$2:$P1014,16,FALSE())),"please select a BUG ID")</f>
        <v>please select a BUG ID</v>
      </c>
      <c r="C895" s="107" t="str">
        <f>IFERROR(VLOOKUP(A895,Internal_lists_bugs!$A$2:$X1014,24,FALSE()),"please select a BUG ID")</f>
        <v>please select a BUG ID</v>
      </c>
      <c r="E895" s="49"/>
      <c r="F895" s="102"/>
      <c r="H895" s="49"/>
      <c r="I895" s="102"/>
      <c r="J895" s="51"/>
    </row>
    <row r="896">
      <c r="A896" s="43"/>
      <c r="B896" s="106" t="str">
        <f>IFERROR(HYPERLINK(VLOOKUP(A896,Internal_lists_bugs!$A$2:$G1014,7,FALSE()),"Intro.Issues: "&amp;VLOOKUP(A896,Internal_lists_bugs!$A$2:$P1014,16,FALSE())),"please select a BUG ID")</f>
        <v>please select a BUG ID</v>
      </c>
      <c r="C896" s="107" t="str">
        <f>IFERROR(VLOOKUP(A896,Internal_lists_bugs!$A$2:$X1014,24,FALSE()),"please select a BUG ID")</f>
        <v>please select a BUG ID</v>
      </c>
      <c r="E896" s="49"/>
      <c r="F896" s="102"/>
      <c r="H896" s="49"/>
      <c r="I896" s="102"/>
      <c r="J896" s="51"/>
    </row>
    <row r="897">
      <c r="A897" s="43"/>
      <c r="B897" s="106" t="str">
        <f>IFERROR(HYPERLINK(VLOOKUP(A897,Internal_lists_bugs!$A$2:$G1014,7,FALSE()),"Intro.Issues: "&amp;VLOOKUP(A897,Internal_lists_bugs!$A$2:$P1014,16,FALSE())),"please select a BUG ID")</f>
        <v>please select a BUG ID</v>
      </c>
      <c r="C897" s="107" t="str">
        <f>IFERROR(VLOOKUP(A897,Internal_lists_bugs!$A$2:$X1014,24,FALSE()),"please select a BUG ID")</f>
        <v>please select a BUG ID</v>
      </c>
      <c r="E897" s="49"/>
      <c r="F897" s="102"/>
      <c r="H897" s="49"/>
      <c r="I897" s="102"/>
      <c r="J897" s="51"/>
    </row>
    <row r="898">
      <c r="A898" s="43"/>
      <c r="B898" s="106" t="str">
        <f>IFERROR(HYPERLINK(VLOOKUP(A898,Internal_lists_bugs!$A$2:$G1014,7,FALSE()),"Intro.Issues: "&amp;VLOOKUP(A898,Internal_lists_bugs!$A$2:$P1014,16,FALSE())),"please select a BUG ID")</f>
        <v>please select a BUG ID</v>
      </c>
      <c r="C898" s="107" t="str">
        <f>IFERROR(VLOOKUP(A898,Internal_lists_bugs!$A$2:$X1014,24,FALSE()),"please select a BUG ID")</f>
        <v>please select a BUG ID</v>
      </c>
      <c r="E898" s="49"/>
      <c r="F898" s="102"/>
      <c r="H898" s="49"/>
      <c r="I898" s="102"/>
      <c r="J898" s="51"/>
    </row>
    <row r="899">
      <c r="A899" s="43"/>
      <c r="B899" s="106" t="str">
        <f>IFERROR(HYPERLINK(VLOOKUP(A899,Internal_lists_bugs!$A$2:$G1014,7,FALSE()),"Intro.Issues: "&amp;VLOOKUP(A899,Internal_lists_bugs!$A$2:$P1014,16,FALSE())),"please select a BUG ID")</f>
        <v>please select a BUG ID</v>
      </c>
      <c r="C899" s="107" t="str">
        <f>IFERROR(VLOOKUP(A899,Internal_lists_bugs!$A$2:$X1014,24,FALSE()),"please select a BUG ID")</f>
        <v>please select a BUG ID</v>
      </c>
      <c r="E899" s="49"/>
      <c r="F899" s="102"/>
      <c r="H899" s="49"/>
      <c r="I899" s="102"/>
      <c r="J899" s="51"/>
    </row>
    <row r="900">
      <c r="A900" s="43"/>
      <c r="B900" s="106" t="str">
        <f>IFERROR(HYPERLINK(VLOOKUP(A900,Internal_lists_bugs!$A$2:$G1014,7,FALSE()),"Intro.Issues: "&amp;VLOOKUP(A900,Internal_lists_bugs!$A$2:$P1014,16,FALSE())),"please select a BUG ID")</f>
        <v>please select a BUG ID</v>
      </c>
      <c r="C900" s="107" t="str">
        <f>IFERROR(VLOOKUP(A900,Internal_lists_bugs!$A$2:$X1014,24,FALSE()),"please select a BUG ID")</f>
        <v>please select a BUG ID</v>
      </c>
      <c r="E900" s="49"/>
      <c r="F900" s="102"/>
      <c r="H900" s="49"/>
      <c r="I900" s="102"/>
      <c r="J900" s="51"/>
    </row>
    <row r="901">
      <c r="A901" s="43"/>
      <c r="B901" s="106" t="str">
        <f>IFERROR(HYPERLINK(VLOOKUP(A901,Internal_lists_bugs!$A$2:$G1014,7,FALSE()),"Intro.Issues: "&amp;VLOOKUP(A901,Internal_lists_bugs!$A$2:$P1014,16,FALSE())),"please select a BUG ID")</f>
        <v>please select a BUG ID</v>
      </c>
      <c r="C901" s="107" t="str">
        <f>IFERROR(VLOOKUP(A901,Internal_lists_bugs!$A$2:$X1014,24,FALSE()),"please select a BUG ID")</f>
        <v>please select a BUG ID</v>
      </c>
      <c r="E901" s="49"/>
      <c r="F901" s="102"/>
      <c r="H901" s="49"/>
      <c r="I901" s="102"/>
      <c r="J901" s="51"/>
    </row>
    <row r="902">
      <c r="A902" s="43"/>
      <c r="B902" s="106" t="str">
        <f>IFERROR(HYPERLINK(VLOOKUP(A902,Internal_lists_bugs!$A$2:$G1014,7,FALSE()),"Intro.Issues: "&amp;VLOOKUP(A902,Internal_lists_bugs!$A$2:$P1014,16,FALSE())),"please select a BUG ID")</f>
        <v>please select a BUG ID</v>
      </c>
      <c r="C902" s="107" t="str">
        <f>IFERROR(VLOOKUP(A902,Internal_lists_bugs!$A$2:$X1014,24,FALSE()),"please select a BUG ID")</f>
        <v>please select a BUG ID</v>
      </c>
      <c r="E902" s="49"/>
      <c r="F902" s="102"/>
      <c r="H902" s="49"/>
      <c r="I902" s="102"/>
      <c r="J902" s="51"/>
    </row>
    <row r="903">
      <c r="A903" s="43"/>
      <c r="B903" s="106" t="str">
        <f>IFERROR(HYPERLINK(VLOOKUP(A903,Internal_lists_bugs!$A$2:$G1014,7,FALSE()),"Intro.Issues: "&amp;VLOOKUP(A903,Internal_lists_bugs!$A$2:$P1014,16,FALSE())),"please select a BUG ID")</f>
        <v>please select a BUG ID</v>
      </c>
      <c r="C903" s="107" t="str">
        <f>IFERROR(VLOOKUP(A903,Internal_lists_bugs!$A$2:$X1014,24,FALSE()),"please select a BUG ID")</f>
        <v>please select a BUG ID</v>
      </c>
      <c r="E903" s="49"/>
      <c r="F903" s="102"/>
      <c r="H903" s="49"/>
      <c r="I903" s="102"/>
      <c r="J903" s="51"/>
    </row>
    <row r="904">
      <c r="A904" s="43"/>
      <c r="B904" s="106" t="str">
        <f>IFERROR(HYPERLINK(VLOOKUP(A904,Internal_lists_bugs!$A$2:$G1014,7,FALSE()),"Intro.Issues: "&amp;VLOOKUP(A904,Internal_lists_bugs!$A$2:$P1014,16,FALSE())),"please select a BUG ID")</f>
        <v>please select a BUG ID</v>
      </c>
      <c r="C904" s="107" t="str">
        <f>IFERROR(VLOOKUP(A904,Internal_lists_bugs!$A$2:$X1014,24,FALSE()),"please select a BUG ID")</f>
        <v>please select a BUG ID</v>
      </c>
      <c r="E904" s="49"/>
      <c r="F904" s="102"/>
      <c r="H904" s="49"/>
      <c r="I904" s="102"/>
      <c r="J904" s="51"/>
    </row>
    <row r="905">
      <c r="A905" s="43"/>
      <c r="B905" s="106" t="str">
        <f>IFERROR(HYPERLINK(VLOOKUP(A905,Internal_lists_bugs!$A$2:$G1014,7,FALSE()),"Intro.Issues: "&amp;VLOOKUP(A905,Internal_lists_bugs!$A$2:$P1014,16,FALSE())),"please select a BUG ID")</f>
        <v>please select a BUG ID</v>
      </c>
      <c r="C905" s="107" t="str">
        <f>IFERROR(VLOOKUP(A905,Internal_lists_bugs!$A$2:$X1014,24,FALSE()),"please select a BUG ID")</f>
        <v>please select a BUG ID</v>
      </c>
      <c r="E905" s="49"/>
      <c r="F905" s="102"/>
      <c r="H905" s="49"/>
      <c r="I905" s="102"/>
      <c r="J905" s="51"/>
    </row>
    <row r="906">
      <c r="A906" s="43"/>
      <c r="B906" s="106" t="str">
        <f>IFERROR(HYPERLINK(VLOOKUP(A906,Internal_lists_bugs!$A$2:$G1014,7,FALSE()),"Intro.Issues: "&amp;VLOOKUP(A906,Internal_lists_bugs!$A$2:$P1014,16,FALSE())),"please select a BUG ID")</f>
        <v>please select a BUG ID</v>
      </c>
      <c r="C906" s="107" t="str">
        <f>IFERROR(VLOOKUP(A906,Internal_lists_bugs!$A$2:$X1014,24,FALSE()),"please select a BUG ID")</f>
        <v>please select a BUG ID</v>
      </c>
      <c r="E906" s="49"/>
      <c r="F906" s="102"/>
      <c r="H906" s="49"/>
      <c r="I906" s="102"/>
      <c r="J906" s="51"/>
    </row>
    <row r="907">
      <c r="A907" s="43"/>
      <c r="B907" s="106" t="str">
        <f>IFERROR(HYPERLINK(VLOOKUP(A907,Internal_lists_bugs!$A$2:$G1014,7,FALSE()),"Intro.Issues: "&amp;VLOOKUP(A907,Internal_lists_bugs!$A$2:$P1014,16,FALSE())),"please select a BUG ID")</f>
        <v>please select a BUG ID</v>
      </c>
      <c r="C907" s="107" t="str">
        <f>IFERROR(VLOOKUP(A907,Internal_lists_bugs!$A$2:$X1014,24,FALSE()),"please select a BUG ID")</f>
        <v>please select a BUG ID</v>
      </c>
      <c r="E907" s="49"/>
      <c r="F907" s="102"/>
      <c r="H907" s="49"/>
      <c r="I907" s="102"/>
      <c r="J907" s="51"/>
    </row>
    <row r="908">
      <c r="A908" s="43"/>
      <c r="B908" s="106" t="str">
        <f>IFERROR(HYPERLINK(VLOOKUP(A908,Internal_lists_bugs!$A$2:$G1014,7,FALSE()),"Intro.Issues: "&amp;VLOOKUP(A908,Internal_lists_bugs!$A$2:$P1014,16,FALSE())),"please select a BUG ID")</f>
        <v>please select a BUG ID</v>
      </c>
      <c r="C908" s="107" t="str">
        <f>IFERROR(VLOOKUP(A908,Internal_lists_bugs!$A$2:$X1014,24,FALSE()),"please select a BUG ID")</f>
        <v>please select a BUG ID</v>
      </c>
      <c r="E908" s="49"/>
      <c r="F908" s="102"/>
      <c r="H908" s="49"/>
      <c r="I908" s="102"/>
      <c r="J908" s="51"/>
    </row>
    <row r="909">
      <c r="A909" s="43"/>
      <c r="B909" s="106" t="str">
        <f>IFERROR(HYPERLINK(VLOOKUP(A909,Internal_lists_bugs!$A$2:$G1014,7,FALSE()),"Intro.Issues: "&amp;VLOOKUP(A909,Internal_lists_bugs!$A$2:$P1014,16,FALSE())),"please select a BUG ID")</f>
        <v>please select a BUG ID</v>
      </c>
      <c r="C909" s="107" t="str">
        <f>IFERROR(VLOOKUP(A909,Internal_lists_bugs!$A$2:$X1014,24,FALSE()),"please select a BUG ID")</f>
        <v>please select a BUG ID</v>
      </c>
      <c r="E909" s="49"/>
      <c r="F909" s="102"/>
      <c r="H909" s="49"/>
      <c r="I909" s="102"/>
      <c r="J909" s="51"/>
    </row>
    <row r="910">
      <c r="A910" s="43"/>
      <c r="B910" s="106" t="str">
        <f>IFERROR(HYPERLINK(VLOOKUP(A910,Internal_lists_bugs!$A$2:$G1014,7,FALSE()),"Intro.Issues: "&amp;VLOOKUP(A910,Internal_lists_bugs!$A$2:$P1014,16,FALSE())),"please select a BUG ID")</f>
        <v>please select a BUG ID</v>
      </c>
      <c r="C910" s="107" t="str">
        <f>IFERROR(VLOOKUP(A910,Internal_lists_bugs!$A$2:$X1014,24,FALSE()),"please select a BUG ID")</f>
        <v>please select a BUG ID</v>
      </c>
      <c r="E910" s="49"/>
      <c r="F910" s="102"/>
      <c r="H910" s="49"/>
      <c r="I910" s="102"/>
      <c r="J910" s="51"/>
    </row>
    <row r="911">
      <c r="A911" s="43"/>
      <c r="B911" s="106" t="str">
        <f>IFERROR(HYPERLINK(VLOOKUP(A911,Internal_lists_bugs!$A$2:$G1014,7,FALSE()),"Intro.Issues: "&amp;VLOOKUP(A911,Internal_lists_bugs!$A$2:$P1014,16,FALSE())),"please select a BUG ID")</f>
        <v>please select a BUG ID</v>
      </c>
      <c r="C911" s="107" t="str">
        <f>IFERROR(VLOOKUP(A911,Internal_lists_bugs!$A$2:$X1014,24,FALSE()),"please select a BUG ID")</f>
        <v>please select a BUG ID</v>
      </c>
      <c r="E911" s="49"/>
      <c r="F911" s="102"/>
      <c r="H911" s="49"/>
      <c r="I911" s="102"/>
      <c r="J911" s="51"/>
    </row>
    <row r="912">
      <c r="A912" s="43"/>
      <c r="B912" s="106" t="str">
        <f>IFERROR(HYPERLINK(VLOOKUP(A912,Internal_lists_bugs!$A$2:$G1014,7,FALSE()),"Intro.Issues: "&amp;VLOOKUP(A912,Internal_lists_bugs!$A$2:$P1014,16,FALSE())),"please select a BUG ID")</f>
        <v>please select a BUG ID</v>
      </c>
      <c r="C912" s="107" t="str">
        <f>IFERROR(VLOOKUP(A912,Internal_lists_bugs!$A$2:$X1014,24,FALSE()),"please select a BUG ID")</f>
        <v>please select a BUG ID</v>
      </c>
      <c r="E912" s="49"/>
      <c r="F912" s="102"/>
      <c r="H912" s="49"/>
      <c r="I912" s="102"/>
      <c r="J912" s="51"/>
    </row>
    <row r="913">
      <c r="A913" s="43"/>
      <c r="B913" s="106" t="str">
        <f>IFERROR(HYPERLINK(VLOOKUP(A913,Internal_lists_bugs!$A$2:$G1014,7,FALSE()),"Intro.Issues: "&amp;VLOOKUP(A913,Internal_lists_bugs!$A$2:$P1014,16,FALSE())),"please select a BUG ID")</f>
        <v>please select a BUG ID</v>
      </c>
      <c r="C913" s="107" t="str">
        <f>IFERROR(VLOOKUP(A913,Internal_lists_bugs!$A$2:$X1014,24,FALSE()),"please select a BUG ID")</f>
        <v>please select a BUG ID</v>
      </c>
      <c r="E913" s="49"/>
      <c r="F913" s="102"/>
      <c r="H913" s="49"/>
      <c r="I913" s="102"/>
      <c r="J913" s="51"/>
    </row>
    <row r="914">
      <c r="A914" s="43"/>
      <c r="B914" s="106" t="str">
        <f>IFERROR(HYPERLINK(VLOOKUP(A914,Internal_lists_bugs!$A$2:$G1014,7,FALSE()),"Intro.Issues: "&amp;VLOOKUP(A914,Internal_lists_bugs!$A$2:$P1014,16,FALSE())),"please select a BUG ID")</f>
        <v>please select a BUG ID</v>
      </c>
      <c r="C914" s="107" t="str">
        <f>IFERROR(VLOOKUP(A914,Internal_lists_bugs!$A$2:$X1014,24,FALSE()),"please select a BUG ID")</f>
        <v>please select a BUG ID</v>
      </c>
      <c r="E914" s="49"/>
      <c r="F914" s="102"/>
      <c r="H914" s="49"/>
      <c r="I914" s="102"/>
      <c r="J914" s="51"/>
    </row>
    <row r="915">
      <c r="A915" s="43"/>
      <c r="B915" s="106" t="str">
        <f>IFERROR(HYPERLINK(VLOOKUP(A915,Internal_lists_bugs!$A$2:$G1014,7,FALSE()),"Intro.Issues: "&amp;VLOOKUP(A915,Internal_lists_bugs!$A$2:$P1014,16,FALSE())),"please select a BUG ID")</f>
        <v>please select a BUG ID</v>
      </c>
      <c r="C915" s="107" t="str">
        <f>IFERROR(VLOOKUP(A915,Internal_lists_bugs!$A$2:$X1014,24,FALSE()),"please select a BUG ID")</f>
        <v>please select a BUG ID</v>
      </c>
      <c r="E915" s="49"/>
      <c r="F915" s="102"/>
      <c r="H915" s="49"/>
      <c r="I915" s="102"/>
      <c r="J915" s="51"/>
    </row>
    <row r="916">
      <c r="A916" s="43"/>
      <c r="B916" s="106" t="str">
        <f>IFERROR(HYPERLINK(VLOOKUP(A916,Internal_lists_bugs!$A$2:$G1014,7,FALSE()),"Intro.Issues: "&amp;VLOOKUP(A916,Internal_lists_bugs!$A$2:$P1014,16,FALSE())),"please select a BUG ID")</f>
        <v>please select a BUG ID</v>
      </c>
      <c r="C916" s="107" t="str">
        <f>IFERROR(VLOOKUP(A916,Internal_lists_bugs!$A$2:$X1014,24,FALSE()),"please select a BUG ID")</f>
        <v>please select a BUG ID</v>
      </c>
      <c r="E916" s="49"/>
      <c r="F916" s="102"/>
      <c r="H916" s="49"/>
      <c r="I916" s="102"/>
      <c r="J916" s="51"/>
    </row>
    <row r="917">
      <c r="A917" s="43"/>
      <c r="B917" s="106" t="str">
        <f>IFERROR(HYPERLINK(VLOOKUP(A917,Internal_lists_bugs!$A$2:$G1014,7,FALSE()),"Intro.Issues: "&amp;VLOOKUP(A917,Internal_lists_bugs!$A$2:$P1014,16,FALSE())),"please select a BUG ID")</f>
        <v>please select a BUG ID</v>
      </c>
      <c r="C917" s="107" t="str">
        <f>IFERROR(VLOOKUP(A917,Internal_lists_bugs!$A$2:$X1014,24,FALSE()),"please select a BUG ID")</f>
        <v>please select a BUG ID</v>
      </c>
      <c r="E917" s="49"/>
      <c r="F917" s="102"/>
      <c r="H917" s="49"/>
      <c r="I917" s="102"/>
      <c r="J917" s="51"/>
    </row>
    <row r="918">
      <c r="A918" s="43"/>
      <c r="B918" s="106" t="str">
        <f>IFERROR(HYPERLINK(VLOOKUP(A918,Internal_lists_bugs!$A$2:$G1014,7,FALSE()),"Intro.Issues: "&amp;VLOOKUP(A918,Internal_lists_bugs!$A$2:$P1014,16,FALSE())),"please select a BUG ID")</f>
        <v>please select a BUG ID</v>
      </c>
      <c r="C918" s="107" t="str">
        <f>IFERROR(VLOOKUP(A918,Internal_lists_bugs!$A$2:$X1014,24,FALSE()),"please select a BUG ID")</f>
        <v>please select a BUG ID</v>
      </c>
      <c r="E918" s="49"/>
      <c r="F918" s="102"/>
      <c r="H918" s="49"/>
      <c r="I918" s="102"/>
      <c r="J918" s="51"/>
    </row>
    <row r="919">
      <c r="A919" s="43"/>
      <c r="B919" s="106" t="str">
        <f>IFERROR(HYPERLINK(VLOOKUP(A919,Internal_lists_bugs!$A$2:$G1014,7,FALSE()),"Intro.Issues: "&amp;VLOOKUP(A919,Internal_lists_bugs!$A$2:$P1014,16,FALSE())),"please select a BUG ID")</f>
        <v>please select a BUG ID</v>
      </c>
      <c r="C919" s="107" t="str">
        <f>IFERROR(VLOOKUP(A919,Internal_lists_bugs!$A$2:$X1014,24,FALSE()),"please select a BUG ID")</f>
        <v>please select a BUG ID</v>
      </c>
      <c r="E919" s="49"/>
      <c r="F919" s="102"/>
      <c r="H919" s="49"/>
      <c r="I919" s="102"/>
      <c r="J919" s="51"/>
    </row>
    <row r="920">
      <c r="A920" s="43"/>
      <c r="B920" s="106" t="str">
        <f>IFERROR(HYPERLINK(VLOOKUP(A920,Internal_lists_bugs!$A$2:$G1014,7,FALSE()),"Intro.Issues: "&amp;VLOOKUP(A920,Internal_lists_bugs!$A$2:$P1014,16,FALSE())),"please select a BUG ID")</f>
        <v>please select a BUG ID</v>
      </c>
      <c r="C920" s="107" t="str">
        <f>IFERROR(VLOOKUP(A920,Internal_lists_bugs!$A$2:$X1014,24,FALSE()),"please select a BUG ID")</f>
        <v>please select a BUG ID</v>
      </c>
      <c r="E920" s="49"/>
      <c r="F920" s="102"/>
      <c r="H920" s="49"/>
      <c r="I920" s="102"/>
      <c r="J920" s="51"/>
    </row>
    <row r="921">
      <c r="A921" s="43"/>
      <c r="B921" s="106" t="str">
        <f>IFERROR(HYPERLINK(VLOOKUP(A921,Internal_lists_bugs!$A$2:$G1014,7,FALSE()),"Intro.Issues: "&amp;VLOOKUP(A921,Internal_lists_bugs!$A$2:$P1014,16,FALSE())),"please select a BUG ID")</f>
        <v>please select a BUG ID</v>
      </c>
      <c r="C921" s="107" t="str">
        <f>IFERROR(VLOOKUP(A921,Internal_lists_bugs!$A$2:$X1014,24,FALSE()),"please select a BUG ID")</f>
        <v>please select a BUG ID</v>
      </c>
      <c r="E921" s="49"/>
      <c r="F921" s="102"/>
      <c r="H921" s="49"/>
      <c r="I921" s="102"/>
      <c r="J921" s="51"/>
    </row>
    <row r="922">
      <c r="A922" s="43"/>
      <c r="B922" s="106" t="str">
        <f>IFERROR(HYPERLINK(VLOOKUP(A922,Internal_lists_bugs!$A$2:$G1014,7,FALSE()),"Intro.Issues: "&amp;VLOOKUP(A922,Internal_lists_bugs!$A$2:$P1014,16,FALSE())),"please select a BUG ID")</f>
        <v>please select a BUG ID</v>
      </c>
      <c r="C922" s="107" t="str">
        <f>IFERROR(VLOOKUP(A922,Internal_lists_bugs!$A$2:$X1014,24,FALSE()),"please select a BUG ID")</f>
        <v>please select a BUG ID</v>
      </c>
      <c r="E922" s="49"/>
      <c r="F922" s="102"/>
      <c r="H922" s="49"/>
      <c r="I922" s="102"/>
      <c r="J922" s="51"/>
    </row>
    <row r="923">
      <c r="A923" s="43"/>
      <c r="B923" s="106" t="str">
        <f>IFERROR(HYPERLINK(VLOOKUP(A923,Internal_lists_bugs!$A$2:$G1014,7,FALSE()),"Intro.Issues: "&amp;VLOOKUP(A923,Internal_lists_bugs!$A$2:$P1014,16,FALSE())),"please select a BUG ID")</f>
        <v>please select a BUG ID</v>
      </c>
      <c r="C923" s="107" t="str">
        <f>IFERROR(VLOOKUP(A923,Internal_lists_bugs!$A$2:$X1014,24,FALSE()),"please select a BUG ID")</f>
        <v>please select a BUG ID</v>
      </c>
      <c r="E923" s="49"/>
      <c r="F923" s="102"/>
      <c r="H923" s="49"/>
      <c r="I923" s="102"/>
      <c r="J923" s="51"/>
    </row>
    <row r="924">
      <c r="A924" s="43"/>
      <c r="B924" s="106" t="str">
        <f>IFERROR(HYPERLINK(VLOOKUP(A924,Internal_lists_bugs!$A$2:$G1014,7,FALSE()),"Intro.Issues: "&amp;VLOOKUP(A924,Internal_lists_bugs!$A$2:$P1014,16,FALSE())),"please select a BUG ID")</f>
        <v>please select a BUG ID</v>
      </c>
      <c r="C924" s="107" t="str">
        <f>IFERROR(VLOOKUP(A924,Internal_lists_bugs!$A$2:$X1014,24,FALSE()),"please select a BUG ID")</f>
        <v>please select a BUG ID</v>
      </c>
      <c r="E924" s="49"/>
      <c r="F924" s="102"/>
      <c r="H924" s="49"/>
      <c r="I924" s="102"/>
      <c r="J924" s="51"/>
    </row>
    <row r="925">
      <c r="A925" s="43"/>
      <c r="B925" s="106" t="str">
        <f>IFERROR(HYPERLINK(VLOOKUP(A925,Internal_lists_bugs!$A$2:$G1014,7,FALSE()),"Intro.Issues: "&amp;VLOOKUP(A925,Internal_lists_bugs!$A$2:$P1014,16,FALSE())),"please select a BUG ID")</f>
        <v>please select a BUG ID</v>
      </c>
      <c r="C925" s="107" t="str">
        <f>IFERROR(VLOOKUP(A925,Internal_lists_bugs!$A$2:$X1014,24,FALSE()),"please select a BUG ID")</f>
        <v>please select a BUG ID</v>
      </c>
      <c r="E925" s="49"/>
      <c r="F925" s="102"/>
      <c r="H925" s="49"/>
      <c r="I925" s="102"/>
      <c r="J925" s="51"/>
    </row>
    <row r="926">
      <c r="A926" s="43"/>
      <c r="B926" s="106" t="str">
        <f>IFERROR(HYPERLINK(VLOOKUP(A926,Internal_lists_bugs!$A$2:$G1014,7,FALSE()),"Intro.Issues: "&amp;VLOOKUP(A926,Internal_lists_bugs!$A$2:$P1014,16,FALSE())),"please select a BUG ID")</f>
        <v>please select a BUG ID</v>
      </c>
      <c r="C926" s="107" t="str">
        <f>IFERROR(VLOOKUP(A926,Internal_lists_bugs!$A$2:$X1014,24,FALSE()),"please select a BUG ID")</f>
        <v>please select a BUG ID</v>
      </c>
      <c r="E926" s="49"/>
      <c r="F926" s="102"/>
      <c r="H926" s="49"/>
      <c r="I926" s="102"/>
      <c r="J926" s="51"/>
    </row>
    <row r="927">
      <c r="A927" s="43"/>
      <c r="B927" s="106" t="str">
        <f>IFERROR(HYPERLINK(VLOOKUP(A927,Internal_lists_bugs!$A$2:$G1014,7,FALSE()),"Intro.Issues: "&amp;VLOOKUP(A927,Internal_lists_bugs!$A$2:$P1014,16,FALSE())),"please select a BUG ID")</f>
        <v>please select a BUG ID</v>
      </c>
      <c r="C927" s="107" t="str">
        <f>IFERROR(VLOOKUP(A927,Internal_lists_bugs!$A$2:$X1014,24,FALSE()),"please select a BUG ID")</f>
        <v>please select a BUG ID</v>
      </c>
      <c r="E927" s="49"/>
      <c r="F927" s="102"/>
      <c r="H927" s="49"/>
      <c r="I927" s="102"/>
      <c r="J927" s="51"/>
    </row>
    <row r="928">
      <c r="A928" s="43"/>
      <c r="B928" s="106" t="str">
        <f>IFERROR(HYPERLINK(VLOOKUP(A928,Internal_lists_bugs!$A$2:$G1014,7,FALSE()),"Intro.Issues: "&amp;VLOOKUP(A928,Internal_lists_bugs!$A$2:$P1014,16,FALSE())),"please select a BUG ID")</f>
        <v>please select a BUG ID</v>
      </c>
      <c r="C928" s="107" t="str">
        <f>IFERROR(VLOOKUP(A928,Internal_lists_bugs!$A$2:$X1014,24,FALSE()),"please select a BUG ID")</f>
        <v>please select a BUG ID</v>
      </c>
      <c r="E928" s="49"/>
      <c r="F928" s="102"/>
      <c r="H928" s="49"/>
      <c r="I928" s="102"/>
      <c r="J928" s="51"/>
    </row>
    <row r="929">
      <c r="A929" s="43"/>
      <c r="B929" s="106" t="str">
        <f>IFERROR(HYPERLINK(VLOOKUP(A929,Internal_lists_bugs!$A$2:$G1014,7,FALSE()),"Intro.Issues: "&amp;VLOOKUP(A929,Internal_lists_bugs!$A$2:$P1014,16,FALSE())),"please select a BUG ID")</f>
        <v>please select a BUG ID</v>
      </c>
      <c r="C929" s="107" t="str">
        <f>IFERROR(VLOOKUP(A929,Internal_lists_bugs!$A$2:$X1014,24,FALSE()),"please select a BUG ID")</f>
        <v>please select a BUG ID</v>
      </c>
      <c r="E929" s="49"/>
      <c r="F929" s="102"/>
      <c r="H929" s="49"/>
      <c r="I929" s="102"/>
      <c r="J929" s="51"/>
    </row>
    <row r="930">
      <c r="A930" s="43"/>
      <c r="B930" s="106" t="str">
        <f>IFERROR(HYPERLINK(VLOOKUP(A930,Internal_lists_bugs!$A$2:$G1014,7,FALSE()),"Intro.Issues: "&amp;VLOOKUP(A930,Internal_lists_bugs!$A$2:$P1014,16,FALSE())),"please select a BUG ID")</f>
        <v>please select a BUG ID</v>
      </c>
      <c r="C930" s="107" t="str">
        <f>IFERROR(VLOOKUP(A930,Internal_lists_bugs!$A$2:$X1014,24,FALSE()),"please select a BUG ID")</f>
        <v>please select a BUG ID</v>
      </c>
      <c r="E930" s="49"/>
      <c r="F930" s="102"/>
      <c r="H930" s="49"/>
      <c r="I930" s="102"/>
      <c r="J930" s="51"/>
    </row>
    <row r="931">
      <c r="A931" s="43"/>
      <c r="B931" s="106" t="str">
        <f>IFERROR(HYPERLINK(VLOOKUP(A931,Internal_lists_bugs!$A$2:$G1014,7,FALSE()),"Intro.Issues: "&amp;VLOOKUP(A931,Internal_lists_bugs!$A$2:$P1014,16,FALSE())),"please select a BUG ID")</f>
        <v>please select a BUG ID</v>
      </c>
      <c r="C931" s="107" t="str">
        <f>IFERROR(VLOOKUP(A931,Internal_lists_bugs!$A$2:$X1014,24,FALSE()),"please select a BUG ID")</f>
        <v>please select a BUG ID</v>
      </c>
      <c r="E931" s="49"/>
      <c r="F931" s="102"/>
      <c r="H931" s="49"/>
      <c r="I931" s="102"/>
      <c r="J931" s="51"/>
    </row>
    <row r="932">
      <c r="A932" s="43"/>
      <c r="B932" s="106" t="str">
        <f>IFERROR(HYPERLINK(VLOOKUP(A932,Internal_lists_bugs!$A$2:$G1014,7,FALSE()),"Intro.Issues: "&amp;VLOOKUP(A932,Internal_lists_bugs!$A$2:$P1014,16,FALSE())),"please select a BUG ID")</f>
        <v>please select a BUG ID</v>
      </c>
      <c r="C932" s="107" t="str">
        <f>IFERROR(VLOOKUP(A932,Internal_lists_bugs!$A$2:$X1014,24,FALSE()),"please select a BUG ID")</f>
        <v>please select a BUG ID</v>
      </c>
      <c r="E932" s="49"/>
      <c r="F932" s="102"/>
      <c r="H932" s="49"/>
      <c r="I932" s="102"/>
      <c r="J932" s="51"/>
    </row>
    <row r="933">
      <c r="A933" s="43"/>
      <c r="B933" s="106" t="str">
        <f>IFERROR(HYPERLINK(VLOOKUP(A933,Internal_lists_bugs!$A$2:$G1014,7,FALSE()),"Intro.Issues: "&amp;VLOOKUP(A933,Internal_lists_bugs!$A$2:$P1014,16,FALSE())),"please select a BUG ID")</f>
        <v>please select a BUG ID</v>
      </c>
      <c r="C933" s="107" t="str">
        <f>IFERROR(VLOOKUP(A933,Internal_lists_bugs!$A$2:$X1014,24,FALSE()),"please select a BUG ID")</f>
        <v>please select a BUG ID</v>
      </c>
      <c r="E933" s="49"/>
      <c r="F933" s="102"/>
      <c r="H933" s="49"/>
      <c r="I933" s="102"/>
      <c r="J933" s="51"/>
    </row>
    <row r="934">
      <c r="A934" s="43"/>
      <c r="B934" s="106" t="str">
        <f>IFERROR(HYPERLINK(VLOOKUP(A934,Internal_lists_bugs!$A$2:$G1014,7,FALSE()),"Intro.Issues: "&amp;VLOOKUP(A934,Internal_lists_bugs!$A$2:$P1014,16,FALSE())),"please select a BUG ID")</f>
        <v>please select a BUG ID</v>
      </c>
      <c r="C934" s="107" t="str">
        <f>IFERROR(VLOOKUP(A934,Internal_lists_bugs!$A$2:$X1014,24,FALSE()),"please select a BUG ID")</f>
        <v>please select a BUG ID</v>
      </c>
      <c r="E934" s="49"/>
      <c r="F934" s="102"/>
      <c r="H934" s="49"/>
      <c r="I934" s="102"/>
      <c r="J934" s="51"/>
    </row>
    <row r="935">
      <c r="A935" s="43"/>
      <c r="B935" s="106" t="str">
        <f>IFERROR(HYPERLINK(VLOOKUP(A935,Internal_lists_bugs!$A$2:$G1014,7,FALSE()),"Intro.Issues: "&amp;VLOOKUP(A935,Internal_lists_bugs!$A$2:$P1014,16,FALSE())),"please select a BUG ID")</f>
        <v>please select a BUG ID</v>
      </c>
      <c r="C935" s="107" t="str">
        <f>IFERROR(VLOOKUP(A935,Internal_lists_bugs!$A$2:$X1014,24,FALSE()),"please select a BUG ID")</f>
        <v>please select a BUG ID</v>
      </c>
      <c r="E935" s="49"/>
      <c r="F935" s="102"/>
      <c r="H935" s="49"/>
      <c r="I935" s="102"/>
      <c r="J935" s="51"/>
    </row>
    <row r="936">
      <c r="A936" s="43"/>
      <c r="B936" s="106" t="str">
        <f>IFERROR(HYPERLINK(VLOOKUP(A936,Internal_lists_bugs!$A$2:$G1014,7,FALSE()),"Intro.Issues: "&amp;VLOOKUP(A936,Internal_lists_bugs!$A$2:$P1014,16,FALSE())),"please select a BUG ID")</f>
        <v>please select a BUG ID</v>
      </c>
      <c r="C936" s="107" t="str">
        <f>IFERROR(VLOOKUP(A936,Internal_lists_bugs!$A$2:$X1014,24,FALSE()),"please select a BUG ID")</f>
        <v>please select a BUG ID</v>
      </c>
      <c r="E936" s="49"/>
      <c r="F936" s="102"/>
      <c r="H936" s="49"/>
      <c r="I936" s="102"/>
      <c r="J936" s="51"/>
    </row>
    <row r="937">
      <c r="A937" s="43"/>
      <c r="B937" s="106" t="str">
        <f>IFERROR(HYPERLINK(VLOOKUP(A937,Internal_lists_bugs!$A$2:$G1014,7,FALSE()),"Intro.Issues: "&amp;VLOOKUP(A937,Internal_lists_bugs!$A$2:$P1014,16,FALSE())),"please select a BUG ID")</f>
        <v>please select a BUG ID</v>
      </c>
      <c r="C937" s="107" t="str">
        <f>IFERROR(VLOOKUP(A937,Internal_lists_bugs!$A$2:$X1014,24,FALSE()),"please select a BUG ID")</f>
        <v>please select a BUG ID</v>
      </c>
      <c r="E937" s="49"/>
      <c r="F937" s="102"/>
      <c r="H937" s="49"/>
      <c r="I937" s="102"/>
      <c r="J937" s="51"/>
    </row>
    <row r="938">
      <c r="A938" s="43"/>
      <c r="B938" s="106" t="str">
        <f>IFERROR(HYPERLINK(VLOOKUP(A938,Internal_lists_bugs!$A$2:$G1014,7,FALSE()),"Intro.Issues: "&amp;VLOOKUP(A938,Internal_lists_bugs!$A$2:$P1014,16,FALSE())),"please select a BUG ID")</f>
        <v>please select a BUG ID</v>
      </c>
      <c r="C938" s="107" t="str">
        <f>IFERROR(VLOOKUP(A938,Internal_lists_bugs!$A$2:$X1014,24,FALSE()),"please select a BUG ID")</f>
        <v>please select a BUG ID</v>
      </c>
      <c r="E938" s="49"/>
      <c r="F938" s="102"/>
      <c r="H938" s="49"/>
      <c r="I938" s="102"/>
      <c r="J938" s="51"/>
    </row>
    <row r="939">
      <c r="A939" s="43"/>
      <c r="B939" s="106" t="str">
        <f>IFERROR(HYPERLINK(VLOOKUP(A939,Internal_lists_bugs!$A$2:$G1014,7,FALSE()),"Intro.Issues: "&amp;VLOOKUP(A939,Internal_lists_bugs!$A$2:$P1014,16,FALSE())),"please select a BUG ID")</f>
        <v>please select a BUG ID</v>
      </c>
      <c r="C939" s="107" t="str">
        <f>IFERROR(VLOOKUP(A939,Internal_lists_bugs!$A$2:$X1014,24,FALSE()),"please select a BUG ID")</f>
        <v>please select a BUG ID</v>
      </c>
      <c r="E939" s="49"/>
      <c r="F939" s="102"/>
      <c r="H939" s="49"/>
      <c r="I939" s="102"/>
      <c r="J939" s="51"/>
    </row>
    <row r="940">
      <c r="A940" s="43"/>
      <c r="B940" s="106" t="str">
        <f>IFERROR(HYPERLINK(VLOOKUP(A940,Internal_lists_bugs!$A$2:$G1014,7,FALSE()),"Intro.Issues: "&amp;VLOOKUP(A940,Internal_lists_bugs!$A$2:$P1014,16,FALSE())),"please select a BUG ID")</f>
        <v>please select a BUG ID</v>
      </c>
      <c r="C940" s="107" t="str">
        <f>IFERROR(VLOOKUP(A940,Internal_lists_bugs!$A$2:$X1014,24,FALSE()),"please select a BUG ID")</f>
        <v>please select a BUG ID</v>
      </c>
      <c r="E940" s="49"/>
      <c r="F940" s="102"/>
      <c r="H940" s="49"/>
      <c r="I940" s="102"/>
      <c r="J940" s="51"/>
    </row>
    <row r="941">
      <c r="A941" s="43"/>
      <c r="B941" s="106" t="str">
        <f>IFERROR(HYPERLINK(VLOOKUP(A941,Internal_lists_bugs!$A$2:$G1014,7,FALSE()),"Intro.Issues: "&amp;VLOOKUP(A941,Internal_lists_bugs!$A$2:$P1014,16,FALSE())),"please select a BUG ID")</f>
        <v>please select a BUG ID</v>
      </c>
      <c r="C941" s="107" t="str">
        <f>IFERROR(VLOOKUP(A941,Internal_lists_bugs!$A$2:$X1014,24,FALSE()),"please select a BUG ID")</f>
        <v>please select a BUG ID</v>
      </c>
      <c r="E941" s="49"/>
      <c r="F941" s="102"/>
      <c r="H941" s="49"/>
      <c r="I941" s="102"/>
      <c r="J941" s="51"/>
    </row>
    <row r="942">
      <c r="A942" s="43"/>
      <c r="B942" s="106" t="str">
        <f>IFERROR(HYPERLINK(VLOOKUP(A942,Internal_lists_bugs!$A$2:$G1014,7,FALSE()),"Intro.Issues: "&amp;VLOOKUP(A942,Internal_lists_bugs!$A$2:$P1014,16,FALSE())),"please select a BUG ID")</f>
        <v>please select a BUG ID</v>
      </c>
      <c r="C942" s="107" t="str">
        <f>IFERROR(VLOOKUP(A942,Internal_lists_bugs!$A$2:$X1014,24,FALSE()),"please select a BUG ID")</f>
        <v>please select a BUG ID</v>
      </c>
      <c r="E942" s="49"/>
      <c r="F942" s="102"/>
      <c r="H942" s="49"/>
      <c r="I942" s="102"/>
      <c r="J942" s="51"/>
    </row>
    <row r="943">
      <c r="A943" s="43"/>
      <c r="B943" s="106" t="str">
        <f>IFERROR(HYPERLINK(VLOOKUP(A943,Internal_lists_bugs!$A$2:$G1014,7,FALSE()),"Intro.Issues: "&amp;VLOOKUP(A943,Internal_lists_bugs!$A$2:$P1014,16,FALSE())),"please select a BUG ID")</f>
        <v>please select a BUG ID</v>
      </c>
      <c r="C943" s="107" t="str">
        <f>IFERROR(VLOOKUP(A943,Internal_lists_bugs!$A$2:$X1014,24,FALSE()),"please select a BUG ID")</f>
        <v>please select a BUG ID</v>
      </c>
      <c r="E943" s="49"/>
      <c r="F943" s="102"/>
      <c r="H943" s="49"/>
      <c r="I943" s="102"/>
      <c r="J943" s="51"/>
    </row>
    <row r="944">
      <c r="A944" s="43"/>
      <c r="B944" s="106" t="str">
        <f>IFERROR(HYPERLINK(VLOOKUP(A944,Internal_lists_bugs!$A$2:$G1014,7,FALSE()),"Intro.Issues: "&amp;VLOOKUP(A944,Internal_lists_bugs!$A$2:$P1014,16,FALSE())),"please select a BUG ID")</f>
        <v>please select a BUG ID</v>
      </c>
      <c r="C944" s="107" t="str">
        <f>IFERROR(VLOOKUP(A944,Internal_lists_bugs!$A$2:$X1014,24,FALSE()),"please select a BUG ID")</f>
        <v>please select a BUG ID</v>
      </c>
      <c r="E944" s="49"/>
      <c r="F944" s="102"/>
      <c r="H944" s="49"/>
      <c r="I944" s="102"/>
      <c r="J944" s="51"/>
    </row>
    <row r="945">
      <c r="A945" s="43"/>
      <c r="B945" s="106" t="str">
        <f>IFERROR(HYPERLINK(VLOOKUP(A945,Internal_lists_bugs!$A$2:$G1014,7,FALSE()),"Intro.Issues: "&amp;VLOOKUP(A945,Internal_lists_bugs!$A$2:$P1014,16,FALSE())),"please select a BUG ID")</f>
        <v>please select a BUG ID</v>
      </c>
      <c r="C945" s="107" t="str">
        <f>IFERROR(VLOOKUP(A945,Internal_lists_bugs!$A$2:$X1014,24,FALSE()),"please select a BUG ID")</f>
        <v>please select a BUG ID</v>
      </c>
      <c r="E945" s="49"/>
      <c r="F945" s="102"/>
      <c r="H945" s="49"/>
      <c r="I945" s="102"/>
      <c r="J945" s="51"/>
    </row>
    <row r="946">
      <c r="A946" s="43"/>
      <c r="B946" s="106" t="str">
        <f>IFERROR(HYPERLINK(VLOOKUP(A946,Internal_lists_bugs!$A$2:$G1014,7,FALSE()),"Intro.Issues: "&amp;VLOOKUP(A946,Internal_lists_bugs!$A$2:$P1014,16,FALSE())),"please select a BUG ID")</f>
        <v>please select a BUG ID</v>
      </c>
      <c r="C946" s="107" t="str">
        <f>IFERROR(VLOOKUP(A946,Internal_lists_bugs!$A$2:$X1014,24,FALSE()),"please select a BUG ID")</f>
        <v>please select a BUG ID</v>
      </c>
      <c r="E946" s="49"/>
      <c r="F946" s="102"/>
      <c r="H946" s="49"/>
      <c r="I946" s="102"/>
      <c r="J946" s="51"/>
    </row>
    <row r="947">
      <c r="A947" s="43"/>
      <c r="B947" s="106" t="str">
        <f>IFERROR(HYPERLINK(VLOOKUP(A947,Internal_lists_bugs!$A$2:$G1014,7,FALSE()),"Intro.Issues: "&amp;VLOOKUP(A947,Internal_lists_bugs!$A$2:$P1014,16,FALSE())),"please select a BUG ID")</f>
        <v>please select a BUG ID</v>
      </c>
      <c r="C947" s="107" t="str">
        <f>IFERROR(VLOOKUP(A947,Internal_lists_bugs!$A$2:$X1014,24,FALSE()),"please select a BUG ID")</f>
        <v>please select a BUG ID</v>
      </c>
      <c r="E947" s="49"/>
      <c r="F947" s="102"/>
      <c r="H947" s="49"/>
      <c r="I947" s="102"/>
      <c r="J947" s="51"/>
    </row>
    <row r="948">
      <c r="A948" s="43"/>
      <c r="B948" s="106" t="str">
        <f>IFERROR(HYPERLINK(VLOOKUP(A948,Internal_lists_bugs!$A$2:$G1014,7,FALSE()),"Intro.Issues: "&amp;VLOOKUP(A948,Internal_lists_bugs!$A$2:$P1014,16,FALSE())),"please select a BUG ID")</f>
        <v>please select a BUG ID</v>
      </c>
      <c r="C948" s="107" t="str">
        <f>IFERROR(VLOOKUP(A948,Internal_lists_bugs!$A$2:$X1014,24,FALSE()),"please select a BUG ID")</f>
        <v>please select a BUG ID</v>
      </c>
      <c r="E948" s="49"/>
      <c r="F948" s="102"/>
      <c r="H948" s="49"/>
      <c r="I948" s="102"/>
      <c r="J948" s="51"/>
    </row>
    <row r="949">
      <c r="A949" s="43"/>
      <c r="B949" s="106" t="str">
        <f>IFERROR(HYPERLINK(VLOOKUP(A949,Internal_lists_bugs!$A$2:$G1014,7,FALSE()),"Intro.Issues: "&amp;VLOOKUP(A949,Internal_lists_bugs!$A$2:$P1014,16,FALSE())),"please select a BUG ID")</f>
        <v>please select a BUG ID</v>
      </c>
      <c r="C949" s="107" t="str">
        <f>IFERROR(VLOOKUP(A949,Internal_lists_bugs!$A$2:$X1014,24,FALSE()),"please select a BUG ID")</f>
        <v>please select a BUG ID</v>
      </c>
      <c r="E949" s="49"/>
      <c r="F949" s="102"/>
      <c r="H949" s="49"/>
      <c r="I949" s="102"/>
      <c r="J949" s="51"/>
    </row>
    <row r="950">
      <c r="A950" s="43"/>
      <c r="B950" s="106" t="str">
        <f>IFERROR(HYPERLINK(VLOOKUP(A950,Internal_lists_bugs!$A$2:$G1014,7,FALSE()),"Intro.Issues: "&amp;VLOOKUP(A950,Internal_lists_bugs!$A$2:$P1014,16,FALSE())),"please select a BUG ID")</f>
        <v>please select a BUG ID</v>
      </c>
      <c r="C950" s="107" t="str">
        <f>IFERROR(VLOOKUP(A950,Internal_lists_bugs!$A$2:$X1014,24,FALSE()),"please select a BUG ID")</f>
        <v>please select a BUG ID</v>
      </c>
      <c r="E950" s="49"/>
      <c r="F950" s="102"/>
      <c r="H950" s="49"/>
      <c r="I950" s="102"/>
      <c r="J950" s="51"/>
    </row>
    <row r="951">
      <c r="A951" s="43"/>
      <c r="B951" s="106" t="str">
        <f>IFERROR(HYPERLINK(VLOOKUP(A951,Internal_lists_bugs!$A$2:$G1014,7,FALSE()),"Intro.Issues: "&amp;VLOOKUP(A951,Internal_lists_bugs!$A$2:$P1014,16,FALSE())),"please select a BUG ID")</f>
        <v>please select a BUG ID</v>
      </c>
      <c r="C951" s="107" t="str">
        <f>IFERROR(VLOOKUP(A951,Internal_lists_bugs!$A$2:$X1014,24,FALSE()),"please select a BUG ID")</f>
        <v>please select a BUG ID</v>
      </c>
      <c r="E951" s="49"/>
      <c r="F951" s="102"/>
      <c r="H951" s="49"/>
      <c r="I951" s="102"/>
      <c r="J951" s="51"/>
    </row>
    <row r="952">
      <c r="A952" s="43"/>
      <c r="B952" s="106" t="str">
        <f>IFERROR(HYPERLINK(VLOOKUP(A952,Internal_lists_bugs!$A$2:$G1014,7,FALSE()),"Intro.Issues: "&amp;VLOOKUP(A952,Internal_lists_bugs!$A$2:$P1014,16,FALSE())),"please select a BUG ID")</f>
        <v>please select a BUG ID</v>
      </c>
      <c r="C952" s="107" t="str">
        <f>IFERROR(VLOOKUP(A952,Internal_lists_bugs!$A$2:$X1014,24,FALSE()),"please select a BUG ID")</f>
        <v>please select a BUG ID</v>
      </c>
      <c r="E952" s="49"/>
      <c r="F952" s="102"/>
      <c r="H952" s="49"/>
      <c r="I952" s="102"/>
      <c r="J952" s="51"/>
    </row>
    <row r="953">
      <c r="A953" s="43"/>
      <c r="B953" s="106" t="str">
        <f>IFERROR(HYPERLINK(VLOOKUP(A953,Internal_lists_bugs!$A$2:$G1014,7,FALSE()),"Intro.Issues: "&amp;VLOOKUP(A953,Internal_lists_bugs!$A$2:$P1014,16,FALSE())),"please select a BUG ID")</f>
        <v>please select a BUG ID</v>
      </c>
      <c r="C953" s="107" t="str">
        <f>IFERROR(VLOOKUP(A953,Internal_lists_bugs!$A$2:$X1014,24,FALSE()),"please select a BUG ID")</f>
        <v>please select a BUG ID</v>
      </c>
      <c r="E953" s="49"/>
      <c r="F953" s="102"/>
      <c r="H953" s="49"/>
      <c r="I953" s="102"/>
      <c r="J953" s="51"/>
    </row>
    <row r="954">
      <c r="A954" s="43"/>
      <c r="B954" s="106" t="str">
        <f>IFERROR(HYPERLINK(VLOOKUP(A954,Internal_lists_bugs!$A$2:$G1014,7,FALSE()),"Intro.Issues: "&amp;VLOOKUP(A954,Internal_lists_bugs!$A$2:$P1014,16,FALSE())),"please select a BUG ID")</f>
        <v>please select a BUG ID</v>
      </c>
      <c r="C954" s="107" t="str">
        <f>IFERROR(VLOOKUP(A954,Internal_lists_bugs!$A$2:$X1014,24,FALSE()),"please select a BUG ID")</f>
        <v>please select a BUG ID</v>
      </c>
      <c r="E954" s="49"/>
      <c r="F954" s="102"/>
      <c r="H954" s="49"/>
      <c r="I954" s="102"/>
      <c r="J954" s="51"/>
    </row>
    <row r="955">
      <c r="A955" s="43"/>
      <c r="B955" s="106" t="str">
        <f>IFERROR(HYPERLINK(VLOOKUP(A955,Internal_lists_bugs!$A$2:$G1014,7,FALSE()),"Intro.Issues: "&amp;VLOOKUP(A955,Internal_lists_bugs!$A$2:$P1014,16,FALSE())),"please select a BUG ID")</f>
        <v>please select a BUG ID</v>
      </c>
      <c r="C955" s="107" t="str">
        <f>IFERROR(VLOOKUP(A955,Internal_lists_bugs!$A$2:$X1014,24,FALSE()),"please select a BUG ID")</f>
        <v>please select a BUG ID</v>
      </c>
      <c r="E955" s="49"/>
      <c r="F955" s="102"/>
      <c r="H955" s="49"/>
      <c r="I955" s="102"/>
      <c r="J955" s="51"/>
    </row>
    <row r="956">
      <c r="A956" s="43"/>
      <c r="B956" s="106" t="str">
        <f>IFERROR(HYPERLINK(VLOOKUP(A956,Internal_lists_bugs!$A$2:$G1014,7,FALSE()),"Intro.Issues: "&amp;VLOOKUP(A956,Internal_lists_bugs!$A$2:$P1014,16,FALSE())),"please select a BUG ID")</f>
        <v>please select a BUG ID</v>
      </c>
      <c r="C956" s="107" t="str">
        <f>IFERROR(VLOOKUP(A956,Internal_lists_bugs!$A$2:$X1014,24,FALSE()),"please select a BUG ID")</f>
        <v>please select a BUG ID</v>
      </c>
      <c r="E956" s="49"/>
      <c r="F956" s="102"/>
      <c r="H956" s="49"/>
      <c r="I956" s="102"/>
      <c r="J956" s="51"/>
    </row>
    <row r="957">
      <c r="A957" s="43"/>
      <c r="B957" s="106" t="str">
        <f>IFERROR(HYPERLINK(VLOOKUP(A957,Internal_lists_bugs!$A$2:$G1014,7,FALSE()),"Intro.Issues: "&amp;VLOOKUP(A957,Internal_lists_bugs!$A$2:$P1014,16,FALSE())),"please select a BUG ID")</f>
        <v>please select a BUG ID</v>
      </c>
      <c r="C957" s="107" t="str">
        <f>IFERROR(VLOOKUP(A957,Internal_lists_bugs!$A$2:$X1014,24,FALSE()),"please select a BUG ID")</f>
        <v>please select a BUG ID</v>
      </c>
      <c r="E957" s="49"/>
      <c r="F957" s="102"/>
      <c r="H957" s="49"/>
      <c r="I957" s="102"/>
      <c r="J957" s="51"/>
    </row>
    <row r="958">
      <c r="A958" s="43"/>
      <c r="B958" s="106" t="str">
        <f>IFERROR(HYPERLINK(VLOOKUP(A958,Internal_lists_bugs!$A$2:$G1014,7,FALSE()),"Intro.Issues: "&amp;VLOOKUP(A958,Internal_lists_bugs!$A$2:$P1014,16,FALSE())),"please select a BUG ID")</f>
        <v>please select a BUG ID</v>
      </c>
      <c r="C958" s="107" t="str">
        <f>IFERROR(VLOOKUP(A958,Internal_lists_bugs!$A$2:$X1014,24,FALSE()),"please select a BUG ID")</f>
        <v>please select a BUG ID</v>
      </c>
      <c r="E958" s="49"/>
      <c r="F958" s="102"/>
      <c r="H958" s="49"/>
      <c r="I958" s="102"/>
      <c r="J958" s="51"/>
    </row>
    <row r="959">
      <c r="A959" s="43"/>
      <c r="B959" s="106" t="str">
        <f>IFERROR(HYPERLINK(VLOOKUP(A959,Internal_lists_bugs!$A$2:$G1014,7,FALSE()),"Intro.Issues: "&amp;VLOOKUP(A959,Internal_lists_bugs!$A$2:$P1014,16,FALSE())),"please select a BUG ID")</f>
        <v>please select a BUG ID</v>
      </c>
      <c r="C959" s="107" t="str">
        <f>IFERROR(VLOOKUP(A959,Internal_lists_bugs!$A$2:$X1014,24,FALSE()),"please select a BUG ID")</f>
        <v>please select a BUG ID</v>
      </c>
      <c r="E959" s="49"/>
      <c r="F959" s="102"/>
      <c r="H959" s="49"/>
      <c r="I959" s="102"/>
      <c r="J959" s="51"/>
    </row>
    <row r="960">
      <c r="A960" s="43"/>
      <c r="B960" s="106" t="str">
        <f>IFERROR(HYPERLINK(VLOOKUP(A960,Internal_lists_bugs!$A$2:$G1014,7,FALSE()),"Intro.Issues: "&amp;VLOOKUP(A960,Internal_lists_bugs!$A$2:$P1014,16,FALSE())),"please select a BUG ID")</f>
        <v>please select a BUG ID</v>
      </c>
      <c r="C960" s="107" t="str">
        <f>IFERROR(VLOOKUP(A960,Internal_lists_bugs!$A$2:$X1014,24,FALSE()),"please select a BUG ID")</f>
        <v>please select a BUG ID</v>
      </c>
      <c r="E960" s="49"/>
      <c r="F960" s="102"/>
      <c r="H960" s="49"/>
      <c r="I960" s="102"/>
      <c r="J960" s="51"/>
    </row>
    <row r="961">
      <c r="A961" s="43"/>
      <c r="B961" s="106" t="str">
        <f>IFERROR(HYPERLINK(VLOOKUP(A961,Internal_lists_bugs!$A$2:$G1014,7,FALSE()),"Intro.Issues: "&amp;VLOOKUP(A961,Internal_lists_bugs!$A$2:$P1014,16,FALSE())),"please select a BUG ID")</f>
        <v>please select a BUG ID</v>
      </c>
      <c r="C961" s="107" t="str">
        <f>IFERROR(VLOOKUP(A961,Internal_lists_bugs!$A$2:$X1014,24,FALSE()),"please select a BUG ID")</f>
        <v>please select a BUG ID</v>
      </c>
      <c r="E961" s="49"/>
      <c r="F961" s="102"/>
      <c r="H961" s="49"/>
      <c r="I961" s="102"/>
      <c r="J961" s="51"/>
    </row>
    <row r="962">
      <c r="A962" s="43"/>
      <c r="B962" s="106" t="str">
        <f>IFERROR(HYPERLINK(VLOOKUP(A962,Internal_lists_bugs!$A$2:$G1014,7,FALSE()),"Intro.Issues: "&amp;VLOOKUP(A962,Internal_lists_bugs!$A$2:$P1014,16,FALSE())),"please select a BUG ID")</f>
        <v>please select a BUG ID</v>
      </c>
      <c r="C962" s="107" t="str">
        <f>IFERROR(VLOOKUP(A962,Internal_lists_bugs!$A$2:$X1014,24,FALSE()),"please select a BUG ID")</f>
        <v>please select a BUG ID</v>
      </c>
      <c r="E962" s="49"/>
      <c r="F962" s="102"/>
      <c r="H962" s="49"/>
      <c r="I962" s="102"/>
      <c r="J962" s="51"/>
    </row>
    <row r="963">
      <c r="A963" s="43"/>
      <c r="B963" s="106" t="str">
        <f>IFERROR(HYPERLINK(VLOOKUP(A963,Internal_lists_bugs!$A$2:$G1014,7,FALSE()),"Intro.Issues: "&amp;VLOOKUP(A963,Internal_lists_bugs!$A$2:$P1014,16,FALSE())),"please select a BUG ID")</f>
        <v>please select a BUG ID</v>
      </c>
      <c r="C963" s="107" t="str">
        <f>IFERROR(VLOOKUP(A963,Internal_lists_bugs!$A$2:$X1014,24,FALSE()),"please select a BUG ID")</f>
        <v>please select a BUG ID</v>
      </c>
      <c r="E963" s="49"/>
      <c r="F963" s="102"/>
      <c r="H963" s="49"/>
      <c r="I963" s="102"/>
      <c r="J963" s="51"/>
    </row>
    <row r="964">
      <c r="A964" s="43"/>
      <c r="B964" s="106" t="str">
        <f>IFERROR(HYPERLINK(VLOOKUP(A964,Internal_lists_bugs!$A$2:$G1014,7,FALSE()),"Intro.Issues: "&amp;VLOOKUP(A964,Internal_lists_bugs!$A$2:$P1014,16,FALSE())),"please select a BUG ID")</f>
        <v>please select a BUG ID</v>
      </c>
      <c r="C964" s="107" t="str">
        <f>IFERROR(VLOOKUP(A964,Internal_lists_bugs!$A$2:$X1014,24,FALSE()),"please select a BUG ID")</f>
        <v>please select a BUG ID</v>
      </c>
      <c r="E964" s="49"/>
      <c r="F964" s="102"/>
      <c r="H964" s="49"/>
      <c r="I964" s="102"/>
      <c r="J964" s="51"/>
    </row>
    <row r="965">
      <c r="A965" s="43"/>
      <c r="B965" s="106" t="str">
        <f>IFERROR(HYPERLINK(VLOOKUP(A965,Internal_lists_bugs!$A$2:$G1014,7,FALSE()),"Intro.Issues: "&amp;VLOOKUP(A965,Internal_lists_bugs!$A$2:$P1014,16,FALSE())),"please select a BUG ID")</f>
        <v>please select a BUG ID</v>
      </c>
      <c r="C965" s="107" t="str">
        <f>IFERROR(VLOOKUP(A965,Internal_lists_bugs!$A$2:$X1014,24,FALSE()),"please select a BUG ID")</f>
        <v>please select a BUG ID</v>
      </c>
      <c r="E965" s="49"/>
      <c r="F965" s="102"/>
      <c r="H965" s="49"/>
      <c r="I965" s="102"/>
      <c r="J965" s="51"/>
    </row>
    <row r="966">
      <c r="A966" s="43"/>
      <c r="B966" s="106" t="str">
        <f>IFERROR(HYPERLINK(VLOOKUP(A966,Internal_lists_bugs!$A$2:$G1014,7,FALSE()),"Intro.Issues: "&amp;VLOOKUP(A966,Internal_lists_bugs!$A$2:$P1014,16,FALSE())),"please select a BUG ID")</f>
        <v>please select a BUG ID</v>
      </c>
      <c r="C966" s="107" t="str">
        <f>IFERROR(VLOOKUP(A966,Internal_lists_bugs!$A$2:$X1014,24,FALSE()),"please select a BUG ID")</f>
        <v>please select a BUG ID</v>
      </c>
      <c r="E966" s="49"/>
      <c r="F966" s="102"/>
      <c r="H966" s="49"/>
      <c r="I966" s="102"/>
      <c r="J966" s="51"/>
    </row>
    <row r="967">
      <c r="A967" s="43"/>
      <c r="B967" s="106" t="str">
        <f>IFERROR(HYPERLINK(VLOOKUP(A967,Internal_lists_bugs!$A$2:$G1014,7,FALSE()),"Intro.Issues: "&amp;VLOOKUP(A967,Internal_lists_bugs!$A$2:$P1014,16,FALSE())),"please select a BUG ID")</f>
        <v>please select a BUG ID</v>
      </c>
      <c r="C967" s="107" t="str">
        <f>IFERROR(VLOOKUP(A967,Internal_lists_bugs!$A$2:$X1014,24,FALSE()),"please select a BUG ID")</f>
        <v>please select a BUG ID</v>
      </c>
      <c r="E967" s="49"/>
      <c r="F967" s="102"/>
      <c r="H967" s="49"/>
      <c r="I967" s="102"/>
      <c r="J967" s="51"/>
    </row>
    <row r="968">
      <c r="A968" s="43"/>
      <c r="B968" s="106" t="str">
        <f>IFERROR(HYPERLINK(VLOOKUP(A968,Internal_lists_bugs!$A$2:$G1014,7,FALSE()),"Intro.Issues: "&amp;VLOOKUP(A968,Internal_lists_bugs!$A$2:$P1014,16,FALSE())),"please select a BUG ID")</f>
        <v>please select a BUG ID</v>
      </c>
      <c r="C968" s="107" t="str">
        <f>IFERROR(VLOOKUP(A968,Internal_lists_bugs!$A$2:$X1014,24,FALSE()),"please select a BUG ID")</f>
        <v>please select a BUG ID</v>
      </c>
      <c r="E968" s="49"/>
      <c r="F968" s="102"/>
      <c r="H968" s="49"/>
      <c r="I968" s="102"/>
      <c r="J968" s="51"/>
    </row>
    <row r="969">
      <c r="A969" s="43"/>
      <c r="B969" s="106" t="str">
        <f>IFERROR(HYPERLINK(VLOOKUP(A969,Internal_lists_bugs!$A$2:$G1014,7,FALSE()),"Intro.Issues: "&amp;VLOOKUP(A969,Internal_lists_bugs!$A$2:$P1014,16,FALSE())),"please select a BUG ID")</f>
        <v>please select a BUG ID</v>
      </c>
      <c r="C969" s="107" t="str">
        <f>IFERROR(VLOOKUP(A969,Internal_lists_bugs!$A$2:$X1014,24,FALSE()),"please select a BUG ID")</f>
        <v>please select a BUG ID</v>
      </c>
      <c r="E969" s="49"/>
      <c r="F969" s="102"/>
      <c r="H969" s="49"/>
      <c r="I969" s="102"/>
      <c r="J969" s="51"/>
    </row>
    <row r="970">
      <c r="A970" s="43"/>
      <c r="B970" s="106" t="str">
        <f>IFERROR(HYPERLINK(VLOOKUP(A970,Internal_lists_bugs!$A$2:$G1014,7,FALSE()),"Intro.Issues: "&amp;VLOOKUP(A970,Internal_lists_bugs!$A$2:$P1014,16,FALSE())),"please select a BUG ID")</f>
        <v>please select a BUG ID</v>
      </c>
      <c r="C970" s="107" t="str">
        <f>IFERROR(VLOOKUP(A970,Internal_lists_bugs!$A$2:$X1014,24,FALSE()),"please select a BUG ID")</f>
        <v>please select a BUG ID</v>
      </c>
      <c r="E970" s="49"/>
      <c r="F970" s="102"/>
      <c r="H970" s="49"/>
      <c r="I970" s="102"/>
      <c r="J970" s="51"/>
    </row>
    <row r="971">
      <c r="A971" s="43"/>
      <c r="B971" s="106" t="str">
        <f>IFERROR(HYPERLINK(VLOOKUP(A971,Internal_lists_bugs!$A$2:$G1014,7,FALSE()),"Intro.Issues: "&amp;VLOOKUP(A971,Internal_lists_bugs!$A$2:$P1014,16,FALSE())),"please select a BUG ID")</f>
        <v>please select a BUG ID</v>
      </c>
      <c r="C971" s="107" t="str">
        <f>IFERROR(VLOOKUP(A971,Internal_lists_bugs!$A$2:$X1014,24,FALSE()),"please select a BUG ID")</f>
        <v>please select a BUG ID</v>
      </c>
      <c r="E971" s="49"/>
      <c r="F971" s="102"/>
      <c r="H971" s="49"/>
      <c r="I971" s="102"/>
      <c r="J971" s="51"/>
    </row>
    <row r="972">
      <c r="A972" s="43"/>
      <c r="B972" s="106" t="str">
        <f>IFERROR(HYPERLINK(VLOOKUP(A972,Internal_lists_bugs!$A$2:$G1014,7,FALSE()),"Intro.Issues: "&amp;VLOOKUP(A972,Internal_lists_bugs!$A$2:$P1014,16,FALSE())),"please select a BUG ID")</f>
        <v>please select a BUG ID</v>
      </c>
      <c r="C972" s="107" t="str">
        <f>IFERROR(VLOOKUP(A972,Internal_lists_bugs!$A$2:$X1014,24,FALSE()),"please select a BUG ID")</f>
        <v>please select a BUG ID</v>
      </c>
      <c r="E972" s="49"/>
      <c r="F972" s="102"/>
      <c r="H972" s="49"/>
      <c r="I972" s="102"/>
      <c r="J972" s="51"/>
    </row>
    <row r="973">
      <c r="A973" s="43"/>
      <c r="B973" s="106" t="str">
        <f>IFERROR(HYPERLINK(VLOOKUP(A973,Internal_lists_bugs!$A$2:$G1014,7,FALSE()),"Intro.Issues: "&amp;VLOOKUP(A973,Internal_lists_bugs!$A$2:$P1014,16,FALSE())),"please select a BUG ID")</f>
        <v>please select a BUG ID</v>
      </c>
      <c r="C973" s="107" t="str">
        <f>IFERROR(VLOOKUP(A973,Internal_lists_bugs!$A$2:$X1014,24,FALSE()),"please select a BUG ID")</f>
        <v>please select a BUG ID</v>
      </c>
      <c r="E973" s="49"/>
      <c r="F973" s="102"/>
      <c r="H973" s="49"/>
      <c r="I973" s="102"/>
      <c r="J973" s="51"/>
    </row>
    <row r="974">
      <c r="A974" s="43"/>
      <c r="B974" s="106" t="str">
        <f>IFERROR(HYPERLINK(VLOOKUP(A974,Internal_lists_bugs!$A$2:$G1014,7,FALSE()),"Intro.Issues: "&amp;VLOOKUP(A974,Internal_lists_bugs!$A$2:$P1014,16,FALSE())),"please select a BUG ID")</f>
        <v>please select a BUG ID</v>
      </c>
      <c r="C974" s="107" t="str">
        <f>IFERROR(VLOOKUP(A974,Internal_lists_bugs!$A$2:$X1014,24,FALSE()),"please select a BUG ID")</f>
        <v>please select a BUG ID</v>
      </c>
      <c r="E974" s="49"/>
      <c r="F974" s="102"/>
      <c r="H974" s="49"/>
      <c r="I974" s="102"/>
      <c r="J974" s="51"/>
    </row>
    <row r="975">
      <c r="A975" s="43"/>
      <c r="B975" s="106" t="str">
        <f>IFERROR(HYPERLINK(VLOOKUP(A975,Internal_lists_bugs!$A$2:$G1014,7,FALSE()),"Intro.Issues: "&amp;VLOOKUP(A975,Internal_lists_bugs!$A$2:$P1014,16,FALSE())),"please select a BUG ID")</f>
        <v>please select a BUG ID</v>
      </c>
      <c r="C975" s="107" t="str">
        <f>IFERROR(VLOOKUP(A975,Internal_lists_bugs!$A$2:$X1014,24,FALSE()),"please select a BUG ID")</f>
        <v>please select a BUG ID</v>
      </c>
      <c r="E975" s="49"/>
      <c r="F975" s="102"/>
      <c r="H975" s="49"/>
      <c r="I975" s="102"/>
      <c r="J975" s="51"/>
    </row>
    <row r="976">
      <c r="A976" s="43"/>
      <c r="B976" s="106" t="str">
        <f>IFERROR(HYPERLINK(VLOOKUP(A976,Internal_lists_bugs!$A$2:$G1014,7,FALSE()),"Intro.Issues: "&amp;VLOOKUP(A976,Internal_lists_bugs!$A$2:$P1014,16,FALSE())),"please select a BUG ID")</f>
        <v>please select a BUG ID</v>
      </c>
      <c r="C976" s="107" t="str">
        <f>IFERROR(VLOOKUP(A976,Internal_lists_bugs!$A$2:$X1014,24,FALSE()),"please select a BUG ID")</f>
        <v>please select a BUG ID</v>
      </c>
      <c r="E976" s="49"/>
      <c r="F976" s="102"/>
      <c r="H976" s="49"/>
      <c r="I976" s="102"/>
      <c r="J976" s="51"/>
    </row>
    <row r="977">
      <c r="A977" s="43"/>
      <c r="B977" s="106" t="str">
        <f>IFERROR(HYPERLINK(VLOOKUP(A977,Internal_lists_bugs!$A$2:$G1014,7,FALSE()),"Intro.Issues: "&amp;VLOOKUP(A977,Internal_lists_bugs!$A$2:$P1014,16,FALSE())),"please select a BUG ID")</f>
        <v>please select a BUG ID</v>
      </c>
      <c r="C977" s="107" t="str">
        <f>IFERROR(VLOOKUP(A977,Internal_lists_bugs!$A$2:$X1014,24,FALSE()),"please select a BUG ID")</f>
        <v>please select a BUG ID</v>
      </c>
      <c r="E977" s="49"/>
      <c r="F977" s="102"/>
      <c r="H977" s="49"/>
      <c r="I977" s="102"/>
      <c r="J977" s="51"/>
    </row>
    <row r="978">
      <c r="A978" s="43"/>
      <c r="B978" s="106" t="str">
        <f>IFERROR(HYPERLINK(VLOOKUP(A978,Internal_lists_bugs!$A$2:$G1014,7,FALSE()),"Intro.Issues: "&amp;VLOOKUP(A978,Internal_lists_bugs!$A$2:$P1014,16,FALSE())),"please select a BUG ID")</f>
        <v>please select a BUG ID</v>
      </c>
      <c r="C978" s="107" t="str">
        <f>IFERROR(VLOOKUP(A978,Internal_lists_bugs!$A$2:$X1014,24,FALSE()),"please select a BUG ID")</f>
        <v>please select a BUG ID</v>
      </c>
      <c r="E978" s="49"/>
      <c r="F978" s="102"/>
      <c r="H978" s="49"/>
      <c r="I978" s="102"/>
      <c r="J978" s="51"/>
    </row>
    <row r="979">
      <c r="A979" s="43"/>
      <c r="B979" s="106" t="str">
        <f>IFERROR(HYPERLINK(VLOOKUP(A979,Internal_lists_bugs!$A$2:$G1014,7,FALSE()),"Intro.Issues: "&amp;VLOOKUP(A979,Internal_lists_bugs!$A$2:$P1014,16,FALSE())),"please select a BUG ID")</f>
        <v>please select a BUG ID</v>
      </c>
      <c r="C979" s="107" t="str">
        <f>IFERROR(VLOOKUP(A979,Internal_lists_bugs!$A$2:$X1014,24,FALSE()),"please select a BUG ID")</f>
        <v>please select a BUG ID</v>
      </c>
      <c r="E979" s="49"/>
      <c r="F979" s="102"/>
      <c r="H979" s="49"/>
      <c r="I979" s="102"/>
      <c r="J979" s="51"/>
    </row>
    <row r="980">
      <c r="A980" s="43"/>
      <c r="B980" s="106" t="str">
        <f>IFERROR(HYPERLINK(VLOOKUP(A980,Internal_lists_bugs!$A$2:$G1014,7,FALSE()),"Intro.Issues: "&amp;VLOOKUP(A980,Internal_lists_bugs!$A$2:$P1014,16,FALSE())),"please select a BUG ID")</f>
        <v>please select a BUG ID</v>
      </c>
      <c r="C980" s="107" t="str">
        <f>IFERROR(VLOOKUP(A980,Internal_lists_bugs!$A$2:$X1014,24,FALSE()),"please select a BUG ID")</f>
        <v>please select a BUG ID</v>
      </c>
      <c r="E980" s="49"/>
      <c r="F980" s="102"/>
      <c r="H980" s="49"/>
      <c r="I980" s="102"/>
      <c r="J980" s="51"/>
    </row>
    <row r="981">
      <c r="A981" s="43"/>
      <c r="B981" s="106" t="str">
        <f>IFERROR(HYPERLINK(VLOOKUP(A981,Internal_lists_bugs!$A$2:$G1014,7,FALSE()),"Intro.Issues: "&amp;VLOOKUP(A981,Internal_lists_bugs!$A$2:$P1014,16,FALSE())),"please select a BUG ID")</f>
        <v>please select a BUG ID</v>
      </c>
      <c r="C981" s="107" t="str">
        <f>IFERROR(VLOOKUP(A981,Internal_lists_bugs!$A$2:$X1014,24,FALSE()),"please select a BUG ID")</f>
        <v>please select a BUG ID</v>
      </c>
      <c r="E981" s="49"/>
      <c r="F981" s="102"/>
      <c r="H981" s="49"/>
      <c r="I981" s="102"/>
      <c r="J981" s="51"/>
    </row>
    <row r="982">
      <c r="A982" s="43"/>
      <c r="B982" s="106" t="str">
        <f>IFERROR(HYPERLINK(VLOOKUP(A982,Internal_lists_bugs!$A$2:$G1014,7,FALSE()),"Intro.Issues: "&amp;VLOOKUP(A982,Internal_lists_bugs!$A$2:$P1014,16,FALSE())),"please select a BUG ID")</f>
        <v>please select a BUG ID</v>
      </c>
      <c r="C982" s="107" t="str">
        <f>IFERROR(VLOOKUP(A982,Internal_lists_bugs!$A$2:$X1014,24,FALSE()),"please select a BUG ID")</f>
        <v>please select a BUG ID</v>
      </c>
      <c r="E982" s="49"/>
      <c r="F982" s="102"/>
      <c r="H982" s="49"/>
      <c r="I982" s="102"/>
      <c r="J982" s="51"/>
    </row>
    <row r="983">
      <c r="A983" s="43"/>
      <c r="B983" s="106" t="str">
        <f>IFERROR(HYPERLINK(VLOOKUP(A983,Internal_lists_bugs!$A$2:$G1014,7,FALSE()),"Intro.Issues: "&amp;VLOOKUP(A983,Internal_lists_bugs!$A$2:$P1014,16,FALSE())),"please select a BUG ID")</f>
        <v>please select a BUG ID</v>
      </c>
      <c r="C983" s="107" t="str">
        <f>IFERROR(VLOOKUP(A983,Internal_lists_bugs!$A$2:$X1014,24,FALSE()),"please select a BUG ID")</f>
        <v>please select a BUG ID</v>
      </c>
      <c r="E983" s="49"/>
      <c r="F983" s="102"/>
      <c r="H983" s="49"/>
      <c r="I983" s="102"/>
      <c r="J983" s="51"/>
    </row>
    <row r="984">
      <c r="A984" s="43"/>
      <c r="B984" s="106" t="str">
        <f>IFERROR(HYPERLINK(VLOOKUP(A984,Internal_lists_bugs!$A$2:$G1014,7,FALSE()),"Intro.Issues: "&amp;VLOOKUP(A984,Internal_lists_bugs!$A$2:$P1014,16,FALSE())),"please select a BUG ID")</f>
        <v>please select a BUG ID</v>
      </c>
      <c r="C984" s="107" t="str">
        <f>IFERROR(VLOOKUP(A984,Internal_lists_bugs!$A$2:$X1014,24,FALSE()),"please select a BUG ID")</f>
        <v>please select a BUG ID</v>
      </c>
      <c r="E984" s="49"/>
      <c r="F984" s="102"/>
      <c r="H984" s="49"/>
      <c r="I984" s="102"/>
      <c r="J984" s="51"/>
    </row>
    <row r="985">
      <c r="A985" s="43"/>
      <c r="B985" s="106" t="str">
        <f>IFERROR(HYPERLINK(VLOOKUP(A985,Internal_lists_bugs!$A$2:$G1014,7,FALSE()),"Intro.Issues: "&amp;VLOOKUP(A985,Internal_lists_bugs!$A$2:$P1014,16,FALSE())),"please select a BUG ID")</f>
        <v>please select a BUG ID</v>
      </c>
      <c r="C985" s="107" t="str">
        <f>IFERROR(VLOOKUP(A985,Internal_lists_bugs!$A$2:$X1014,24,FALSE()),"please select a BUG ID")</f>
        <v>please select a BUG ID</v>
      </c>
      <c r="E985" s="49"/>
      <c r="F985" s="102"/>
      <c r="H985" s="49"/>
      <c r="I985" s="102"/>
      <c r="J985" s="51"/>
    </row>
    <row r="986">
      <c r="A986" s="43"/>
      <c r="B986" s="106" t="str">
        <f>IFERROR(HYPERLINK(VLOOKUP(A986,Internal_lists_bugs!$A$2:$G1014,7,FALSE()),"Intro.Issues: "&amp;VLOOKUP(A986,Internal_lists_bugs!$A$2:$P1014,16,FALSE())),"please select a BUG ID")</f>
        <v>please select a BUG ID</v>
      </c>
      <c r="C986" s="107" t="str">
        <f>IFERROR(VLOOKUP(A986,Internal_lists_bugs!$A$2:$X1014,24,FALSE()),"please select a BUG ID")</f>
        <v>please select a BUG ID</v>
      </c>
      <c r="E986" s="49"/>
      <c r="F986" s="102"/>
      <c r="H986" s="49"/>
      <c r="I986" s="102"/>
      <c r="J986" s="51"/>
    </row>
    <row r="987">
      <c r="A987" s="43"/>
      <c r="B987" s="106" t="str">
        <f>IFERROR(HYPERLINK(VLOOKUP(A987,Internal_lists_bugs!$A$2:$G1014,7,FALSE()),"Intro.Issues: "&amp;VLOOKUP(A987,Internal_lists_bugs!$A$2:$P1014,16,FALSE())),"please select a BUG ID")</f>
        <v>please select a BUG ID</v>
      </c>
      <c r="C987" s="107" t="str">
        <f>IFERROR(VLOOKUP(A987,Internal_lists_bugs!$A$2:$X1014,24,FALSE()),"please select a BUG ID")</f>
        <v>please select a BUG ID</v>
      </c>
      <c r="E987" s="49"/>
      <c r="F987" s="102"/>
      <c r="H987" s="49"/>
      <c r="I987" s="102"/>
      <c r="J987" s="51"/>
    </row>
    <row r="988">
      <c r="A988" s="43"/>
      <c r="B988" s="106" t="str">
        <f>IFERROR(HYPERLINK(VLOOKUP(A988,Internal_lists_bugs!$A$2:$G1014,7,FALSE()),"Intro.Issues: "&amp;VLOOKUP(A988,Internal_lists_bugs!$A$2:$P1014,16,FALSE())),"please select a BUG ID")</f>
        <v>please select a BUG ID</v>
      </c>
      <c r="C988" s="107" t="str">
        <f>IFERROR(VLOOKUP(A988,Internal_lists_bugs!$A$2:$X1014,24,FALSE()),"please select a BUG ID")</f>
        <v>please select a BUG ID</v>
      </c>
      <c r="E988" s="49"/>
      <c r="F988" s="102"/>
      <c r="H988" s="49"/>
      <c r="I988" s="102"/>
      <c r="J988" s="51"/>
    </row>
    <row r="989">
      <c r="A989" s="43"/>
      <c r="B989" s="106" t="str">
        <f>IFERROR(HYPERLINK(VLOOKUP(A989,Internal_lists_bugs!$A$2:$G1014,7,FALSE()),"Intro.Issues: "&amp;VLOOKUP(A989,Internal_lists_bugs!$A$2:$P1014,16,FALSE())),"please select a BUG ID")</f>
        <v>please select a BUG ID</v>
      </c>
      <c r="C989" s="107" t="str">
        <f>IFERROR(VLOOKUP(A989,Internal_lists_bugs!$A$2:$X1014,24,FALSE()),"please select a BUG ID")</f>
        <v>please select a BUG ID</v>
      </c>
      <c r="E989" s="49"/>
      <c r="F989" s="102"/>
      <c r="H989" s="49"/>
      <c r="I989" s="102"/>
      <c r="J989" s="51"/>
    </row>
    <row r="990">
      <c r="A990" s="43"/>
      <c r="B990" s="106" t="str">
        <f>IFERROR(HYPERLINK(VLOOKUP(A990,Internal_lists_bugs!$A$2:$G1014,7,FALSE()),"Intro.Issues: "&amp;VLOOKUP(A990,Internal_lists_bugs!$A$2:$P1014,16,FALSE())),"please select a BUG ID")</f>
        <v>please select a BUG ID</v>
      </c>
      <c r="C990" s="107" t="str">
        <f>IFERROR(VLOOKUP(A990,Internal_lists_bugs!$A$2:$X1014,24,FALSE()),"please select a BUG ID")</f>
        <v>please select a BUG ID</v>
      </c>
      <c r="E990" s="49"/>
      <c r="F990" s="102"/>
      <c r="H990" s="49"/>
      <c r="I990" s="102"/>
      <c r="J990" s="51"/>
    </row>
    <row r="991">
      <c r="A991" s="43"/>
      <c r="B991" s="106" t="str">
        <f>IFERROR(HYPERLINK(VLOOKUP(A991,Internal_lists_bugs!$A$2:$G1014,7,FALSE()),"Intro.Issues: "&amp;VLOOKUP(A991,Internal_lists_bugs!$A$2:$P1014,16,FALSE())),"please select a BUG ID")</f>
        <v>please select a BUG ID</v>
      </c>
      <c r="C991" s="107" t="str">
        <f>IFERROR(VLOOKUP(A991,Internal_lists_bugs!$A$2:$X1014,24,FALSE()),"please select a BUG ID")</f>
        <v>please select a BUG ID</v>
      </c>
      <c r="E991" s="49"/>
      <c r="F991" s="102"/>
      <c r="H991" s="49"/>
      <c r="I991" s="102"/>
      <c r="J991" s="51"/>
    </row>
    <row r="992">
      <c r="A992" s="43"/>
      <c r="B992" s="106" t="str">
        <f>IFERROR(HYPERLINK(VLOOKUP(A992,Internal_lists_bugs!$A$2:$G1014,7,FALSE()),"Intro.Issues: "&amp;VLOOKUP(A992,Internal_lists_bugs!$A$2:$P1014,16,FALSE())),"please select a BUG ID")</f>
        <v>please select a BUG ID</v>
      </c>
      <c r="C992" s="107" t="str">
        <f>IFERROR(VLOOKUP(A992,Internal_lists_bugs!$A$2:$X1014,24,FALSE()),"please select a BUG ID")</f>
        <v>please select a BUG ID</v>
      </c>
      <c r="E992" s="49"/>
      <c r="F992" s="102"/>
      <c r="H992" s="49"/>
      <c r="I992" s="102"/>
      <c r="J992" s="51"/>
    </row>
    <row r="993">
      <c r="A993" s="43"/>
      <c r="B993" s="106" t="str">
        <f>IFERROR(HYPERLINK(VLOOKUP(A993,Internal_lists_bugs!$A$2:$G1014,7,FALSE()),"Intro.Issues: "&amp;VLOOKUP(A993,Internal_lists_bugs!$A$2:$P1014,16,FALSE())),"please select a BUG ID")</f>
        <v>please select a BUG ID</v>
      </c>
      <c r="C993" s="107" t="str">
        <f>IFERROR(VLOOKUP(A993,Internal_lists_bugs!$A$2:$X1014,24,FALSE()),"please select a BUG ID")</f>
        <v>please select a BUG ID</v>
      </c>
      <c r="E993" s="49"/>
      <c r="F993" s="102"/>
      <c r="H993" s="49"/>
      <c r="I993" s="102"/>
      <c r="J993" s="51"/>
    </row>
    <row r="994">
      <c r="A994" s="43"/>
      <c r="B994" s="106" t="str">
        <f>IFERROR(HYPERLINK(VLOOKUP(A994,Internal_lists_bugs!$A$2:$G1014,7,FALSE()),"Intro.Issues: "&amp;VLOOKUP(A994,Internal_lists_bugs!$A$2:$P1014,16,FALSE())),"please select a BUG ID")</f>
        <v>please select a BUG ID</v>
      </c>
      <c r="C994" s="107" t="str">
        <f>IFERROR(VLOOKUP(A994,Internal_lists_bugs!$A$2:$X1014,24,FALSE()),"please select a BUG ID")</f>
        <v>please select a BUG ID</v>
      </c>
      <c r="E994" s="49"/>
      <c r="F994" s="102"/>
      <c r="H994" s="49"/>
      <c r="I994" s="102"/>
      <c r="J994" s="51"/>
    </row>
    <row r="995">
      <c r="A995" s="43"/>
      <c r="B995" s="106" t="str">
        <f>IFERROR(HYPERLINK(VLOOKUP(A995,Internal_lists_bugs!$A$2:$G1014,7,FALSE()),"Intro.Issues: "&amp;VLOOKUP(A995,Internal_lists_bugs!$A$2:$P1014,16,FALSE())),"please select a BUG ID")</f>
        <v>please select a BUG ID</v>
      </c>
      <c r="C995" s="107" t="str">
        <f>IFERROR(VLOOKUP(A995,Internal_lists_bugs!$A$2:$X1014,24,FALSE()),"please select a BUG ID")</f>
        <v>please select a BUG ID</v>
      </c>
      <c r="E995" s="49"/>
      <c r="F995" s="102"/>
      <c r="H995" s="49"/>
      <c r="I995" s="102"/>
      <c r="J995" s="51"/>
    </row>
    <row r="996">
      <c r="A996" s="43"/>
      <c r="B996" s="106" t="str">
        <f>IFERROR(HYPERLINK(VLOOKUP(A996,Internal_lists_bugs!$A$2:$G1014,7,FALSE()),"Intro.Issues: "&amp;VLOOKUP(A996,Internal_lists_bugs!$A$2:$P1014,16,FALSE())),"please select a BUG ID")</f>
        <v>please select a BUG ID</v>
      </c>
      <c r="C996" s="107" t="str">
        <f>IFERROR(VLOOKUP(A996,Internal_lists_bugs!$A$2:$X1014,24,FALSE()),"please select a BUG ID")</f>
        <v>please select a BUG ID</v>
      </c>
      <c r="E996" s="49"/>
      <c r="F996" s="102"/>
      <c r="H996" s="49"/>
      <c r="I996" s="102"/>
      <c r="J996" s="51"/>
    </row>
    <row r="997">
      <c r="A997" s="43"/>
      <c r="B997" s="106" t="str">
        <f>IFERROR(HYPERLINK(VLOOKUP(A997,Internal_lists_bugs!$A$2:$G1014,7,FALSE()),"Intro.Issues: "&amp;VLOOKUP(A997,Internal_lists_bugs!$A$2:$P1014,16,FALSE())),"please select a BUG ID")</f>
        <v>please select a BUG ID</v>
      </c>
      <c r="C997" s="107" t="str">
        <f>IFERROR(VLOOKUP(A997,Internal_lists_bugs!$A$2:$X1014,24,FALSE()),"please select a BUG ID")</f>
        <v>please select a BUG ID</v>
      </c>
      <c r="E997" s="49"/>
      <c r="F997" s="102"/>
      <c r="H997" s="49"/>
      <c r="I997" s="102"/>
      <c r="J997" s="51"/>
    </row>
    <row r="998">
      <c r="A998" s="43"/>
      <c r="B998" s="106" t="str">
        <f>IFERROR(HYPERLINK(VLOOKUP(A998,Internal_lists_bugs!$A$2:$G1014,7,FALSE()),"Intro.Issues: "&amp;VLOOKUP(A998,Internal_lists_bugs!$A$2:$P1014,16,FALSE())),"please select a BUG ID")</f>
        <v>please select a BUG ID</v>
      </c>
      <c r="C998" s="107" t="str">
        <f>IFERROR(VLOOKUP(A998,Internal_lists_bugs!$A$2:$X1014,24,FALSE()),"please select a BUG ID")</f>
        <v>please select a BUG ID</v>
      </c>
      <c r="E998" s="49"/>
      <c r="F998" s="102"/>
      <c r="H998" s="49"/>
      <c r="I998" s="102"/>
      <c r="J998" s="51"/>
    </row>
    <row r="999">
      <c r="A999" s="43"/>
      <c r="B999" s="106" t="str">
        <f>IFERROR(HYPERLINK(VLOOKUP(A999,Internal_lists_bugs!$A$2:$G1014,7,FALSE()),"Intro.Issues: "&amp;VLOOKUP(A999,Internal_lists_bugs!$A$2:$P1014,16,FALSE())),"please select a BUG ID")</f>
        <v>please select a BUG ID</v>
      </c>
      <c r="C999" s="107" t="str">
        <f>IFERROR(VLOOKUP(A999,Internal_lists_bugs!$A$2:$X1014,24,FALSE()),"please select a BUG ID")</f>
        <v>please select a BUG ID</v>
      </c>
      <c r="E999" s="49"/>
      <c r="F999" s="102"/>
      <c r="H999" s="49"/>
      <c r="I999" s="102"/>
      <c r="J999" s="51"/>
    </row>
    <row r="1000">
      <c r="A1000" s="43"/>
      <c r="B1000" s="106" t="str">
        <f>IFERROR(HYPERLINK(VLOOKUP(A1000,Internal_lists_bugs!$A$2:$G1014,7,FALSE()),"Intro.Issues: "&amp;VLOOKUP(A1000,Internal_lists_bugs!$A$2:$P1014,16,FALSE())),"please select a BUG ID")</f>
        <v>please select a BUG ID</v>
      </c>
      <c r="C1000" s="107" t="str">
        <f>IFERROR(VLOOKUP(A1000,Internal_lists_bugs!$A$2:$X1014,24,FALSE()),"please select a BUG ID")</f>
        <v>please select a BUG ID</v>
      </c>
      <c r="E1000" s="49"/>
      <c r="F1000" s="102"/>
      <c r="H1000" s="49"/>
      <c r="I1000" s="102"/>
      <c r="J1000" s="51"/>
    </row>
    <row r="1001">
      <c r="A1001" s="43"/>
      <c r="B1001" s="106" t="str">
        <f>IFERROR(HYPERLINK(VLOOKUP(A1001,Internal_lists_bugs!$A$2:$G1014,7,FALSE()),"Intro.Issues: "&amp;VLOOKUP(A1001,Internal_lists_bugs!$A$2:$P1014,16,FALSE())),"please select a BUG ID")</f>
        <v>please select a BUG ID</v>
      </c>
      <c r="C1001" s="107" t="str">
        <f>IFERROR(VLOOKUP(A1001,Internal_lists_bugs!$A$2:$X1014,24,FALSE()),"please select a BUG ID")</f>
        <v>please select a BUG ID</v>
      </c>
      <c r="E1001" s="49"/>
      <c r="F1001" s="102"/>
      <c r="H1001" s="49"/>
      <c r="I1001" s="102"/>
      <c r="J1001" s="51"/>
    </row>
    <row r="1002">
      <c r="A1002" s="43"/>
      <c r="B1002" s="106" t="str">
        <f>IFERROR(HYPERLINK(VLOOKUP(A1002,Internal_lists_bugs!$A$2:$G1014,7,FALSE()),"Intro.Issues: "&amp;VLOOKUP(A1002,Internal_lists_bugs!$A$2:$P1014,16,FALSE())),"please select a BUG ID")</f>
        <v>please select a BUG ID</v>
      </c>
      <c r="C1002" s="107" t="str">
        <f>IFERROR(VLOOKUP(A1002,Internal_lists_bugs!$A$2:$X1014,24,FALSE()),"please select a BUG ID")</f>
        <v>please select a BUG ID</v>
      </c>
      <c r="E1002" s="49"/>
      <c r="F1002" s="102"/>
      <c r="H1002" s="49"/>
      <c r="I1002" s="102"/>
      <c r="J1002" s="51"/>
    </row>
    <row r="1003">
      <c r="A1003" s="43"/>
      <c r="B1003" s="106" t="str">
        <f>IFERROR(HYPERLINK(VLOOKUP(A1003,Internal_lists_bugs!$A$2:$G1014,7,FALSE()),"Intro.Issues: "&amp;VLOOKUP(A1003,Internal_lists_bugs!$A$2:$P1014,16,FALSE())),"please select a BUG ID")</f>
        <v>please select a BUG ID</v>
      </c>
      <c r="C1003" s="107" t="str">
        <f>IFERROR(VLOOKUP(A1003,Internal_lists_bugs!$A$2:$X1014,24,FALSE()),"please select a BUG ID")</f>
        <v>please select a BUG ID</v>
      </c>
      <c r="E1003" s="49"/>
      <c r="F1003" s="102"/>
      <c r="H1003" s="49"/>
      <c r="I1003" s="102"/>
      <c r="J1003" s="51"/>
    </row>
    <row r="1004">
      <c r="A1004" s="43"/>
      <c r="B1004" s="106" t="str">
        <f>IFERROR(HYPERLINK(VLOOKUP(A1004,Internal_lists_bugs!$A$2:$G1014,7,FALSE()),"Intro.Issues: "&amp;VLOOKUP(A1004,Internal_lists_bugs!$A$2:$P1014,16,FALSE())),"please select a BUG ID")</f>
        <v>please select a BUG ID</v>
      </c>
      <c r="C1004" s="107" t="str">
        <f>IFERROR(VLOOKUP(A1004,Internal_lists_bugs!$A$2:$X1014,24,FALSE()),"please select a BUG ID")</f>
        <v>please select a BUG ID</v>
      </c>
      <c r="E1004" s="49"/>
      <c r="F1004" s="102"/>
      <c r="H1004" s="49"/>
      <c r="I1004" s="102"/>
      <c r="J1004" s="51"/>
    </row>
    <row r="1005">
      <c r="A1005" s="43"/>
      <c r="B1005" s="106" t="str">
        <f>IFERROR(HYPERLINK(VLOOKUP(A1005,Internal_lists_bugs!$A$2:$G1014,7,FALSE()),"Intro.Issues: "&amp;VLOOKUP(A1005,Internal_lists_bugs!$A$2:$P1014,16,FALSE())),"please select a BUG ID")</f>
        <v>please select a BUG ID</v>
      </c>
      <c r="C1005" s="107" t="str">
        <f>IFERROR(VLOOKUP(A1005,Internal_lists_bugs!$A$2:$X1014,24,FALSE()),"please select a BUG ID")</f>
        <v>please select a BUG ID</v>
      </c>
      <c r="E1005" s="49"/>
      <c r="F1005" s="102"/>
      <c r="H1005" s="49"/>
      <c r="I1005" s="102"/>
      <c r="J1005" s="51"/>
    </row>
    <row r="1006">
      <c r="A1006" s="43"/>
      <c r="B1006" s="106" t="str">
        <f>IFERROR(HYPERLINK(VLOOKUP(A1006,Internal_lists_bugs!$A$2:$G1014,7,FALSE()),"Intro.Issues: "&amp;VLOOKUP(A1006,Internal_lists_bugs!$A$2:$P1014,16,FALSE())),"please select a BUG ID")</f>
        <v>please select a BUG ID</v>
      </c>
      <c r="C1006" s="107" t="str">
        <f>IFERROR(VLOOKUP(A1006,Internal_lists_bugs!$A$2:$X1014,24,FALSE()),"please select a BUG ID")</f>
        <v>please select a BUG ID</v>
      </c>
      <c r="E1006" s="49"/>
      <c r="F1006" s="102"/>
      <c r="H1006" s="49"/>
      <c r="I1006" s="102"/>
      <c r="J1006" s="51"/>
    </row>
    <row r="1007">
      <c r="A1007" s="43"/>
      <c r="B1007" s="106" t="str">
        <f>IFERROR(HYPERLINK(VLOOKUP(A1007,Internal_lists_bugs!$A$2:$G1014,7,FALSE()),"Intro.Issues: "&amp;VLOOKUP(A1007,Internal_lists_bugs!$A$2:$P1014,16,FALSE())),"please select a BUG ID")</f>
        <v>please select a BUG ID</v>
      </c>
      <c r="C1007" s="107" t="str">
        <f>IFERROR(VLOOKUP(A1007,Internal_lists_bugs!$A$2:$X1014,24,FALSE()),"please select a BUG ID")</f>
        <v>please select a BUG ID</v>
      </c>
      <c r="E1007" s="49"/>
      <c r="F1007" s="102"/>
      <c r="H1007" s="49"/>
      <c r="I1007" s="102"/>
      <c r="J1007" s="51"/>
    </row>
    <row r="1008">
      <c r="A1008" s="43"/>
      <c r="B1008" s="106" t="str">
        <f>IFERROR(HYPERLINK(VLOOKUP(A1008,Internal_lists_bugs!$A$2:$G1014,7,FALSE()),"Intro.Issues: "&amp;VLOOKUP(A1008,Internal_lists_bugs!$A$2:$P1014,16,FALSE())),"please select a BUG ID")</f>
        <v>please select a BUG ID</v>
      </c>
      <c r="C1008" s="107" t="str">
        <f>IFERROR(VLOOKUP(A1008,Internal_lists_bugs!$A$2:$X1014,24,FALSE()),"please select a BUG ID")</f>
        <v>please select a BUG ID</v>
      </c>
      <c r="E1008" s="49"/>
      <c r="F1008" s="102"/>
      <c r="H1008" s="49"/>
      <c r="I1008" s="102"/>
      <c r="J1008" s="51"/>
    </row>
    <row r="1009">
      <c r="A1009" s="43"/>
      <c r="B1009" s="106" t="str">
        <f>IFERROR(HYPERLINK(VLOOKUP(A1009,Internal_lists_bugs!$A$2:$G1014,7,FALSE()),"Intro.Issues: "&amp;VLOOKUP(A1009,Internal_lists_bugs!$A$2:$P1014,16,FALSE())),"please select a BUG ID")</f>
        <v>please select a BUG ID</v>
      </c>
      <c r="C1009" s="107" t="str">
        <f>IFERROR(VLOOKUP(A1009,Internal_lists_bugs!$A$2:$X1014,24,FALSE()),"please select a BUG ID")</f>
        <v>please select a BUG ID</v>
      </c>
      <c r="E1009" s="49"/>
      <c r="F1009" s="102"/>
      <c r="H1009" s="49"/>
      <c r="I1009" s="102"/>
      <c r="J1009" s="51"/>
    </row>
    <row r="1010">
      <c r="A1010" s="43"/>
      <c r="B1010" s="106" t="str">
        <f>IFERROR(HYPERLINK(VLOOKUP(A1010,Internal_lists_bugs!$A$2:$G1014,7,FALSE()),"Intro.Issues: "&amp;VLOOKUP(A1010,Internal_lists_bugs!$A$2:$P1014,16,FALSE())),"please select a BUG ID")</f>
        <v>please select a BUG ID</v>
      </c>
      <c r="C1010" s="107" t="str">
        <f>IFERROR(VLOOKUP(A1010,Internal_lists_bugs!$A$2:$X1014,24,FALSE()),"please select a BUG ID")</f>
        <v>please select a BUG ID</v>
      </c>
      <c r="E1010" s="49"/>
      <c r="F1010" s="102"/>
      <c r="H1010" s="49"/>
      <c r="I1010" s="102"/>
      <c r="J1010" s="51"/>
    </row>
    <row r="1011">
      <c r="A1011" s="43"/>
      <c r="B1011" s="106" t="str">
        <f>IFERROR(HYPERLINK(VLOOKUP(A1011,Internal_lists_bugs!$A$2:$G1014,7,FALSE()),"Intro.Issues: "&amp;VLOOKUP(A1011,Internal_lists_bugs!$A$2:$P1014,16,FALSE())),"please select a BUG ID")</f>
        <v>please select a BUG ID</v>
      </c>
      <c r="C1011" s="107" t="str">
        <f>IFERROR(VLOOKUP(A1011,Internal_lists_bugs!$A$2:$X1014,24,FALSE()),"please select a BUG ID")</f>
        <v>please select a BUG ID</v>
      </c>
      <c r="E1011" s="49"/>
      <c r="F1011" s="102"/>
      <c r="H1011" s="49"/>
      <c r="I1011" s="102"/>
      <c r="J1011" s="51"/>
    </row>
    <row r="1012">
      <c r="A1012" s="43"/>
      <c r="B1012" s="106" t="str">
        <f>IFERROR(HYPERLINK(VLOOKUP(A1012,Internal_lists_bugs!$A$2:$G1014,7,FALSE()),"Intro.Issues: "&amp;VLOOKUP(A1012,Internal_lists_bugs!$A$2:$P1014,16,FALSE())),"please select a BUG ID")</f>
        <v>please select a BUG ID</v>
      </c>
      <c r="C1012" s="107" t="str">
        <f>IFERROR(VLOOKUP(A1012,Internal_lists_bugs!$A$2:$X1014,24,FALSE()),"please select a BUG ID")</f>
        <v>please select a BUG ID</v>
      </c>
      <c r="E1012" s="49"/>
      <c r="F1012" s="102"/>
      <c r="G1012" s="74"/>
      <c r="H1012" s="49"/>
      <c r="I1012" s="102"/>
      <c r="J1012" s="51"/>
    </row>
    <row r="1013">
      <c r="A1013" s="43"/>
      <c r="B1013" s="106" t="str">
        <f>IFERROR(HYPERLINK(VLOOKUP(A1013,Internal_lists_bugs!$A$2:$G1014,7,FALSE()),"Intro.Issues: "&amp;VLOOKUP(A1013,Internal_lists_bugs!$A$2:$P1014,16,FALSE())),"please select a BUG ID")</f>
        <v>please select a BUG ID</v>
      </c>
      <c r="C1013" s="107" t="str">
        <f>IFERROR(VLOOKUP(A1013,Internal_lists_bugs!$A$2:$X1014,24,FALSE()),"please select a BUG ID")</f>
        <v>please select a BUG ID</v>
      </c>
      <c r="E1013" s="49"/>
      <c r="F1013" s="102"/>
      <c r="G1013" s="74"/>
      <c r="H1013" s="49"/>
      <c r="I1013" s="102"/>
      <c r="J1013" s="51"/>
    </row>
    <row r="1014">
      <c r="A1014" s="43"/>
      <c r="B1014" s="106" t="str">
        <f>IFERROR(HYPERLINK(VLOOKUP(A1014,Internal_lists_bugs!$A$2:$G1014,7,FALSE()),"Intro.Issues: "&amp;VLOOKUP(A1014,Internal_lists_bugs!$A$2:$P1014,16,FALSE())),"please select a BUG ID")</f>
        <v>please select a BUG ID</v>
      </c>
      <c r="C1014" s="107" t="str">
        <f>IFERROR(VLOOKUP(A1014,Internal_lists_bugs!$A$2:$X1014,24,FALSE()),"please select a BUG ID")</f>
        <v>please select a BUG ID</v>
      </c>
      <c r="E1014" s="43"/>
      <c r="F1014" s="52"/>
      <c r="G1014" s="74"/>
      <c r="H1014" s="43"/>
      <c r="I1014" s="52"/>
      <c r="J1014" s="51"/>
    </row>
  </sheetData>
  <mergeCells count="2">
    <mergeCell ref="E1:F1"/>
    <mergeCell ref="H1:I1"/>
  </mergeCells>
  <dataValidations>
    <dataValidation type="list" allowBlank="1" sqref="E3:E173 E175:E1014">
      <formula1>Internal_lists_variables!$E$2:$E1014</formula1>
    </dataValidation>
    <dataValidation type="list" allowBlank="1" sqref="E174 H3:H1014">
      <formula1>Internal_lists_variables!$F$2:$F1014</formula1>
    </dataValidation>
    <dataValidation type="list" allowBlank="1" showInputMessage="1" prompt="Project BugID" sqref="A3:A97">
      <formula1>Internal_lists_bugs!$A$2:$A1014</formula1>
    </dataValidation>
    <dataValidation type="list" allowBlank="1" showInputMessage="1" showErrorMessage="1" prompt="Project BugID" sqref="A98:A1014">
      <formula1>Internal_lists_bugs!$A$2:$A1014</formula1>
    </dataValidation>
  </dataValidations>
  <hyperlinks>
    <hyperlink r:id="rId2" ref="A1"/>
    <hyperlink r:id="rId3" location="gid=405816964" ref="B1"/>
  </hyperlinks>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outlineLevelCol="1"/>
  <cols>
    <col customWidth="1" min="1" max="1" width="24.63"/>
    <col customWidth="1" min="2" max="2" width="31.38"/>
    <col customWidth="1" min="3" max="3" width="36.75"/>
    <col customWidth="1" min="4" max="4" width="31.13"/>
    <col min="5" max="7" width="12.63" outlineLevel="1"/>
  </cols>
  <sheetData>
    <row r="1">
      <c r="A1" s="21" t="s">
        <v>101</v>
      </c>
      <c r="B1" s="21" t="s">
        <v>102</v>
      </c>
      <c r="C1" s="22" t="s">
        <v>103</v>
      </c>
      <c r="D1" s="22" t="s">
        <v>103</v>
      </c>
      <c r="E1" s="40" t="s">
        <v>444</v>
      </c>
      <c r="F1" s="16" t="s">
        <v>445</v>
      </c>
      <c r="G1" s="16" t="s">
        <v>446</v>
      </c>
      <c r="H1" s="40"/>
      <c r="I1" s="16"/>
      <c r="J1" s="16" t="s">
        <v>447</v>
      </c>
      <c r="K1" s="16"/>
    </row>
    <row r="2">
      <c r="A2" s="28" t="s">
        <v>109</v>
      </c>
      <c r="B2" s="29" t="s">
        <v>110</v>
      </c>
      <c r="C2" s="30" t="s">
        <v>448</v>
      </c>
      <c r="E2" s="31" t="s">
        <v>449</v>
      </c>
      <c r="F2" s="32" t="s">
        <v>450</v>
      </c>
      <c r="G2" s="32" t="s">
        <v>451</v>
      </c>
      <c r="H2" s="31" t="s">
        <v>115</v>
      </c>
      <c r="I2" s="32" t="s">
        <v>452</v>
      </c>
      <c r="J2" s="32" t="s">
        <v>114</v>
      </c>
      <c r="K2" s="37"/>
    </row>
    <row r="3">
      <c r="A3" s="108" t="s">
        <v>37</v>
      </c>
      <c r="B3" s="38" t="str">
        <f>IFERROR(HYPERLINK(VLOOKUP(A3,Internal_lists_bugs!$A$2:$C$73,3,FALSE()), VLOOKUP(A3,Internal_lists_bugs!$A$2:$C$73,3,FALSE())&amp;Char(10) &amp; Char(10) &amp; VLOOKUP(A3,Internal_lists_bugs!$A$2:$Z$73,26,FALSE())),"please select a BUG ID")</f>
        <v>
</v>
      </c>
      <c r="C3" s="39" t="str">
        <f>IFERROR(VLOOKUP(A3,Internal_lists_bugs!$A$2:$G847,7,FALSE()),"please select a BUG ID")</f>
        <v>https://opendev.org/openstack/nova/commit/8218a86dedd50301252598667171d17d874bb36d</v>
      </c>
      <c r="D3" s="39" t="str">
        <f>IFERROR(VLOOKUP(A3,Internal_lists_bugs!$A$2:$I847,9,FALSE()),"please select a BUG ID")</f>
        <v>https://review.opendev.org/c/openstack/nova/+/70215</v>
      </c>
      <c r="E3" s="108" t="s">
        <v>453</v>
      </c>
      <c r="F3" s="108" t="s">
        <v>454</v>
      </c>
      <c r="G3" s="108" t="s">
        <v>297</v>
      </c>
      <c r="H3" s="108" t="s">
        <v>297</v>
      </c>
      <c r="J3" s="109">
        <v>70215.0</v>
      </c>
      <c r="K3" s="110"/>
    </row>
    <row r="4">
      <c r="A4" s="108" t="s">
        <v>37</v>
      </c>
      <c r="B4" s="38" t="str">
        <f>IFERROR(HYPERLINK(VLOOKUP(A4,Internal_lists_bugs!$A$2:$C$73,3,FALSE()), VLOOKUP(A4,Internal_lists_bugs!$A$2:$C$73,3,FALSE())&amp;Char(10) &amp; Char(10) &amp; VLOOKUP(A4,Internal_lists_bugs!$A$2:$Z$73,26,FALSE())),"please select a BUG ID")</f>
        <v>
</v>
      </c>
      <c r="C4" s="39" t="str">
        <f>IFERROR(VLOOKUP(A4,Internal_lists_bugs!$A$2:$G847,7,FALSE()),"please select a BUG ID")</f>
        <v>https://opendev.org/openstack/nova/commit/8218a86dedd50301252598667171d17d874bb36d</v>
      </c>
      <c r="D4" s="39" t="str">
        <f>IFERROR(VLOOKUP(A4,Internal_lists_bugs!$A$2:$I847,9,FALSE()),"please select a BUG ID")</f>
        <v>https://review.opendev.org/c/openstack/nova/+/70215</v>
      </c>
      <c r="E4" s="108" t="s">
        <v>455</v>
      </c>
      <c r="F4" s="108" t="s">
        <v>454</v>
      </c>
      <c r="G4" s="108" t="s">
        <v>297</v>
      </c>
      <c r="H4" s="108" t="s">
        <v>297</v>
      </c>
      <c r="J4" s="109">
        <v>70215.0</v>
      </c>
      <c r="K4" s="110"/>
    </row>
    <row r="5">
      <c r="A5" s="108" t="s">
        <v>37</v>
      </c>
      <c r="B5" s="38" t="str">
        <f>IFERROR(HYPERLINK(VLOOKUP(A5,Internal_lists_bugs!$A$2:$C$73,3,FALSE()), VLOOKUP(A5,Internal_lists_bugs!$A$2:$C$73,3,FALSE())&amp;Char(10) &amp; Char(10) &amp; VLOOKUP(A5,Internal_lists_bugs!$A$2:$Z$73,26,FALSE())),"please select a BUG ID")</f>
        <v>
</v>
      </c>
      <c r="C5" s="39" t="str">
        <f>IFERROR(VLOOKUP(A5,Internal_lists_bugs!$A$2:$G847,7,FALSE()),"please select a BUG ID")</f>
        <v>https://opendev.org/openstack/nova/commit/8218a86dedd50301252598667171d17d874bb36d</v>
      </c>
      <c r="D5" s="39" t="str">
        <f>IFERROR(VLOOKUP(A5,Internal_lists_bugs!$A$2:$I847,9,FALSE()),"please select a BUG ID")</f>
        <v>https://review.opendev.org/c/openstack/nova/+/70215</v>
      </c>
      <c r="E5" s="108" t="s">
        <v>456</v>
      </c>
      <c r="F5" s="108" t="s">
        <v>454</v>
      </c>
      <c r="G5" s="108" t="s">
        <v>297</v>
      </c>
      <c r="H5" s="108" t="s">
        <v>297</v>
      </c>
      <c r="J5" s="109">
        <v>70215.0</v>
      </c>
      <c r="K5" s="110"/>
    </row>
    <row r="6">
      <c r="A6" s="108" t="s">
        <v>37</v>
      </c>
      <c r="B6" s="38" t="str">
        <f>IFERROR(HYPERLINK(VLOOKUP(A6,Internal_lists_bugs!$A$2:$C$73,3,FALSE()), VLOOKUP(A6,Internal_lists_bugs!$A$2:$C$73,3,FALSE())&amp;Char(10) &amp; Char(10) &amp; VLOOKUP(A6,Internal_lists_bugs!$A$2:$Z$73,26,FALSE())),"please select a BUG ID")</f>
        <v>
</v>
      </c>
      <c r="C6" s="39" t="str">
        <f>IFERROR(VLOOKUP(A6,Internal_lists_bugs!$A$2:$G847,7,FALSE()),"please select a BUG ID")</f>
        <v>https://opendev.org/openstack/nova/commit/8218a86dedd50301252598667171d17d874bb36d</v>
      </c>
      <c r="D6" s="39" t="str">
        <f>IFERROR(VLOOKUP(A6,Internal_lists_bugs!$A$2:$I847,9,FALSE()),"please select a BUG ID")</f>
        <v>https://review.opendev.org/c/openstack/nova/+/70215</v>
      </c>
      <c r="E6" s="108" t="s">
        <v>457</v>
      </c>
      <c r="F6" s="108" t="s">
        <v>458</v>
      </c>
      <c r="G6" s="108" t="s">
        <v>297</v>
      </c>
      <c r="H6" s="108" t="s">
        <v>297</v>
      </c>
      <c r="J6" s="109">
        <v>70215.0</v>
      </c>
      <c r="K6" s="110"/>
    </row>
    <row r="7">
      <c r="A7" s="108" t="s">
        <v>44</v>
      </c>
      <c r="B7" s="38" t="str">
        <f>IFERROR(HYPERLINK(VLOOKUP(A7,Internal_lists_bugs!$A$2:$C$73,3,FALSE()), VLOOKUP(A7,Internal_lists_bugs!$A$2:$C$73,3,FALSE())&amp;Char(10) &amp; Char(10) &amp; VLOOKUP(A7,Internal_lists_bugs!$A$2:$Z$73,26,FALSE())),"please select a BUG ID")</f>
        <v>
</v>
      </c>
      <c r="C7" s="39" t="str">
        <f>IFERROR(VLOOKUP(A7,Internal_lists_bugs!$A$2:$G847,7,FALSE()),"please select a BUG ID")</f>
        <v>https://opendev.org/openstack/nova/commit/ba1ed8958b6bde0d8b9f5862a83ac7e1a33e8313</v>
      </c>
      <c r="D7" s="39" t="str">
        <f>IFERROR(VLOOKUP(A7,Internal_lists_bugs!$A$2:$I847,9,FALSE()),"please select a BUG ID")</f>
        <v>https://review.opendev.org/c/openstack/nova/+/29062</v>
      </c>
      <c r="E7" s="108" t="s">
        <v>453</v>
      </c>
      <c r="F7" s="108" t="s">
        <v>454</v>
      </c>
      <c r="G7" s="108" t="s">
        <v>297</v>
      </c>
      <c r="H7" s="108" t="s">
        <v>297</v>
      </c>
      <c r="J7" s="109">
        <v>29062.0</v>
      </c>
      <c r="K7" s="110"/>
    </row>
    <row r="8">
      <c r="A8" s="108" t="s">
        <v>33</v>
      </c>
      <c r="B8" s="38" t="str">
        <f>IFERROR(HYPERLINK(VLOOKUP(A8,Internal_lists_bugs!$A$2:$C$73,3,FALSE()), VLOOKUP(A8,Internal_lists_bugs!$A$2:$C$73,3,FALSE())&amp;Char(10) &amp; Char(10) &amp; VLOOKUP(A8,Internal_lists_bugs!$A$2:$Z$73,26,FALSE())),"please select a BUG ID")</f>
        <v>
</v>
      </c>
      <c r="C8" s="39" t="str">
        <f>IFERROR(VLOOKUP(A8,Internal_lists_bugs!$A$2:$G847,7,FALSE()),"please select a BUG ID")</f>
        <v>https://opendev.org/openstack/nova/commit/27a5753dd3766b5535e0248d48c9bb555379dd12</v>
      </c>
      <c r="D8" s="39" t="str">
        <f>IFERROR(VLOOKUP(A8,Internal_lists_bugs!$A$2:$I847,9,FALSE()),"please select a BUG ID")</f>
        <v>https://review.opendev.org/c/openstack/nova/+/14806</v>
      </c>
      <c r="E8" s="108" t="s">
        <v>453</v>
      </c>
      <c r="F8" s="108" t="s">
        <v>454</v>
      </c>
      <c r="G8" s="108" t="s">
        <v>297</v>
      </c>
      <c r="H8" s="108" t="s">
        <v>297</v>
      </c>
      <c r="J8" s="109">
        <v>14806.0</v>
      </c>
      <c r="K8" s="110"/>
    </row>
    <row r="9">
      <c r="A9" s="108" t="s">
        <v>33</v>
      </c>
      <c r="B9" s="38" t="str">
        <f>IFERROR(HYPERLINK(VLOOKUP(A9,Internal_lists_bugs!$A$2:$C$73,3,FALSE()), VLOOKUP(A9,Internal_lists_bugs!$A$2:$C$73,3,FALSE())&amp;Char(10) &amp; Char(10) &amp; VLOOKUP(A9,Internal_lists_bugs!$A$2:$Z$73,26,FALSE())),"please select a BUG ID")</f>
        <v>
</v>
      </c>
      <c r="C9" s="39" t="str">
        <f>IFERROR(VLOOKUP(A9,Internal_lists_bugs!$A$2:$G847,7,FALSE()),"please select a BUG ID")</f>
        <v>https://opendev.org/openstack/nova/commit/27a5753dd3766b5535e0248d48c9bb555379dd12</v>
      </c>
      <c r="D9" s="39" t="str">
        <f>IFERROR(VLOOKUP(A9,Internal_lists_bugs!$A$2:$I847,9,FALSE()),"please select a BUG ID")</f>
        <v>https://review.opendev.org/c/openstack/nova/+/14806</v>
      </c>
      <c r="E9" s="108" t="s">
        <v>459</v>
      </c>
      <c r="F9" s="108" t="s">
        <v>454</v>
      </c>
      <c r="G9" s="108" t="s">
        <v>297</v>
      </c>
      <c r="H9" s="108" t="s">
        <v>297</v>
      </c>
      <c r="J9" s="109">
        <v>14806.0</v>
      </c>
      <c r="K9" s="110"/>
    </row>
    <row r="10">
      <c r="A10" s="108" t="s">
        <v>57</v>
      </c>
      <c r="B10" s="38" t="str">
        <f>IFERROR(HYPERLINK(VLOOKUP(A10,Internal_lists_bugs!$A$2:$C$73,3,FALSE()), VLOOKUP(A10,Internal_lists_bugs!$A$2:$C$73,3,FALSE())&amp;Char(10) &amp; Char(10) &amp; VLOOKUP(A10,Internal_lists_bugs!$A$2:$Z$73,26,FALSE())),"please select a BUG ID")</f>
        <v>
</v>
      </c>
      <c r="C10" s="39" t="str">
        <f>IFERROR(VLOOKUP(A10,Internal_lists_bugs!$A$2:$G847,7,FALSE()),"please select a BUG ID")</f>
        <v>https://opendev.org/openstack/nova/commit/ae1040232dc681d718d940af11108322044a23be</v>
      </c>
      <c r="D10" s="39" t="str">
        <f>IFERROR(VLOOKUP(A10,Internal_lists_bugs!$A$2:$I847,9,FALSE()),"please select a BUG ID")</f>
        <v>https://review.opendev.org/c/openstack/nova/+/40426</v>
      </c>
      <c r="E10" s="108" t="s">
        <v>453</v>
      </c>
      <c r="F10" s="108" t="s">
        <v>454</v>
      </c>
      <c r="G10" s="108" t="s">
        <v>297</v>
      </c>
      <c r="H10" s="108" t="s">
        <v>297</v>
      </c>
      <c r="J10" s="109">
        <v>40426.0</v>
      </c>
      <c r="K10" s="110"/>
    </row>
    <row r="11">
      <c r="A11" s="108" t="s">
        <v>57</v>
      </c>
      <c r="B11" s="38" t="str">
        <f>IFERROR(HYPERLINK(VLOOKUP(A11,Internal_lists_bugs!$A$2:$C$73,3,FALSE()), VLOOKUP(A11,Internal_lists_bugs!$A$2:$C$73,3,FALSE())&amp;Char(10) &amp; Char(10) &amp; VLOOKUP(A11,Internal_lists_bugs!$A$2:$Z$73,26,FALSE())),"please select a BUG ID")</f>
        <v>
</v>
      </c>
      <c r="C11" s="39" t="str">
        <f>IFERROR(VLOOKUP(A11,Internal_lists_bugs!$A$2:$G847,7,FALSE()),"please select a BUG ID")</f>
        <v>https://opendev.org/openstack/nova/commit/ae1040232dc681d718d940af11108322044a23be</v>
      </c>
      <c r="D11" s="39" t="str">
        <f>IFERROR(VLOOKUP(A11,Internal_lists_bugs!$A$2:$I847,9,FALSE()),"please select a BUG ID")</f>
        <v>https://review.opendev.org/c/openstack/nova/+/40426</v>
      </c>
      <c r="E11" s="108" t="s">
        <v>459</v>
      </c>
      <c r="F11" s="108" t="s">
        <v>454</v>
      </c>
      <c r="G11" s="108" t="s">
        <v>297</v>
      </c>
      <c r="H11" s="108" t="s">
        <v>297</v>
      </c>
      <c r="J11" s="109">
        <v>40426.0</v>
      </c>
      <c r="K11" s="110"/>
    </row>
    <row r="12">
      <c r="A12" s="108" t="s">
        <v>38</v>
      </c>
      <c r="B12" s="38" t="str">
        <f>IFERROR(HYPERLINK(VLOOKUP(A12,Internal_lists_bugs!$A$2:$C$73,3,FALSE()), VLOOKUP(A12,Internal_lists_bugs!$A$2:$C$73,3,FALSE())&amp;Char(10) &amp; Char(10) &amp; VLOOKUP(A12,Internal_lists_bugs!$A$2:$Z$73,26,FALSE())),"please select a BUG ID")</f>
        <v>
</v>
      </c>
      <c r="C12" s="39" t="str">
        <f>IFERROR(VLOOKUP(A12,Internal_lists_bugs!$A$2:$G847,7,FALSE()),"please select a BUG ID")</f>
        <v>https://opendev.org/openstack/nova/commit/90a37c069ede9d9b23ff6faef4ea6e48bbd7ebce</v>
      </c>
      <c r="D12" s="39" t="str">
        <f>IFERROR(VLOOKUP(A12,Internal_lists_bugs!$A$2:$I847,9,FALSE()),"please select a BUG ID")</f>
        <v>https://review.opendev.org/c/openstack/nova/+/44239</v>
      </c>
      <c r="E12" s="108" t="s">
        <v>453</v>
      </c>
      <c r="F12" s="108" t="s">
        <v>454</v>
      </c>
      <c r="G12" s="108" t="s">
        <v>297</v>
      </c>
      <c r="H12" s="108" t="s">
        <v>297</v>
      </c>
      <c r="J12" s="109">
        <v>44239.0</v>
      </c>
      <c r="K12" s="110"/>
    </row>
    <row r="13">
      <c r="A13" s="108" t="s">
        <v>38</v>
      </c>
      <c r="B13" s="38" t="str">
        <f>IFERROR(HYPERLINK(VLOOKUP(A13,Internal_lists_bugs!$A$2:$C$73,3,FALSE()), VLOOKUP(A13,Internal_lists_bugs!$A$2:$C$73,3,FALSE())&amp;Char(10) &amp; Char(10) &amp; VLOOKUP(A13,Internal_lists_bugs!$A$2:$Z$73,26,FALSE())),"please select a BUG ID")</f>
        <v>
</v>
      </c>
      <c r="C13" s="39" t="str">
        <f>IFERROR(VLOOKUP(A13,Internal_lists_bugs!$A$2:$G847,7,FALSE()),"please select a BUG ID")</f>
        <v>https://opendev.org/openstack/nova/commit/90a37c069ede9d9b23ff6faef4ea6e48bbd7ebce</v>
      </c>
      <c r="D13" s="39" t="str">
        <f>IFERROR(VLOOKUP(A13,Internal_lists_bugs!$A$2:$I847,9,FALSE()),"please select a BUG ID")</f>
        <v>https://review.opendev.org/c/openstack/nova/+/44239</v>
      </c>
      <c r="E13" s="108" t="s">
        <v>459</v>
      </c>
      <c r="F13" s="108" t="s">
        <v>454</v>
      </c>
      <c r="G13" s="108" t="s">
        <v>297</v>
      </c>
      <c r="H13" s="108" t="s">
        <v>297</v>
      </c>
      <c r="J13" s="109">
        <v>44239.0</v>
      </c>
      <c r="K13" s="111"/>
    </row>
    <row r="14">
      <c r="A14" s="108" t="s">
        <v>55</v>
      </c>
      <c r="B14" s="38" t="str">
        <f>IFERROR(HYPERLINK(VLOOKUP(A14,Internal_lists_bugs!$A$2:$C$73,3,FALSE()), VLOOKUP(A14,Internal_lists_bugs!$A$2:$C$73,3,FALSE())&amp;Char(10) &amp; Char(10) &amp; VLOOKUP(A14,Internal_lists_bugs!$A$2:$Z$73,26,FALSE())),"please select a BUG ID")</f>
        <v>
</v>
      </c>
      <c r="C14" s="39" t="str">
        <f>IFERROR(VLOOKUP(A14,Internal_lists_bugs!$A$2:$G847,7,FALSE()),"please select a BUG ID")</f>
        <v>https://opendev.org/openstack/nova/commit/475f3624245500c5382faf5b2708a59fcec2c9ad</v>
      </c>
      <c r="D14" s="39" t="str">
        <f>IFERROR(VLOOKUP(A14,Internal_lists_bugs!$A$2:$I847,9,FALSE()),"please select a BUG ID")</f>
        <v>https://review.opendev.org/c/openstack/nova/+/1934</v>
      </c>
      <c r="E14" s="108" t="s">
        <v>453</v>
      </c>
      <c r="F14" s="108" t="s">
        <v>454</v>
      </c>
      <c r="G14" s="108" t="s">
        <v>297</v>
      </c>
      <c r="H14" s="108" t="s">
        <v>297</v>
      </c>
      <c r="J14" s="109">
        <v>1934.0</v>
      </c>
      <c r="K14" s="111"/>
    </row>
    <row r="15">
      <c r="A15" s="108" t="s">
        <v>55</v>
      </c>
      <c r="B15" s="38" t="str">
        <f>IFERROR(HYPERLINK(VLOOKUP(A15,Internal_lists_bugs!$A$2:$C$73,3,FALSE()), VLOOKUP(A15,Internal_lists_bugs!$A$2:$C$73,3,FALSE())&amp;Char(10) &amp; Char(10) &amp; VLOOKUP(A15,Internal_lists_bugs!$A$2:$Z$73,26,FALSE())),"please select a BUG ID")</f>
        <v>
</v>
      </c>
      <c r="C15" s="39" t="str">
        <f>IFERROR(VLOOKUP(A15,Internal_lists_bugs!$A$2:$G847,7,FALSE()),"please select a BUG ID")</f>
        <v>https://opendev.org/openstack/nova/commit/475f3624245500c5382faf5b2708a59fcec2c9ad</v>
      </c>
      <c r="D15" s="39" t="str">
        <f>IFERROR(VLOOKUP(A15,Internal_lists_bugs!$A$2:$I847,9,FALSE()),"please select a BUG ID")</f>
        <v>https://review.opendev.org/c/openstack/nova/+/1934</v>
      </c>
      <c r="E15" s="108" t="s">
        <v>453</v>
      </c>
      <c r="F15" s="108" t="s">
        <v>454</v>
      </c>
      <c r="G15" s="108" t="s">
        <v>297</v>
      </c>
      <c r="H15" s="108" t="s">
        <v>297</v>
      </c>
      <c r="J15" s="109">
        <v>2232.0</v>
      </c>
      <c r="K15" s="111"/>
    </row>
    <row r="16">
      <c r="A16" s="108" t="s">
        <v>45</v>
      </c>
      <c r="B16" s="38" t="str">
        <f>IFERROR(HYPERLINK(VLOOKUP(A16,Internal_lists_bugs!$A$2:$C$73,3,FALSE()), VLOOKUP(A16,Internal_lists_bugs!$A$2:$C$73,3,FALSE())&amp;Char(10) &amp; Char(10) &amp; VLOOKUP(A16,Internal_lists_bugs!$A$2:$Z$73,26,FALSE())),"please select a BUG ID")</f>
        <v>
</v>
      </c>
      <c r="C16" s="39" t="str">
        <f>IFERROR(VLOOKUP(A16,Internal_lists_bugs!$A$2:$G847,7,FALSE()),"please select a BUG ID")</f>
        <v>https://opendev.org/openstack/nova/commit/6ed6be8435284daf39ef1b8323e213c7885852c6</v>
      </c>
      <c r="D16" s="39" t="str">
        <f>IFERROR(VLOOKUP(A16,Internal_lists_bugs!$A$2:$I847,9,FALSE()),"please select a BUG ID")</f>
        <v>https://review.opendev.org/c/openstack/nova/+/63178</v>
      </c>
      <c r="E16" s="108" t="s">
        <v>453</v>
      </c>
      <c r="F16" s="108" t="s">
        <v>454</v>
      </c>
      <c r="G16" s="108" t="s">
        <v>297</v>
      </c>
      <c r="H16" s="108" t="s">
        <v>297</v>
      </c>
      <c r="J16" s="109">
        <v>63178.0</v>
      </c>
      <c r="K16" s="111"/>
    </row>
    <row r="17">
      <c r="A17" s="108" t="s">
        <v>45</v>
      </c>
      <c r="B17" s="38" t="str">
        <f>IFERROR(HYPERLINK(VLOOKUP(A17,Internal_lists_bugs!$A$2:$C$73,3,FALSE()), VLOOKUP(A17,Internal_lists_bugs!$A$2:$C$73,3,FALSE())&amp;Char(10) &amp; Char(10) &amp; VLOOKUP(A17,Internal_lists_bugs!$A$2:$Z$73,26,FALSE())),"please select a BUG ID")</f>
        <v>
</v>
      </c>
      <c r="C17" s="39" t="str">
        <f>IFERROR(VLOOKUP(A17,Internal_lists_bugs!$A$2:$G847,7,FALSE()),"please select a BUG ID")</f>
        <v>https://opendev.org/openstack/nova/commit/6ed6be8435284daf39ef1b8323e213c7885852c6</v>
      </c>
      <c r="D17" s="39" t="str">
        <f>IFERROR(VLOOKUP(A17,Internal_lists_bugs!$A$2:$I847,9,FALSE()),"please select a BUG ID")</f>
        <v>https://review.opendev.org/c/openstack/nova/+/63178</v>
      </c>
      <c r="E17" s="108" t="s">
        <v>455</v>
      </c>
      <c r="F17" s="108" t="s">
        <v>454</v>
      </c>
      <c r="G17" s="108" t="s">
        <v>297</v>
      </c>
      <c r="H17" s="108" t="s">
        <v>297</v>
      </c>
      <c r="J17" s="109">
        <v>63178.0</v>
      </c>
      <c r="K17" s="111"/>
    </row>
    <row r="18">
      <c r="A18" s="108" t="s">
        <v>35</v>
      </c>
      <c r="B18" s="38" t="str">
        <f>IFERROR(HYPERLINK(VLOOKUP(A18,Internal_lists_bugs!$A$2:$C$73,3,FALSE()), VLOOKUP(A18,Internal_lists_bugs!$A$2:$C$73,3,FALSE())&amp;Char(10) &amp; Char(10) &amp; VLOOKUP(A18,Internal_lists_bugs!$A$2:$Z$73,26,FALSE())),"please select a BUG ID")</f>
        <v>
</v>
      </c>
      <c r="C18" s="39" t="str">
        <f>IFERROR(VLOOKUP(A18,Internal_lists_bugs!$A$2:$G847,7,FALSE()),"please select a BUG ID")</f>
        <v>https://opendev.org/openstack/nova/commit/6982d8534d78d9732fc8d6e05c8f3bb432d62264</v>
      </c>
      <c r="D18" s="39" t="str">
        <f>IFERROR(VLOOKUP(A18,Internal_lists_bugs!$A$2:$I847,9,FALSE()),"please select a BUG ID")</f>
        <v>https://review.opendev.org/c/openstack/nova/+/65042</v>
      </c>
      <c r="E18" s="108" t="s">
        <v>453</v>
      </c>
      <c r="F18" s="108" t="s">
        <v>454</v>
      </c>
      <c r="G18" s="108" t="s">
        <v>297</v>
      </c>
      <c r="H18" s="108" t="s">
        <v>297</v>
      </c>
      <c r="J18" s="109">
        <v>65042.0</v>
      </c>
      <c r="K18" s="111"/>
    </row>
    <row r="19">
      <c r="A19" s="108" t="s">
        <v>35</v>
      </c>
      <c r="B19" s="38" t="str">
        <f>IFERROR(HYPERLINK(VLOOKUP(A19,Internal_lists_bugs!$A$2:$C$73,3,FALSE()), VLOOKUP(A19,Internal_lists_bugs!$A$2:$C$73,3,FALSE())&amp;Char(10) &amp; Char(10) &amp; VLOOKUP(A19,Internal_lists_bugs!$A$2:$Z$73,26,FALSE())),"please select a BUG ID")</f>
        <v>
</v>
      </c>
      <c r="C19" s="39" t="str">
        <f>IFERROR(VLOOKUP(A19,Internal_lists_bugs!$A$2:$G847,7,FALSE()),"please select a BUG ID")</f>
        <v>https://opendev.org/openstack/nova/commit/6982d8534d78d9732fc8d6e05c8f3bb432d62264</v>
      </c>
      <c r="D19" s="39" t="str">
        <f>IFERROR(VLOOKUP(A19,Internal_lists_bugs!$A$2:$I847,9,FALSE()),"please select a BUG ID")</f>
        <v>https://review.opendev.org/c/openstack/nova/+/65042</v>
      </c>
      <c r="E19" s="108" t="s">
        <v>455</v>
      </c>
      <c r="F19" s="108" t="s">
        <v>454</v>
      </c>
      <c r="G19" s="108" t="s">
        <v>297</v>
      </c>
      <c r="H19" s="108" t="s">
        <v>297</v>
      </c>
      <c r="J19" s="109">
        <v>65042.0</v>
      </c>
      <c r="K19" s="111"/>
    </row>
    <row r="20">
      <c r="A20" s="108" t="s">
        <v>43</v>
      </c>
      <c r="B20" s="38" t="str">
        <f>IFERROR(HYPERLINK(VLOOKUP(A20,Internal_lists_bugs!$A$2:$C$73,3,FALSE()), VLOOKUP(A20,Internal_lists_bugs!$A$2:$C$73,3,FALSE())&amp;Char(10) &amp; Char(10) &amp; VLOOKUP(A20,Internal_lists_bugs!$A$2:$Z$73,26,FALSE())),"please select a BUG ID")</f>
        <v>
</v>
      </c>
      <c r="C20" s="39" t="str">
        <f>IFERROR(VLOOKUP(A20,Internal_lists_bugs!$A$2:$G847,7,FALSE()),"please select a BUG ID")</f>
        <v>https://opendev.org/openstack/nova/commit/e65a43837e9ccad8ca34da4d29824df591c685fe</v>
      </c>
      <c r="D20" s="39" t="str">
        <f>IFERROR(VLOOKUP(A20,Internal_lists_bugs!$A$2:$I847,9,FALSE()),"please select a BUG ID")</f>
        <v>https://review.opendev.org/c/openstack/nova/+/119446</v>
      </c>
      <c r="E20" s="108" t="s">
        <v>453</v>
      </c>
      <c r="F20" s="108" t="s">
        <v>454</v>
      </c>
      <c r="G20" s="108" t="s">
        <v>297</v>
      </c>
      <c r="H20" s="108" t="s">
        <v>297</v>
      </c>
      <c r="J20" s="109">
        <v>119446.0</v>
      </c>
      <c r="K20" s="111"/>
    </row>
    <row r="21">
      <c r="A21" s="108" t="s">
        <v>43</v>
      </c>
      <c r="B21" s="38" t="str">
        <f>IFERROR(HYPERLINK(VLOOKUP(A21,Internal_lists_bugs!$A$2:$C$73,3,FALSE()), VLOOKUP(A21,Internal_lists_bugs!$A$2:$C$73,3,FALSE())&amp;Char(10) &amp; Char(10) &amp; VLOOKUP(A21,Internal_lists_bugs!$A$2:$Z$73,26,FALSE())),"please select a BUG ID")</f>
        <v>
</v>
      </c>
      <c r="C21" s="39" t="str">
        <f>IFERROR(VLOOKUP(A21,Internal_lists_bugs!$A$2:$G847,7,FALSE()),"please select a BUG ID")</f>
        <v>https://opendev.org/openstack/nova/commit/e65a43837e9ccad8ca34da4d29824df591c685fe</v>
      </c>
      <c r="D21" s="39" t="str">
        <f>IFERROR(VLOOKUP(A21,Internal_lists_bugs!$A$2:$I847,9,FALSE()),"please select a BUG ID")</f>
        <v>https://review.opendev.org/c/openstack/nova/+/119446</v>
      </c>
      <c r="E21" s="108" t="s">
        <v>455</v>
      </c>
      <c r="F21" s="108" t="s">
        <v>454</v>
      </c>
      <c r="G21" s="108" t="s">
        <v>297</v>
      </c>
      <c r="H21" s="108" t="s">
        <v>297</v>
      </c>
      <c r="J21" s="109">
        <v>119446.0</v>
      </c>
      <c r="K21" s="111"/>
    </row>
    <row r="22">
      <c r="A22" s="108" t="s">
        <v>43</v>
      </c>
      <c r="B22" s="38" t="str">
        <f>IFERROR(HYPERLINK(VLOOKUP(A22,Internal_lists_bugs!$A$2:$C$73,3,FALSE()), VLOOKUP(A22,Internal_lists_bugs!$A$2:$C$73,3,FALSE())&amp;Char(10) &amp; Char(10) &amp; VLOOKUP(A22,Internal_lists_bugs!$A$2:$Z$73,26,FALSE())),"please select a BUG ID")</f>
        <v>
</v>
      </c>
      <c r="C22" s="39" t="str">
        <f>IFERROR(VLOOKUP(A22,Internal_lists_bugs!$A$2:$G847,7,FALSE()),"please select a BUG ID")</f>
        <v>https://opendev.org/openstack/nova/commit/e65a43837e9ccad8ca34da4d29824df591c685fe</v>
      </c>
      <c r="D22" s="39" t="str">
        <f>IFERROR(VLOOKUP(A22,Internal_lists_bugs!$A$2:$I847,9,FALSE()),"please select a BUG ID")</f>
        <v>https://review.opendev.org/c/openstack/nova/+/119446</v>
      </c>
      <c r="E22" s="108" t="s">
        <v>460</v>
      </c>
      <c r="F22" s="108" t="s">
        <v>454</v>
      </c>
      <c r="G22" s="108" t="s">
        <v>297</v>
      </c>
      <c r="H22" s="108" t="s">
        <v>297</v>
      </c>
      <c r="J22" s="109">
        <v>119446.0</v>
      </c>
      <c r="K22" s="111"/>
    </row>
    <row r="23">
      <c r="A23" s="108" t="s">
        <v>43</v>
      </c>
      <c r="B23" s="38" t="str">
        <f>IFERROR(HYPERLINK(VLOOKUP(A23,Internal_lists_bugs!$A$2:$C$73,3,FALSE()), VLOOKUP(A23,Internal_lists_bugs!$A$2:$C$73,3,FALSE())&amp;Char(10) &amp; Char(10) &amp; VLOOKUP(A23,Internal_lists_bugs!$A$2:$Z$73,26,FALSE())),"please select a BUG ID")</f>
        <v>
</v>
      </c>
      <c r="C23" s="39" t="str">
        <f>IFERROR(VLOOKUP(A23,Internal_lists_bugs!$A$2:$G847,7,FALSE()),"please select a BUG ID")</f>
        <v>https://opendev.org/openstack/nova/commit/e65a43837e9ccad8ca34da4d29824df591c685fe</v>
      </c>
      <c r="D23" s="39" t="str">
        <f>IFERROR(VLOOKUP(A23,Internal_lists_bugs!$A$2:$I847,9,FALSE()),"please select a BUG ID")</f>
        <v>https://review.opendev.org/c/openstack/nova/+/119446</v>
      </c>
      <c r="E23" s="108" t="s">
        <v>456</v>
      </c>
      <c r="F23" s="108" t="s">
        <v>454</v>
      </c>
      <c r="G23" s="108" t="s">
        <v>297</v>
      </c>
      <c r="H23" s="108" t="s">
        <v>297</v>
      </c>
      <c r="J23" s="109">
        <v>119446.0</v>
      </c>
      <c r="K23" s="111"/>
    </row>
    <row r="24">
      <c r="A24" s="108" t="s">
        <v>54</v>
      </c>
      <c r="B24" s="38" t="str">
        <f>IFERROR(HYPERLINK(VLOOKUP(A24,Internal_lists_bugs!$A$2:$C$73,3,FALSE()), VLOOKUP(A24,Internal_lists_bugs!$A$2:$C$73,3,FALSE())&amp;Char(10) &amp; Char(10) &amp; VLOOKUP(A24,Internal_lists_bugs!$A$2:$Z$73,26,FALSE())),"please select a BUG ID")</f>
        <v>
</v>
      </c>
      <c r="C24" s="39" t="str">
        <f>IFERROR(VLOOKUP(A24,Internal_lists_bugs!$A$2:$G847,7,FALSE()),"please select a BUG ID")</f>
        <v>https://opendev.org/openstack/nova/commit/9340f6db7961824aabdf73cecf5e19892ce01c03</v>
      </c>
      <c r="D24" s="39" t="str">
        <f>IFERROR(VLOOKUP(A24,Internal_lists_bugs!$A$2:$I847,9,FALSE()),"please select a BUG ID")</f>
        <v>https://review.opendev.org/c/openstack/nova/+/107602</v>
      </c>
      <c r="E24" s="108" t="s">
        <v>453</v>
      </c>
      <c r="F24" s="108" t="s">
        <v>454</v>
      </c>
      <c r="G24" s="108" t="s">
        <v>297</v>
      </c>
      <c r="H24" s="108" t="s">
        <v>297</v>
      </c>
      <c r="J24" s="109">
        <v>107602.0</v>
      </c>
      <c r="K24" s="111"/>
    </row>
    <row r="25">
      <c r="A25" s="108" t="s">
        <v>54</v>
      </c>
      <c r="B25" s="38" t="str">
        <f>IFERROR(HYPERLINK(VLOOKUP(A25,Internal_lists_bugs!$A$2:$C$73,3,FALSE()), VLOOKUP(A25,Internal_lists_bugs!$A$2:$C$73,3,FALSE())&amp;Char(10) &amp; Char(10) &amp; VLOOKUP(A25,Internal_lists_bugs!$A$2:$Z$73,26,FALSE())),"please select a BUG ID")</f>
        <v>
</v>
      </c>
      <c r="C25" s="39" t="str">
        <f>IFERROR(VLOOKUP(A25,Internal_lists_bugs!$A$2:$G847,7,FALSE()),"please select a BUG ID")</f>
        <v>https://opendev.org/openstack/nova/commit/9340f6db7961824aabdf73cecf5e19892ce01c03</v>
      </c>
      <c r="D25" s="39" t="str">
        <f>IFERROR(VLOOKUP(A25,Internal_lists_bugs!$A$2:$I847,9,FALSE()),"please select a BUG ID")</f>
        <v>https://review.opendev.org/c/openstack/nova/+/107602</v>
      </c>
      <c r="E25" s="108" t="s">
        <v>455</v>
      </c>
      <c r="F25" s="108" t="s">
        <v>454</v>
      </c>
      <c r="G25" s="108" t="s">
        <v>297</v>
      </c>
      <c r="H25" s="108" t="s">
        <v>297</v>
      </c>
      <c r="J25" s="109">
        <v>107602.0</v>
      </c>
      <c r="K25" s="111"/>
    </row>
    <row r="26">
      <c r="A26" s="108" t="s">
        <v>54</v>
      </c>
      <c r="B26" s="38" t="str">
        <f>IFERROR(HYPERLINK(VLOOKUP(A26,Internal_lists_bugs!$A$2:$C$73,3,FALSE()), VLOOKUP(A26,Internal_lists_bugs!$A$2:$C$73,3,FALSE())&amp;Char(10) &amp; Char(10) &amp; VLOOKUP(A26,Internal_lists_bugs!$A$2:$Z$73,26,FALSE())),"please select a BUG ID")</f>
        <v>
</v>
      </c>
      <c r="C26" s="39" t="str">
        <f>IFERROR(VLOOKUP(A26,Internal_lists_bugs!$A$2:$G847,7,FALSE()),"please select a BUG ID")</f>
        <v>https://opendev.org/openstack/nova/commit/9340f6db7961824aabdf73cecf5e19892ce01c03</v>
      </c>
      <c r="D26" s="39" t="str">
        <f>IFERROR(VLOOKUP(A26,Internal_lists_bugs!$A$2:$I847,9,FALSE()),"please select a BUG ID")</f>
        <v>https://review.opendev.org/c/openstack/nova/+/107602</v>
      </c>
      <c r="E26" s="108" t="s">
        <v>460</v>
      </c>
      <c r="F26" s="108" t="s">
        <v>454</v>
      </c>
      <c r="G26" s="108" t="s">
        <v>297</v>
      </c>
      <c r="H26" s="108" t="s">
        <v>297</v>
      </c>
      <c r="J26" s="109">
        <v>107602.0</v>
      </c>
      <c r="K26" s="111"/>
    </row>
    <row r="27">
      <c r="A27" s="108" t="s">
        <v>54</v>
      </c>
      <c r="B27" s="38" t="str">
        <f>IFERROR(HYPERLINK(VLOOKUP(A27,Internal_lists_bugs!$A$2:$C$73,3,FALSE()), VLOOKUP(A27,Internal_lists_bugs!$A$2:$C$73,3,FALSE())&amp;Char(10) &amp; Char(10) &amp; VLOOKUP(A27,Internal_lists_bugs!$A$2:$Z$73,26,FALSE())),"please select a BUG ID")</f>
        <v>
</v>
      </c>
      <c r="C27" s="39" t="str">
        <f>IFERROR(VLOOKUP(A27,Internal_lists_bugs!$A$2:$G847,7,FALSE()),"please select a BUG ID")</f>
        <v>https://opendev.org/openstack/nova/commit/9340f6db7961824aabdf73cecf5e19892ce01c03</v>
      </c>
      <c r="D27" s="39" t="str">
        <f>IFERROR(VLOOKUP(A27,Internal_lists_bugs!$A$2:$I847,9,FALSE()),"please select a BUG ID")</f>
        <v>https://review.opendev.org/c/openstack/nova/+/107602</v>
      </c>
      <c r="E27" s="108" t="s">
        <v>456</v>
      </c>
      <c r="F27" s="108" t="s">
        <v>454</v>
      </c>
      <c r="G27" s="108" t="s">
        <v>297</v>
      </c>
      <c r="H27" s="108" t="s">
        <v>297</v>
      </c>
      <c r="J27" s="109">
        <v>107602.0</v>
      </c>
      <c r="K27" s="111"/>
    </row>
    <row r="28">
      <c r="A28" s="108" t="s">
        <v>54</v>
      </c>
      <c r="B28" s="38" t="str">
        <f>IFERROR(HYPERLINK(VLOOKUP(A28,Internal_lists_bugs!$A$2:$C$73,3,FALSE()), VLOOKUP(A28,Internal_lists_bugs!$A$2:$C$73,3,FALSE())&amp;Char(10) &amp; Char(10) &amp; VLOOKUP(A28,Internal_lists_bugs!$A$2:$Z$73,26,FALSE())),"please select a BUG ID")</f>
        <v>
</v>
      </c>
      <c r="C28" s="39" t="str">
        <f>IFERROR(VLOOKUP(A28,Internal_lists_bugs!$A$2:$G847,7,FALSE()),"please select a BUG ID")</f>
        <v>https://opendev.org/openstack/nova/commit/9340f6db7961824aabdf73cecf5e19892ce01c03</v>
      </c>
      <c r="D28" s="39" t="str">
        <f>IFERROR(VLOOKUP(A28,Internal_lists_bugs!$A$2:$I847,9,FALSE()),"please select a BUG ID")</f>
        <v>https://review.opendev.org/c/openstack/nova/+/107602</v>
      </c>
      <c r="E28" s="108" t="s">
        <v>457</v>
      </c>
      <c r="F28" s="108" t="s">
        <v>458</v>
      </c>
      <c r="G28" s="108" t="s">
        <v>297</v>
      </c>
      <c r="H28" s="108" t="s">
        <v>297</v>
      </c>
      <c r="J28" s="109">
        <v>107602.0</v>
      </c>
      <c r="K28" s="111"/>
    </row>
    <row r="29">
      <c r="A29" s="108" t="s">
        <v>56</v>
      </c>
      <c r="B29" s="38" t="str">
        <f>IFERROR(HYPERLINK(VLOOKUP(A29,Internal_lists_bugs!$A$2:$C$73,3,FALSE()), VLOOKUP(A29,Internal_lists_bugs!$A$2:$C$73,3,FALSE())&amp;Char(10) &amp; Char(10) &amp; VLOOKUP(A29,Internal_lists_bugs!$A$2:$Z$73,26,FALSE())),"please select a BUG ID")</f>
        <v>
</v>
      </c>
      <c r="C29" s="39" t="str">
        <f>IFERROR(VLOOKUP(A29,Internal_lists_bugs!$A$2:$G847,7,FALSE()),"please select a BUG ID")</f>
        <v>https://opendev.org/openstack/nova/commit/f2baacd4e634b815fe011ced0d6e46f6c06b7fdd</v>
      </c>
      <c r="D29" s="39" t="str">
        <f>IFERROR(VLOOKUP(A29,Internal_lists_bugs!$A$2:$I847,9,FALSE()),"please select a BUG ID")</f>
        <v>https://review.opendev.org/c/openstack/nova/+/19679</v>
      </c>
      <c r="E29" s="108" t="s">
        <v>453</v>
      </c>
      <c r="F29" s="108" t="s">
        <v>454</v>
      </c>
      <c r="G29" s="108" t="s">
        <v>121</v>
      </c>
      <c r="H29" s="108" t="s">
        <v>454</v>
      </c>
      <c r="J29" s="109">
        <v>19679.0</v>
      </c>
      <c r="K29" s="109">
        <v>19447.0</v>
      </c>
    </row>
    <row r="30">
      <c r="A30" s="108" t="s">
        <v>56</v>
      </c>
      <c r="B30" s="38" t="str">
        <f>IFERROR(HYPERLINK(VLOOKUP(A30,Internal_lists_bugs!$A$2:$C$73,3,FALSE()), VLOOKUP(A30,Internal_lists_bugs!$A$2:$C$73,3,FALSE())&amp;Char(10) &amp; Char(10) &amp; VLOOKUP(A30,Internal_lists_bugs!$A$2:$Z$73,26,FALSE())),"please select a BUG ID")</f>
        <v>
</v>
      </c>
      <c r="C30" s="39" t="str">
        <f>IFERROR(VLOOKUP(A30,Internal_lists_bugs!$A$2:$G847,7,FALSE()),"please select a BUG ID")</f>
        <v>https://opendev.org/openstack/nova/commit/f2baacd4e634b815fe011ced0d6e46f6c06b7fdd</v>
      </c>
      <c r="D30" s="39" t="str">
        <f>IFERROR(VLOOKUP(A30,Internal_lists_bugs!$A$2:$I847,9,FALSE()),"please select a BUG ID")</f>
        <v>https://review.opendev.org/c/openstack/nova/+/19679</v>
      </c>
      <c r="E30" s="108" t="s">
        <v>459</v>
      </c>
      <c r="F30" s="108" t="s">
        <v>454</v>
      </c>
      <c r="G30" s="108" t="s">
        <v>121</v>
      </c>
      <c r="H30" s="108" t="s">
        <v>454</v>
      </c>
      <c r="J30" s="109">
        <v>19679.0</v>
      </c>
      <c r="K30" s="109">
        <v>19447.0</v>
      </c>
    </row>
    <row r="31">
      <c r="A31" s="108" t="s">
        <v>48</v>
      </c>
      <c r="B31" s="38" t="str">
        <f>IFERROR(HYPERLINK(VLOOKUP(A31,Internal_lists_bugs!$A$2:$C$73,3,FALSE()), VLOOKUP(A31,Internal_lists_bugs!$A$2:$C$73,3,FALSE())&amp;Char(10) &amp; Char(10) &amp; VLOOKUP(A31,Internal_lists_bugs!$A$2:$Z$73,26,FALSE())),"please select a BUG ID")</f>
        <v>
</v>
      </c>
      <c r="C31" s="39" t="str">
        <f>IFERROR(VLOOKUP(A31,Internal_lists_bugs!$A$2:$G847,7,FALSE()),"please select a BUG ID")</f>
        <v>https://opendev.org/openstack/nova/commit/583d12f4fae620719b893cb7f9fbfc461ec8a124</v>
      </c>
      <c r="D31" s="39" t="str">
        <f>IFERROR(VLOOKUP(A31,Internal_lists_bugs!$A$2:$I847,9,FALSE()),"please select a BUG ID")</f>
        <v>https://review.opendev.org/c/openstack/nova/+/123682</v>
      </c>
      <c r="E31" s="108" t="s">
        <v>453</v>
      </c>
      <c r="F31" s="108" t="s">
        <v>454</v>
      </c>
      <c r="G31" s="108" t="s">
        <v>297</v>
      </c>
      <c r="H31" s="108" t="s">
        <v>297</v>
      </c>
      <c r="J31" s="109">
        <v>123682.0</v>
      </c>
      <c r="K31" s="111"/>
    </row>
    <row r="32">
      <c r="A32" s="108" t="s">
        <v>48</v>
      </c>
      <c r="B32" s="38" t="str">
        <f>IFERROR(HYPERLINK(VLOOKUP(A32,Internal_lists_bugs!$A$2:$C$73,3,FALSE()), VLOOKUP(A32,Internal_lists_bugs!$A$2:$C$73,3,FALSE())&amp;Char(10) &amp; Char(10) &amp; VLOOKUP(A32,Internal_lists_bugs!$A$2:$Z$73,26,FALSE())),"please select a BUG ID")</f>
        <v>
</v>
      </c>
      <c r="C32" s="39" t="str">
        <f>IFERROR(VLOOKUP(A32,Internal_lists_bugs!$A$2:$G847,7,FALSE()),"please select a BUG ID")</f>
        <v>https://opendev.org/openstack/nova/commit/583d12f4fae620719b893cb7f9fbfc461ec8a124</v>
      </c>
      <c r="D32" s="39" t="str">
        <f>IFERROR(VLOOKUP(A32,Internal_lists_bugs!$A$2:$I847,9,FALSE()),"please select a BUG ID")</f>
        <v>https://review.opendev.org/c/openstack/nova/+/123682</v>
      </c>
      <c r="E32" s="108" t="s">
        <v>455</v>
      </c>
      <c r="F32" s="108" t="s">
        <v>454</v>
      </c>
      <c r="G32" s="108" t="s">
        <v>297</v>
      </c>
      <c r="H32" s="108" t="s">
        <v>297</v>
      </c>
      <c r="J32" s="109">
        <v>123682.0</v>
      </c>
      <c r="K32" s="111"/>
    </row>
    <row r="33">
      <c r="A33" s="108" t="s">
        <v>48</v>
      </c>
      <c r="B33" s="38" t="str">
        <f>IFERROR(HYPERLINK(VLOOKUP(A33,Internal_lists_bugs!$A$2:$C$73,3,FALSE()), VLOOKUP(A33,Internal_lists_bugs!$A$2:$C$73,3,FALSE())&amp;Char(10) &amp; Char(10) &amp; VLOOKUP(A33,Internal_lists_bugs!$A$2:$Z$73,26,FALSE())),"please select a BUG ID")</f>
        <v>
</v>
      </c>
      <c r="C33" s="39" t="str">
        <f>IFERROR(VLOOKUP(A33,Internal_lists_bugs!$A$2:$G847,7,FALSE()),"please select a BUG ID")</f>
        <v>https://opendev.org/openstack/nova/commit/583d12f4fae620719b893cb7f9fbfc461ec8a124</v>
      </c>
      <c r="D33" s="39" t="str">
        <f>IFERROR(VLOOKUP(A33,Internal_lists_bugs!$A$2:$I847,9,FALSE()),"please select a BUG ID")</f>
        <v>https://review.opendev.org/c/openstack/nova/+/123682</v>
      </c>
      <c r="E33" s="108" t="s">
        <v>456</v>
      </c>
      <c r="F33" s="108" t="s">
        <v>454</v>
      </c>
      <c r="G33" s="108" t="s">
        <v>297</v>
      </c>
      <c r="H33" s="108" t="s">
        <v>297</v>
      </c>
      <c r="J33" s="109">
        <v>123682.0</v>
      </c>
      <c r="K33" s="111"/>
    </row>
    <row r="34">
      <c r="A34" s="108" t="s">
        <v>48</v>
      </c>
      <c r="B34" s="38" t="str">
        <f>IFERROR(HYPERLINK(VLOOKUP(A34,Internal_lists_bugs!$A$2:$C$73,3,FALSE()), VLOOKUP(A34,Internal_lists_bugs!$A$2:$C$73,3,FALSE())&amp;Char(10) &amp; Char(10) &amp; VLOOKUP(A34,Internal_lists_bugs!$A$2:$Z$73,26,FALSE())),"please select a BUG ID")</f>
        <v>
</v>
      </c>
      <c r="C34" s="39" t="str">
        <f>IFERROR(VLOOKUP(A34,Internal_lists_bugs!$A$2:$G847,7,FALSE()),"please select a BUG ID")</f>
        <v>https://opendev.org/openstack/nova/commit/583d12f4fae620719b893cb7f9fbfc461ec8a124</v>
      </c>
      <c r="D34" s="39" t="str">
        <f>IFERROR(VLOOKUP(A34,Internal_lists_bugs!$A$2:$I847,9,FALSE()),"please select a BUG ID")</f>
        <v>https://review.opendev.org/c/openstack/nova/+/123682</v>
      </c>
      <c r="E34" s="108" t="s">
        <v>457</v>
      </c>
      <c r="F34" s="108" t="s">
        <v>454</v>
      </c>
      <c r="G34" s="108" t="s">
        <v>297</v>
      </c>
      <c r="H34" s="108" t="s">
        <v>297</v>
      </c>
      <c r="J34" s="109">
        <v>123682.0</v>
      </c>
      <c r="K34" s="111"/>
    </row>
    <row r="35">
      <c r="A35" s="108" t="s">
        <v>46</v>
      </c>
      <c r="B35" s="38" t="str">
        <f>IFERROR(HYPERLINK(VLOOKUP(A35,Internal_lists_bugs!$A$2:$C$73,3,FALSE()), VLOOKUP(A35,Internal_lists_bugs!$A$2:$C$73,3,FALSE())&amp;Char(10) &amp; Char(10) &amp; VLOOKUP(A35,Internal_lists_bugs!$A$2:$Z$73,26,FALSE())),"please select a BUG ID")</f>
        <v>
</v>
      </c>
      <c r="C35" s="39" t="str">
        <f>IFERROR(VLOOKUP(A35,Internal_lists_bugs!$A$2:$G847,7,FALSE()),"please select a BUG ID")</f>
        <v>https://opendev.org/openstack/nova/commit/1b32ed31425a0332ab16f5b5f6c08a20eafe7963</v>
      </c>
      <c r="D35" s="39" t="str">
        <f>IFERROR(VLOOKUP(A35,Internal_lists_bugs!$A$2:$I847,9,FALSE()),"please select a BUG ID")</f>
        <v>https://review.opendev.org/c/openstack/nova/+/19457</v>
      </c>
      <c r="E35" s="108" t="s">
        <v>453</v>
      </c>
      <c r="F35" s="108" t="s">
        <v>454</v>
      </c>
      <c r="G35" s="108" t="s">
        <v>297</v>
      </c>
      <c r="H35" s="108" t="s">
        <v>297</v>
      </c>
      <c r="J35" s="109">
        <v>19457.0</v>
      </c>
      <c r="K35" s="111"/>
    </row>
    <row r="36">
      <c r="A36" s="108" t="s">
        <v>46</v>
      </c>
      <c r="B36" s="38" t="str">
        <f>IFERROR(HYPERLINK(VLOOKUP(A36,Internal_lists_bugs!$A$2:$C$73,3,FALSE()), VLOOKUP(A36,Internal_lists_bugs!$A$2:$C$73,3,FALSE())&amp;Char(10) &amp; Char(10) &amp; VLOOKUP(A36,Internal_lists_bugs!$A$2:$Z$73,26,FALSE())),"please select a BUG ID")</f>
        <v>
</v>
      </c>
      <c r="C36" s="39" t="str">
        <f>IFERROR(VLOOKUP(A36,Internal_lists_bugs!$A$2:$G847,7,FALSE()),"please select a BUG ID")</f>
        <v>https://opendev.org/openstack/nova/commit/1b32ed31425a0332ab16f5b5f6c08a20eafe7963</v>
      </c>
      <c r="D36" s="39" t="str">
        <f>IFERROR(VLOOKUP(A36,Internal_lists_bugs!$A$2:$I847,9,FALSE()),"please select a BUG ID")</f>
        <v>https://review.opendev.org/c/openstack/nova/+/19457</v>
      </c>
      <c r="E36" s="108" t="s">
        <v>459</v>
      </c>
      <c r="F36" s="108" t="s">
        <v>454</v>
      </c>
      <c r="G36" s="108" t="s">
        <v>297</v>
      </c>
      <c r="H36" s="108" t="s">
        <v>297</v>
      </c>
      <c r="J36" s="109">
        <v>19457.0</v>
      </c>
      <c r="K36" s="111"/>
    </row>
    <row r="37">
      <c r="A37" s="108" t="s">
        <v>42</v>
      </c>
      <c r="B37" s="38" t="str">
        <f>IFERROR(HYPERLINK(VLOOKUP(A37,Internal_lists_bugs!$A$2:$C$73,3,FALSE()), VLOOKUP(A37,Internal_lists_bugs!$A$2:$C$73,3,FALSE())&amp;Char(10) &amp; Char(10) &amp; VLOOKUP(A37,Internal_lists_bugs!$A$2:$Z$73,26,FALSE())),"please select a BUG ID")</f>
        <v>
</v>
      </c>
      <c r="C37" s="39" t="str">
        <f>IFERROR(VLOOKUP(A37,Internal_lists_bugs!$A$2:$G847,7,FALSE()),"please select a BUG ID")</f>
        <v>https://opendev.org/openstack/nova/commit/2d0578c539d000981e50ba0c143385974d10e2e2</v>
      </c>
      <c r="D37" s="39" t="str">
        <f>IFERROR(VLOOKUP(A37,Internal_lists_bugs!$A$2:$I847,9,FALSE()),"please select a BUG ID")</f>
        <v>https://review.opendev.org/c/openstack/nova/+/24363</v>
      </c>
      <c r="E37" s="108" t="s">
        <v>453</v>
      </c>
      <c r="F37" s="108" t="s">
        <v>454</v>
      </c>
      <c r="G37" s="108" t="s">
        <v>297</v>
      </c>
      <c r="H37" s="108" t="s">
        <v>297</v>
      </c>
      <c r="J37" s="109">
        <v>24363.0</v>
      </c>
      <c r="K37" s="111"/>
    </row>
    <row r="38">
      <c r="A38" s="108" t="s">
        <v>32</v>
      </c>
      <c r="B38" s="38" t="str">
        <f>IFERROR(HYPERLINK(VLOOKUP(A38,Internal_lists_bugs!$A$2:$C$73,3,FALSE()), VLOOKUP(A38,Internal_lists_bugs!$A$2:$C$73,3,FALSE())&amp;Char(10) &amp; Char(10) &amp; VLOOKUP(A38,Internal_lists_bugs!$A$2:$Z$73,26,FALSE())),"please select a BUG ID")</f>
        <v>
</v>
      </c>
      <c r="C38" s="39" t="str">
        <f>IFERROR(VLOOKUP(A38,Internal_lists_bugs!$A$2:$G847,7,FALSE()),"please select a BUG ID")</f>
        <v>https://opendev.org/openstack/nova/commit/990561227d1cdadc1ae91fdcc74286a47f0ddf2c</v>
      </c>
      <c r="D38" s="39" t="str">
        <f>IFERROR(VLOOKUP(A38,Internal_lists_bugs!$A$2:$I847,9,FALSE()),"please select a BUG ID")</f>
        <v>https://review.opendev.org/c/openstack/nova/+/120675</v>
      </c>
      <c r="E38" s="108" t="s">
        <v>453</v>
      </c>
      <c r="F38" s="108" t="s">
        <v>454</v>
      </c>
      <c r="G38" s="108" t="s">
        <v>121</v>
      </c>
      <c r="H38" s="108" t="s">
        <v>454</v>
      </c>
      <c r="J38" s="109">
        <v>120675.0</v>
      </c>
      <c r="K38" s="109">
        <v>107123.0</v>
      </c>
    </row>
    <row r="39">
      <c r="A39" s="108" t="s">
        <v>32</v>
      </c>
      <c r="B39" s="38" t="str">
        <f>IFERROR(HYPERLINK(VLOOKUP(A39,Internal_lists_bugs!$A$2:$C$73,3,FALSE()), VLOOKUP(A39,Internal_lists_bugs!$A$2:$C$73,3,FALSE())&amp;Char(10) &amp; Char(10) &amp; VLOOKUP(A39,Internal_lists_bugs!$A$2:$Z$73,26,FALSE())),"please select a BUG ID")</f>
        <v>
</v>
      </c>
      <c r="C39" s="39" t="str">
        <f>IFERROR(VLOOKUP(A39,Internal_lists_bugs!$A$2:$G847,7,FALSE()),"please select a BUG ID")</f>
        <v>https://opendev.org/openstack/nova/commit/990561227d1cdadc1ae91fdcc74286a47f0ddf2c</v>
      </c>
      <c r="D39" s="39" t="str">
        <f>IFERROR(VLOOKUP(A39,Internal_lists_bugs!$A$2:$I847,9,FALSE()),"please select a BUG ID")</f>
        <v>https://review.opendev.org/c/openstack/nova/+/120675</v>
      </c>
      <c r="E39" s="108" t="s">
        <v>455</v>
      </c>
      <c r="F39" s="108" t="s">
        <v>454</v>
      </c>
      <c r="G39" s="108" t="s">
        <v>121</v>
      </c>
      <c r="H39" s="108" t="s">
        <v>454</v>
      </c>
      <c r="J39" s="109">
        <v>120675.0</v>
      </c>
      <c r="K39" s="109">
        <v>107123.0</v>
      </c>
    </row>
    <row r="40">
      <c r="A40" s="108" t="s">
        <v>32</v>
      </c>
      <c r="B40" s="38" t="str">
        <f>IFERROR(HYPERLINK(VLOOKUP(A40,Internal_lists_bugs!$A$2:$C$73,3,FALSE()), VLOOKUP(A40,Internal_lists_bugs!$A$2:$C$73,3,FALSE())&amp;Char(10) &amp; Char(10) &amp; VLOOKUP(A40,Internal_lists_bugs!$A$2:$Z$73,26,FALSE())),"please select a BUG ID")</f>
        <v>
</v>
      </c>
      <c r="C40" s="39" t="str">
        <f>IFERROR(VLOOKUP(A40,Internal_lists_bugs!$A$2:$G847,7,FALSE()),"please select a BUG ID")</f>
        <v>https://opendev.org/openstack/nova/commit/990561227d1cdadc1ae91fdcc74286a47f0ddf2c</v>
      </c>
      <c r="D40" s="39" t="str">
        <f>IFERROR(VLOOKUP(A40,Internal_lists_bugs!$A$2:$I847,9,FALSE()),"please select a BUG ID")</f>
        <v>https://review.opendev.org/c/openstack/nova/+/120675</v>
      </c>
      <c r="E40" s="108" t="s">
        <v>461</v>
      </c>
      <c r="F40" s="108" t="s">
        <v>297</v>
      </c>
      <c r="G40" s="108" t="s">
        <v>297</v>
      </c>
      <c r="H40" s="108" t="s">
        <v>458</v>
      </c>
      <c r="J40" s="109">
        <v>120675.0</v>
      </c>
      <c r="K40" s="109">
        <v>107123.0</v>
      </c>
    </row>
    <row r="41">
      <c r="A41" s="108" t="s">
        <v>32</v>
      </c>
      <c r="B41" s="38" t="str">
        <f>IFERROR(HYPERLINK(VLOOKUP(A41,Internal_lists_bugs!$A$2:$C$73,3,FALSE()), VLOOKUP(A41,Internal_lists_bugs!$A$2:$C$73,3,FALSE())&amp;Char(10) &amp; Char(10) &amp; VLOOKUP(A41,Internal_lists_bugs!$A$2:$Z$73,26,FALSE())),"please select a BUG ID")</f>
        <v>
</v>
      </c>
      <c r="C41" s="39" t="str">
        <f>IFERROR(VLOOKUP(A41,Internal_lists_bugs!$A$2:$G847,7,FALSE()),"please select a BUG ID")</f>
        <v>https://opendev.org/openstack/nova/commit/990561227d1cdadc1ae91fdcc74286a47f0ddf2c</v>
      </c>
      <c r="D41" s="39" t="str">
        <f>IFERROR(VLOOKUP(A41,Internal_lists_bugs!$A$2:$I847,9,FALSE()),"please select a BUG ID")</f>
        <v>https://review.opendev.org/c/openstack/nova/+/120675</v>
      </c>
      <c r="E41" s="108" t="s">
        <v>460</v>
      </c>
      <c r="F41" s="108" t="s">
        <v>454</v>
      </c>
      <c r="G41" s="108" t="s">
        <v>121</v>
      </c>
      <c r="H41" s="108" t="s">
        <v>454</v>
      </c>
      <c r="J41" s="109">
        <v>120675.0</v>
      </c>
      <c r="K41" s="109">
        <v>107123.0</v>
      </c>
    </row>
    <row r="42">
      <c r="A42" s="108" t="s">
        <v>32</v>
      </c>
      <c r="B42" s="38" t="str">
        <f>IFERROR(HYPERLINK(VLOOKUP(A42,Internal_lists_bugs!$A$2:$C$73,3,FALSE()), VLOOKUP(A42,Internal_lists_bugs!$A$2:$C$73,3,FALSE())&amp;Char(10) &amp; Char(10) &amp; VLOOKUP(A42,Internal_lists_bugs!$A$2:$Z$73,26,FALSE())),"please select a BUG ID")</f>
        <v>
</v>
      </c>
      <c r="C42" s="39" t="str">
        <f>IFERROR(VLOOKUP(A42,Internal_lists_bugs!$A$2:$G847,7,FALSE()),"please select a BUG ID")</f>
        <v>https://opendev.org/openstack/nova/commit/990561227d1cdadc1ae91fdcc74286a47f0ddf2c</v>
      </c>
      <c r="D42" s="39" t="str">
        <f>IFERROR(VLOOKUP(A42,Internal_lists_bugs!$A$2:$I847,9,FALSE()),"please select a BUG ID")</f>
        <v>https://review.opendev.org/c/openstack/nova/+/120675</v>
      </c>
      <c r="E42" s="108" t="s">
        <v>456</v>
      </c>
      <c r="F42" s="108" t="s">
        <v>454</v>
      </c>
      <c r="G42" s="108" t="s">
        <v>121</v>
      </c>
      <c r="H42" s="108" t="s">
        <v>454</v>
      </c>
      <c r="J42" s="109">
        <v>120675.0</v>
      </c>
      <c r="K42" s="109">
        <v>107123.0</v>
      </c>
    </row>
    <row r="43">
      <c r="A43" s="108" t="s">
        <v>32</v>
      </c>
      <c r="B43" s="38" t="str">
        <f>IFERROR(HYPERLINK(VLOOKUP(A43,Internal_lists_bugs!$A$2:$C$73,3,FALSE()), VLOOKUP(A43,Internal_lists_bugs!$A$2:$C$73,3,FALSE())&amp;Char(10) &amp; Char(10) &amp; VLOOKUP(A43,Internal_lists_bugs!$A$2:$Z$73,26,FALSE())),"please select a BUG ID")</f>
        <v>
</v>
      </c>
      <c r="C43" s="39" t="str">
        <f>IFERROR(VLOOKUP(A43,Internal_lists_bugs!$A$2:$G847,7,FALSE()),"please select a BUG ID")</f>
        <v>https://opendev.org/openstack/nova/commit/990561227d1cdadc1ae91fdcc74286a47f0ddf2c</v>
      </c>
      <c r="D43" s="39" t="str">
        <f>IFERROR(VLOOKUP(A43,Internal_lists_bugs!$A$2:$I847,9,FALSE()),"please select a BUG ID")</f>
        <v>https://review.opendev.org/c/openstack/nova/+/120675</v>
      </c>
      <c r="E43" s="108" t="s">
        <v>457</v>
      </c>
      <c r="F43" s="108" t="s">
        <v>458</v>
      </c>
      <c r="G43" s="108" t="s">
        <v>121</v>
      </c>
      <c r="H43" s="108" t="s">
        <v>458</v>
      </c>
      <c r="J43" s="109">
        <v>120675.0</v>
      </c>
      <c r="K43" s="109">
        <v>107123.0</v>
      </c>
    </row>
    <row r="44">
      <c r="A44" s="108" t="s">
        <v>59</v>
      </c>
      <c r="B44" s="38" t="str">
        <f>IFERROR(HYPERLINK(VLOOKUP(A44,Internal_lists_bugs!$A$2:$C$73,3,FALSE()), VLOOKUP(A44,Internal_lists_bugs!$A$2:$C$73,3,FALSE())&amp;Char(10) &amp; Char(10) &amp; VLOOKUP(A44,Internal_lists_bugs!$A$2:$Z$73,26,FALSE())),"please select a BUG ID")</f>
        <v>
</v>
      </c>
      <c r="C44" s="39" t="str">
        <f>IFERROR(VLOOKUP(A44,Internal_lists_bugs!$A$2:$G847,7,FALSE()),"please select a BUG ID")</f>
        <v>https://opendev.org/openstack/nova/commit/5ee83244f40f3d3c29bf47c5d86952bf53de1684</v>
      </c>
      <c r="D44" s="39" t="str">
        <f>IFERROR(VLOOKUP(A44,Internal_lists_bugs!$A$2:$I847,9,FALSE()),"please select a BUG ID")</f>
        <v>https://review.opendev.org/c/openstack/nova/+/136717</v>
      </c>
      <c r="E44" s="108" t="s">
        <v>453</v>
      </c>
      <c r="F44" s="108" t="s">
        <v>454</v>
      </c>
      <c r="G44" s="108" t="s">
        <v>297</v>
      </c>
      <c r="H44" s="108" t="s">
        <v>297</v>
      </c>
      <c r="J44" s="109">
        <v>136717.0</v>
      </c>
      <c r="K44" s="111"/>
    </row>
    <row r="45">
      <c r="A45" s="108" t="s">
        <v>59</v>
      </c>
      <c r="B45" s="38" t="str">
        <f>IFERROR(HYPERLINK(VLOOKUP(A45,Internal_lists_bugs!$A$2:$C$73,3,FALSE()), VLOOKUP(A45,Internal_lists_bugs!$A$2:$C$73,3,FALSE())&amp;Char(10) &amp; Char(10) &amp; VLOOKUP(A45,Internal_lists_bugs!$A$2:$Z$73,26,FALSE())),"please select a BUG ID")</f>
        <v>
</v>
      </c>
      <c r="C45" s="39" t="str">
        <f>IFERROR(VLOOKUP(A45,Internal_lists_bugs!$A$2:$G847,7,FALSE()),"please select a BUG ID")</f>
        <v>https://opendev.org/openstack/nova/commit/5ee83244f40f3d3c29bf47c5d86952bf53de1684</v>
      </c>
      <c r="D45" s="39" t="str">
        <f>IFERROR(VLOOKUP(A45,Internal_lists_bugs!$A$2:$I847,9,FALSE()),"please select a BUG ID")</f>
        <v>https://review.opendev.org/c/openstack/nova/+/136717</v>
      </c>
      <c r="E45" s="108" t="s">
        <v>461</v>
      </c>
      <c r="F45" s="108" t="s">
        <v>458</v>
      </c>
      <c r="G45" s="108" t="s">
        <v>297</v>
      </c>
      <c r="H45" s="108" t="s">
        <v>297</v>
      </c>
      <c r="J45" s="109">
        <v>136717.0</v>
      </c>
      <c r="K45" s="111"/>
    </row>
    <row r="46">
      <c r="A46" s="108" t="s">
        <v>59</v>
      </c>
      <c r="B46" s="38" t="str">
        <f>IFERROR(HYPERLINK(VLOOKUP(A46,Internal_lists_bugs!$A$2:$C$73,3,FALSE()), VLOOKUP(A46,Internal_lists_bugs!$A$2:$C$73,3,FALSE())&amp;Char(10) &amp; Char(10) &amp; VLOOKUP(A46,Internal_lists_bugs!$A$2:$Z$73,26,FALSE())),"please select a BUG ID")</f>
        <v>
</v>
      </c>
      <c r="C46" s="39" t="str">
        <f>IFERROR(VLOOKUP(A46,Internal_lists_bugs!$A$2:$G847,7,FALSE()),"please select a BUG ID")</f>
        <v>https://opendev.org/openstack/nova/commit/5ee83244f40f3d3c29bf47c5d86952bf53de1684</v>
      </c>
      <c r="D46" s="39" t="str">
        <f>IFERROR(VLOOKUP(A46,Internal_lists_bugs!$A$2:$I847,9,FALSE()),"please select a BUG ID")</f>
        <v>https://review.opendev.org/c/openstack/nova/+/136717</v>
      </c>
      <c r="E46" s="108" t="s">
        <v>456</v>
      </c>
      <c r="F46" s="108" t="s">
        <v>458</v>
      </c>
      <c r="G46" s="108" t="s">
        <v>297</v>
      </c>
      <c r="H46" s="108" t="s">
        <v>297</v>
      </c>
      <c r="J46" s="109">
        <v>136717.0</v>
      </c>
      <c r="K46" s="111"/>
    </row>
    <row r="47">
      <c r="A47" s="108" t="s">
        <v>50</v>
      </c>
      <c r="B47" s="38" t="str">
        <f>IFERROR(HYPERLINK(VLOOKUP(A47,Internal_lists_bugs!$A$2:$C$73,3,FALSE()), VLOOKUP(A47,Internal_lists_bugs!$A$2:$C$73,3,FALSE())&amp;Char(10) &amp; Char(10) &amp; VLOOKUP(A47,Internal_lists_bugs!$A$2:$Z$73,26,FALSE())),"please select a BUG ID")</f>
        <v>
</v>
      </c>
      <c r="C47" s="39" t="str">
        <f>IFERROR(VLOOKUP(A47,Internal_lists_bugs!$A$2:$G847,7,FALSE()),"please select a BUG ID")</f>
        <v>https://opendev.org/openstack/nova/commit/73515209cf09821a2fc922e1ae2c97650802fab4</v>
      </c>
      <c r="D47" s="39" t="str">
        <f>IFERROR(VLOOKUP(A47,Internal_lists_bugs!$A$2:$I847,9,FALSE()),"please select a BUG ID")</f>
        <v>https://review.opendev.org/c/openstack/nova/+/155678</v>
      </c>
      <c r="E47" s="108" t="s">
        <v>453</v>
      </c>
      <c r="F47" s="108" t="s">
        <v>454</v>
      </c>
      <c r="G47" s="108" t="s">
        <v>297</v>
      </c>
      <c r="H47" s="108" t="s">
        <v>297</v>
      </c>
      <c r="J47" s="109">
        <v>155678.0</v>
      </c>
      <c r="K47" s="111"/>
    </row>
    <row r="48">
      <c r="A48" s="108" t="s">
        <v>50</v>
      </c>
      <c r="B48" s="38" t="str">
        <f>IFERROR(HYPERLINK(VLOOKUP(A48,Internal_lists_bugs!$A$2:$C$73,3,FALSE()), VLOOKUP(A48,Internal_lists_bugs!$A$2:$C$73,3,FALSE())&amp;Char(10) &amp; Char(10) &amp; VLOOKUP(A48,Internal_lists_bugs!$A$2:$Z$73,26,FALSE())),"please select a BUG ID")</f>
        <v>
</v>
      </c>
      <c r="C48" s="39" t="str">
        <f>IFERROR(VLOOKUP(A48,Internal_lists_bugs!$A$2:$G847,7,FALSE()),"please select a BUG ID")</f>
        <v>https://opendev.org/openstack/nova/commit/73515209cf09821a2fc922e1ae2c97650802fab4</v>
      </c>
      <c r="D48" s="39" t="str">
        <f>IFERROR(VLOOKUP(A48,Internal_lists_bugs!$A$2:$I847,9,FALSE()),"please select a BUG ID")</f>
        <v>https://review.opendev.org/c/openstack/nova/+/155678</v>
      </c>
      <c r="E48" s="108" t="s">
        <v>455</v>
      </c>
      <c r="F48" s="108" t="s">
        <v>454</v>
      </c>
      <c r="G48" s="108" t="s">
        <v>297</v>
      </c>
      <c r="H48" s="108" t="s">
        <v>297</v>
      </c>
      <c r="J48" s="109">
        <v>155678.0</v>
      </c>
      <c r="K48" s="111"/>
    </row>
    <row r="49">
      <c r="A49" s="108" t="s">
        <v>50</v>
      </c>
      <c r="B49" s="38" t="str">
        <f>IFERROR(HYPERLINK(VLOOKUP(A49,Internal_lists_bugs!$A$2:$C$73,3,FALSE()), VLOOKUP(A49,Internal_lists_bugs!$A$2:$C$73,3,FALSE())&amp;Char(10) &amp; Char(10) &amp; VLOOKUP(A49,Internal_lists_bugs!$A$2:$Z$73,26,FALSE())),"please select a BUG ID")</f>
        <v>
</v>
      </c>
      <c r="C49" s="39" t="str">
        <f>IFERROR(VLOOKUP(A49,Internal_lists_bugs!$A$2:$G847,7,FALSE()),"please select a BUG ID")</f>
        <v>https://opendev.org/openstack/nova/commit/73515209cf09821a2fc922e1ae2c97650802fab4</v>
      </c>
      <c r="D49" s="39" t="str">
        <f>IFERROR(VLOOKUP(A49,Internal_lists_bugs!$A$2:$I847,9,FALSE()),"please select a BUG ID")</f>
        <v>https://review.opendev.org/c/openstack/nova/+/155678</v>
      </c>
      <c r="E49" s="108" t="s">
        <v>460</v>
      </c>
      <c r="F49" s="108" t="s">
        <v>454</v>
      </c>
      <c r="G49" s="108" t="s">
        <v>297</v>
      </c>
      <c r="H49" s="108" t="s">
        <v>297</v>
      </c>
      <c r="J49" s="109">
        <v>155678.0</v>
      </c>
      <c r="K49" s="111"/>
    </row>
    <row r="50">
      <c r="A50" s="108" t="s">
        <v>50</v>
      </c>
      <c r="B50" s="38" t="str">
        <f>IFERROR(HYPERLINK(VLOOKUP(A50,Internal_lists_bugs!$A$2:$C$73,3,FALSE()), VLOOKUP(A50,Internal_lists_bugs!$A$2:$C$73,3,FALSE())&amp;Char(10) &amp; Char(10) &amp; VLOOKUP(A50,Internal_lists_bugs!$A$2:$Z$73,26,FALSE())),"please select a BUG ID")</f>
        <v>
</v>
      </c>
      <c r="C50" s="39" t="str">
        <f>IFERROR(VLOOKUP(A50,Internal_lists_bugs!$A$2:$G847,7,FALSE()),"please select a BUG ID")</f>
        <v>https://opendev.org/openstack/nova/commit/73515209cf09821a2fc922e1ae2c97650802fab4</v>
      </c>
      <c r="D50" s="39" t="str">
        <f>IFERROR(VLOOKUP(A50,Internal_lists_bugs!$A$2:$I847,9,FALSE()),"please select a BUG ID")</f>
        <v>https://review.opendev.org/c/openstack/nova/+/155678</v>
      </c>
      <c r="E50" s="108" t="s">
        <v>456</v>
      </c>
      <c r="F50" s="108" t="s">
        <v>454</v>
      </c>
      <c r="G50" s="108" t="s">
        <v>297</v>
      </c>
      <c r="H50" s="108" t="s">
        <v>297</v>
      </c>
      <c r="J50" s="109">
        <v>155678.0</v>
      </c>
      <c r="K50" s="111"/>
    </row>
    <row r="51">
      <c r="A51" s="108" t="s">
        <v>50</v>
      </c>
      <c r="B51" s="38" t="str">
        <f>IFERROR(HYPERLINK(VLOOKUP(A51,Internal_lists_bugs!$A$2:$C$73,3,FALSE()), VLOOKUP(A51,Internal_lists_bugs!$A$2:$C$73,3,FALSE())&amp;Char(10) &amp; Char(10) &amp; VLOOKUP(A51,Internal_lists_bugs!$A$2:$Z$73,26,FALSE())),"please select a BUG ID")</f>
        <v>
</v>
      </c>
      <c r="C51" s="39" t="str">
        <f>IFERROR(VLOOKUP(A51,Internal_lists_bugs!$A$2:$G847,7,FALSE()),"please select a BUG ID")</f>
        <v>https://opendev.org/openstack/nova/commit/73515209cf09821a2fc922e1ae2c97650802fab4</v>
      </c>
      <c r="D51" s="39" t="str">
        <f>IFERROR(VLOOKUP(A51,Internal_lists_bugs!$A$2:$I847,9,FALSE()),"please select a BUG ID")</f>
        <v>https://review.opendev.org/c/openstack/nova/+/155678</v>
      </c>
      <c r="E51" s="108" t="s">
        <v>462</v>
      </c>
      <c r="F51" s="108" t="s">
        <v>454</v>
      </c>
      <c r="G51" s="108" t="s">
        <v>297</v>
      </c>
      <c r="H51" s="108" t="s">
        <v>297</v>
      </c>
      <c r="J51" s="109">
        <v>155678.0</v>
      </c>
      <c r="K51" s="111"/>
    </row>
    <row r="52">
      <c r="A52" s="108" t="s">
        <v>61</v>
      </c>
      <c r="B52" s="38" t="str">
        <f>IFERROR(HYPERLINK(VLOOKUP(A52,Internal_lists_bugs!$A$2:$C$73,3,FALSE()), VLOOKUP(A52,Internal_lists_bugs!$A$2:$C$73,3,FALSE())&amp;Char(10) &amp; Char(10) &amp; VLOOKUP(A52,Internal_lists_bugs!$A$2:$Z$73,26,FALSE())),"please select a BUG ID")</f>
        <v>
</v>
      </c>
      <c r="C52" s="39" t="str">
        <f>IFERROR(VLOOKUP(A52,Internal_lists_bugs!$A$2:$G847,7,FALSE()),"please select a BUG ID")</f>
        <v>https://opendev.org/openstack/nova/commit/7cef50ad800274cad3d07240cc468d038ce4031b</v>
      </c>
      <c r="D52" s="39" t="str">
        <f>IFERROR(VLOOKUP(A52,Internal_lists_bugs!$A$2:$I847,9,FALSE()),"please select a BUG ID")</f>
        <v>https://review.opendev.org/c/openstack/nova/+/28774</v>
      </c>
      <c r="E52" s="108" t="s">
        <v>453</v>
      </c>
      <c r="F52" s="108" t="s">
        <v>454</v>
      </c>
      <c r="G52" s="108" t="s">
        <v>121</v>
      </c>
      <c r="H52" s="108" t="s">
        <v>454</v>
      </c>
      <c r="J52" s="109">
        <v>28774.0</v>
      </c>
      <c r="K52" s="109">
        <v>28600.0</v>
      </c>
    </row>
    <row r="53">
      <c r="A53" s="108" t="s">
        <v>61</v>
      </c>
      <c r="B53" s="38" t="str">
        <f>IFERROR(HYPERLINK(VLOOKUP(A53,Internal_lists_bugs!$A$2:$C$73,3,FALSE()), VLOOKUP(A53,Internal_lists_bugs!$A$2:$C$73,3,FALSE())&amp;Char(10) &amp; Char(10) &amp; VLOOKUP(A53,Internal_lists_bugs!$A$2:$Z$73,26,FALSE())),"please select a BUG ID")</f>
        <v>
</v>
      </c>
      <c r="C53" s="39" t="str">
        <f>IFERROR(VLOOKUP(A53,Internal_lists_bugs!$A$2:$G847,7,FALSE()),"please select a BUG ID")</f>
        <v>https://opendev.org/openstack/nova/commit/7cef50ad800274cad3d07240cc468d038ce4031b</v>
      </c>
      <c r="D53" s="39" t="str">
        <f>IFERROR(VLOOKUP(A53,Internal_lists_bugs!$A$2:$I847,9,FALSE()),"please select a BUG ID")</f>
        <v>https://review.opendev.org/c/openstack/nova/+/28774</v>
      </c>
      <c r="E53" s="108" t="s">
        <v>459</v>
      </c>
      <c r="F53" s="108" t="s">
        <v>454</v>
      </c>
      <c r="G53" s="108" t="s">
        <v>121</v>
      </c>
      <c r="H53" s="108" t="s">
        <v>454</v>
      </c>
      <c r="J53" s="109">
        <v>28774.0</v>
      </c>
      <c r="K53" s="109">
        <v>28600.0</v>
      </c>
    </row>
    <row r="54">
      <c r="A54" s="108" t="s">
        <v>31</v>
      </c>
      <c r="B54" s="38" t="str">
        <f>IFERROR(HYPERLINK(VLOOKUP(A54,Internal_lists_bugs!$A$2:$C$73,3,FALSE()), VLOOKUP(A54,Internal_lists_bugs!$A$2:$C$73,3,FALSE())&amp;Char(10) &amp; Char(10) &amp; VLOOKUP(A54,Internal_lists_bugs!$A$2:$Z$73,26,FALSE())),"please select a BUG ID")</f>
        <v>
</v>
      </c>
      <c r="C54" s="39" t="str">
        <f>IFERROR(VLOOKUP(A54,Internal_lists_bugs!$A$2:$G847,7,FALSE()),"please select a BUG ID")</f>
        <v>https://opendev.org/openstack/nova/commit/5876827d92bad3c408651184d9fea835639d8db8</v>
      </c>
      <c r="D54" s="39" t="str">
        <f>IFERROR(VLOOKUP(A54,Internal_lists_bugs!$A$2:$I847,9,FALSE()),"please select a BUG ID")</f>
        <v>https://review.opendev.org/c/openstack/nova/+/113741</v>
      </c>
      <c r="E54" s="108" t="s">
        <v>453</v>
      </c>
      <c r="F54" s="108" t="s">
        <v>454</v>
      </c>
      <c r="G54" s="108" t="s">
        <v>121</v>
      </c>
      <c r="H54" s="108" t="s">
        <v>454</v>
      </c>
      <c r="J54" s="109">
        <v>113741.0</v>
      </c>
      <c r="K54" s="109">
        <v>113740.0</v>
      </c>
    </row>
    <row r="55">
      <c r="A55" s="108" t="s">
        <v>31</v>
      </c>
      <c r="B55" s="38" t="str">
        <f>IFERROR(HYPERLINK(VLOOKUP(A55,Internal_lists_bugs!$A$2:$C$73,3,FALSE()), VLOOKUP(A55,Internal_lists_bugs!$A$2:$C$73,3,FALSE())&amp;Char(10) &amp; Char(10) &amp; VLOOKUP(A55,Internal_lists_bugs!$A$2:$Z$73,26,FALSE())),"please select a BUG ID")</f>
        <v>
</v>
      </c>
      <c r="C55" s="39" t="str">
        <f>IFERROR(VLOOKUP(A55,Internal_lists_bugs!$A$2:$G847,7,FALSE()),"please select a BUG ID")</f>
        <v>https://opendev.org/openstack/nova/commit/5876827d92bad3c408651184d9fea835639d8db8</v>
      </c>
      <c r="D55" s="39" t="str">
        <f>IFERROR(VLOOKUP(A55,Internal_lists_bugs!$A$2:$I847,9,FALSE()),"please select a BUG ID")</f>
        <v>https://review.opendev.org/c/openstack/nova/+/113741</v>
      </c>
      <c r="E55" s="108" t="s">
        <v>455</v>
      </c>
      <c r="F55" s="108" t="s">
        <v>454</v>
      </c>
      <c r="G55" s="108" t="s">
        <v>121</v>
      </c>
      <c r="H55" s="108" t="s">
        <v>454</v>
      </c>
      <c r="J55" s="109">
        <v>113741.0</v>
      </c>
      <c r="K55" s="109">
        <v>113740.0</v>
      </c>
    </row>
    <row r="56">
      <c r="A56" s="108" t="s">
        <v>31</v>
      </c>
      <c r="B56" s="38" t="str">
        <f>IFERROR(HYPERLINK(VLOOKUP(A56,Internal_lists_bugs!$A$2:$C$73,3,FALSE()), VLOOKUP(A56,Internal_lists_bugs!$A$2:$C$73,3,FALSE())&amp;Char(10) &amp; Char(10) &amp; VLOOKUP(A56,Internal_lists_bugs!$A$2:$Z$73,26,FALSE())),"please select a BUG ID")</f>
        <v>
</v>
      </c>
      <c r="C56" s="39" t="str">
        <f>IFERROR(VLOOKUP(A56,Internal_lists_bugs!$A$2:$G847,7,FALSE()),"please select a BUG ID")</f>
        <v>https://opendev.org/openstack/nova/commit/5876827d92bad3c408651184d9fea835639d8db8</v>
      </c>
      <c r="D56" s="39" t="str">
        <f>IFERROR(VLOOKUP(A56,Internal_lists_bugs!$A$2:$I847,9,FALSE()),"please select a BUG ID")</f>
        <v>https://review.opendev.org/c/openstack/nova/+/113741</v>
      </c>
      <c r="E56" s="108" t="s">
        <v>461</v>
      </c>
      <c r="F56" s="108" t="s">
        <v>458</v>
      </c>
      <c r="G56" s="108" t="s">
        <v>121</v>
      </c>
      <c r="H56" s="108" t="s">
        <v>458</v>
      </c>
      <c r="J56" s="109">
        <v>113741.0</v>
      </c>
      <c r="K56" s="109">
        <v>113740.0</v>
      </c>
    </row>
    <row r="57">
      <c r="A57" s="108" t="s">
        <v>31</v>
      </c>
      <c r="B57" s="38" t="str">
        <f>IFERROR(HYPERLINK(VLOOKUP(A57,Internal_lists_bugs!$A$2:$C$73,3,FALSE()), VLOOKUP(A57,Internal_lists_bugs!$A$2:$C$73,3,FALSE())&amp;Char(10) &amp; Char(10) &amp; VLOOKUP(A57,Internal_lists_bugs!$A$2:$Z$73,26,FALSE())),"please select a BUG ID")</f>
        <v>
</v>
      </c>
      <c r="C57" s="39" t="str">
        <f>IFERROR(VLOOKUP(A57,Internal_lists_bugs!$A$2:$G847,7,FALSE()),"please select a BUG ID")</f>
        <v>https://opendev.org/openstack/nova/commit/5876827d92bad3c408651184d9fea835639d8db8</v>
      </c>
      <c r="D57" s="39" t="str">
        <f>IFERROR(VLOOKUP(A57,Internal_lists_bugs!$A$2:$I847,9,FALSE()),"please select a BUG ID")</f>
        <v>https://review.opendev.org/c/openstack/nova/+/113741</v>
      </c>
      <c r="E57" s="108" t="s">
        <v>460</v>
      </c>
      <c r="F57" s="108" t="s">
        <v>454</v>
      </c>
      <c r="G57" s="108" t="s">
        <v>121</v>
      </c>
      <c r="H57" s="108" t="s">
        <v>454</v>
      </c>
      <c r="J57" s="109">
        <v>113741.0</v>
      </c>
      <c r="K57" s="109">
        <v>113740.0</v>
      </c>
    </row>
    <row r="58">
      <c r="A58" s="108" t="s">
        <v>31</v>
      </c>
      <c r="B58" s="38" t="str">
        <f>IFERROR(HYPERLINK(VLOOKUP(A58,Internal_lists_bugs!$A$2:$C$73,3,FALSE()), VLOOKUP(A58,Internal_lists_bugs!$A$2:$C$73,3,FALSE())&amp;Char(10) &amp; Char(10) &amp; VLOOKUP(A58,Internal_lists_bugs!$A$2:$Z$73,26,FALSE())),"please select a BUG ID")</f>
        <v>
</v>
      </c>
      <c r="C58" s="39" t="str">
        <f>IFERROR(VLOOKUP(A58,Internal_lists_bugs!$A$2:$G847,7,FALSE()),"please select a BUG ID")</f>
        <v>https://opendev.org/openstack/nova/commit/5876827d92bad3c408651184d9fea835639d8db8</v>
      </c>
      <c r="D58" s="39" t="str">
        <f>IFERROR(VLOOKUP(A58,Internal_lists_bugs!$A$2:$I847,9,FALSE()),"please select a BUG ID")</f>
        <v>https://review.opendev.org/c/openstack/nova/+/113741</v>
      </c>
      <c r="E58" s="108" t="s">
        <v>456</v>
      </c>
      <c r="F58" s="108" t="s">
        <v>454</v>
      </c>
      <c r="G58" s="108" t="s">
        <v>121</v>
      </c>
      <c r="H58" s="108" t="s">
        <v>454</v>
      </c>
      <c r="J58" s="109">
        <v>113741.0</v>
      </c>
      <c r="K58" s="109">
        <v>113740.0</v>
      </c>
    </row>
    <row r="59">
      <c r="A59" s="108" t="s">
        <v>40</v>
      </c>
      <c r="B59" s="38" t="str">
        <f>IFERROR(HYPERLINK(VLOOKUP(A59,Internal_lists_bugs!$A$2:$C$73,3,FALSE()), VLOOKUP(A59,Internal_lists_bugs!$A$2:$C$73,3,FALSE())&amp;Char(10) &amp; Char(10) &amp; VLOOKUP(A59,Internal_lists_bugs!$A$2:$Z$73,26,FALSE())),"please select a BUG ID")</f>
        <v>
</v>
      </c>
      <c r="C59" s="39" t="str">
        <f>IFERROR(VLOOKUP(A59,Internal_lists_bugs!$A$2:$G847,7,FALSE()),"please select a BUG ID")</f>
        <v>https://opendev.org/openstack/nova/commit/f90885bacba3728dc9a35e99eecef37a37b881e2</v>
      </c>
      <c r="D59" s="39" t="str">
        <f>IFERROR(VLOOKUP(A59,Internal_lists_bugs!$A$2:$I847,9,FALSE()),"please select a BUG ID")</f>
        <v>https://review.opendev.org/c/openstack/nova/+/132231</v>
      </c>
      <c r="E59" s="108" t="s">
        <v>453</v>
      </c>
      <c r="F59" s="108" t="s">
        <v>454</v>
      </c>
      <c r="G59" s="108" t="s">
        <v>121</v>
      </c>
      <c r="H59" s="108" t="s">
        <v>454</v>
      </c>
      <c r="J59" s="109">
        <v>132231.0</v>
      </c>
      <c r="K59" s="109">
        <v>153793.0</v>
      </c>
    </row>
    <row r="60">
      <c r="A60" s="108" t="s">
        <v>40</v>
      </c>
      <c r="B60" s="38" t="str">
        <f>IFERROR(HYPERLINK(VLOOKUP(A60,Internal_lists_bugs!$A$2:$C$73,3,FALSE()), VLOOKUP(A60,Internal_lists_bugs!$A$2:$C$73,3,FALSE())&amp;Char(10) &amp; Char(10) &amp; VLOOKUP(A60,Internal_lists_bugs!$A$2:$Z$73,26,FALSE())),"please select a BUG ID")</f>
        <v>
</v>
      </c>
      <c r="C60" s="39" t="str">
        <f>IFERROR(VLOOKUP(A60,Internal_lists_bugs!$A$2:$G847,7,FALSE()),"please select a BUG ID")</f>
        <v>https://opendev.org/openstack/nova/commit/f90885bacba3728dc9a35e99eecef37a37b881e2</v>
      </c>
      <c r="D60" s="39" t="str">
        <f>IFERROR(VLOOKUP(A60,Internal_lists_bugs!$A$2:$I847,9,FALSE()),"please select a BUG ID")</f>
        <v>https://review.opendev.org/c/openstack/nova/+/132231</v>
      </c>
      <c r="E60" s="108" t="s">
        <v>455</v>
      </c>
      <c r="F60" s="108" t="s">
        <v>454</v>
      </c>
      <c r="G60" s="108" t="s">
        <v>121</v>
      </c>
      <c r="H60" s="108" t="s">
        <v>454</v>
      </c>
      <c r="J60" s="109">
        <v>132231.0</v>
      </c>
      <c r="K60" s="109">
        <v>153793.0</v>
      </c>
    </row>
    <row r="61">
      <c r="A61" s="108" t="s">
        <v>40</v>
      </c>
      <c r="B61" s="38" t="str">
        <f>IFERROR(HYPERLINK(VLOOKUP(A61,Internal_lists_bugs!$A$2:$C$73,3,FALSE()), VLOOKUP(A61,Internal_lists_bugs!$A$2:$C$73,3,FALSE())&amp;Char(10) &amp; Char(10) &amp; VLOOKUP(A61,Internal_lists_bugs!$A$2:$Z$73,26,FALSE())),"please select a BUG ID")</f>
        <v>
</v>
      </c>
      <c r="C61" s="39" t="str">
        <f>IFERROR(VLOOKUP(A61,Internal_lists_bugs!$A$2:$G847,7,FALSE()),"please select a BUG ID")</f>
        <v>https://opendev.org/openstack/nova/commit/f90885bacba3728dc9a35e99eecef37a37b881e2</v>
      </c>
      <c r="D61" s="39" t="str">
        <f>IFERROR(VLOOKUP(A61,Internal_lists_bugs!$A$2:$I847,9,FALSE()),"please select a BUG ID")</f>
        <v>https://review.opendev.org/c/openstack/nova/+/132231</v>
      </c>
      <c r="E61" s="108" t="s">
        <v>460</v>
      </c>
      <c r="F61" s="108" t="s">
        <v>454</v>
      </c>
      <c r="G61" s="108" t="s">
        <v>121</v>
      </c>
      <c r="H61" s="108" t="s">
        <v>454</v>
      </c>
      <c r="J61" s="109">
        <v>132231.0</v>
      </c>
      <c r="K61" s="109">
        <v>153793.0</v>
      </c>
    </row>
    <row r="62">
      <c r="A62" s="108" t="s">
        <v>40</v>
      </c>
      <c r="B62" s="38" t="str">
        <f>IFERROR(HYPERLINK(VLOOKUP(A62,Internal_lists_bugs!$A$2:$C$73,3,FALSE()), VLOOKUP(A62,Internal_lists_bugs!$A$2:$C$73,3,FALSE())&amp;Char(10) &amp; Char(10) &amp; VLOOKUP(A62,Internal_lists_bugs!$A$2:$Z$73,26,FALSE())),"please select a BUG ID")</f>
        <v>
</v>
      </c>
      <c r="C62" s="39" t="str">
        <f>IFERROR(VLOOKUP(A62,Internal_lists_bugs!$A$2:$G847,7,FALSE()),"please select a BUG ID")</f>
        <v>https://opendev.org/openstack/nova/commit/f90885bacba3728dc9a35e99eecef37a37b881e2</v>
      </c>
      <c r="D62" s="39" t="str">
        <f>IFERROR(VLOOKUP(A62,Internal_lists_bugs!$A$2:$I847,9,FALSE()),"please select a BUG ID")</f>
        <v>https://review.opendev.org/c/openstack/nova/+/132231</v>
      </c>
      <c r="E62" s="108" t="s">
        <v>456</v>
      </c>
      <c r="F62" s="108" t="s">
        <v>458</v>
      </c>
      <c r="G62" s="108" t="s">
        <v>121</v>
      </c>
      <c r="H62" s="108" t="s">
        <v>458</v>
      </c>
      <c r="J62" s="109">
        <v>132231.0</v>
      </c>
      <c r="K62" s="109">
        <v>153793.0</v>
      </c>
    </row>
    <row r="63">
      <c r="A63" s="108" t="s">
        <v>40</v>
      </c>
      <c r="B63" s="38" t="str">
        <f>IFERROR(HYPERLINK(VLOOKUP(A63,Internal_lists_bugs!$A$2:$C$73,3,FALSE()), VLOOKUP(A63,Internal_lists_bugs!$A$2:$C$73,3,FALSE())&amp;Char(10) &amp; Char(10) &amp; VLOOKUP(A63,Internal_lists_bugs!$A$2:$Z$73,26,FALSE())),"please select a BUG ID")</f>
        <v>
</v>
      </c>
      <c r="C63" s="39" t="str">
        <f>IFERROR(VLOOKUP(A63,Internal_lists_bugs!$A$2:$G847,7,FALSE()),"please select a BUG ID")</f>
        <v>https://opendev.org/openstack/nova/commit/f90885bacba3728dc9a35e99eecef37a37b881e2</v>
      </c>
      <c r="D63" s="39" t="str">
        <f>IFERROR(VLOOKUP(A63,Internal_lists_bugs!$A$2:$I847,9,FALSE()),"please select a BUG ID")</f>
        <v>https://review.opendev.org/c/openstack/nova/+/132231</v>
      </c>
      <c r="E63" s="108" t="s">
        <v>457</v>
      </c>
      <c r="F63" s="108" t="s">
        <v>454</v>
      </c>
      <c r="G63" s="108" t="s">
        <v>297</v>
      </c>
      <c r="H63" s="108" t="s">
        <v>297</v>
      </c>
      <c r="J63" s="109">
        <v>132231.0</v>
      </c>
      <c r="K63" s="109">
        <v>153793.0</v>
      </c>
    </row>
    <row r="64">
      <c r="A64" s="108" t="s">
        <v>40</v>
      </c>
      <c r="B64" s="38" t="str">
        <f>IFERROR(HYPERLINK(VLOOKUP(A64,Internal_lists_bugs!$A$2:$C$73,3,FALSE()), VLOOKUP(A64,Internal_lists_bugs!$A$2:$C$73,3,FALSE())&amp;Char(10) &amp; Char(10) &amp; VLOOKUP(A64,Internal_lists_bugs!$A$2:$Z$73,26,FALSE())),"please select a BUG ID")</f>
        <v>
</v>
      </c>
      <c r="C64" s="39" t="str">
        <f>IFERROR(VLOOKUP(A64,Internal_lists_bugs!$A$2:$G847,7,FALSE()),"please select a BUG ID")</f>
        <v>https://opendev.org/openstack/nova/commit/f90885bacba3728dc9a35e99eecef37a37b881e2</v>
      </c>
      <c r="D64" s="39" t="str">
        <f>IFERROR(VLOOKUP(A64,Internal_lists_bugs!$A$2:$I847,9,FALSE()),"please select a BUG ID")</f>
        <v>https://review.opendev.org/c/openstack/nova/+/132231</v>
      </c>
      <c r="E64" s="108" t="s">
        <v>462</v>
      </c>
      <c r="F64" s="108" t="s">
        <v>454</v>
      </c>
      <c r="G64" s="108" t="s">
        <v>121</v>
      </c>
      <c r="H64" s="108" t="s">
        <v>454</v>
      </c>
      <c r="J64" s="109">
        <v>132231.0</v>
      </c>
      <c r="K64" s="109">
        <v>153793.0</v>
      </c>
    </row>
    <row r="65">
      <c r="A65" s="108" t="s">
        <v>51</v>
      </c>
      <c r="B65" s="38" t="str">
        <f>IFERROR(HYPERLINK(VLOOKUP(A65,Internal_lists_bugs!$A$2:$C$73,3,FALSE()), VLOOKUP(A65,Internal_lists_bugs!$A$2:$C$73,3,FALSE())&amp;Char(10) &amp; Char(10) &amp; VLOOKUP(A65,Internal_lists_bugs!$A$2:$Z$73,26,FALSE())),"please select a BUG ID")</f>
        <v>
</v>
      </c>
      <c r="C65" s="39" t="str">
        <f>IFERROR(VLOOKUP(A65,Internal_lists_bugs!$A$2:$G847,7,FALSE()),"please select a BUG ID")</f>
        <v>https://opendev.org/openstack/nova/commit/98dcd0dc6fe19ab243556874e4f0910e78484e02</v>
      </c>
      <c r="D65" s="39" t="str">
        <f>IFERROR(VLOOKUP(A65,Internal_lists_bugs!$A$2:$I847,9,FALSE()),"please select a BUG ID")</f>
        <v>https://review.opendev.org/c/openstack/nova/+/150293</v>
      </c>
      <c r="E65" s="108" t="s">
        <v>453</v>
      </c>
      <c r="F65" s="108" t="s">
        <v>454</v>
      </c>
      <c r="G65" s="108" t="s">
        <v>297</v>
      </c>
      <c r="H65" s="108" t="s">
        <v>297</v>
      </c>
      <c r="J65" s="109">
        <v>150293.0</v>
      </c>
      <c r="K65" s="111"/>
    </row>
    <row r="66">
      <c r="A66" s="108" t="s">
        <v>51</v>
      </c>
      <c r="B66" s="38" t="str">
        <f>IFERROR(HYPERLINK(VLOOKUP(A66,Internal_lists_bugs!$A$2:$C$73,3,FALSE()), VLOOKUP(A66,Internal_lists_bugs!$A$2:$C$73,3,FALSE())&amp;Char(10) &amp; Char(10) &amp; VLOOKUP(A66,Internal_lists_bugs!$A$2:$Z$73,26,FALSE())),"please select a BUG ID")</f>
        <v>
</v>
      </c>
      <c r="C66" s="39" t="str">
        <f>IFERROR(VLOOKUP(A66,Internal_lists_bugs!$A$2:$G847,7,FALSE()),"please select a BUG ID")</f>
        <v>https://opendev.org/openstack/nova/commit/98dcd0dc6fe19ab243556874e4f0910e78484e02</v>
      </c>
      <c r="D66" s="39" t="str">
        <f>IFERROR(VLOOKUP(A66,Internal_lists_bugs!$A$2:$I847,9,FALSE()),"please select a BUG ID")</f>
        <v>https://review.opendev.org/c/openstack/nova/+/150293</v>
      </c>
      <c r="E66" s="108" t="s">
        <v>455</v>
      </c>
      <c r="F66" s="108" t="s">
        <v>454</v>
      </c>
      <c r="G66" s="108" t="s">
        <v>297</v>
      </c>
      <c r="H66" s="108" t="s">
        <v>297</v>
      </c>
      <c r="J66" s="109">
        <v>150293.0</v>
      </c>
      <c r="K66" s="111"/>
    </row>
    <row r="67">
      <c r="A67" s="108" t="s">
        <v>51</v>
      </c>
      <c r="B67" s="38" t="str">
        <f>IFERROR(HYPERLINK(VLOOKUP(A67,Internal_lists_bugs!$A$2:$C$73,3,FALSE()), VLOOKUP(A67,Internal_lists_bugs!$A$2:$C$73,3,FALSE())&amp;Char(10) &amp; Char(10) &amp; VLOOKUP(A67,Internal_lists_bugs!$A$2:$Z$73,26,FALSE())),"please select a BUG ID")</f>
        <v>
</v>
      </c>
      <c r="C67" s="39" t="str">
        <f>IFERROR(VLOOKUP(A67,Internal_lists_bugs!$A$2:$G847,7,FALSE()),"please select a BUG ID")</f>
        <v>https://opendev.org/openstack/nova/commit/98dcd0dc6fe19ab243556874e4f0910e78484e02</v>
      </c>
      <c r="D67" s="39" t="str">
        <f>IFERROR(VLOOKUP(A67,Internal_lists_bugs!$A$2:$I847,9,FALSE()),"please select a BUG ID")</f>
        <v>https://review.opendev.org/c/openstack/nova/+/150293</v>
      </c>
      <c r="E67" s="108" t="s">
        <v>460</v>
      </c>
      <c r="F67" s="108" t="s">
        <v>454</v>
      </c>
      <c r="G67" s="108" t="s">
        <v>297</v>
      </c>
      <c r="H67" s="108" t="s">
        <v>297</v>
      </c>
      <c r="J67" s="109">
        <v>150293.0</v>
      </c>
      <c r="K67" s="111"/>
    </row>
    <row r="68">
      <c r="A68" s="108" t="s">
        <v>51</v>
      </c>
      <c r="B68" s="38" t="str">
        <f>IFERROR(HYPERLINK(VLOOKUP(A68,Internal_lists_bugs!$A$2:$C$73,3,FALSE()), VLOOKUP(A68,Internal_lists_bugs!$A$2:$C$73,3,FALSE())&amp;Char(10) &amp; Char(10) &amp; VLOOKUP(A68,Internal_lists_bugs!$A$2:$Z$73,26,FALSE())),"please select a BUG ID")</f>
        <v>
</v>
      </c>
      <c r="C68" s="39" t="str">
        <f>IFERROR(VLOOKUP(A68,Internal_lists_bugs!$A$2:$G847,7,FALSE()),"please select a BUG ID")</f>
        <v>https://opendev.org/openstack/nova/commit/98dcd0dc6fe19ab243556874e4f0910e78484e02</v>
      </c>
      <c r="D68" s="39" t="str">
        <f>IFERROR(VLOOKUP(A68,Internal_lists_bugs!$A$2:$I847,9,FALSE()),"please select a BUG ID")</f>
        <v>https://review.opendev.org/c/openstack/nova/+/150293</v>
      </c>
      <c r="E68" s="108" t="s">
        <v>456</v>
      </c>
      <c r="F68" s="108" t="s">
        <v>458</v>
      </c>
      <c r="G68" s="108" t="s">
        <v>297</v>
      </c>
      <c r="H68" s="108" t="s">
        <v>297</v>
      </c>
      <c r="J68" s="109">
        <v>150293.0</v>
      </c>
      <c r="K68" s="111"/>
    </row>
    <row r="69">
      <c r="A69" s="108" t="s">
        <v>51</v>
      </c>
      <c r="B69" s="38" t="str">
        <f>IFERROR(HYPERLINK(VLOOKUP(A69,Internal_lists_bugs!$A$2:$C$73,3,FALSE()), VLOOKUP(A69,Internal_lists_bugs!$A$2:$C$73,3,FALSE())&amp;Char(10) &amp; Char(10) &amp; VLOOKUP(A69,Internal_lists_bugs!$A$2:$Z$73,26,FALSE())),"please select a BUG ID")</f>
        <v>
</v>
      </c>
      <c r="C69" s="39" t="str">
        <f>IFERROR(VLOOKUP(A69,Internal_lists_bugs!$A$2:$G847,7,FALSE()),"please select a BUG ID")</f>
        <v>https://opendev.org/openstack/nova/commit/98dcd0dc6fe19ab243556874e4f0910e78484e02</v>
      </c>
      <c r="D69" s="39" t="str">
        <f>IFERROR(VLOOKUP(A69,Internal_lists_bugs!$A$2:$I847,9,FALSE()),"please select a BUG ID")</f>
        <v>https://review.opendev.org/c/openstack/nova/+/150293</v>
      </c>
      <c r="E69" s="108" t="s">
        <v>457</v>
      </c>
      <c r="F69" s="108" t="s">
        <v>458</v>
      </c>
      <c r="G69" s="108" t="s">
        <v>297</v>
      </c>
      <c r="H69" s="108" t="s">
        <v>297</v>
      </c>
      <c r="J69" s="109">
        <v>150293.0</v>
      </c>
      <c r="K69" s="111"/>
    </row>
    <row r="70">
      <c r="A70" s="108" t="s">
        <v>51</v>
      </c>
      <c r="B70" s="38" t="str">
        <f>IFERROR(HYPERLINK(VLOOKUP(A70,Internal_lists_bugs!$A$2:$C$73,3,FALSE()), VLOOKUP(A70,Internal_lists_bugs!$A$2:$C$73,3,FALSE())&amp;Char(10) &amp; Char(10) &amp; VLOOKUP(A70,Internal_lists_bugs!$A$2:$Z$73,26,FALSE())),"please select a BUG ID")</f>
        <v>
</v>
      </c>
      <c r="C70" s="39" t="str">
        <f>IFERROR(VLOOKUP(A70,Internal_lists_bugs!$A$2:$G847,7,FALSE()),"please select a BUG ID")</f>
        <v>https://opendev.org/openstack/nova/commit/98dcd0dc6fe19ab243556874e4f0910e78484e02</v>
      </c>
      <c r="D70" s="39" t="str">
        <f>IFERROR(VLOOKUP(A70,Internal_lists_bugs!$A$2:$I847,9,FALSE()),"please select a BUG ID")</f>
        <v>https://review.opendev.org/c/openstack/nova/+/150293</v>
      </c>
      <c r="E70" s="108" t="s">
        <v>462</v>
      </c>
      <c r="F70" s="108" t="s">
        <v>454</v>
      </c>
      <c r="G70" s="108" t="s">
        <v>297</v>
      </c>
      <c r="H70" s="108" t="s">
        <v>297</v>
      </c>
      <c r="J70" s="109">
        <v>150293.0</v>
      </c>
      <c r="K70" s="111"/>
    </row>
    <row r="71">
      <c r="A71" s="108" t="s">
        <v>36</v>
      </c>
      <c r="B71" s="38" t="str">
        <f>IFERROR(HYPERLINK(VLOOKUP(A71,Internal_lists_bugs!$A$2:$C$73,3,FALSE()), VLOOKUP(A71,Internal_lists_bugs!$A$2:$C$73,3,FALSE())&amp;Char(10) &amp; Char(10) &amp; VLOOKUP(A71,Internal_lists_bugs!$A$2:$Z$73,26,FALSE())),"please select a BUG ID")</f>
        <v>
</v>
      </c>
      <c r="C71" s="39" t="str">
        <f>IFERROR(VLOOKUP(A71,Internal_lists_bugs!$A$2:$G847,7,FALSE()),"please select a BUG ID")</f>
        <v>https://opendev.org/openstack/nova/commit/995ee643f3291157151d195552232d09d471d8c2</v>
      </c>
      <c r="D71" s="39" t="str">
        <f>IFERROR(VLOOKUP(A71,Internal_lists_bugs!$A$2:$I847,9,FALSE()),"please select a BUG ID")</f>
        <v>https://review.opendev.org/c/openstack/nova/+/94811</v>
      </c>
      <c r="E71" s="108" t="s">
        <v>453</v>
      </c>
      <c r="F71" s="108" t="s">
        <v>454</v>
      </c>
      <c r="G71" s="108" t="s">
        <v>297</v>
      </c>
      <c r="H71" s="108" t="s">
        <v>297</v>
      </c>
      <c r="J71" s="109">
        <v>94811.0</v>
      </c>
      <c r="K71" s="111"/>
    </row>
    <row r="72">
      <c r="A72" s="108" t="s">
        <v>36</v>
      </c>
      <c r="B72" s="38" t="str">
        <f>IFERROR(HYPERLINK(VLOOKUP(A72,Internal_lists_bugs!$A$2:$C$73,3,FALSE()), VLOOKUP(A72,Internal_lists_bugs!$A$2:$C$73,3,FALSE())&amp;Char(10) &amp; Char(10) &amp; VLOOKUP(A72,Internal_lists_bugs!$A$2:$Z$73,26,FALSE())),"please select a BUG ID")</f>
        <v>
</v>
      </c>
      <c r="C72" s="39" t="str">
        <f>IFERROR(VLOOKUP(A72,Internal_lists_bugs!$A$2:$G847,7,FALSE()),"please select a BUG ID")</f>
        <v>https://opendev.org/openstack/nova/commit/995ee643f3291157151d195552232d09d471d8c2</v>
      </c>
      <c r="D72" s="39" t="str">
        <f>IFERROR(VLOOKUP(A72,Internal_lists_bugs!$A$2:$I847,9,FALSE()),"please select a BUG ID")</f>
        <v>https://review.opendev.org/c/openstack/nova/+/94811</v>
      </c>
      <c r="E72" s="108" t="s">
        <v>455</v>
      </c>
      <c r="F72" s="108" t="s">
        <v>454</v>
      </c>
      <c r="G72" s="108" t="s">
        <v>297</v>
      </c>
      <c r="H72" s="108" t="s">
        <v>297</v>
      </c>
      <c r="J72" s="109">
        <v>94811.0</v>
      </c>
      <c r="K72" s="111"/>
    </row>
    <row r="73">
      <c r="A73" s="108" t="s">
        <v>36</v>
      </c>
      <c r="B73" s="38" t="str">
        <f>IFERROR(HYPERLINK(VLOOKUP(A73,Internal_lists_bugs!$A$2:$C$73,3,FALSE()), VLOOKUP(A73,Internal_lists_bugs!$A$2:$C$73,3,FALSE())&amp;Char(10) &amp; Char(10) &amp; VLOOKUP(A73,Internal_lists_bugs!$A$2:$Z$73,26,FALSE())),"please select a BUG ID")</f>
        <v>
</v>
      </c>
      <c r="C73" s="39" t="str">
        <f>IFERROR(VLOOKUP(A73,Internal_lists_bugs!$A$2:$G847,7,FALSE()),"please select a BUG ID")</f>
        <v>https://opendev.org/openstack/nova/commit/995ee643f3291157151d195552232d09d471d8c2</v>
      </c>
      <c r="D73" s="39" t="str">
        <f>IFERROR(VLOOKUP(A73,Internal_lists_bugs!$A$2:$I847,9,FALSE()),"please select a BUG ID")</f>
        <v>https://review.opendev.org/c/openstack/nova/+/94811</v>
      </c>
      <c r="E73" s="108" t="s">
        <v>461</v>
      </c>
      <c r="F73" s="108" t="s">
        <v>458</v>
      </c>
      <c r="G73" s="108" t="s">
        <v>297</v>
      </c>
      <c r="H73" s="108" t="s">
        <v>297</v>
      </c>
      <c r="J73" s="109">
        <v>94811.0</v>
      </c>
      <c r="K73" s="111"/>
    </row>
    <row r="74">
      <c r="A74" s="108" t="s">
        <v>36</v>
      </c>
      <c r="B74" s="38" t="str">
        <f>IFERROR(HYPERLINK(VLOOKUP(A74,Internal_lists_bugs!$A$2:$C$73,3,FALSE()), VLOOKUP(A74,Internal_lists_bugs!$A$2:$C$73,3,FALSE())&amp;Char(10) &amp; Char(10) &amp; VLOOKUP(A74,Internal_lists_bugs!$A$2:$Z$73,26,FALSE())),"please select a BUG ID")</f>
        <v>
</v>
      </c>
      <c r="C74" s="39" t="str">
        <f>IFERROR(VLOOKUP(A74,Internal_lists_bugs!$A$2:$G847,7,FALSE()),"please select a BUG ID")</f>
        <v>https://opendev.org/openstack/nova/commit/995ee643f3291157151d195552232d09d471d8c2</v>
      </c>
      <c r="D74" s="39" t="str">
        <f>IFERROR(VLOOKUP(A74,Internal_lists_bugs!$A$2:$I847,9,FALSE()),"please select a BUG ID")</f>
        <v>https://review.opendev.org/c/openstack/nova/+/94811</v>
      </c>
      <c r="E74" s="108" t="s">
        <v>460</v>
      </c>
      <c r="F74" s="108" t="s">
        <v>454</v>
      </c>
      <c r="G74" s="108" t="s">
        <v>297</v>
      </c>
      <c r="H74" s="108" t="s">
        <v>297</v>
      </c>
      <c r="J74" s="109">
        <v>94811.0</v>
      </c>
      <c r="K74" s="111"/>
    </row>
    <row r="75">
      <c r="A75" s="108" t="s">
        <v>36</v>
      </c>
      <c r="B75" s="38" t="str">
        <f>IFERROR(HYPERLINK(VLOOKUP(A75,Internal_lists_bugs!$A$2:$C$73,3,FALSE()), VLOOKUP(A75,Internal_lists_bugs!$A$2:$C$73,3,FALSE())&amp;Char(10) &amp; Char(10) &amp; VLOOKUP(A75,Internal_lists_bugs!$A$2:$Z$73,26,FALSE())),"please select a BUG ID")</f>
        <v>
</v>
      </c>
      <c r="C75" s="39" t="str">
        <f>IFERROR(VLOOKUP(A75,Internal_lists_bugs!$A$2:$G847,7,FALSE()),"please select a BUG ID")</f>
        <v>https://opendev.org/openstack/nova/commit/995ee643f3291157151d195552232d09d471d8c2</v>
      </c>
      <c r="D75" s="39" t="str">
        <f>IFERROR(VLOOKUP(A75,Internal_lists_bugs!$A$2:$I847,9,FALSE()),"please select a BUG ID")</f>
        <v>https://review.opendev.org/c/openstack/nova/+/94811</v>
      </c>
      <c r="E75" s="108" t="s">
        <v>456</v>
      </c>
      <c r="F75" s="108" t="s">
        <v>458</v>
      </c>
      <c r="G75" s="108" t="s">
        <v>297</v>
      </c>
      <c r="H75" s="108" t="s">
        <v>297</v>
      </c>
      <c r="J75" s="109">
        <v>94811.0</v>
      </c>
      <c r="K75" s="111"/>
    </row>
    <row r="76">
      <c r="A76" s="108" t="s">
        <v>60</v>
      </c>
      <c r="B76" s="38" t="str">
        <f>IFERROR(HYPERLINK(VLOOKUP(A76,Internal_lists_bugs!$A$2:$C$73,3,FALSE()), VLOOKUP(A76,Internal_lists_bugs!$A$2:$C$73,3,FALSE())&amp;Char(10) &amp; Char(10) &amp; VLOOKUP(A76,Internal_lists_bugs!$A$2:$Z$73,26,FALSE())),"please select a BUG ID")</f>
        <v>
</v>
      </c>
      <c r="C76" s="39" t="str">
        <f>IFERROR(VLOOKUP(A76,Internal_lists_bugs!$A$2:$G847,7,FALSE()),"please select a BUG ID")</f>
        <v>https://opendev.org/openstack/nova/commit/ce28166dcf25a3d589e6f020b2dfa64705d15126</v>
      </c>
      <c r="D76" s="39" t="str">
        <f>IFERROR(VLOOKUP(A76,Internal_lists_bugs!$A$2:$I847,9,FALSE()),"please select a BUG ID")</f>
        <v>https://review.opendev.org/c/openstack/nova/+/142282</v>
      </c>
      <c r="E76" s="108" t="s">
        <v>453</v>
      </c>
      <c r="F76" s="108" t="s">
        <v>454</v>
      </c>
      <c r="G76" s="108" t="s">
        <v>121</v>
      </c>
      <c r="H76" s="108" t="s">
        <v>454</v>
      </c>
      <c r="J76" s="109">
        <v>142282.0</v>
      </c>
      <c r="K76" s="109">
        <v>142281.0</v>
      </c>
    </row>
    <row r="77">
      <c r="A77" s="108" t="s">
        <v>60</v>
      </c>
      <c r="B77" s="38" t="str">
        <f>IFERROR(HYPERLINK(VLOOKUP(A77,Internal_lists_bugs!$A$2:$C$73,3,FALSE()), VLOOKUP(A77,Internal_lists_bugs!$A$2:$C$73,3,FALSE())&amp;Char(10) &amp; Char(10) &amp; VLOOKUP(A77,Internal_lists_bugs!$A$2:$Z$73,26,FALSE())),"please select a BUG ID")</f>
        <v>
</v>
      </c>
      <c r="C77" s="39" t="str">
        <f>IFERROR(VLOOKUP(A77,Internal_lists_bugs!$A$2:$G847,7,FALSE()),"please select a BUG ID")</f>
        <v>https://opendev.org/openstack/nova/commit/ce28166dcf25a3d589e6f020b2dfa64705d15126</v>
      </c>
      <c r="D77" s="39" t="str">
        <f>IFERROR(VLOOKUP(A77,Internal_lists_bugs!$A$2:$I847,9,FALSE()),"please select a BUG ID")</f>
        <v>https://review.opendev.org/c/openstack/nova/+/142282</v>
      </c>
      <c r="E77" s="108" t="s">
        <v>455</v>
      </c>
      <c r="F77" s="108" t="s">
        <v>454</v>
      </c>
      <c r="G77" s="108" t="s">
        <v>121</v>
      </c>
      <c r="H77" s="108" t="s">
        <v>454</v>
      </c>
      <c r="J77" s="109">
        <v>142282.0</v>
      </c>
      <c r="K77" s="109">
        <v>142281.0</v>
      </c>
    </row>
    <row r="78">
      <c r="A78" s="108" t="s">
        <v>60</v>
      </c>
      <c r="B78" s="38" t="str">
        <f>IFERROR(HYPERLINK(VLOOKUP(A78,Internal_lists_bugs!$A$2:$C$73,3,FALSE()), VLOOKUP(A78,Internal_lists_bugs!$A$2:$C$73,3,FALSE())&amp;Char(10) &amp; Char(10) &amp; VLOOKUP(A78,Internal_lists_bugs!$A$2:$Z$73,26,FALSE())),"please select a BUG ID")</f>
        <v>
</v>
      </c>
      <c r="C78" s="39" t="str">
        <f>IFERROR(VLOOKUP(A78,Internal_lists_bugs!$A$2:$G847,7,FALSE()),"please select a BUG ID")</f>
        <v>https://opendev.org/openstack/nova/commit/ce28166dcf25a3d589e6f020b2dfa64705d15126</v>
      </c>
      <c r="D78" s="39" t="str">
        <f>IFERROR(VLOOKUP(A78,Internal_lists_bugs!$A$2:$I847,9,FALSE()),"please select a BUG ID")</f>
        <v>https://review.opendev.org/c/openstack/nova/+/142282</v>
      </c>
      <c r="E78" s="108" t="s">
        <v>460</v>
      </c>
      <c r="F78" s="108" t="s">
        <v>454</v>
      </c>
      <c r="G78" s="108" t="s">
        <v>121</v>
      </c>
      <c r="H78" s="108" t="s">
        <v>454</v>
      </c>
      <c r="J78" s="109">
        <v>142282.0</v>
      </c>
      <c r="K78" s="109">
        <v>142281.0</v>
      </c>
    </row>
    <row r="79">
      <c r="A79" s="108" t="s">
        <v>60</v>
      </c>
      <c r="B79" s="38" t="str">
        <f>IFERROR(HYPERLINK(VLOOKUP(A79,Internal_lists_bugs!$A$2:$C$73,3,FALSE()), VLOOKUP(A79,Internal_lists_bugs!$A$2:$C$73,3,FALSE())&amp;Char(10) &amp; Char(10) &amp; VLOOKUP(A79,Internal_lists_bugs!$A$2:$Z$73,26,FALSE())),"please select a BUG ID")</f>
        <v>
</v>
      </c>
      <c r="C79" s="39" t="str">
        <f>IFERROR(VLOOKUP(A79,Internal_lists_bugs!$A$2:$G847,7,FALSE()),"please select a BUG ID")</f>
        <v>https://opendev.org/openstack/nova/commit/ce28166dcf25a3d589e6f020b2dfa64705d15126</v>
      </c>
      <c r="D79" s="39" t="str">
        <f>IFERROR(VLOOKUP(A79,Internal_lists_bugs!$A$2:$I847,9,FALSE()),"please select a BUG ID")</f>
        <v>https://review.opendev.org/c/openstack/nova/+/142282</v>
      </c>
      <c r="E79" s="108" t="s">
        <v>456</v>
      </c>
      <c r="F79" s="108" t="s">
        <v>458</v>
      </c>
      <c r="G79" s="108" t="s">
        <v>121</v>
      </c>
      <c r="H79" s="108" t="s">
        <v>458</v>
      </c>
      <c r="J79" s="109">
        <v>142282.0</v>
      </c>
      <c r="K79" s="109">
        <v>142281.0</v>
      </c>
    </row>
    <row r="80">
      <c r="A80" s="108" t="s">
        <v>60</v>
      </c>
      <c r="B80" s="38" t="str">
        <f>IFERROR(HYPERLINK(VLOOKUP(A80,Internal_lists_bugs!$A$2:$C$73,3,FALSE()), VLOOKUP(A80,Internal_lists_bugs!$A$2:$C$73,3,FALSE())&amp;Char(10) &amp; Char(10) &amp; VLOOKUP(A80,Internal_lists_bugs!$A$2:$Z$73,26,FALSE())),"please select a BUG ID")</f>
        <v>
</v>
      </c>
      <c r="C80" s="39" t="str">
        <f>IFERROR(VLOOKUP(A80,Internal_lists_bugs!$A$2:$G847,7,FALSE()),"please select a BUG ID")</f>
        <v>https://opendev.org/openstack/nova/commit/ce28166dcf25a3d589e6f020b2dfa64705d15126</v>
      </c>
      <c r="D80" s="39" t="str">
        <f>IFERROR(VLOOKUP(A80,Internal_lists_bugs!$A$2:$I847,9,FALSE()),"please select a BUG ID")</f>
        <v>https://review.opendev.org/c/openstack/nova/+/142282</v>
      </c>
      <c r="E80" s="108" t="s">
        <v>457</v>
      </c>
      <c r="F80" s="108" t="s">
        <v>454</v>
      </c>
      <c r="G80" s="108" t="s">
        <v>121</v>
      </c>
      <c r="H80" s="108" t="s">
        <v>454</v>
      </c>
      <c r="J80" s="109">
        <v>142282.0</v>
      </c>
      <c r="K80" s="109">
        <v>142281.0</v>
      </c>
    </row>
    <row r="81">
      <c r="A81" s="108" t="s">
        <v>53</v>
      </c>
      <c r="B81" s="38" t="str">
        <f>IFERROR(HYPERLINK(VLOOKUP(A81,Internal_lists_bugs!$A$2:$C$73,3,FALSE()), VLOOKUP(A81,Internal_lists_bugs!$A$2:$C$73,3,FALSE())&amp;Char(10) &amp; Char(10) &amp; VLOOKUP(A81,Internal_lists_bugs!$A$2:$Z$73,26,FALSE())),"please select a BUG ID")</f>
        <v>
</v>
      </c>
      <c r="C81" s="39" t="str">
        <f>IFERROR(VLOOKUP(A81,Internal_lists_bugs!$A$2:$G847,7,FALSE()),"please select a BUG ID")</f>
        <v>https://opendev.org/openstack/nova/commit/c363dae6a2b878db6801b502cced1fcc6aad2d0c</v>
      </c>
      <c r="D81" s="39" t="str">
        <f>IFERROR(VLOOKUP(A81,Internal_lists_bugs!$A$2:$I847,9,FALSE()),"please select a BUG ID")</f>
        <v>https://review.opendev.org/c/openstack/nova/+/109489</v>
      </c>
      <c r="E81" s="108" t="s">
        <v>453</v>
      </c>
      <c r="F81" s="108" t="s">
        <v>454</v>
      </c>
      <c r="G81" s="108" t="s">
        <v>297</v>
      </c>
      <c r="H81" s="108" t="s">
        <v>297</v>
      </c>
      <c r="J81" s="109">
        <v>109489.0</v>
      </c>
      <c r="K81" s="111"/>
    </row>
    <row r="82">
      <c r="A82" s="108" t="s">
        <v>53</v>
      </c>
      <c r="B82" s="38" t="str">
        <f>IFERROR(HYPERLINK(VLOOKUP(A82,Internal_lists_bugs!$A$2:$C$73,3,FALSE()), VLOOKUP(A82,Internal_lists_bugs!$A$2:$C$73,3,FALSE())&amp;Char(10) &amp; Char(10) &amp; VLOOKUP(A82,Internal_lists_bugs!$A$2:$Z$73,26,FALSE())),"please select a BUG ID")</f>
        <v>
</v>
      </c>
      <c r="C82" s="39" t="str">
        <f>IFERROR(VLOOKUP(A82,Internal_lists_bugs!$A$2:$G847,7,FALSE()),"please select a BUG ID")</f>
        <v>https://opendev.org/openstack/nova/commit/c363dae6a2b878db6801b502cced1fcc6aad2d0c</v>
      </c>
      <c r="D82" s="39" t="str">
        <f>IFERROR(VLOOKUP(A82,Internal_lists_bugs!$A$2:$I847,9,FALSE()),"please select a BUG ID")</f>
        <v>https://review.opendev.org/c/openstack/nova/+/109489</v>
      </c>
      <c r="E82" s="108" t="s">
        <v>455</v>
      </c>
      <c r="F82" s="108" t="s">
        <v>454</v>
      </c>
      <c r="G82" s="108" t="s">
        <v>297</v>
      </c>
      <c r="H82" s="108" t="s">
        <v>297</v>
      </c>
      <c r="J82" s="109">
        <v>109489.0</v>
      </c>
      <c r="K82" s="111"/>
    </row>
    <row r="83">
      <c r="A83" s="108" t="s">
        <v>53</v>
      </c>
      <c r="B83" s="38" t="str">
        <f>IFERROR(HYPERLINK(VLOOKUP(A83,Internal_lists_bugs!$A$2:$C$73,3,FALSE()), VLOOKUP(A83,Internal_lists_bugs!$A$2:$C$73,3,FALSE())&amp;Char(10) &amp; Char(10) &amp; VLOOKUP(A83,Internal_lists_bugs!$A$2:$Z$73,26,FALSE())),"please select a BUG ID")</f>
        <v>
</v>
      </c>
      <c r="C83" s="39" t="str">
        <f>IFERROR(VLOOKUP(A83,Internal_lists_bugs!$A$2:$G847,7,FALSE()),"please select a BUG ID")</f>
        <v>https://opendev.org/openstack/nova/commit/c363dae6a2b878db6801b502cced1fcc6aad2d0c</v>
      </c>
      <c r="D83" s="39" t="str">
        <f>IFERROR(VLOOKUP(A83,Internal_lists_bugs!$A$2:$I847,9,FALSE()),"please select a BUG ID")</f>
        <v>https://review.opendev.org/c/openstack/nova/+/109489</v>
      </c>
      <c r="E83" s="108" t="s">
        <v>461</v>
      </c>
      <c r="F83" s="108" t="s">
        <v>458</v>
      </c>
      <c r="G83" s="108" t="s">
        <v>297</v>
      </c>
      <c r="H83" s="108" t="s">
        <v>297</v>
      </c>
      <c r="J83" s="109">
        <v>109489.0</v>
      </c>
      <c r="K83" s="111"/>
    </row>
    <row r="84">
      <c r="A84" s="108" t="s">
        <v>53</v>
      </c>
      <c r="B84" s="38" t="str">
        <f>IFERROR(HYPERLINK(VLOOKUP(A84,Internal_lists_bugs!$A$2:$C$73,3,FALSE()), VLOOKUP(A84,Internal_lists_bugs!$A$2:$C$73,3,FALSE())&amp;Char(10) &amp; Char(10) &amp; VLOOKUP(A84,Internal_lists_bugs!$A$2:$Z$73,26,FALSE())),"please select a BUG ID")</f>
        <v>
</v>
      </c>
      <c r="C84" s="39" t="str">
        <f>IFERROR(VLOOKUP(A84,Internal_lists_bugs!$A$2:$G847,7,FALSE()),"please select a BUG ID")</f>
        <v>https://opendev.org/openstack/nova/commit/c363dae6a2b878db6801b502cced1fcc6aad2d0c</v>
      </c>
      <c r="D84" s="39" t="str">
        <f>IFERROR(VLOOKUP(A84,Internal_lists_bugs!$A$2:$I847,9,FALSE()),"please select a BUG ID")</f>
        <v>https://review.opendev.org/c/openstack/nova/+/109489</v>
      </c>
      <c r="E84" s="108" t="s">
        <v>460</v>
      </c>
      <c r="F84" s="108" t="s">
        <v>454</v>
      </c>
      <c r="G84" s="108" t="s">
        <v>297</v>
      </c>
      <c r="H84" s="108" t="s">
        <v>297</v>
      </c>
      <c r="J84" s="109">
        <v>109489.0</v>
      </c>
      <c r="K84" s="111"/>
    </row>
    <row r="85">
      <c r="A85" s="108" t="s">
        <v>53</v>
      </c>
      <c r="B85" s="38" t="str">
        <f>IFERROR(HYPERLINK(VLOOKUP(A85,Internal_lists_bugs!$A$2:$C$73,3,FALSE()), VLOOKUP(A85,Internal_lists_bugs!$A$2:$C$73,3,FALSE())&amp;Char(10) &amp; Char(10) &amp; VLOOKUP(A85,Internal_lists_bugs!$A$2:$Z$73,26,FALSE())),"please select a BUG ID")</f>
        <v>
</v>
      </c>
      <c r="C85" s="39" t="str">
        <f>IFERROR(VLOOKUP(A85,Internal_lists_bugs!$A$2:$G847,7,FALSE()),"please select a BUG ID")</f>
        <v>https://opendev.org/openstack/nova/commit/c363dae6a2b878db6801b502cced1fcc6aad2d0c</v>
      </c>
      <c r="D85" s="39" t="str">
        <f>IFERROR(VLOOKUP(A85,Internal_lists_bugs!$A$2:$I847,9,FALSE()),"please select a BUG ID")</f>
        <v>https://review.opendev.org/c/openstack/nova/+/109489</v>
      </c>
      <c r="E85" s="108" t="s">
        <v>456</v>
      </c>
      <c r="F85" s="108" t="s">
        <v>454</v>
      </c>
      <c r="G85" s="108" t="s">
        <v>297</v>
      </c>
      <c r="H85" s="108" t="s">
        <v>297</v>
      </c>
      <c r="J85" s="109">
        <v>109489.0</v>
      </c>
      <c r="K85" s="111"/>
    </row>
    <row r="86">
      <c r="A86" s="108" t="s">
        <v>53</v>
      </c>
      <c r="B86" s="38" t="str">
        <f>IFERROR(HYPERLINK(VLOOKUP(A86,Internal_lists_bugs!$A$2:$C$73,3,FALSE()), VLOOKUP(A86,Internal_lists_bugs!$A$2:$C$73,3,FALSE())&amp;Char(10) &amp; Char(10) &amp; VLOOKUP(A86,Internal_lists_bugs!$A$2:$Z$73,26,FALSE())),"please select a BUG ID")</f>
        <v>
</v>
      </c>
      <c r="C86" s="39" t="str">
        <f>IFERROR(VLOOKUP(A86,Internal_lists_bugs!$A$2:$G847,7,FALSE()),"please select a BUG ID")</f>
        <v>https://opendev.org/openstack/nova/commit/c363dae6a2b878db6801b502cced1fcc6aad2d0c</v>
      </c>
      <c r="D86" s="39" t="str">
        <f>IFERROR(VLOOKUP(A86,Internal_lists_bugs!$A$2:$I847,9,FALSE()),"please select a BUG ID")</f>
        <v>https://review.opendev.org/c/openstack/nova/+/109489</v>
      </c>
      <c r="E86" s="108" t="s">
        <v>457</v>
      </c>
      <c r="F86" s="108" t="s">
        <v>454</v>
      </c>
      <c r="G86" s="108" t="s">
        <v>297</v>
      </c>
      <c r="H86" s="108" t="s">
        <v>297</v>
      </c>
      <c r="J86" s="109">
        <v>109489.0</v>
      </c>
      <c r="K86" s="111"/>
    </row>
    <row r="87">
      <c r="A87" s="108" t="s">
        <v>30</v>
      </c>
      <c r="B87" s="38" t="str">
        <f>IFERROR(HYPERLINK(VLOOKUP(A87,Internal_lists_bugs!$A$2:$C$73,3,FALSE()), VLOOKUP(A87,Internal_lists_bugs!$A$2:$C$73,3,FALSE())&amp;Char(10) &amp; Char(10) &amp; VLOOKUP(A87,Internal_lists_bugs!$A$2:$Z$73,26,FALSE())),"please select a BUG ID")</f>
        <v>
</v>
      </c>
      <c r="C87" s="39" t="str">
        <f>IFERROR(VLOOKUP(A87,Internal_lists_bugs!$A$2:$G847,7,FALSE()),"please select a BUG ID")</f>
        <v>https://opendev.org/openstack/nova/commit/fa6c2d4def22f0ddd296572d9ce5b3b6f7267e2f</v>
      </c>
      <c r="D87" s="39" t="str">
        <f>IFERROR(VLOOKUP(A87,Internal_lists_bugs!$A$2:$I847,9,FALSE()),"please select a BUG ID")</f>
        <v>https://review.opendev.org/c/openstack/nova/+/30201</v>
      </c>
      <c r="E87" s="108" t="s">
        <v>453</v>
      </c>
      <c r="F87" s="108" t="s">
        <v>454</v>
      </c>
      <c r="G87" s="108" t="s">
        <v>297</v>
      </c>
      <c r="H87" s="108" t="s">
        <v>297</v>
      </c>
      <c r="J87" s="109">
        <v>30201.0</v>
      </c>
      <c r="K87" s="111"/>
    </row>
    <row r="88">
      <c r="A88" s="108" t="s">
        <v>30</v>
      </c>
      <c r="B88" s="38" t="str">
        <f>IFERROR(HYPERLINK(VLOOKUP(A88,Internal_lists_bugs!$A$2:$C$73,3,FALSE()), VLOOKUP(A88,Internal_lists_bugs!$A$2:$C$73,3,FALSE())&amp;Char(10) &amp; Char(10) &amp; VLOOKUP(A88,Internal_lists_bugs!$A$2:$Z$73,26,FALSE())),"please select a BUG ID")</f>
        <v>
</v>
      </c>
      <c r="C88" s="39" t="str">
        <f>IFERROR(VLOOKUP(A88,Internal_lists_bugs!$A$2:$G847,7,FALSE()),"please select a BUG ID")</f>
        <v>https://opendev.org/openstack/nova/commit/fa6c2d4def22f0ddd296572d9ce5b3b6f7267e2f</v>
      </c>
      <c r="D88" s="39" t="str">
        <f>IFERROR(VLOOKUP(A88,Internal_lists_bugs!$A$2:$I847,9,FALSE()),"please select a BUG ID")</f>
        <v>https://review.opendev.org/c/openstack/nova/+/30201</v>
      </c>
      <c r="E88" s="108" t="s">
        <v>459</v>
      </c>
      <c r="F88" s="108" t="s">
        <v>454</v>
      </c>
      <c r="G88" s="108" t="s">
        <v>297</v>
      </c>
      <c r="H88" s="108" t="s">
        <v>297</v>
      </c>
      <c r="J88" s="109">
        <v>30201.0</v>
      </c>
      <c r="K88" s="111"/>
    </row>
    <row r="89">
      <c r="A89" s="108" t="s">
        <v>30</v>
      </c>
      <c r="B89" s="38" t="str">
        <f>IFERROR(HYPERLINK(VLOOKUP(A89,Internal_lists_bugs!$A$2:$C$73,3,FALSE()), VLOOKUP(A89,Internal_lists_bugs!$A$2:$C$73,3,FALSE())&amp;Char(10) &amp; Char(10) &amp; VLOOKUP(A89,Internal_lists_bugs!$A$2:$Z$73,26,FALSE())),"please select a BUG ID")</f>
        <v>
</v>
      </c>
      <c r="C89" s="39" t="str">
        <f>IFERROR(VLOOKUP(A89,Internal_lists_bugs!$A$2:$G847,7,FALSE()),"please select a BUG ID")</f>
        <v>https://opendev.org/openstack/nova/commit/fa6c2d4def22f0ddd296572d9ce5b3b6f7267e2f</v>
      </c>
      <c r="D89" s="39" t="str">
        <f>IFERROR(VLOOKUP(A89,Internal_lists_bugs!$A$2:$I847,9,FALSE()),"please select a BUG ID")</f>
        <v>https://review.opendev.org/c/openstack/nova/+/30201</v>
      </c>
      <c r="E89" s="108" t="s">
        <v>453</v>
      </c>
      <c r="F89" s="108" t="s">
        <v>454</v>
      </c>
      <c r="G89" s="108" t="s">
        <v>121</v>
      </c>
      <c r="H89" s="108" t="s">
        <v>454</v>
      </c>
      <c r="J89" s="109">
        <v>32717.0</v>
      </c>
      <c r="K89" s="109">
        <v>32679.0</v>
      </c>
    </row>
    <row r="90">
      <c r="A90" s="108" t="s">
        <v>52</v>
      </c>
      <c r="B90" s="38" t="str">
        <f>IFERROR(HYPERLINK(VLOOKUP(A90,Internal_lists_bugs!$A$2:$C$73,3,FALSE()), VLOOKUP(A90,Internal_lists_bugs!$A$2:$C$73,3,FALSE())&amp;Char(10) &amp; Char(10) &amp; VLOOKUP(A90,Internal_lists_bugs!$A$2:$Z$73,26,FALSE())),"please select a BUG ID")</f>
        <v>
</v>
      </c>
      <c r="C90" s="39" t="str">
        <f>IFERROR(VLOOKUP(A90,Internal_lists_bugs!$A$2:$G847,7,FALSE()),"please select a BUG ID")</f>
        <v>https://opendev.org/openstack/nova/commit/c6088d94bfd11114c94b2bdf7bd51cb4b1989720</v>
      </c>
      <c r="D90" s="39" t="str">
        <f>IFERROR(VLOOKUP(A90,Internal_lists_bugs!$A$2:$I847,9,FALSE()),"please select a BUG ID")</f>
        <v>https://review.opendev.org/c/openstack/nova/+/140337</v>
      </c>
      <c r="E90" s="108" t="s">
        <v>453</v>
      </c>
      <c r="F90" s="108" t="s">
        <v>454</v>
      </c>
      <c r="G90" s="108" t="s">
        <v>297</v>
      </c>
      <c r="H90" s="108" t="s">
        <v>297</v>
      </c>
      <c r="J90" s="109">
        <v>140337.0</v>
      </c>
      <c r="K90" s="111"/>
    </row>
    <row r="91">
      <c r="A91" s="108" t="s">
        <v>52</v>
      </c>
      <c r="B91" s="38" t="str">
        <f>IFERROR(HYPERLINK(VLOOKUP(A91,Internal_lists_bugs!$A$2:$C$73,3,FALSE()), VLOOKUP(A91,Internal_lists_bugs!$A$2:$C$73,3,FALSE())&amp;Char(10) &amp; Char(10) &amp; VLOOKUP(A91,Internal_lists_bugs!$A$2:$Z$73,26,FALSE())),"please select a BUG ID")</f>
        <v>
</v>
      </c>
      <c r="C91" s="39" t="str">
        <f>IFERROR(VLOOKUP(A91,Internal_lists_bugs!$A$2:$G847,7,FALSE()),"please select a BUG ID")</f>
        <v>https://opendev.org/openstack/nova/commit/c6088d94bfd11114c94b2bdf7bd51cb4b1989720</v>
      </c>
      <c r="D91" s="39" t="str">
        <f>IFERROR(VLOOKUP(A91,Internal_lists_bugs!$A$2:$I847,9,FALSE()),"please select a BUG ID")</f>
        <v>https://review.opendev.org/c/openstack/nova/+/140337</v>
      </c>
      <c r="E91" s="108" t="s">
        <v>455</v>
      </c>
      <c r="F91" s="108" t="s">
        <v>454</v>
      </c>
      <c r="G91" s="108" t="s">
        <v>297</v>
      </c>
      <c r="H91" s="108" t="s">
        <v>297</v>
      </c>
      <c r="J91" s="109">
        <v>140337.0</v>
      </c>
      <c r="K91" s="111"/>
    </row>
    <row r="92">
      <c r="A92" s="108" t="s">
        <v>52</v>
      </c>
      <c r="B92" s="38" t="str">
        <f>IFERROR(HYPERLINK(VLOOKUP(A92,Internal_lists_bugs!$A$2:$C$73,3,FALSE()), VLOOKUP(A92,Internal_lists_bugs!$A$2:$C$73,3,FALSE())&amp;Char(10) &amp; Char(10) &amp; VLOOKUP(A92,Internal_lists_bugs!$A$2:$Z$73,26,FALSE())),"please select a BUG ID")</f>
        <v>
</v>
      </c>
      <c r="C92" s="39" t="str">
        <f>IFERROR(VLOOKUP(A92,Internal_lists_bugs!$A$2:$G847,7,FALSE()),"please select a BUG ID")</f>
        <v>https://opendev.org/openstack/nova/commit/c6088d94bfd11114c94b2bdf7bd51cb4b1989720</v>
      </c>
      <c r="D92" s="39" t="str">
        <f>IFERROR(VLOOKUP(A92,Internal_lists_bugs!$A$2:$I847,9,FALSE()),"please select a BUG ID")</f>
        <v>https://review.opendev.org/c/openstack/nova/+/140337</v>
      </c>
      <c r="E92" s="108" t="s">
        <v>460</v>
      </c>
      <c r="F92" s="108" t="s">
        <v>454</v>
      </c>
      <c r="G92" s="108" t="s">
        <v>297</v>
      </c>
      <c r="H92" s="108" t="s">
        <v>297</v>
      </c>
      <c r="J92" s="109">
        <v>140337.0</v>
      </c>
      <c r="K92" s="111"/>
    </row>
    <row r="93">
      <c r="A93" s="108" t="s">
        <v>52</v>
      </c>
      <c r="B93" s="38" t="str">
        <f>IFERROR(HYPERLINK(VLOOKUP(A93,Internal_lists_bugs!$A$2:$C$73,3,FALSE()), VLOOKUP(A93,Internal_lists_bugs!$A$2:$C$73,3,FALSE())&amp;Char(10) &amp; Char(10) &amp; VLOOKUP(A93,Internal_lists_bugs!$A$2:$Z$73,26,FALSE())),"please select a BUG ID")</f>
        <v>
</v>
      </c>
      <c r="C93" s="39" t="str">
        <f>IFERROR(VLOOKUP(A93,Internal_lists_bugs!$A$2:$G847,7,FALSE()),"please select a BUG ID")</f>
        <v>https://opendev.org/openstack/nova/commit/c6088d94bfd11114c94b2bdf7bd51cb4b1989720</v>
      </c>
      <c r="D93" s="39" t="str">
        <f>IFERROR(VLOOKUP(A93,Internal_lists_bugs!$A$2:$I847,9,FALSE()),"please select a BUG ID")</f>
        <v>https://review.opendev.org/c/openstack/nova/+/140337</v>
      </c>
      <c r="E93" s="108" t="s">
        <v>456</v>
      </c>
      <c r="F93" s="108" t="s">
        <v>458</v>
      </c>
      <c r="G93" s="108" t="s">
        <v>297</v>
      </c>
      <c r="H93" s="108" t="s">
        <v>297</v>
      </c>
      <c r="J93" s="109">
        <v>140337.0</v>
      </c>
      <c r="K93" s="111"/>
    </row>
    <row r="94">
      <c r="A94" s="108" t="s">
        <v>52</v>
      </c>
      <c r="B94" s="38" t="str">
        <f>IFERROR(HYPERLINK(VLOOKUP(A94,Internal_lists_bugs!$A$2:$C$73,3,FALSE()), VLOOKUP(A94,Internal_lists_bugs!$A$2:$C$73,3,FALSE())&amp;Char(10) &amp; Char(10) &amp; VLOOKUP(A94,Internal_lists_bugs!$A$2:$Z$73,26,FALSE())),"please select a BUG ID")</f>
        <v>
</v>
      </c>
      <c r="C94" s="39" t="str">
        <f>IFERROR(VLOOKUP(A94,Internal_lists_bugs!$A$2:$G847,7,FALSE()),"please select a BUG ID")</f>
        <v>https://opendev.org/openstack/nova/commit/c6088d94bfd11114c94b2bdf7bd51cb4b1989720</v>
      </c>
      <c r="D94" s="39" t="str">
        <f>IFERROR(VLOOKUP(A94,Internal_lists_bugs!$A$2:$I847,9,FALSE()),"please select a BUG ID")</f>
        <v>https://review.opendev.org/c/openstack/nova/+/140337</v>
      </c>
      <c r="E94" s="108" t="s">
        <v>457</v>
      </c>
      <c r="F94" s="108" t="s">
        <v>454</v>
      </c>
      <c r="G94" s="108" t="s">
        <v>297</v>
      </c>
      <c r="H94" s="108" t="s">
        <v>297</v>
      </c>
      <c r="J94" s="109">
        <v>140337.0</v>
      </c>
      <c r="K94" s="111"/>
    </row>
    <row r="95">
      <c r="A95" s="108" t="s">
        <v>49</v>
      </c>
      <c r="B95" s="38" t="str">
        <f>IFERROR(HYPERLINK(VLOOKUP(A95,Internal_lists_bugs!$A$2:$C$73,3,FALSE()), VLOOKUP(A95,Internal_lists_bugs!$A$2:$C$73,3,FALSE())&amp;Char(10) &amp; Char(10) &amp; VLOOKUP(A95,Internal_lists_bugs!$A$2:$Z$73,26,FALSE())),"please select a BUG ID")</f>
        <v>
</v>
      </c>
      <c r="C95" s="39" t="str">
        <f>IFERROR(VLOOKUP(A95,Internal_lists_bugs!$A$2:$G847,7,FALSE()),"please select a BUG ID")</f>
        <v>https://opendev.org/openstack/nova/commit/c1dae06f1e366e7681fbffc776153b3ed3af2618</v>
      </c>
      <c r="D95" s="39" t="str">
        <f>IFERROR(VLOOKUP(A95,Internal_lists_bugs!$A$2:$I847,9,FALSE()),"please select a BUG ID")</f>
        <v>https://review.opendev.org/c/openstack/nova/+/64289</v>
      </c>
      <c r="E95" s="108" t="s">
        <v>453</v>
      </c>
      <c r="F95" s="108" t="s">
        <v>454</v>
      </c>
      <c r="G95" s="108" t="s">
        <v>297</v>
      </c>
      <c r="H95" s="108" t="s">
        <v>297</v>
      </c>
      <c r="J95" s="109">
        <v>64289.0</v>
      </c>
      <c r="K95" s="111"/>
    </row>
    <row r="96">
      <c r="A96" s="108" t="s">
        <v>49</v>
      </c>
      <c r="B96" s="38" t="str">
        <f>IFERROR(HYPERLINK(VLOOKUP(A96,Internal_lists_bugs!$A$2:$C$73,3,FALSE()), VLOOKUP(A96,Internal_lists_bugs!$A$2:$C$73,3,FALSE())&amp;Char(10) &amp; Char(10) &amp; VLOOKUP(A96,Internal_lists_bugs!$A$2:$Z$73,26,FALSE())),"please select a BUG ID")</f>
        <v>
</v>
      </c>
      <c r="C96" s="39" t="str">
        <f>IFERROR(VLOOKUP(A96,Internal_lists_bugs!$A$2:$G847,7,FALSE()),"please select a BUG ID")</f>
        <v>https://opendev.org/openstack/nova/commit/c1dae06f1e366e7681fbffc776153b3ed3af2618</v>
      </c>
      <c r="D96" s="39" t="str">
        <f>IFERROR(VLOOKUP(A96,Internal_lists_bugs!$A$2:$I847,9,FALSE()),"please select a BUG ID")</f>
        <v>https://review.opendev.org/c/openstack/nova/+/64289</v>
      </c>
      <c r="E96" s="108" t="s">
        <v>455</v>
      </c>
      <c r="F96" s="108" t="s">
        <v>454</v>
      </c>
      <c r="G96" s="108" t="s">
        <v>297</v>
      </c>
      <c r="H96" s="108" t="s">
        <v>297</v>
      </c>
      <c r="J96" s="109">
        <v>64289.0</v>
      </c>
      <c r="K96" s="111"/>
    </row>
    <row r="97">
      <c r="A97" s="108" t="s">
        <v>41</v>
      </c>
      <c r="B97" s="38" t="str">
        <f>IFERROR(HYPERLINK(VLOOKUP(A97,Internal_lists_bugs!$A$2:$C$73,3,FALSE()), VLOOKUP(A97,Internal_lists_bugs!$A$2:$C$73,3,FALSE())&amp;Char(10) &amp; Char(10) &amp; VLOOKUP(A97,Internal_lists_bugs!$A$2:$Z$73,26,FALSE())),"please select a BUG ID")</f>
        <v>
</v>
      </c>
      <c r="C97" s="39" t="str">
        <f>IFERROR(VLOOKUP(A97,Internal_lists_bugs!$A$2:$G847,7,FALSE()),"please select a BUG ID")</f>
        <v>https://opendev.org/openstack/nova/commit/b826fba1cd61f7ddbee091c220eaef7ea5317c1b</v>
      </c>
      <c r="D97" s="39" t="str">
        <f>IFERROR(VLOOKUP(A97,Internal_lists_bugs!$A$2:$I847,9,FALSE()),"please select a BUG ID")</f>
        <v>https://review.opendev.org/c/openstack/nova/+/113772</v>
      </c>
      <c r="E97" s="108" t="s">
        <v>453</v>
      </c>
      <c r="F97" s="108" t="s">
        <v>454</v>
      </c>
      <c r="G97" s="108" t="s">
        <v>121</v>
      </c>
      <c r="H97" s="108" t="s">
        <v>454</v>
      </c>
      <c r="J97" s="109">
        <v>113772.0</v>
      </c>
      <c r="K97" s="109">
        <v>114427.0</v>
      </c>
    </row>
    <row r="98">
      <c r="A98" s="108" t="s">
        <v>41</v>
      </c>
      <c r="B98" s="38" t="str">
        <f>IFERROR(HYPERLINK(VLOOKUP(A98,Internal_lists_bugs!$A$2:$C$73,3,FALSE()), VLOOKUP(A98,Internal_lists_bugs!$A$2:$C$73,3,FALSE())&amp;Char(10) &amp; Char(10) &amp; VLOOKUP(A98,Internal_lists_bugs!$A$2:$Z$73,26,FALSE())),"please select a BUG ID")</f>
        <v>
</v>
      </c>
      <c r="C98" s="39" t="str">
        <f>IFERROR(VLOOKUP(A98,Internal_lists_bugs!$A$2:$G847,7,FALSE()),"please select a BUG ID")</f>
        <v>https://opendev.org/openstack/nova/commit/b826fba1cd61f7ddbee091c220eaef7ea5317c1b</v>
      </c>
      <c r="D98" s="39" t="str">
        <f>IFERROR(VLOOKUP(A98,Internal_lists_bugs!$A$2:$I847,9,FALSE()),"please select a BUG ID")</f>
        <v>https://review.opendev.org/c/openstack/nova/+/113772</v>
      </c>
      <c r="E98" s="108" t="s">
        <v>455</v>
      </c>
      <c r="F98" s="108" t="s">
        <v>454</v>
      </c>
      <c r="G98" s="108" t="s">
        <v>121</v>
      </c>
      <c r="H98" s="108" t="s">
        <v>454</v>
      </c>
      <c r="J98" s="109">
        <v>113772.0</v>
      </c>
      <c r="K98" s="109">
        <v>114427.0</v>
      </c>
    </row>
    <row r="99">
      <c r="A99" s="108" t="s">
        <v>41</v>
      </c>
      <c r="B99" s="38" t="str">
        <f>IFERROR(HYPERLINK(VLOOKUP(A99,Internal_lists_bugs!$A$2:$C$73,3,FALSE()), VLOOKUP(A99,Internal_lists_bugs!$A$2:$C$73,3,FALSE())&amp;Char(10) &amp; Char(10) &amp; VLOOKUP(A99,Internal_lists_bugs!$A$2:$Z$73,26,FALSE())),"please select a BUG ID")</f>
        <v>
</v>
      </c>
      <c r="C99" s="39" t="str">
        <f>IFERROR(VLOOKUP(A99,Internal_lists_bugs!$A$2:$G847,7,FALSE()),"please select a BUG ID")</f>
        <v>https://opendev.org/openstack/nova/commit/b826fba1cd61f7ddbee091c220eaef7ea5317c1b</v>
      </c>
      <c r="D99" s="39" t="str">
        <f>IFERROR(VLOOKUP(A99,Internal_lists_bugs!$A$2:$I847,9,FALSE()),"please select a BUG ID")</f>
        <v>https://review.opendev.org/c/openstack/nova/+/113772</v>
      </c>
      <c r="E99" s="108" t="s">
        <v>461</v>
      </c>
      <c r="F99" s="108" t="s">
        <v>458</v>
      </c>
      <c r="G99" s="108" t="s">
        <v>297</v>
      </c>
      <c r="H99" s="108" t="s">
        <v>297</v>
      </c>
      <c r="J99" s="109">
        <v>113772.0</v>
      </c>
      <c r="K99" s="109">
        <v>114427.0</v>
      </c>
    </row>
    <row r="100">
      <c r="A100" s="108" t="s">
        <v>41</v>
      </c>
      <c r="B100" s="38" t="str">
        <f>IFERROR(HYPERLINK(VLOOKUP(A100,Internal_lists_bugs!$A$2:$C$73,3,FALSE()), VLOOKUP(A100,Internal_lists_bugs!$A$2:$C$73,3,FALSE())&amp;Char(10) &amp; Char(10) &amp; VLOOKUP(A100,Internal_lists_bugs!$A$2:$Z$73,26,FALSE())),"please select a BUG ID")</f>
        <v>
</v>
      </c>
      <c r="C100" s="39" t="str">
        <f>IFERROR(VLOOKUP(A100,Internal_lists_bugs!$A$2:$G847,7,FALSE()),"please select a BUG ID")</f>
        <v>https://opendev.org/openstack/nova/commit/b826fba1cd61f7ddbee091c220eaef7ea5317c1b</v>
      </c>
      <c r="D100" s="39" t="str">
        <f>IFERROR(VLOOKUP(A100,Internal_lists_bugs!$A$2:$I847,9,FALSE()),"please select a BUG ID")</f>
        <v>https://review.opendev.org/c/openstack/nova/+/113772</v>
      </c>
      <c r="E100" s="108" t="s">
        <v>460</v>
      </c>
      <c r="F100" s="108" t="s">
        <v>454</v>
      </c>
      <c r="G100" s="108" t="s">
        <v>297</v>
      </c>
      <c r="H100" s="108" t="s">
        <v>297</v>
      </c>
      <c r="J100" s="109">
        <v>113772.0</v>
      </c>
      <c r="K100" s="109">
        <v>114427.0</v>
      </c>
    </row>
    <row r="101">
      <c r="A101" s="108" t="s">
        <v>41</v>
      </c>
      <c r="B101" s="38" t="str">
        <f>IFERROR(HYPERLINK(VLOOKUP(A101,Internal_lists_bugs!$A$2:$C$73,3,FALSE()), VLOOKUP(A101,Internal_lists_bugs!$A$2:$C$73,3,FALSE())&amp;Char(10) &amp; Char(10) &amp; VLOOKUP(A101,Internal_lists_bugs!$A$2:$Z$73,26,FALSE())),"please select a BUG ID")</f>
        <v>
</v>
      </c>
      <c r="C101" s="39" t="str">
        <f>IFERROR(VLOOKUP(A101,Internal_lists_bugs!$A$2:$G847,7,FALSE()),"please select a BUG ID")</f>
        <v>https://opendev.org/openstack/nova/commit/b826fba1cd61f7ddbee091c220eaef7ea5317c1b</v>
      </c>
      <c r="D101" s="39" t="str">
        <f>IFERROR(VLOOKUP(A101,Internal_lists_bugs!$A$2:$I847,9,FALSE()),"please select a BUG ID")</f>
        <v>https://review.opendev.org/c/openstack/nova/+/113772</v>
      </c>
      <c r="E101" s="108" t="s">
        <v>456</v>
      </c>
      <c r="F101" s="108" t="s">
        <v>454</v>
      </c>
      <c r="G101" s="108" t="s">
        <v>135</v>
      </c>
      <c r="H101" s="108" t="s">
        <v>458</v>
      </c>
      <c r="J101" s="109">
        <v>113772.0</v>
      </c>
      <c r="K101" s="109">
        <v>114427.0</v>
      </c>
    </row>
    <row r="102">
      <c r="A102" s="108" t="s">
        <v>41</v>
      </c>
      <c r="B102" s="38" t="str">
        <f>IFERROR(HYPERLINK(VLOOKUP(A102,Internal_lists_bugs!$A$2:$C$73,3,FALSE()), VLOOKUP(A102,Internal_lists_bugs!$A$2:$C$73,3,FALSE())&amp;Char(10) &amp; Char(10) &amp; VLOOKUP(A102,Internal_lists_bugs!$A$2:$Z$73,26,FALSE())),"please select a BUG ID")</f>
        <v>
</v>
      </c>
      <c r="C102" s="39" t="str">
        <f>IFERROR(VLOOKUP(A102,Internal_lists_bugs!$A$2:$G847,7,FALSE()),"please select a BUG ID")</f>
        <v>https://opendev.org/openstack/nova/commit/b826fba1cd61f7ddbee091c220eaef7ea5317c1b</v>
      </c>
      <c r="D102" s="39" t="str">
        <f>IFERROR(VLOOKUP(A102,Internal_lists_bugs!$A$2:$I847,9,FALSE()),"please select a BUG ID")</f>
        <v>https://review.opendev.org/c/openstack/nova/+/113772</v>
      </c>
      <c r="E102" s="108" t="s">
        <v>457</v>
      </c>
      <c r="F102" s="108" t="s">
        <v>297</v>
      </c>
      <c r="G102" s="108" t="s">
        <v>297</v>
      </c>
      <c r="H102" s="108" t="s">
        <v>458</v>
      </c>
      <c r="J102" s="109">
        <v>113772.0</v>
      </c>
      <c r="K102" s="109">
        <v>114427.0</v>
      </c>
    </row>
    <row r="103">
      <c r="A103" s="108" t="s">
        <v>34</v>
      </c>
      <c r="B103" s="38" t="str">
        <f>IFERROR(HYPERLINK(VLOOKUP(A103,Internal_lists_bugs!$A$2:$C$73,3,FALSE()), VLOOKUP(A103,Internal_lists_bugs!$A$2:$C$73,3,FALSE())&amp;Char(10) &amp; Char(10) &amp; VLOOKUP(A103,Internal_lists_bugs!$A$2:$Z$73,26,FALSE())),"please select a BUG ID")</f>
        <v>
</v>
      </c>
      <c r="C103" s="39" t="str">
        <f>IFERROR(VLOOKUP(A103,Internal_lists_bugs!$A$2:$G847,7,FALSE()),"please select a BUG ID")</f>
        <v>https://opendev.org/openstack/nova/commit/05120edf92627ff7ad20a928f8b94568031556c9</v>
      </c>
      <c r="D103" s="39" t="str">
        <f>IFERROR(VLOOKUP(A103,Internal_lists_bugs!$A$2:$I847,9,FALSE()),"please select a BUG ID")</f>
        <v>https://review.opendev.org/c/openstack/nova/+/175551</v>
      </c>
      <c r="E103" s="108" t="s">
        <v>453</v>
      </c>
      <c r="F103" s="108" t="s">
        <v>454</v>
      </c>
      <c r="G103" s="108" t="s">
        <v>297</v>
      </c>
      <c r="H103" s="108" t="s">
        <v>297</v>
      </c>
      <c r="J103" s="109">
        <v>175551.0</v>
      </c>
      <c r="K103" s="111"/>
    </row>
    <row r="104">
      <c r="A104" s="108" t="s">
        <v>34</v>
      </c>
      <c r="B104" s="38" t="str">
        <f>IFERROR(HYPERLINK(VLOOKUP(A104,Internal_lists_bugs!$A$2:$C$73,3,FALSE()), VLOOKUP(A104,Internal_lists_bugs!$A$2:$C$73,3,FALSE())&amp;Char(10) &amp; Char(10) &amp; VLOOKUP(A104,Internal_lists_bugs!$A$2:$Z$73,26,FALSE())),"please select a BUG ID")</f>
        <v>
</v>
      </c>
      <c r="C104" s="39" t="str">
        <f>IFERROR(VLOOKUP(A104,Internal_lists_bugs!$A$2:$G847,7,FALSE()),"please select a BUG ID")</f>
        <v>https://opendev.org/openstack/nova/commit/05120edf92627ff7ad20a928f8b94568031556c9</v>
      </c>
      <c r="D104" s="39" t="str">
        <f>IFERROR(VLOOKUP(A104,Internal_lists_bugs!$A$2:$I847,9,FALSE()),"please select a BUG ID")</f>
        <v>https://review.opendev.org/c/openstack/nova/+/175551</v>
      </c>
      <c r="E104" s="108" t="s">
        <v>455</v>
      </c>
      <c r="F104" s="108" t="s">
        <v>454</v>
      </c>
      <c r="G104" s="108" t="s">
        <v>297</v>
      </c>
      <c r="H104" s="108" t="s">
        <v>297</v>
      </c>
      <c r="J104" s="109">
        <v>175551.0</v>
      </c>
      <c r="K104" s="111"/>
    </row>
    <row r="105">
      <c r="A105" s="108" t="s">
        <v>34</v>
      </c>
      <c r="B105" s="38" t="str">
        <f>IFERROR(HYPERLINK(VLOOKUP(A105,Internal_lists_bugs!$A$2:$C$73,3,FALSE()), VLOOKUP(A105,Internal_lists_bugs!$A$2:$C$73,3,FALSE())&amp;Char(10) &amp; Char(10) &amp; VLOOKUP(A105,Internal_lists_bugs!$A$2:$Z$73,26,FALSE())),"please select a BUG ID")</f>
        <v>
</v>
      </c>
      <c r="C105" s="39" t="str">
        <f>IFERROR(VLOOKUP(A105,Internal_lists_bugs!$A$2:$G847,7,FALSE()),"please select a BUG ID")</f>
        <v>https://opendev.org/openstack/nova/commit/05120edf92627ff7ad20a928f8b94568031556c9</v>
      </c>
      <c r="D105" s="39" t="str">
        <f>IFERROR(VLOOKUP(A105,Internal_lists_bugs!$A$2:$I847,9,FALSE()),"please select a BUG ID")</f>
        <v>https://review.opendev.org/c/openstack/nova/+/175551</v>
      </c>
      <c r="E105" s="108" t="s">
        <v>460</v>
      </c>
      <c r="F105" s="108" t="s">
        <v>454</v>
      </c>
      <c r="G105" s="108" t="s">
        <v>297</v>
      </c>
      <c r="H105" s="108" t="s">
        <v>297</v>
      </c>
      <c r="J105" s="109">
        <v>175551.0</v>
      </c>
      <c r="K105" s="111"/>
    </row>
    <row r="106">
      <c r="A106" s="108" t="s">
        <v>34</v>
      </c>
      <c r="B106" s="38" t="str">
        <f>IFERROR(HYPERLINK(VLOOKUP(A106,Internal_lists_bugs!$A$2:$C$73,3,FALSE()), VLOOKUP(A106,Internal_lists_bugs!$A$2:$C$73,3,FALSE())&amp;Char(10) &amp; Char(10) &amp; VLOOKUP(A106,Internal_lists_bugs!$A$2:$Z$73,26,FALSE())),"please select a BUG ID")</f>
        <v>
</v>
      </c>
      <c r="C106" s="39" t="str">
        <f>IFERROR(VLOOKUP(A106,Internal_lists_bugs!$A$2:$G847,7,FALSE()),"please select a BUG ID")</f>
        <v>https://opendev.org/openstack/nova/commit/05120edf92627ff7ad20a928f8b94568031556c9</v>
      </c>
      <c r="D106" s="39" t="str">
        <f>IFERROR(VLOOKUP(A106,Internal_lists_bugs!$A$2:$I847,9,FALSE()),"please select a BUG ID")</f>
        <v>https://review.opendev.org/c/openstack/nova/+/175551</v>
      </c>
      <c r="E106" s="108" t="s">
        <v>457</v>
      </c>
      <c r="F106" s="108" t="s">
        <v>454</v>
      </c>
      <c r="G106" s="108" t="s">
        <v>297</v>
      </c>
      <c r="H106" s="108" t="s">
        <v>297</v>
      </c>
      <c r="J106" s="109">
        <v>175551.0</v>
      </c>
      <c r="K106" s="111"/>
    </row>
    <row r="107">
      <c r="A107" s="108" t="s">
        <v>58</v>
      </c>
      <c r="B107" s="38" t="str">
        <f>IFERROR(HYPERLINK(VLOOKUP(A107,Internal_lists_bugs!$A$2:$C$73,3,FALSE()), VLOOKUP(A107,Internal_lists_bugs!$A$2:$C$73,3,FALSE())&amp;Char(10) &amp; Char(10) &amp; VLOOKUP(A107,Internal_lists_bugs!$A$2:$Z$73,26,FALSE())),"please select a BUG ID")</f>
        <v>
</v>
      </c>
      <c r="C107" s="39" t="str">
        <f>IFERROR(VLOOKUP(A107,Internal_lists_bugs!$A$2:$G847,7,FALSE()),"please select a BUG ID")</f>
        <v>https://opendev.org/openstack/nova/commit/1d551dc96658ade41c8e9fabc6d9b41a28d5ed15</v>
      </c>
      <c r="D107" s="39" t="str">
        <f>IFERROR(VLOOKUP(A107,Internal_lists_bugs!$A$2:$I847,9,FALSE()),"please select a BUG ID")</f>
        <v>https://review.opendev.org/c/openstack/nova/+/63612</v>
      </c>
      <c r="E107" s="108" t="s">
        <v>453</v>
      </c>
      <c r="F107" s="108" t="s">
        <v>454</v>
      </c>
      <c r="G107" s="108" t="s">
        <v>297</v>
      </c>
      <c r="H107" s="108" t="s">
        <v>297</v>
      </c>
      <c r="J107" s="109">
        <v>63612.0</v>
      </c>
      <c r="K107" s="111"/>
    </row>
    <row r="108">
      <c r="A108" s="108" t="s">
        <v>58</v>
      </c>
      <c r="B108" s="38" t="str">
        <f>IFERROR(HYPERLINK(VLOOKUP(A108,Internal_lists_bugs!$A$2:$C$73,3,FALSE()), VLOOKUP(A108,Internal_lists_bugs!$A$2:$C$73,3,FALSE())&amp;Char(10) &amp; Char(10) &amp; VLOOKUP(A108,Internal_lists_bugs!$A$2:$Z$73,26,FALSE())),"please select a BUG ID")</f>
        <v>
</v>
      </c>
      <c r="C108" s="39" t="str">
        <f>IFERROR(VLOOKUP(A108,Internal_lists_bugs!$A$2:$G847,7,FALSE()),"please select a BUG ID")</f>
        <v>https://opendev.org/openstack/nova/commit/1d551dc96658ade41c8e9fabc6d9b41a28d5ed15</v>
      </c>
      <c r="D108" s="39" t="str">
        <f>IFERROR(VLOOKUP(A108,Internal_lists_bugs!$A$2:$I847,9,FALSE()),"please select a BUG ID")</f>
        <v>https://review.opendev.org/c/openstack/nova/+/63612</v>
      </c>
      <c r="E108" s="108" t="s">
        <v>455</v>
      </c>
      <c r="F108" s="108" t="s">
        <v>454</v>
      </c>
      <c r="G108" s="108" t="s">
        <v>297</v>
      </c>
      <c r="H108" s="108" t="s">
        <v>297</v>
      </c>
      <c r="J108" s="109">
        <v>63612.0</v>
      </c>
      <c r="K108" s="111"/>
    </row>
    <row r="109">
      <c r="A109" s="108" t="s">
        <v>58</v>
      </c>
      <c r="B109" s="38" t="str">
        <f>IFERROR(HYPERLINK(VLOOKUP(A109,Internal_lists_bugs!$A$2:$C$73,3,FALSE()), VLOOKUP(A109,Internal_lists_bugs!$A$2:$C$73,3,FALSE())&amp;Char(10) &amp; Char(10) &amp; VLOOKUP(A109,Internal_lists_bugs!$A$2:$Z$73,26,FALSE())),"please select a BUG ID")</f>
        <v>
</v>
      </c>
      <c r="C109" s="39" t="str">
        <f>IFERROR(VLOOKUP(A109,Internal_lists_bugs!$A$2:$G847,7,FALSE()),"please select a BUG ID")</f>
        <v>https://opendev.org/openstack/nova/commit/1d551dc96658ade41c8e9fabc6d9b41a28d5ed15</v>
      </c>
      <c r="D109" s="39" t="str">
        <f>IFERROR(VLOOKUP(A109,Internal_lists_bugs!$A$2:$I847,9,FALSE()),"please select a BUG ID")</f>
        <v>https://review.opendev.org/c/openstack/nova/+/63612</v>
      </c>
      <c r="E109" s="108" t="s">
        <v>456</v>
      </c>
      <c r="F109" s="108" t="s">
        <v>454</v>
      </c>
      <c r="G109" s="108" t="s">
        <v>297</v>
      </c>
      <c r="H109" s="108" t="s">
        <v>297</v>
      </c>
      <c r="J109" s="109">
        <v>63612.0</v>
      </c>
      <c r="K109" s="111"/>
    </row>
    <row r="110">
      <c r="A110" s="108" t="s">
        <v>58</v>
      </c>
      <c r="B110" s="38" t="str">
        <f>IFERROR(HYPERLINK(VLOOKUP(A110,Internal_lists_bugs!$A$2:$C$73,3,FALSE()), VLOOKUP(A110,Internal_lists_bugs!$A$2:$C$73,3,FALSE())&amp;Char(10) &amp; Char(10) &amp; VLOOKUP(A110,Internal_lists_bugs!$A$2:$Z$73,26,FALSE())),"please select a BUG ID")</f>
        <v>
</v>
      </c>
      <c r="C110" s="39" t="str">
        <f>IFERROR(VLOOKUP(A110,Internal_lists_bugs!$A$2:$G847,7,FALSE()),"please select a BUG ID")</f>
        <v>https://opendev.org/openstack/nova/commit/1d551dc96658ade41c8e9fabc6d9b41a28d5ed15</v>
      </c>
      <c r="D110" s="39" t="str">
        <f>IFERROR(VLOOKUP(A110,Internal_lists_bugs!$A$2:$I847,9,FALSE()),"please select a BUG ID")</f>
        <v>https://review.opendev.org/c/openstack/nova/+/63612</v>
      </c>
      <c r="E110" s="108" t="s">
        <v>457</v>
      </c>
      <c r="F110" s="108" t="s">
        <v>458</v>
      </c>
      <c r="G110" s="108" t="s">
        <v>297</v>
      </c>
      <c r="H110" s="108" t="s">
        <v>297</v>
      </c>
      <c r="J110" s="109">
        <v>63612.0</v>
      </c>
      <c r="K110" s="111"/>
    </row>
    <row r="111">
      <c r="A111" s="108" t="s">
        <v>62</v>
      </c>
      <c r="B111" s="38" t="str">
        <f>IFERROR(HYPERLINK(VLOOKUP(A111,Internal_lists_bugs!$A$2:$C$73,3,FALSE()), VLOOKUP(A111,Internal_lists_bugs!$A$2:$C$73,3,FALSE())&amp;Char(10) &amp; Char(10) &amp; VLOOKUP(A111,Internal_lists_bugs!$A$2:$Z$73,26,FALSE())),"please select a BUG ID")</f>
        <v>
</v>
      </c>
      <c r="C111" s="39" t="str">
        <f>IFERROR(VLOOKUP(A111,Internal_lists_bugs!$A$2:$G847,7,FALSE()),"please select a BUG ID")</f>
        <v>https://opendev.org/openstack/nova/commit/ac658aa7d0671fb9b5a0a2c504f4b73dff514da9</v>
      </c>
      <c r="D111" s="39" t="str">
        <f>IFERROR(VLOOKUP(A111,Internal_lists_bugs!$A$2:$I847,9,FALSE()),"please select a BUG ID")</f>
        <v>https://review.opendev.org/c/openstack/nova/+/17839</v>
      </c>
      <c r="E111" s="108" t="s">
        <v>453</v>
      </c>
      <c r="F111" s="108" t="s">
        <v>454</v>
      </c>
      <c r="G111" s="108" t="s">
        <v>121</v>
      </c>
      <c r="H111" s="108" t="s">
        <v>454</v>
      </c>
      <c r="J111" s="109">
        <v>17839.0</v>
      </c>
      <c r="K111" s="109">
        <v>17838.0</v>
      </c>
    </row>
    <row r="112">
      <c r="A112" s="108" t="s">
        <v>62</v>
      </c>
      <c r="B112" s="38" t="str">
        <f>IFERROR(HYPERLINK(VLOOKUP(A112,Internal_lists_bugs!$A$2:$C$73,3,FALSE()), VLOOKUP(A112,Internal_lists_bugs!$A$2:$C$73,3,FALSE())&amp;Char(10) &amp; Char(10) &amp; VLOOKUP(A112,Internal_lists_bugs!$A$2:$Z$73,26,FALSE())),"please select a BUG ID")</f>
        <v>
</v>
      </c>
      <c r="C112" s="39" t="str">
        <f>IFERROR(VLOOKUP(A112,Internal_lists_bugs!$A$2:$G847,7,FALSE()),"please select a BUG ID")</f>
        <v>https://opendev.org/openstack/nova/commit/ac658aa7d0671fb9b5a0a2c504f4b73dff514da9</v>
      </c>
      <c r="D112" s="39" t="str">
        <f>IFERROR(VLOOKUP(A112,Internal_lists_bugs!$A$2:$I847,9,FALSE()),"please select a BUG ID")</f>
        <v>https://review.opendev.org/c/openstack/nova/+/17839</v>
      </c>
      <c r="E112" s="108" t="s">
        <v>459</v>
      </c>
      <c r="F112" s="108" t="s">
        <v>454</v>
      </c>
      <c r="G112" s="108" t="s">
        <v>121</v>
      </c>
      <c r="H112" s="108" t="s">
        <v>454</v>
      </c>
      <c r="J112" s="109">
        <v>17839.0</v>
      </c>
      <c r="K112" s="109">
        <v>17838.0</v>
      </c>
    </row>
    <row r="113">
      <c r="A113" s="43"/>
      <c r="B113" s="38" t="str">
        <f>IFERROR(HYPERLINK(VLOOKUP(A113,Internal_lists_bugs!$A$2:$C$73,3,FALSE()), VLOOKUP(A113,Internal_lists_bugs!$A$2:$C$73,3,FALSE())&amp;Char(10) &amp; Char(10) &amp; VLOOKUP(A113,Internal_lists_bugs!$A$2:$Z$73,26,FALSE())),"please select a BUG ID")</f>
        <v>please select a BUG ID</v>
      </c>
      <c r="C113" s="51" t="str">
        <f>IFERROR(VLOOKUP(A113,Internal_lists_bugs!$A$2:$G847,7,FALSE()),"please select a BUG ID")</f>
        <v>please select a BUG ID</v>
      </c>
      <c r="D113" s="51" t="str">
        <f>IFERROR(VLOOKUP(A113,Internal_lists_bugs!$A$2:$I847,9,FALSE()),"please select a BUG ID")</f>
        <v>please select a BUG ID</v>
      </c>
      <c r="E113" s="52"/>
      <c r="F113" s="52"/>
      <c r="G113" s="43"/>
      <c r="H113" s="52"/>
      <c r="J113" s="52"/>
      <c r="K113" s="52"/>
    </row>
    <row r="114">
      <c r="A114" s="43"/>
      <c r="B114" s="38" t="str">
        <f>IFERROR(HYPERLINK(VLOOKUP(A114,Internal_lists_bugs!$A$2:$C$73,3,FALSE()), VLOOKUP(A114,Internal_lists_bugs!$A$2:$C$73,3,FALSE())&amp;Char(10) &amp; Char(10) &amp; VLOOKUP(A114,Internal_lists_bugs!$A$2:$Z$73,26,FALSE())),"please select a BUG ID")</f>
        <v>please select a BUG ID</v>
      </c>
      <c r="C114" s="51" t="str">
        <f>IFERROR(VLOOKUP(A114,Internal_lists_bugs!$A$2:$G847,7,FALSE()),"please select a BUG ID")</f>
        <v>please select a BUG ID</v>
      </c>
      <c r="D114" s="51" t="str">
        <f>IFERROR(VLOOKUP(A114,Internal_lists_bugs!$A$2:$I847,9,FALSE()),"please select a BUG ID")</f>
        <v>please select a BUG ID</v>
      </c>
      <c r="E114" s="52"/>
      <c r="F114" s="52"/>
      <c r="G114" s="43"/>
      <c r="H114" s="52"/>
      <c r="J114" s="52"/>
      <c r="K114" s="52"/>
    </row>
    <row r="115">
      <c r="A115" s="43"/>
      <c r="B115" s="38" t="str">
        <f>IFERROR(HYPERLINK(VLOOKUP(A115,Internal_lists_bugs!$A$2:$C$73,3,FALSE()), VLOOKUP(A115,Internal_lists_bugs!$A$2:$C$73,3,FALSE())&amp;Char(10) &amp; Char(10) &amp; VLOOKUP(A115,Internal_lists_bugs!$A$2:$Z$73,26,FALSE())),"please select a BUG ID")</f>
        <v>please select a BUG ID</v>
      </c>
      <c r="C115" s="51" t="str">
        <f>IFERROR(VLOOKUP(A115,Internal_lists_bugs!$A$2:$G847,7,FALSE()),"please select a BUG ID")</f>
        <v>please select a BUG ID</v>
      </c>
      <c r="D115" s="51" t="str">
        <f>IFERROR(VLOOKUP(A115,Internal_lists_bugs!$A$2:$I847,9,FALSE()),"please select a BUG ID")</f>
        <v>please select a BUG ID</v>
      </c>
      <c r="E115" s="52"/>
      <c r="F115" s="52"/>
      <c r="G115" s="43"/>
      <c r="H115" s="52"/>
      <c r="J115" s="52"/>
      <c r="K115" s="52"/>
    </row>
    <row r="116">
      <c r="A116" s="43"/>
      <c r="B116" s="38" t="str">
        <f>IFERROR(HYPERLINK(VLOOKUP(A116,Internal_lists_bugs!$A$2:$C$73,3,FALSE()), VLOOKUP(A116,Internal_lists_bugs!$A$2:$C$73,3,FALSE())&amp;Char(10) &amp; Char(10) &amp; VLOOKUP(A116,Internal_lists_bugs!$A$2:$Z$73,26,FALSE())),"please select a BUG ID")</f>
        <v>please select a BUG ID</v>
      </c>
      <c r="C116" s="51" t="str">
        <f>IFERROR(VLOOKUP(A116,Internal_lists_bugs!$A$2:$G847,7,FALSE()),"please select a BUG ID")</f>
        <v>please select a BUG ID</v>
      </c>
      <c r="D116" s="51" t="str">
        <f>IFERROR(VLOOKUP(A116,Internal_lists_bugs!$A$2:$I847,9,FALSE()),"please select a BUG ID")</f>
        <v>please select a BUG ID</v>
      </c>
      <c r="E116" s="52"/>
      <c r="F116" s="52"/>
      <c r="G116" s="43"/>
      <c r="H116" s="52"/>
      <c r="J116" s="52"/>
      <c r="K116" s="52"/>
    </row>
    <row r="117">
      <c r="A117" s="43"/>
      <c r="B117" s="38" t="str">
        <f>IFERROR(HYPERLINK(VLOOKUP(A117,Internal_lists_bugs!$A$2:$C$73,3,FALSE()), VLOOKUP(A117,Internal_lists_bugs!$A$2:$C$73,3,FALSE())&amp;Char(10) &amp; Char(10) &amp; VLOOKUP(A117,Internal_lists_bugs!$A$2:$Z$73,26,FALSE())),"please select a BUG ID")</f>
        <v>please select a BUG ID</v>
      </c>
      <c r="C117" s="51" t="str">
        <f>IFERROR(VLOOKUP(A117,Internal_lists_bugs!$A$2:$G847,7,FALSE()),"please select a BUG ID")</f>
        <v>please select a BUG ID</v>
      </c>
      <c r="D117" s="51" t="str">
        <f>IFERROR(VLOOKUP(A117,Internal_lists_bugs!$A$2:$I847,9,FALSE()),"please select a BUG ID")</f>
        <v>please select a BUG ID</v>
      </c>
      <c r="E117" s="52"/>
      <c r="F117" s="52"/>
      <c r="G117" s="43"/>
      <c r="H117" s="52"/>
      <c r="J117" s="52"/>
      <c r="K117" s="52"/>
    </row>
    <row r="118">
      <c r="A118" s="43"/>
      <c r="B118" s="38" t="str">
        <f>IFERROR(HYPERLINK(VLOOKUP(A118,Internal_lists_bugs!$A$2:$C$73,3,FALSE()), VLOOKUP(A118,Internal_lists_bugs!$A$2:$C$73,3,FALSE())&amp;Char(10) &amp; Char(10) &amp; VLOOKUP(A118,Internal_lists_bugs!$A$2:$Z$73,26,FALSE())),"please select a BUG ID")</f>
        <v>please select a BUG ID</v>
      </c>
      <c r="C118" s="51" t="str">
        <f>IFERROR(VLOOKUP(A118,Internal_lists_bugs!$A$2:$G847,7,FALSE()),"please select a BUG ID")</f>
        <v>please select a BUG ID</v>
      </c>
      <c r="D118" s="51" t="str">
        <f>IFERROR(VLOOKUP(A118,Internal_lists_bugs!$A$2:$I847,9,FALSE()),"please select a BUG ID")</f>
        <v>please select a BUG ID</v>
      </c>
      <c r="E118" s="52"/>
      <c r="F118" s="52"/>
      <c r="G118" s="43"/>
      <c r="H118" s="52"/>
      <c r="J118" s="52"/>
      <c r="K118" s="52"/>
    </row>
    <row r="119">
      <c r="A119" s="43"/>
      <c r="B119" s="38" t="str">
        <f>IFERROR(HYPERLINK(VLOOKUP(A119,Internal_lists_bugs!$A$2:$C$73,3,FALSE()), VLOOKUP(A119,Internal_lists_bugs!$A$2:$C$73,3,FALSE())&amp;Char(10) &amp; Char(10) &amp; VLOOKUP(A119,Internal_lists_bugs!$A$2:$Z$73,26,FALSE())),"please select a BUG ID")</f>
        <v>please select a BUG ID</v>
      </c>
      <c r="C119" s="51" t="str">
        <f>IFERROR(VLOOKUP(A119,Internal_lists_bugs!$A$2:$G847,7,FALSE()),"please select a BUG ID")</f>
        <v>please select a BUG ID</v>
      </c>
      <c r="D119" s="51" t="str">
        <f>IFERROR(VLOOKUP(A119,Internal_lists_bugs!$A$2:$I847,9,FALSE()),"please select a BUG ID")</f>
        <v>please select a BUG ID</v>
      </c>
      <c r="E119" s="52"/>
      <c r="F119" s="52"/>
      <c r="G119" s="43"/>
      <c r="H119" s="52"/>
      <c r="J119" s="52"/>
      <c r="K119" s="52"/>
    </row>
    <row r="120">
      <c r="A120" s="43"/>
      <c r="B120" s="38" t="str">
        <f>IFERROR(HYPERLINK(VLOOKUP(A120,Internal_lists_bugs!$A$2:$C$73,3,FALSE()), VLOOKUP(A120,Internal_lists_bugs!$A$2:$C$73,3,FALSE())&amp;Char(10) &amp; Char(10) &amp; VLOOKUP(A120,Internal_lists_bugs!$A$2:$Z$73,26,FALSE())),"please select a BUG ID")</f>
        <v>please select a BUG ID</v>
      </c>
      <c r="C120" s="51" t="str">
        <f>IFERROR(VLOOKUP(A120,Internal_lists_bugs!$A$2:$G847,7,FALSE()),"please select a BUG ID")</f>
        <v>please select a BUG ID</v>
      </c>
      <c r="D120" s="51" t="str">
        <f>IFERROR(VLOOKUP(A120,Internal_lists_bugs!$A$2:$I847,9,FALSE()),"please select a BUG ID")</f>
        <v>please select a BUG ID</v>
      </c>
      <c r="E120" s="52"/>
      <c r="F120" s="52"/>
      <c r="G120" s="43"/>
      <c r="H120" s="52"/>
      <c r="J120" s="52"/>
      <c r="K120" s="52"/>
    </row>
    <row r="121">
      <c r="A121" s="43"/>
      <c r="B121" s="38" t="str">
        <f>IFERROR(HYPERLINK(VLOOKUP(A121,Internal_lists_bugs!$A$2:$C$73,3,FALSE()), VLOOKUP(A121,Internal_lists_bugs!$A$2:$C$73,3,FALSE())&amp;Char(10) &amp; Char(10) &amp; VLOOKUP(A121,Internal_lists_bugs!$A$2:$Z$73,26,FALSE())),"please select a BUG ID")</f>
        <v>please select a BUG ID</v>
      </c>
      <c r="C121" s="51" t="str">
        <f>IFERROR(VLOOKUP(A121,Internal_lists_bugs!$A$2:$G847,7,FALSE()),"please select a BUG ID")</f>
        <v>please select a BUG ID</v>
      </c>
      <c r="D121" s="51" t="str">
        <f>IFERROR(VLOOKUP(A121,Internal_lists_bugs!$A$2:$I847,9,FALSE()),"please select a BUG ID")</f>
        <v>please select a BUG ID</v>
      </c>
      <c r="E121" s="52"/>
      <c r="F121" s="52"/>
      <c r="G121" s="43"/>
      <c r="H121" s="52"/>
      <c r="J121" s="52"/>
      <c r="K121" s="52"/>
    </row>
    <row r="122">
      <c r="A122" s="43"/>
      <c r="B122" s="38" t="str">
        <f>IFERROR(HYPERLINK(VLOOKUP(A122,Internal_lists_bugs!$A$2:$C$73,3,FALSE()), VLOOKUP(A122,Internal_lists_bugs!$A$2:$C$73,3,FALSE())&amp;Char(10) &amp; Char(10) &amp; VLOOKUP(A122,Internal_lists_bugs!$A$2:$Z$73,26,FALSE())),"please select a BUG ID")</f>
        <v>please select a BUG ID</v>
      </c>
      <c r="C122" s="51" t="str">
        <f>IFERROR(VLOOKUP(A122,Internal_lists_bugs!$A$2:$G847,7,FALSE()),"please select a BUG ID")</f>
        <v>please select a BUG ID</v>
      </c>
      <c r="D122" s="51" t="str">
        <f>IFERROR(VLOOKUP(A122,Internal_lists_bugs!$A$2:$I847,9,FALSE()),"please select a BUG ID")</f>
        <v>please select a BUG ID</v>
      </c>
      <c r="E122" s="52"/>
      <c r="F122" s="52"/>
      <c r="G122" s="43"/>
      <c r="H122" s="52"/>
      <c r="J122" s="52"/>
      <c r="K122" s="52"/>
    </row>
    <row r="123">
      <c r="A123" s="43"/>
      <c r="B123" s="38" t="str">
        <f>IFERROR(HYPERLINK(VLOOKUP(A123,Internal_lists_bugs!$A$2:$C$73,3,FALSE()), VLOOKUP(A123,Internal_lists_bugs!$A$2:$C$73,3,FALSE())&amp;Char(10) &amp; Char(10) &amp; VLOOKUP(A123,Internal_lists_bugs!$A$2:$Z$73,26,FALSE())),"please select a BUG ID")</f>
        <v>please select a BUG ID</v>
      </c>
      <c r="C123" s="51" t="str">
        <f>IFERROR(VLOOKUP(A123,Internal_lists_bugs!$A$2:$G847,7,FALSE()),"please select a BUG ID")</f>
        <v>please select a BUG ID</v>
      </c>
      <c r="D123" s="51" t="str">
        <f>IFERROR(VLOOKUP(A123,Internal_lists_bugs!$A$2:$I847,9,FALSE()),"please select a BUG ID")</f>
        <v>please select a BUG ID</v>
      </c>
      <c r="E123" s="52"/>
      <c r="F123" s="52"/>
      <c r="G123" s="43"/>
      <c r="H123" s="52"/>
      <c r="J123" s="52"/>
      <c r="K123" s="52"/>
    </row>
    <row r="124">
      <c r="A124" s="43"/>
      <c r="B124" s="38" t="str">
        <f>IFERROR(HYPERLINK(VLOOKUP(A124,Internal_lists_bugs!$A$2:$C$73,3,FALSE()), VLOOKUP(A124,Internal_lists_bugs!$A$2:$C$73,3,FALSE())&amp;Char(10) &amp; Char(10) &amp; VLOOKUP(A124,Internal_lists_bugs!$A$2:$Z$73,26,FALSE())),"please select a BUG ID")</f>
        <v>please select a BUG ID</v>
      </c>
      <c r="C124" s="51" t="str">
        <f>IFERROR(VLOOKUP(A124,Internal_lists_bugs!$A$2:$G847,7,FALSE()),"please select a BUG ID")</f>
        <v>please select a BUG ID</v>
      </c>
      <c r="D124" s="51" t="str">
        <f>IFERROR(VLOOKUP(A124,Internal_lists_bugs!$A$2:$I847,9,FALSE()),"please select a BUG ID")</f>
        <v>please select a BUG ID</v>
      </c>
      <c r="E124" s="52"/>
      <c r="F124" s="52"/>
      <c r="G124" s="43"/>
      <c r="H124" s="52"/>
      <c r="J124" s="52"/>
      <c r="K124" s="52"/>
    </row>
    <row r="125">
      <c r="A125" s="43"/>
      <c r="B125" s="38" t="str">
        <f>IFERROR(HYPERLINK(VLOOKUP(A125,Internal_lists_bugs!$A$2:$C$73,3,FALSE()), VLOOKUP(A125,Internal_lists_bugs!$A$2:$C$73,3,FALSE())&amp;Char(10) &amp; Char(10) &amp; VLOOKUP(A125,Internal_lists_bugs!$A$2:$Z$73,26,FALSE())),"please select a BUG ID")</f>
        <v>please select a BUG ID</v>
      </c>
      <c r="C125" s="51" t="str">
        <f>IFERROR(VLOOKUP(A125,Internal_lists_bugs!$A$2:$G847,7,FALSE()),"please select a BUG ID")</f>
        <v>please select a BUG ID</v>
      </c>
      <c r="D125" s="51" t="str">
        <f>IFERROR(VLOOKUP(A125,Internal_lists_bugs!$A$2:$I847,9,FALSE()),"please select a BUG ID")</f>
        <v>please select a BUG ID</v>
      </c>
      <c r="E125" s="52"/>
      <c r="F125" s="52"/>
      <c r="G125" s="43"/>
      <c r="H125" s="52"/>
      <c r="J125" s="52"/>
      <c r="K125" s="52"/>
    </row>
    <row r="126">
      <c r="A126" s="43"/>
      <c r="B126" s="38" t="str">
        <f>IFERROR(HYPERLINK(VLOOKUP(A126,Internal_lists_bugs!$A$2:$C$73,3,FALSE()), VLOOKUP(A126,Internal_lists_bugs!$A$2:$C$73,3,FALSE())&amp;Char(10) &amp; Char(10) &amp; VLOOKUP(A126,Internal_lists_bugs!$A$2:$Z$73,26,FALSE())),"please select a BUG ID")</f>
        <v>please select a BUG ID</v>
      </c>
      <c r="C126" s="51" t="str">
        <f>IFERROR(VLOOKUP(A126,Internal_lists_bugs!$A$2:$G847,7,FALSE()),"please select a BUG ID")</f>
        <v>please select a BUG ID</v>
      </c>
      <c r="D126" s="51" t="str">
        <f>IFERROR(VLOOKUP(A126,Internal_lists_bugs!$A$2:$I847,9,FALSE()),"please select a BUG ID")</f>
        <v>please select a BUG ID</v>
      </c>
      <c r="E126" s="52"/>
      <c r="F126" s="52"/>
      <c r="G126" s="43"/>
      <c r="H126" s="52"/>
      <c r="J126" s="52"/>
      <c r="K126" s="52"/>
    </row>
    <row r="127">
      <c r="A127" s="43"/>
      <c r="B127" s="38" t="str">
        <f>IFERROR(HYPERLINK(VLOOKUP(A127,Internal_lists_bugs!$A$2:$C$73,3,FALSE()), VLOOKUP(A127,Internal_lists_bugs!$A$2:$C$73,3,FALSE())&amp;Char(10) &amp; Char(10) &amp; VLOOKUP(A127,Internal_lists_bugs!$A$2:$Z$73,26,FALSE())),"please select a BUG ID")</f>
        <v>please select a BUG ID</v>
      </c>
      <c r="C127" s="51" t="str">
        <f>IFERROR(VLOOKUP(A127,Internal_lists_bugs!$A$2:$G847,7,FALSE()),"please select a BUG ID")</f>
        <v>please select a BUG ID</v>
      </c>
      <c r="D127" s="51" t="str">
        <f>IFERROR(VLOOKUP(A127,Internal_lists_bugs!$A$2:$I847,9,FALSE()),"please select a BUG ID")</f>
        <v>please select a BUG ID</v>
      </c>
      <c r="E127" s="52"/>
      <c r="F127" s="52"/>
      <c r="G127" s="43"/>
      <c r="H127" s="52"/>
      <c r="J127" s="52"/>
      <c r="K127" s="52"/>
    </row>
    <row r="128">
      <c r="A128" s="43"/>
      <c r="B128" s="38" t="str">
        <f>IFERROR(HYPERLINK(VLOOKUP(A128,Internal_lists_bugs!$A$2:$C$73,3,FALSE()), VLOOKUP(A128,Internal_lists_bugs!$A$2:$C$73,3,FALSE())&amp;Char(10) &amp; Char(10) &amp; VLOOKUP(A128,Internal_lists_bugs!$A$2:$Z$73,26,FALSE())),"please select a BUG ID")</f>
        <v>please select a BUG ID</v>
      </c>
      <c r="C128" s="51" t="str">
        <f>IFERROR(VLOOKUP(A128,Internal_lists_bugs!$A$2:$G847,7,FALSE()),"please select a BUG ID")</f>
        <v>please select a BUG ID</v>
      </c>
      <c r="D128" s="51" t="str">
        <f>IFERROR(VLOOKUP(A128,Internal_lists_bugs!$A$2:$I847,9,FALSE()),"please select a BUG ID")</f>
        <v>please select a BUG ID</v>
      </c>
      <c r="E128" s="52"/>
      <c r="F128" s="52"/>
      <c r="G128" s="43"/>
      <c r="H128" s="52"/>
      <c r="J128" s="52"/>
      <c r="K128" s="52"/>
    </row>
    <row r="129">
      <c r="A129" s="43"/>
      <c r="B129" s="38" t="str">
        <f>IFERROR(HYPERLINK(VLOOKUP(A129,Internal_lists_bugs!$A$2:$C$73,3,FALSE()), VLOOKUP(A129,Internal_lists_bugs!$A$2:$C$73,3,FALSE())&amp;Char(10) &amp; Char(10) &amp; VLOOKUP(A129,Internal_lists_bugs!$A$2:$Z$73,26,FALSE())),"please select a BUG ID")</f>
        <v>please select a BUG ID</v>
      </c>
      <c r="C129" s="51" t="str">
        <f>IFERROR(VLOOKUP(A129,Internal_lists_bugs!$A$2:$G847,7,FALSE()),"please select a BUG ID")</f>
        <v>please select a BUG ID</v>
      </c>
      <c r="D129" s="51" t="str">
        <f>IFERROR(VLOOKUP(A129,Internal_lists_bugs!$A$2:$I847,9,FALSE()),"please select a BUG ID")</f>
        <v>please select a BUG ID</v>
      </c>
      <c r="E129" s="52"/>
      <c r="F129" s="52"/>
      <c r="G129" s="43"/>
      <c r="H129" s="52"/>
      <c r="J129" s="52"/>
      <c r="K129" s="52"/>
    </row>
    <row r="130">
      <c r="A130" s="43"/>
      <c r="B130" s="38" t="str">
        <f>IFERROR(HYPERLINK(VLOOKUP(A130,Internal_lists_bugs!$A$2:$C$73,3,FALSE()), VLOOKUP(A130,Internal_lists_bugs!$A$2:$C$73,3,FALSE())&amp;Char(10) &amp; Char(10) &amp; VLOOKUP(A130,Internal_lists_bugs!$A$2:$Z$73,26,FALSE())),"please select a BUG ID")</f>
        <v>please select a BUG ID</v>
      </c>
      <c r="C130" s="51" t="str">
        <f>IFERROR(VLOOKUP(A130,Internal_lists_bugs!$A$2:$G847,7,FALSE()),"please select a BUG ID")</f>
        <v>please select a BUG ID</v>
      </c>
      <c r="D130" s="51" t="str">
        <f>IFERROR(VLOOKUP(A130,Internal_lists_bugs!$A$2:$I847,9,FALSE()),"please select a BUG ID")</f>
        <v>please select a BUG ID</v>
      </c>
      <c r="E130" s="52"/>
      <c r="F130" s="52"/>
      <c r="G130" s="43"/>
      <c r="H130" s="52"/>
      <c r="J130" s="52"/>
      <c r="K130" s="52"/>
    </row>
    <row r="131">
      <c r="A131" s="43"/>
      <c r="B131" s="38" t="str">
        <f>IFERROR(HYPERLINK(VLOOKUP(A131,Internal_lists_bugs!$A$2:$C$73,3,FALSE()), VLOOKUP(A131,Internal_lists_bugs!$A$2:$C$73,3,FALSE())&amp;Char(10) &amp; Char(10) &amp; VLOOKUP(A131,Internal_lists_bugs!$A$2:$Z$73,26,FALSE())),"please select a BUG ID")</f>
        <v>please select a BUG ID</v>
      </c>
      <c r="C131" s="51" t="str">
        <f>IFERROR(VLOOKUP(A131,Internal_lists_bugs!$A$2:$G847,7,FALSE()),"please select a BUG ID")</f>
        <v>please select a BUG ID</v>
      </c>
      <c r="D131" s="51" t="str">
        <f>IFERROR(VLOOKUP(A131,Internal_lists_bugs!$A$2:$I847,9,FALSE()),"please select a BUG ID")</f>
        <v>please select a BUG ID</v>
      </c>
      <c r="E131" s="52"/>
      <c r="F131" s="52"/>
      <c r="G131" s="43"/>
      <c r="H131" s="52"/>
      <c r="J131" s="52"/>
      <c r="K131" s="52"/>
    </row>
    <row r="132">
      <c r="A132" s="43"/>
      <c r="B132" s="38" t="str">
        <f>IFERROR(HYPERLINK(VLOOKUP(A132,Internal_lists_bugs!$A$2:$C$73,3,FALSE()), VLOOKUP(A132,Internal_lists_bugs!$A$2:$C$73,3,FALSE())&amp;Char(10) &amp; Char(10) &amp; VLOOKUP(A132,Internal_lists_bugs!$A$2:$Z$73,26,FALSE())),"please select a BUG ID")</f>
        <v>please select a BUG ID</v>
      </c>
      <c r="C132" s="51" t="str">
        <f>IFERROR(VLOOKUP(A132,Internal_lists_bugs!$A$2:$G847,7,FALSE()),"please select a BUG ID")</f>
        <v>please select a BUG ID</v>
      </c>
      <c r="D132" s="51" t="str">
        <f>IFERROR(VLOOKUP(A132,Internal_lists_bugs!$A$2:$I847,9,FALSE()),"please select a BUG ID")</f>
        <v>please select a BUG ID</v>
      </c>
      <c r="E132" s="52"/>
      <c r="F132" s="52"/>
      <c r="G132" s="43"/>
      <c r="H132" s="52"/>
      <c r="J132" s="52"/>
      <c r="K132" s="52"/>
    </row>
    <row r="133">
      <c r="A133" s="43"/>
      <c r="B133" s="38" t="str">
        <f>IFERROR(HYPERLINK(VLOOKUP(A133,Internal_lists_bugs!$A$2:$C$73,3,FALSE()), VLOOKUP(A133,Internal_lists_bugs!$A$2:$C$73,3,FALSE())&amp;Char(10) &amp; Char(10) &amp; VLOOKUP(A133,Internal_lists_bugs!$A$2:$Z$73,26,FALSE())),"please select a BUG ID")</f>
        <v>please select a BUG ID</v>
      </c>
      <c r="C133" s="51" t="str">
        <f>IFERROR(VLOOKUP(A133,Internal_lists_bugs!$A$2:$G847,7,FALSE()),"please select a BUG ID")</f>
        <v>please select a BUG ID</v>
      </c>
      <c r="D133" s="51" t="str">
        <f>IFERROR(VLOOKUP(A133,Internal_lists_bugs!$A$2:$I847,9,FALSE()),"please select a BUG ID")</f>
        <v>please select a BUG ID</v>
      </c>
      <c r="E133" s="52"/>
      <c r="F133" s="52"/>
      <c r="G133" s="43"/>
      <c r="H133" s="52"/>
      <c r="J133" s="52"/>
      <c r="K133" s="52"/>
    </row>
    <row r="134">
      <c r="A134" s="43"/>
      <c r="B134" s="38" t="str">
        <f>IFERROR(HYPERLINK(VLOOKUP(A134,Internal_lists_bugs!$A$2:$C$73,3,FALSE()), VLOOKUP(A134,Internal_lists_bugs!$A$2:$C$73,3,FALSE())&amp;Char(10) &amp; Char(10) &amp; VLOOKUP(A134,Internal_lists_bugs!$A$2:$Z$73,26,FALSE())),"please select a BUG ID")</f>
        <v>please select a BUG ID</v>
      </c>
      <c r="C134" s="51" t="str">
        <f>IFERROR(VLOOKUP(A134,Internal_lists_bugs!$A$2:$G847,7,FALSE()),"please select a BUG ID")</f>
        <v>please select a BUG ID</v>
      </c>
      <c r="D134" s="51" t="str">
        <f>IFERROR(VLOOKUP(A134,Internal_lists_bugs!$A$2:$I847,9,FALSE()),"please select a BUG ID")</f>
        <v>please select a BUG ID</v>
      </c>
      <c r="E134" s="52"/>
      <c r="F134" s="52"/>
      <c r="G134" s="43"/>
      <c r="H134" s="52"/>
      <c r="J134" s="52"/>
      <c r="K134" s="52"/>
    </row>
    <row r="135">
      <c r="A135" s="43"/>
      <c r="B135" s="38" t="str">
        <f>IFERROR(HYPERLINK(VLOOKUP(A135,Internal_lists_bugs!$A$2:$C$73,3,FALSE()), VLOOKUP(A135,Internal_lists_bugs!$A$2:$C$73,3,FALSE())&amp;Char(10) &amp; Char(10) &amp; VLOOKUP(A135,Internal_lists_bugs!$A$2:$Z$73,26,FALSE())),"please select a BUG ID")</f>
        <v>please select a BUG ID</v>
      </c>
      <c r="C135" s="51" t="str">
        <f>IFERROR(VLOOKUP(A135,Internal_lists_bugs!$A$2:$G847,7,FALSE()),"please select a BUG ID")</f>
        <v>please select a BUG ID</v>
      </c>
      <c r="D135" s="51" t="str">
        <f>IFERROR(VLOOKUP(A135,Internal_lists_bugs!$A$2:$I847,9,FALSE()),"please select a BUG ID")</f>
        <v>please select a BUG ID</v>
      </c>
      <c r="E135" s="52"/>
      <c r="F135" s="52"/>
      <c r="G135" s="43"/>
      <c r="H135" s="52"/>
      <c r="J135" s="52"/>
      <c r="K135" s="52"/>
    </row>
    <row r="136">
      <c r="A136" s="43"/>
      <c r="B136" s="38" t="str">
        <f>IFERROR(HYPERLINK(VLOOKUP(A136,Internal_lists_bugs!$A$2:$C$73,3,FALSE()), VLOOKUP(A136,Internal_lists_bugs!$A$2:$C$73,3,FALSE())&amp;Char(10) &amp; Char(10) &amp; VLOOKUP(A136,Internal_lists_bugs!$A$2:$Z$73,26,FALSE())),"please select a BUG ID")</f>
        <v>please select a BUG ID</v>
      </c>
      <c r="C136" s="51" t="str">
        <f>IFERROR(VLOOKUP(A136,Internal_lists_bugs!$A$2:$G847,7,FALSE()),"please select a BUG ID")</f>
        <v>please select a BUG ID</v>
      </c>
      <c r="D136" s="51" t="str">
        <f>IFERROR(VLOOKUP(A136,Internal_lists_bugs!$A$2:$I847,9,FALSE()),"please select a BUG ID")</f>
        <v>please select a BUG ID</v>
      </c>
      <c r="E136" s="52"/>
      <c r="F136" s="52"/>
      <c r="G136" s="43"/>
      <c r="H136" s="52"/>
      <c r="J136" s="52"/>
      <c r="K136" s="52"/>
    </row>
    <row r="137">
      <c r="A137" s="43"/>
      <c r="B137" s="38" t="str">
        <f>IFERROR(HYPERLINK(VLOOKUP(A137,Internal_lists_bugs!$A$2:$C$73,3,FALSE()), VLOOKUP(A137,Internal_lists_bugs!$A$2:$C$73,3,FALSE())&amp;Char(10) &amp; Char(10) &amp; VLOOKUP(A137,Internal_lists_bugs!$A$2:$Z$73,26,FALSE())),"please select a BUG ID")</f>
        <v>please select a BUG ID</v>
      </c>
      <c r="C137" s="51" t="str">
        <f>IFERROR(VLOOKUP(A137,Internal_lists_bugs!$A$2:$G847,7,FALSE()),"please select a BUG ID")</f>
        <v>please select a BUG ID</v>
      </c>
      <c r="D137" s="51" t="str">
        <f>IFERROR(VLOOKUP(A137,Internal_lists_bugs!$A$2:$I847,9,FALSE()),"please select a BUG ID")</f>
        <v>please select a BUG ID</v>
      </c>
      <c r="E137" s="52"/>
      <c r="F137" s="52"/>
      <c r="G137" s="43"/>
      <c r="H137" s="52"/>
      <c r="J137" s="52"/>
      <c r="K137" s="52"/>
    </row>
    <row r="138">
      <c r="A138" s="43"/>
      <c r="B138" s="38" t="str">
        <f>IFERROR(HYPERLINK(VLOOKUP(A138,Internal_lists_bugs!$A$2:$C$73,3,FALSE()), VLOOKUP(A138,Internal_lists_bugs!$A$2:$C$73,3,FALSE())&amp;Char(10) &amp; Char(10) &amp; VLOOKUP(A138,Internal_lists_bugs!$A$2:$Z$73,26,FALSE())),"please select a BUG ID")</f>
        <v>please select a BUG ID</v>
      </c>
      <c r="C138" s="51" t="str">
        <f>IFERROR(VLOOKUP(A138,Internal_lists_bugs!$A$2:$G847,7,FALSE()),"please select a BUG ID")</f>
        <v>please select a BUG ID</v>
      </c>
      <c r="D138" s="51" t="str">
        <f>IFERROR(VLOOKUP(A138,Internal_lists_bugs!$A$2:$I847,9,FALSE()),"please select a BUG ID")</f>
        <v>please select a BUG ID</v>
      </c>
      <c r="E138" s="52"/>
      <c r="F138" s="52"/>
      <c r="G138" s="43"/>
      <c r="H138" s="52"/>
      <c r="J138" s="52"/>
      <c r="K138" s="52"/>
    </row>
    <row r="139">
      <c r="A139" s="43"/>
      <c r="B139" s="38" t="str">
        <f>IFERROR(HYPERLINK(VLOOKUP(A139,Internal_lists_bugs!$A$2:$C$73,3,FALSE()), VLOOKUP(A139,Internal_lists_bugs!$A$2:$C$73,3,FALSE())&amp;Char(10) &amp; Char(10) &amp; VLOOKUP(A139,Internal_lists_bugs!$A$2:$Z$73,26,FALSE())),"please select a BUG ID")</f>
        <v>please select a BUG ID</v>
      </c>
      <c r="C139" s="51" t="str">
        <f>IFERROR(VLOOKUP(A139,Internal_lists_bugs!$A$2:$G847,7,FALSE()),"please select a BUG ID")</f>
        <v>please select a BUG ID</v>
      </c>
      <c r="D139" s="51" t="str">
        <f>IFERROR(VLOOKUP(A139,Internal_lists_bugs!$A$2:$I847,9,FALSE()),"please select a BUG ID")</f>
        <v>please select a BUG ID</v>
      </c>
      <c r="E139" s="52"/>
      <c r="F139" s="52"/>
      <c r="G139" s="43"/>
      <c r="H139" s="52"/>
      <c r="J139" s="52"/>
      <c r="K139" s="52"/>
    </row>
    <row r="140">
      <c r="A140" s="43"/>
      <c r="B140" s="38" t="str">
        <f>IFERROR(HYPERLINK(VLOOKUP(A140,Internal_lists_bugs!$A$2:$C$73,3,FALSE()), VLOOKUP(A140,Internal_lists_bugs!$A$2:$C$73,3,FALSE())&amp;Char(10) &amp; Char(10) &amp; VLOOKUP(A140,Internal_lists_bugs!$A$2:$Z$73,26,FALSE())),"please select a BUG ID")</f>
        <v>please select a BUG ID</v>
      </c>
      <c r="C140" s="51" t="str">
        <f>IFERROR(VLOOKUP(A140,Internal_lists_bugs!$A$2:$G847,7,FALSE()),"please select a BUG ID")</f>
        <v>please select a BUG ID</v>
      </c>
      <c r="D140" s="51" t="str">
        <f>IFERROR(VLOOKUP(A140,Internal_lists_bugs!$A$2:$I847,9,FALSE()),"please select a BUG ID")</f>
        <v>please select a BUG ID</v>
      </c>
      <c r="E140" s="52"/>
      <c r="F140" s="52"/>
      <c r="G140" s="43"/>
      <c r="H140" s="52"/>
      <c r="J140" s="52"/>
      <c r="K140" s="52"/>
    </row>
    <row r="141">
      <c r="A141" s="43"/>
      <c r="B141" s="38" t="str">
        <f>IFERROR(HYPERLINK(VLOOKUP(A141,Internal_lists_bugs!$A$2:$C$73,3,FALSE()), VLOOKUP(A141,Internal_lists_bugs!$A$2:$C$73,3,FALSE())&amp;Char(10) &amp; Char(10) &amp; VLOOKUP(A141,Internal_lists_bugs!$A$2:$Z$73,26,FALSE())),"please select a BUG ID")</f>
        <v>please select a BUG ID</v>
      </c>
      <c r="C141" s="51" t="str">
        <f>IFERROR(VLOOKUP(A141,Internal_lists_bugs!$A$2:$G847,7,FALSE()),"please select a BUG ID")</f>
        <v>please select a BUG ID</v>
      </c>
      <c r="D141" s="51" t="str">
        <f>IFERROR(VLOOKUP(A141,Internal_lists_bugs!$A$2:$I847,9,FALSE()),"please select a BUG ID")</f>
        <v>please select a BUG ID</v>
      </c>
      <c r="E141" s="52"/>
      <c r="F141" s="52"/>
      <c r="G141" s="43"/>
      <c r="H141" s="52"/>
      <c r="J141" s="52"/>
      <c r="K141" s="52"/>
    </row>
    <row r="142">
      <c r="A142" s="43"/>
      <c r="B142" s="38" t="str">
        <f>IFERROR(HYPERLINK(VLOOKUP(A142,Internal_lists_bugs!$A$2:$C$73,3,FALSE()), VLOOKUP(A142,Internal_lists_bugs!$A$2:$C$73,3,FALSE())&amp;Char(10) &amp; Char(10) &amp; VLOOKUP(A142,Internal_lists_bugs!$A$2:$Z$73,26,FALSE())),"please select a BUG ID")</f>
        <v>please select a BUG ID</v>
      </c>
      <c r="C142" s="51" t="str">
        <f>IFERROR(VLOOKUP(A142,Internal_lists_bugs!$A$2:$G847,7,FALSE()),"please select a BUG ID")</f>
        <v>please select a BUG ID</v>
      </c>
      <c r="D142" s="51" t="str">
        <f>IFERROR(VLOOKUP(A142,Internal_lists_bugs!$A$2:$I847,9,FALSE()),"please select a BUG ID")</f>
        <v>please select a BUG ID</v>
      </c>
      <c r="E142" s="52"/>
      <c r="F142" s="52"/>
      <c r="G142" s="43"/>
      <c r="H142" s="52"/>
      <c r="J142" s="52"/>
      <c r="K142" s="52"/>
    </row>
    <row r="143">
      <c r="A143" s="43"/>
      <c r="B143" s="38" t="str">
        <f>IFERROR(HYPERLINK(VLOOKUP(A143,Internal_lists_bugs!$A$2:$C$73,3,FALSE()), VLOOKUP(A143,Internal_lists_bugs!$A$2:$C$73,3,FALSE())&amp;Char(10) &amp; Char(10) &amp; VLOOKUP(A143,Internal_lists_bugs!$A$2:$Z$73,26,FALSE())),"please select a BUG ID")</f>
        <v>please select a BUG ID</v>
      </c>
      <c r="C143" s="51" t="str">
        <f>IFERROR(VLOOKUP(A143,Internal_lists_bugs!$A$2:$G847,7,FALSE()),"please select a BUG ID")</f>
        <v>please select a BUG ID</v>
      </c>
      <c r="D143" s="51" t="str">
        <f>IFERROR(VLOOKUP(A143,Internal_lists_bugs!$A$2:$I847,9,FALSE()),"please select a BUG ID")</f>
        <v>please select a BUG ID</v>
      </c>
      <c r="E143" s="52"/>
      <c r="F143" s="52"/>
      <c r="G143" s="43"/>
      <c r="H143" s="52"/>
      <c r="J143" s="52"/>
      <c r="K143" s="52"/>
    </row>
    <row r="144">
      <c r="A144" s="43"/>
      <c r="B144" s="38" t="str">
        <f>IFERROR(HYPERLINK(VLOOKUP(A144,Internal_lists_bugs!$A$2:$C$73,3,FALSE()), VLOOKUP(A144,Internal_lists_bugs!$A$2:$C$73,3,FALSE())&amp;Char(10) &amp; Char(10) &amp; VLOOKUP(A144,Internal_lists_bugs!$A$2:$Z$73,26,FALSE())),"please select a BUG ID")</f>
        <v>please select a BUG ID</v>
      </c>
      <c r="C144" s="51" t="str">
        <f>IFERROR(VLOOKUP(A144,Internal_lists_bugs!$A$2:$G847,7,FALSE()),"please select a BUG ID")</f>
        <v>please select a BUG ID</v>
      </c>
      <c r="D144" s="51" t="str">
        <f>IFERROR(VLOOKUP(A144,Internal_lists_bugs!$A$2:$I847,9,FALSE()),"please select a BUG ID")</f>
        <v>please select a BUG ID</v>
      </c>
      <c r="E144" s="52"/>
      <c r="F144" s="52"/>
      <c r="G144" s="43"/>
      <c r="H144" s="52"/>
      <c r="J144" s="52"/>
      <c r="K144" s="52"/>
    </row>
    <row r="145">
      <c r="A145" s="43"/>
      <c r="B145" s="38" t="str">
        <f>IFERROR(HYPERLINK(VLOOKUP(A145,Internal_lists_bugs!$A$2:$C$73,3,FALSE()), VLOOKUP(A145,Internal_lists_bugs!$A$2:$C$73,3,FALSE())&amp;Char(10) &amp; Char(10) &amp; VLOOKUP(A145,Internal_lists_bugs!$A$2:$Z$73,26,FALSE())),"please select a BUG ID")</f>
        <v>please select a BUG ID</v>
      </c>
      <c r="C145" s="51" t="str">
        <f>IFERROR(VLOOKUP(A145,Internal_lists_bugs!$A$2:$G847,7,FALSE()),"please select a BUG ID")</f>
        <v>please select a BUG ID</v>
      </c>
      <c r="D145" s="51" t="str">
        <f>IFERROR(VLOOKUP(A145,Internal_lists_bugs!$A$2:$I847,9,FALSE()),"please select a BUG ID")</f>
        <v>please select a BUG ID</v>
      </c>
      <c r="E145" s="52"/>
      <c r="F145" s="52"/>
      <c r="G145" s="43"/>
      <c r="H145" s="52"/>
      <c r="J145" s="52"/>
      <c r="K145" s="52"/>
    </row>
    <row r="146">
      <c r="A146" s="43"/>
      <c r="B146" s="38" t="str">
        <f>IFERROR(HYPERLINK(VLOOKUP(A146,Internal_lists_bugs!$A$2:$C$73,3,FALSE()), VLOOKUP(A146,Internal_lists_bugs!$A$2:$C$73,3,FALSE())&amp;Char(10) &amp; Char(10) &amp; VLOOKUP(A146,Internal_lists_bugs!$A$2:$Z$73,26,FALSE())),"please select a BUG ID")</f>
        <v>please select a BUG ID</v>
      </c>
      <c r="C146" s="51" t="str">
        <f>IFERROR(VLOOKUP(A146,Internal_lists_bugs!$A$2:$G847,7,FALSE()),"please select a BUG ID")</f>
        <v>please select a BUG ID</v>
      </c>
      <c r="D146" s="51" t="str">
        <f>IFERROR(VLOOKUP(A146,Internal_lists_bugs!$A$2:$I847,9,FALSE()),"please select a BUG ID")</f>
        <v>please select a BUG ID</v>
      </c>
      <c r="E146" s="52"/>
      <c r="F146" s="52"/>
      <c r="G146" s="43"/>
      <c r="H146" s="52"/>
      <c r="J146" s="52"/>
      <c r="K146" s="52"/>
    </row>
    <row r="147">
      <c r="A147" s="43"/>
      <c r="B147" s="38" t="str">
        <f>IFERROR(HYPERLINK(VLOOKUP(A147,Internal_lists_bugs!$A$2:$C$73,3,FALSE()), VLOOKUP(A147,Internal_lists_bugs!$A$2:$C$73,3,FALSE())&amp;Char(10) &amp; Char(10) &amp; VLOOKUP(A147,Internal_lists_bugs!$A$2:$Z$73,26,FALSE())),"please select a BUG ID")</f>
        <v>please select a BUG ID</v>
      </c>
      <c r="C147" s="51" t="str">
        <f>IFERROR(VLOOKUP(A147,Internal_lists_bugs!$A$2:$G847,7,FALSE()),"please select a BUG ID")</f>
        <v>please select a BUG ID</v>
      </c>
      <c r="D147" s="51" t="str">
        <f>IFERROR(VLOOKUP(A147,Internal_lists_bugs!$A$2:$I847,9,FALSE()),"please select a BUG ID")</f>
        <v>please select a BUG ID</v>
      </c>
      <c r="E147" s="52"/>
      <c r="F147" s="52"/>
      <c r="G147" s="43"/>
      <c r="H147" s="52"/>
      <c r="J147" s="52"/>
      <c r="K147" s="52"/>
    </row>
    <row r="148">
      <c r="A148" s="43"/>
      <c r="B148" s="38" t="str">
        <f>IFERROR(HYPERLINK(VLOOKUP(A148,Internal_lists_bugs!$A$2:$C$73,3,FALSE()), VLOOKUP(A148,Internal_lists_bugs!$A$2:$C$73,3,FALSE())&amp;Char(10) &amp; Char(10) &amp; VLOOKUP(A148,Internal_lists_bugs!$A$2:$Z$73,26,FALSE())),"please select a BUG ID")</f>
        <v>please select a BUG ID</v>
      </c>
      <c r="C148" s="51" t="str">
        <f>IFERROR(VLOOKUP(A148,Internal_lists_bugs!$A$2:$G847,7,FALSE()),"please select a BUG ID")</f>
        <v>please select a BUG ID</v>
      </c>
      <c r="D148" s="51" t="str">
        <f>IFERROR(VLOOKUP(A148,Internal_lists_bugs!$A$2:$I847,9,FALSE()),"please select a BUG ID")</f>
        <v>please select a BUG ID</v>
      </c>
      <c r="E148" s="52"/>
      <c r="F148" s="52"/>
      <c r="G148" s="43"/>
      <c r="H148" s="52"/>
      <c r="J148" s="52"/>
      <c r="K148" s="52"/>
    </row>
    <row r="149">
      <c r="A149" s="43"/>
      <c r="B149" s="38" t="str">
        <f>IFERROR(HYPERLINK(VLOOKUP(A149,Internal_lists_bugs!$A$2:$C$73,3,FALSE()), VLOOKUP(A149,Internal_lists_bugs!$A$2:$C$73,3,FALSE())&amp;Char(10) &amp; Char(10) &amp; VLOOKUP(A149,Internal_lists_bugs!$A$2:$Z$73,26,FALSE())),"please select a BUG ID")</f>
        <v>please select a BUG ID</v>
      </c>
      <c r="C149" s="51" t="str">
        <f>IFERROR(VLOOKUP(A149,Internal_lists_bugs!$A$2:$G847,7,FALSE()),"please select a BUG ID")</f>
        <v>please select a BUG ID</v>
      </c>
      <c r="D149" s="51" t="str">
        <f>IFERROR(VLOOKUP(A149,Internal_lists_bugs!$A$2:$I847,9,FALSE()),"please select a BUG ID")</f>
        <v>please select a BUG ID</v>
      </c>
      <c r="E149" s="52"/>
      <c r="F149" s="52"/>
      <c r="G149" s="43"/>
      <c r="H149" s="52"/>
      <c r="J149" s="52"/>
      <c r="K149" s="52"/>
    </row>
    <row r="150">
      <c r="A150" s="43"/>
      <c r="B150" s="38" t="str">
        <f>IFERROR(HYPERLINK(VLOOKUP(A150,Internal_lists_bugs!$A$2:$C$73,3,FALSE()), VLOOKUP(A150,Internal_lists_bugs!$A$2:$C$73,3,FALSE())&amp;Char(10) &amp; Char(10) &amp; VLOOKUP(A150,Internal_lists_bugs!$A$2:$Z$73,26,FALSE())),"please select a BUG ID")</f>
        <v>please select a BUG ID</v>
      </c>
      <c r="C150" s="51" t="str">
        <f>IFERROR(VLOOKUP(A150,Internal_lists_bugs!$A$2:$G847,7,FALSE()),"please select a BUG ID")</f>
        <v>please select a BUG ID</v>
      </c>
      <c r="D150" s="51" t="str">
        <f>IFERROR(VLOOKUP(A150,Internal_lists_bugs!$A$2:$I847,9,FALSE()),"please select a BUG ID")</f>
        <v>please select a BUG ID</v>
      </c>
      <c r="E150" s="52"/>
      <c r="F150" s="52"/>
      <c r="G150" s="43"/>
      <c r="H150" s="52"/>
      <c r="J150" s="52"/>
      <c r="K150" s="52"/>
    </row>
    <row r="151">
      <c r="A151" s="43"/>
      <c r="B151" s="38" t="str">
        <f>IFERROR(HYPERLINK(VLOOKUP(A151,Internal_lists_bugs!$A$2:$C$73,3,FALSE()), VLOOKUP(A151,Internal_lists_bugs!$A$2:$C$73,3,FALSE())&amp;Char(10) &amp; Char(10) &amp; VLOOKUP(A151,Internal_lists_bugs!$A$2:$Z$73,26,FALSE())),"please select a BUG ID")</f>
        <v>please select a BUG ID</v>
      </c>
      <c r="C151" s="51" t="str">
        <f>IFERROR(VLOOKUP(A151,Internal_lists_bugs!$A$2:$G847,7,FALSE()),"please select a BUG ID")</f>
        <v>please select a BUG ID</v>
      </c>
      <c r="D151" s="51" t="str">
        <f>IFERROR(VLOOKUP(A151,Internal_lists_bugs!$A$2:$I847,9,FALSE()),"please select a BUG ID")</f>
        <v>please select a BUG ID</v>
      </c>
      <c r="E151" s="52"/>
      <c r="F151" s="52"/>
      <c r="G151" s="43"/>
      <c r="H151" s="52"/>
      <c r="J151" s="52"/>
      <c r="K151" s="52"/>
    </row>
    <row r="152">
      <c r="A152" s="43"/>
      <c r="B152" s="38" t="str">
        <f>IFERROR(HYPERLINK(VLOOKUP(A152,Internal_lists_bugs!$A$2:$C$73,3,FALSE()), VLOOKUP(A152,Internal_lists_bugs!$A$2:$C$73,3,FALSE())&amp;Char(10) &amp; Char(10) &amp; VLOOKUP(A152,Internal_lists_bugs!$A$2:$Z$73,26,FALSE())),"please select a BUG ID")</f>
        <v>please select a BUG ID</v>
      </c>
      <c r="C152" s="51" t="str">
        <f>IFERROR(VLOOKUP(A152,Internal_lists_bugs!$A$2:$G847,7,FALSE()),"please select a BUG ID")</f>
        <v>please select a BUG ID</v>
      </c>
      <c r="D152" s="51" t="str">
        <f>IFERROR(VLOOKUP(A152,Internal_lists_bugs!$A$2:$I847,9,FALSE()),"please select a BUG ID")</f>
        <v>please select a BUG ID</v>
      </c>
      <c r="E152" s="52"/>
      <c r="F152" s="52"/>
      <c r="G152" s="43"/>
      <c r="H152" s="52"/>
      <c r="J152" s="52"/>
      <c r="K152" s="52"/>
    </row>
    <row r="153">
      <c r="A153" s="43"/>
      <c r="B153" s="38" t="str">
        <f>IFERROR(HYPERLINK(VLOOKUP(A153,Internal_lists_bugs!$A$2:$C$73,3,FALSE()), VLOOKUP(A153,Internal_lists_bugs!$A$2:$C$73,3,FALSE())&amp;Char(10) &amp; Char(10) &amp; VLOOKUP(A153,Internal_lists_bugs!$A$2:$Z$73,26,FALSE())),"please select a BUG ID")</f>
        <v>please select a BUG ID</v>
      </c>
      <c r="C153" s="51" t="str">
        <f>IFERROR(VLOOKUP(A153,Internal_lists_bugs!$A$2:$G847,7,FALSE()),"please select a BUG ID")</f>
        <v>please select a BUG ID</v>
      </c>
      <c r="D153" s="51" t="str">
        <f>IFERROR(VLOOKUP(A153,Internal_lists_bugs!$A$2:$I847,9,FALSE()),"please select a BUG ID")</f>
        <v>please select a BUG ID</v>
      </c>
      <c r="E153" s="52"/>
      <c r="F153" s="52"/>
      <c r="G153" s="43"/>
      <c r="H153" s="52"/>
      <c r="J153" s="52"/>
      <c r="K153" s="52"/>
    </row>
    <row r="154">
      <c r="A154" s="43"/>
      <c r="B154" s="38" t="str">
        <f>IFERROR(HYPERLINK(VLOOKUP(A154,Internal_lists_bugs!$A$2:$C$73,3,FALSE()), VLOOKUP(A154,Internal_lists_bugs!$A$2:$C$73,3,FALSE())&amp;Char(10) &amp; Char(10) &amp; VLOOKUP(A154,Internal_lists_bugs!$A$2:$Z$73,26,FALSE())),"please select a BUG ID")</f>
        <v>please select a BUG ID</v>
      </c>
      <c r="C154" s="51" t="str">
        <f>IFERROR(VLOOKUP(A154,Internal_lists_bugs!$A$2:$G847,7,FALSE()),"please select a BUG ID")</f>
        <v>please select a BUG ID</v>
      </c>
      <c r="D154" s="51" t="str">
        <f>IFERROR(VLOOKUP(A154,Internal_lists_bugs!$A$2:$I847,9,FALSE()),"please select a BUG ID")</f>
        <v>please select a BUG ID</v>
      </c>
      <c r="E154" s="52"/>
      <c r="F154" s="52"/>
      <c r="G154" s="43"/>
      <c r="H154" s="52"/>
      <c r="J154" s="52"/>
      <c r="K154" s="52"/>
    </row>
    <row r="155">
      <c r="A155" s="43"/>
      <c r="B155" s="38" t="str">
        <f>IFERROR(HYPERLINK(VLOOKUP(A155,Internal_lists_bugs!$A$2:$C$73,3,FALSE()), VLOOKUP(A155,Internal_lists_bugs!$A$2:$C$73,3,FALSE())&amp;Char(10) &amp; Char(10) &amp; VLOOKUP(A155,Internal_lists_bugs!$A$2:$Z$73,26,FALSE())),"please select a BUG ID")</f>
        <v>please select a BUG ID</v>
      </c>
      <c r="C155" s="51" t="str">
        <f>IFERROR(VLOOKUP(A155,Internal_lists_bugs!$A$2:$G847,7,FALSE()),"please select a BUG ID")</f>
        <v>please select a BUG ID</v>
      </c>
      <c r="D155" s="51" t="str">
        <f>IFERROR(VLOOKUP(A155,Internal_lists_bugs!$A$2:$I847,9,FALSE()),"please select a BUG ID")</f>
        <v>please select a BUG ID</v>
      </c>
      <c r="E155" s="52"/>
      <c r="F155" s="52"/>
      <c r="G155" s="43"/>
      <c r="H155" s="52"/>
      <c r="J155" s="52"/>
      <c r="K155" s="52"/>
    </row>
    <row r="156">
      <c r="A156" s="43"/>
      <c r="B156" s="38" t="str">
        <f>IFERROR(HYPERLINK(VLOOKUP(A156,Internal_lists_bugs!$A$2:$C$73,3,FALSE()), VLOOKUP(A156,Internal_lists_bugs!$A$2:$C$73,3,FALSE())&amp;Char(10) &amp; Char(10) &amp; VLOOKUP(A156,Internal_lists_bugs!$A$2:$Z$73,26,FALSE())),"please select a BUG ID")</f>
        <v>please select a BUG ID</v>
      </c>
      <c r="C156" s="51" t="str">
        <f>IFERROR(VLOOKUP(A156,Internal_lists_bugs!$A$2:$G847,7,FALSE()),"please select a BUG ID")</f>
        <v>please select a BUG ID</v>
      </c>
      <c r="D156" s="51" t="str">
        <f>IFERROR(VLOOKUP(A156,Internal_lists_bugs!$A$2:$I847,9,FALSE()),"please select a BUG ID")</f>
        <v>please select a BUG ID</v>
      </c>
      <c r="E156" s="52"/>
      <c r="F156" s="52"/>
      <c r="G156" s="43"/>
      <c r="H156" s="52"/>
      <c r="J156" s="52"/>
      <c r="K156" s="52"/>
    </row>
    <row r="157">
      <c r="A157" s="43"/>
      <c r="B157" s="38" t="str">
        <f>IFERROR(HYPERLINK(VLOOKUP(A157,Internal_lists_bugs!$A$2:$C$73,3,FALSE()), VLOOKUP(A157,Internal_lists_bugs!$A$2:$C$73,3,FALSE())&amp;Char(10) &amp; Char(10) &amp; VLOOKUP(A157,Internal_lists_bugs!$A$2:$Z$73,26,FALSE())),"please select a BUG ID")</f>
        <v>please select a BUG ID</v>
      </c>
      <c r="C157" s="51" t="str">
        <f>IFERROR(VLOOKUP(A157,Internal_lists_bugs!$A$2:$G847,7,FALSE()),"please select a BUG ID")</f>
        <v>please select a BUG ID</v>
      </c>
      <c r="D157" s="51" t="str">
        <f>IFERROR(VLOOKUP(A157,Internal_lists_bugs!$A$2:$I847,9,FALSE()),"please select a BUG ID")</f>
        <v>please select a BUG ID</v>
      </c>
      <c r="E157" s="52"/>
      <c r="F157" s="52"/>
      <c r="G157" s="43"/>
      <c r="H157" s="52"/>
      <c r="J157" s="52"/>
      <c r="K157" s="52"/>
    </row>
    <row r="158">
      <c r="A158" s="43"/>
      <c r="B158" s="38" t="str">
        <f>IFERROR(HYPERLINK(VLOOKUP(A158,Internal_lists_bugs!$A$2:$C$73,3,FALSE()), VLOOKUP(A158,Internal_lists_bugs!$A$2:$C$73,3,FALSE())&amp;Char(10) &amp; Char(10) &amp; VLOOKUP(A158,Internal_lists_bugs!$A$2:$Z$73,26,FALSE())),"please select a BUG ID")</f>
        <v>please select a BUG ID</v>
      </c>
      <c r="C158" s="51" t="str">
        <f>IFERROR(VLOOKUP(A158,Internal_lists_bugs!$A$2:$G847,7,FALSE()),"please select a BUG ID")</f>
        <v>please select a BUG ID</v>
      </c>
      <c r="D158" s="51" t="str">
        <f>IFERROR(VLOOKUP(A158,Internal_lists_bugs!$A$2:$I847,9,FALSE()),"please select a BUG ID")</f>
        <v>please select a BUG ID</v>
      </c>
      <c r="E158" s="52"/>
      <c r="F158" s="52"/>
      <c r="G158" s="43"/>
      <c r="H158" s="52"/>
      <c r="J158" s="52"/>
      <c r="K158" s="52"/>
    </row>
    <row r="159">
      <c r="A159" s="43"/>
      <c r="B159" s="38" t="str">
        <f>IFERROR(HYPERLINK(VLOOKUP(A159,Internal_lists_bugs!$A$2:$C$73,3,FALSE()), VLOOKUP(A159,Internal_lists_bugs!$A$2:$C$73,3,FALSE())&amp;Char(10) &amp; Char(10) &amp; VLOOKUP(A159,Internal_lists_bugs!$A$2:$Z$73,26,FALSE())),"please select a BUG ID")</f>
        <v>please select a BUG ID</v>
      </c>
      <c r="C159" s="51" t="str">
        <f>IFERROR(VLOOKUP(A159,Internal_lists_bugs!$A$2:$G847,7,FALSE()),"please select a BUG ID")</f>
        <v>please select a BUG ID</v>
      </c>
      <c r="D159" s="51" t="str">
        <f>IFERROR(VLOOKUP(A159,Internal_lists_bugs!$A$2:$I847,9,FALSE()),"please select a BUG ID")</f>
        <v>please select a BUG ID</v>
      </c>
      <c r="E159" s="52"/>
      <c r="F159" s="52"/>
      <c r="G159" s="43"/>
      <c r="H159" s="52"/>
      <c r="J159" s="52"/>
      <c r="K159" s="52"/>
    </row>
    <row r="160">
      <c r="A160" s="43"/>
      <c r="B160" s="38" t="str">
        <f>IFERROR(HYPERLINK(VLOOKUP(A160,Internal_lists_bugs!$A$2:$C$73,3,FALSE()), VLOOKUP(A160,Internal_lists_bugs!$A$2:$C$73,3,FALSE())&amp;Char(10) &amp; Char(10) &amp; VLOOKUP(A160,Internal_lists_bugs!$A$2:$Z$73,26,FALSE())),"please select a BUG ID")</f>
        <v>please select a BUG ID</v>
      </c>
      <c r="C160" s="51" t="str">
        <f>IFERROR(VLOOKUP(A160,Internal_lists_bugs!$A$2:$G847,7,FALSE()),"please select a BUG ID")</f>
        <v>please select a BUG ID</v>
      </c>
      <c r="D160" s="51" t="str">
        <f>IFERROR(VLOOKUP(A160,Internal_lists_bugs!$A$2:$I847,9,FALSE()),"please select a BUG ID")</f>
        <v>please select a BUG ID</v>
      </c>
      <c r="E160" s="52"/>
      <c r="F160" s="52"/>
      <c r="G160" s="43"/>
      <c r="H160" s="52"/>
      <c r="J160" s="52"/>
      <c r="K160" s="52"/>
    </row>
    <row r="161">
      <c r="A161" s="43"/>
      <c r="B161" s="38" t="str">
        <f>IFERROR(HYPERLINK(VLOOKUP(A161,Internal_lists_bugs!$A$2:$C$73,3,FALSE()), VLOOKUP(A161,Internal_lists_bugs!$A$2:$C$73,3,FALSE())&amp;Char(10) &amp; Char(10) &amp; VLOOKUP(A161,Internal_lists_bugs!$A$2:$Z$73,26,FALSE())),"please select a BUG ID")</f>
        <v>please select a BUG ID</v>
      </c>
      <c r="C161" s="51" t="str">
        <f>IFERROR(VLOOKUP(A161,Internal_lists_bugs!$A$2:$G847,7,FALSE()),"please select a BUG ID")</f>
        <v>please select a BUG ID</v>
      </c>
      <c r="D161" s="51" t="str">
        <f>IFERROR(VLOOKUP(A161,Internal_lists_bugs!$A$2:$I847,9,FALSE()),"please select a BUG ID")</f>
        <v>please select a BUG ID</v>
      </c>
      <c r="E161" s="52"/>
      <c r="F161" s="52"/>
      <c r="G161" s="43"/>
      <c r="H161" s="52"/>
      <c r="J161" s="52"/>
      <c r="K161" s="52"/>
    </row>
    <row r="162">
      <c r="A162" s="43"/>
      <c r="B162" s="38" t="str">
        <f>IFERROR(HYPERLINK(VLOOKUP(A162,Internal_lists_bugs!$A$2:$C$73,3,FALSE()), VLOOKUP(A162,Internal_lists_bugs!$A$2:$C$73,3,FALSE())&amp;Char(10) &amp; Char(10) &amp; VLOOKUP(A162,Internal_lists_bugs!$A$2:$Z$73,26,FALSE())),"please select a BUG ID")</f>
        <v>please select a BUG ID</v>
      </c>
      <c r="C162" s="51" t="str">
        <f>IFERROR(VLOOKUP(A162,Internal_lists_bugs!$A$2:$G847,7,FALSE()),"please select a BUG ID")</f>
        <v>please select a BUG ID</v>
      </c>
      <c r="D162" s="51" t="str">
        <f>IFERROR(VLOOKUP(A162,Internal_lists_bugs!$A$2:$I847,9,FALSE()),"please select a BUG ID")</f>
        <v>please select a BUG ID</v>
      </c>
      <c r="E162" s="52"/>
      <c r="F162" s="52"/>
      <c r="G162" s="43"/>
      <c r="H162" s="52"/>
      <c r="J162" s="52"/>
      <c r="K162" s="52"/>
    </row>
    <row r="163">
      <c r="A163" s="43"/>
      <c r="B163" s="38" t="str">
        <f>IFERROR(HYPERLINK(VLOOKUP(A163,Internal_lists_bugs!$A$2:$C$73,3,FALSE()), VLOOKUP(A163,Internal_lists_bugs!$A$2:$C$73,3,FALSE())&amp;Char(10) &amp; Char(10) &amp; VLOOKUP(A163,Internal_lists_bugs!$A$2:$Z$73,26,FALSE())),"please select a BUG ID")</f>
        <v>please select a BUG ID</v>
      </c>
      <c r="C163" s="51" t="str">
        <f>IFERROR(VLOOKUP(A163,Internal_lists_bugs!$A$2:$G847,7,FALSE()),"please select a BUG ID")</f>
        <v>please select a BUG ID</v>
      </c>
      <c r="D163" s="51" t="str">
        <f>IFERROR(VLOOKUP(A163,Internal_lists_bugs!$A$2:$I847,9,FALSE()),"please select a BUG ID")</f>
        <v>please select a BUG ID</v>
      </c>
      <c r="E163" s="52"/>
      <c r="F163" s="52"/>
      <c r="G163" s="43"/>
      <c r="H163" s="52"/>
      <c r="J163" s="52"/>
      <c r="K163" s="52"/>
    </row>
    <row r="164">
      <c r="A164" s="43"/>
      <c r="B164" s="38" t="str">
        <f>IFERROR(HYPERLINK(VLOOKUP(A164,Internal_lists_bugs!$A$2:$C$73,3,FALSE()), VLOOKUP(A164,Internal_lists_bugs!$A$2:$C$73,3,FALSE())&amp;Char(10) &amp; Char(10) &amp; VLOOKUP(A164,Internal_lists_bugs!$A$2:$Z$73,26,FALSE())),"please select a BUG ID")</f>
        <v>please select a BUG ID</v>
      </c>
      <c r="C164" s="51" t="str">
        <f>IFERROR(VLOOKUP(A164,Internal_lists_bugs!$A$2:$G847,7,FALSE()),"please select a BUG ID")</f>
        <v>please select a BUG ID</v>
      </c>
      <c r="D164" s="51" t="str">
        <f>IFERROR(VLOOKUP(A164,Internal_lists_bugs!$A$2:$I847,9,FALSE()),"please select a BUG ID")</f>
        <v>please select a BUG ID</v>
      </c>
      <c r="E164" s="52"/>
      <c r="F164" s="52"/>
      <c r="G164" s="43"/>
      <c r="H164" s="52"/>
      <c r="J164" s="52"/>
      <c r="K164" s="52"/>
    </row>
    <row r="165">
      <c r="A165" s="43"/>
      <c r="B165" s="38" t="str">
        <f>IFERROR(HYPERLINK(VLOOKUP(A165,Internal_lists_bugs!$A$2:$C$73,3,FALSE()), VLOOKUP(A165,Internal_lists_bugs!$A$2:$C$73,3,FALSE())&amp;Char(10) &amp; Char(10) &amp; VLOOKUP(A165,Internal_lists_bugs!$A$2:$Z$73,26,FALSE())),"please select a BUG ID")</f>
        <v>please select a BUG ID</v>
      </c>
      <c r="C165" s="51" t="str">
        <f>IFERROR(VLOOKUP(A165,Internal_lists_bugs!$A$2:$G847,7,FALSE()),"please select a BUG ID")</f>
        <v>please select a BUG ID</v>
      </c>
      <c r="D165" s="51" t="str">
        <f>IFERROR(VLOOKUP(A165,Internal_lists_bugs!$A$2:$I847,9,FALSE()),"please select a BUG ID")</f>
        <v>please select a BUG ID</v>
      </c>
      <c r="E165" s="52"/>
      <c r="F165" s="52"/>
      <c r="G165" s="43"/>
      <c r="H165" s="52"/>
      <c r="J165" s="52"/>
      <c r="K165" s="52"/>
    </row>
    <row r="166">
      <c r="A166" s="43"/>
      <c r="B166" s="38" t="str">
        <f>IFERROR(HYPERLINK(VLOOKUP(A166,Internal_lists_bugs!$A$2:$C$73,3,FALSE()), VLOOKUP(A166,Internal_lists_bugs!$A$2:$C$73,3,FALSE())&amp;Char(10) &amp; Char(10) &amp; VLOOKUP(A166,Internal_lists_bugs!$A$2:$Z$73,26,FALSE())),"please select a BUG ID")</f>
        <v>please select a BUG ID</v>
      </c>
      <c r="C166" s="51" t="str">
        <f>IFERROR(VLOOKUP(A166,Internal_lists_bugs!$A$2:$G847,7,FALSE()),"please select a BUG ID")</f>
        <v>please select a BUG ID</v>
      </c>
      <c r="D166" s="51" t="str">
        <f>IFERROR(VLOOKUP(A166,Internal_lists_bugs!$A$2:$I847,9,FALSE()),"please select a BUG ID")</f>
        <v>please select a BUG ID</v>
      </c>
      <c r="E166" s="52"/>
      <c r="F166" s="52"/>
      <c r="G166" s="43"/>
      <c r="H166" s="52"/>
      <c r="J166" s="52"/>
      <c r="K166" s="52"/>
    </row>
    <row r="167">
      <c r="A167" s="43"/>
      <c r="B167" s="38" t="str">
        <f>IFERROR(HYPERLINK(VLOOKUP(A167,Internal_lists_bugs!$A$2:$C$73,3,FALSE()), VLOOKUP(A167,Internal_lists_bugs!$A$2:$C$73,3,FALSE())&amp;Char(10) &amp; Char(10) &amp; VLOOKUP(A167,Internal_lists_bugs!$A$2:$Z$73,26,FALSE())),"please select a BUG ID")</f>
        <v>please select a BUG ID</v>
      </c>
      <c r="C167" s="51" t="str">
        <f>IFERROR(VLOOKUP(A167,Internal_lists_bugs!$A$2:$G847,7,FALSE()),"please select a BUG ID")</f>
        <v>please select a BUG ID</v>
      </c>
      <c r="D167" s="51" t="str">
        <f>IFERROR(VLOOKUP(A167,Internal_lists_bugs!$A$2:$I847,9,FALSE()),"please select a BUG ID")</f>
        <v>please select a BUG ID</v>
      </c>
      <c r="E167" s="52"/>
      <c r="F167" s="52"/>
      <c r="G167" s="43"/>
      <c r="H167" s="52"/>
      <c r="J167" s="52"/>
      <c r="K167" s="52"/>
    </row>
    <row r="168">
      <c r="A168" s="43"/>
      <c r="B168" s="38" t="str">
        <f>IFERROR(HYPERLINK(VLOOKUP(A168,Internal_lists_bugs!$A$2:$C$73,3,FALSE()), VLOOKUP(A168,Internal_lists_bugs!$A$2:$C$73,3,FALSE())&amp;Char(10) &amp; Char(10) &amp; VLOOKUP(A168,Internal_lists_bugs!$A$2:$Z$73,26,FALSE())),"please select a BUG ID")</f>
        <v>please select a BUG ID</v>
      </c>
      <c r="C168" s="51" t="str">
        <f>IFERROR(VLOOKUP(A168,Internal_lists_bugs!$A$2:$G847,7,FALSE()),"please select a BUG ID")</f>
        <v>please select a BUG ID</v>
      </c>
      <c r="D168" s="51" t="str">
        <f>IFERROR(VLOOKUP(A168,Internal_lists_bugs!$A$2:$I847,9,FALSE()),"please select a BUG ID")</f>
        <v>please select a BUG ID</v>
      </c>
      <c r="E168" s="52"/>
      <c r="F168" s="52"/>
      <c r="G168" s="43"/>
      <c r="H168" s="52"/>
      <c r="J168" s="52"/>
      <c r="K168" s="52"/>
    </row>
    <row r="169">
      <c r="A169" s="43"/>
      <c r="B169" s="38" t="str">
        <f>IFERROR(HYPERLINK(VLOOKUP(A169,Internal_lists_bugs!$A$2:$C$73,3,FALSE()), VLOOKUP(A169,Internal_lists_bugs!$A$2:$C$73,3,FALSE())&amp;Char(10) &amp; Char(10) &amp; VLOOKUP(A169,Internal_lists_bugs!$A$2:$Z$73,26,FALSE())),"please select a BUG ID")</f>
        <v>please select a BUG ID</v>
      </c>
      <c r="C169" s="51" t="str">
        <f>IFERROR(VLOOKUP(A169,Internal_lists_bugs!$A$2:$G847,7,FALSE()),"please select a BUG ID")</f>
        <v>please select a BUG ID</v>
      </c>
      <c r="D169" s="51" t="str">
        <f>IFERROR(VLOOKUP(A169,Internal_lists_bugs!$A$2:$I847,9,FALSE()),"please select a BUG ID")</f>
        <v>please select a BUG ID</v>
      </c>
      <c r="E169" s="52"/>
      <c r="F169" s="52"/>
      <c r="G169" s="43"/>
      <c r="H169" s="52"/>
      <c r="J169" s="52"/>
      <c r="K169" s="52"/>
    </row>
    <row r="170">
      <c r="A170" s="43"/>
      <c r="B170" s="38" t="str">
        <f>IFERROR(HYPERLINK(VLOOKUP(A170,Internal_lists_bugs!$A$2:$C$73,3,FALSE()), VLOOKUP(A170,Internal_lists_bugs!$A$2:$C$73,3,FALSE())&amp;Char(10) &amp; Char(10) &amp; VLOOKUP(A170,Internal_lists_bugs!$A$2:$Z$73,26,FALSE())),"please select a BUG ID")</f>
        <v>please select a BUG ID</v>
      </c>
      <c r="C170" s="51" t="str">
        <f>IFERROR(VLOOKUP(A170,Internal_lists_bugs!$A$2:$G847,7,FALSE()),"please select a BUG ID")</f>
        <v>please select a BUG ID</v>
      </c>
      <c r="D170" s="51" t="str">
        <f>IFERROR(VLOOKUP(A170,Internal_lists_bugs!$A$2:$I847,9,FALSE()),"please select a BUG ID")</f>
        <v>please select a BUG ID</v>
      </c>
      <c r="E170" s="52"/>
      <c r="F170" s="52"/>
      <c r="G170" s="43"/>
      <c r="H170" s="52"/>
      <c r="J170" s="52"/>
      <c r="K170" s="52"/>
    </row>
    <row r="171">
      <c r="A171" s="43"/>
      <c r="B171" s="38" t="str">
        <f>IFERROR(HYPERLINK(VLOOKUP(A171,Internal_lists_bugs!$A$2:$C$73,3,FALSE()), VLOOKUP(A171,Internal_lists_bugs!$A$2:$C$73,3,FALSE())&amp;Char(10) &amp; Char(10) &amp; VLOOKUP(A171,Internal_lists_bugs!$A$2:$Z$73,26,FALSE())),"please select a BUG ID")</f>
        <v>please select a BUG ID</v>
      </c>
      <c r="C171" s="51" t="str">
        <f>IFERROR(VLOOKUP(A171,Internal_lists_bugs!$A$2:$G847,7,FALSE()),"please select a BUG ID")</f>
        <v>please select a BUG ID</v>
      </c>
      <c r="D171" s="51" t="str">
        <f>IFERROR(VLOOKUP(A171,Internal_lists_bugs!$A$2:$I847,9,FALSE()),"please select a BUG ID")</f>
        <v>please select a BUG ID</v>
      </c>
      <c r="E171" s="52"/>
      <c r="F171" s="52"/>
      <c r="G171" s="43"/>
      <c r="H171" s="52"/>
      <c r="J171" s="52"/>
      <c r="K171" s="52"/>
    </row>
    <row r="172">
      <c r="A172" s="43"/>
      <c r="B172" s="38" t="str">
        <f>IFERROR(HYPERLINK(VLOOKUP(A172,Internal_lists_bugs!$A$2:$C$73,3,FALSE()), VLOOKUP(A172,Internal_lists_bugs!$A$2:$C$73,3,FALSE())&amp;Char(10) &amp; Char(10) &amp; VLOOKUP(A172,Internal_lists_bugs!$A$2:$Z$73,26,FALSE())),"please select a BUG ID")</f>
        <v>please select a BUG ID</v>
      </c>
      <c r="C172" s="51" t="str">
        <f>IFERROR(VLOOKUP(A172,Internal_lists_bugs!$A$2:$G847,7,FALSE()),"please select a BUG ID")</f>
        <v>please select a BUG ID</v>
      </c>
      <c r="D172" s="51" t="str">
        <f>IFERROR(VLOOKUP(A172,Internal_lists_bugs!$A$2:$I847,9,FALSE()),"please select a BUG ID")</f>
        <v>please select a BUG ID</v>
      </c>
      <c r="E172" s="52"/>
      <c r="F172" s="52"/>
      <c r="G172" s="43"/>
      <c r="H172" s="52"/>
      <c r="J172" s="52"/>
      <c r="K172" s="52"/>
    </row>
    <row r="173">
      <c r="A173" s="43"/>
      <c r="B173" s="38" t="str">
        <f>IFERROR(HYPERLINK(VLOOKUP(A173,Internal_lists_bugs!$A$2:$C$73,3,FALSE()), VLOOKUP(A173,Internal_lists_bugs!$A$2:$C$73,3,FALSE())&amp;Char(10) &amp; Char(10) &amp; VLOOKUP(A173,Internal_lists_bugs!$A$2:$Z$73,26,FALSE())),"please select a BUG ID")</f>
        <v>please select a BUG ID</v>
      </c>
      <c r="C173" s="51" t="str">
        <f>IFERROR(VLOOKUP(A173,Internal_lists_bugs!$A$2:$G847,7,FALSE()),"please select a BUG ID")</f>
        <v>please select a BUG ID</v>
      </c>
      <c r="D173" s="51" t="str">
        <f>IFERROR(VLOOKUP(A173,Internal_lists_bugs!$A$2:$I847,9,FALSE()),"please select a BUG ID")</f>
        <v>please select a BUG ID</v>
      </c>
      <c r="E173" s="52"/>
      <c r="F173" s="52"/>
      <c r="G173" s="43"/>
      <c r="H173" s="52"/>
      <c r="J173" s="52"/>
      <c r="K173" s="52"/>
    </row>
    <row r="174">
      <c r="A174" s="43"/>
      <c r="B174" s="38" t="str">
        <f>IFERROR(HYPERLINK(VLOOKUP(A174,Internal_lists_bugs!$A$2:$C$73,3,FALSE()), VLOOKUP(A174,Internal_lists_bugs!$A$2:$C$73,3,FALSE())&amp;Char(10) &amp; Char(10) &amp; VLOOKUP(A174,Internal_lists_bugs!$A$2:$Z$73,26,FALSE())),"please select a BUG ID")</f>
        <v>please select a BUG ID</v>
      </c>
      <c r="C174" s="51" t="str">
        <f>IFERROR(VLOOKUP(A174,Internal_lists_bugs!$A$2:$G847,7,FALSE()),"please select a BUG ID")</f>
        <v>please select a BUG ID</v>
      </c>
      <c r="D174" s="51" t="str">
        <f>IFERROR(VLOOKUP(A174,Internal_lists_bugs!$A$2:$I847,9,FALSE()),"please select a BUG ID")</f>
        <v>please select a BUG ID</v>
      </c>
      <c r="E174" s="52"/>
      <c r="F174" s="52"/>
      <c r="G174" s="43"/>
      <c r="H174" s="52"/>
      <c r="J174" s="52"/>
      <c r="K174" s="52"/>
    </row>
    <row r="175">
      <c r="A175" s="43"/>
      <c r="B175" s="38" t="str">
        <f>IFERROR(HYPERLINK(VLOOKUP(A175,Internal_lists_bugs!$A$2:$C$73,3,FALSE()), VLOOKUP(A175,Internal_lists_bugs!$A$2:$C$73,3,FALSE())&amp;Char(10) &amp; Char(10) &amp; VLOOKUP(A175,Internal_lists_bugs!$A$2:$Z$73,26,FALSE())),"please select a BUG ID")</f>
        <v>please select a BUG ID</v>
      </c>
      <c r="C175" s="51" t="str">
        <f>IFERROR(VLOOKUP(A175,Internal_lists_bugs!$A$2:$G847,7,FALSE()),"please select a BUG ID")</f>
        <v>please select a BUG ID</v>
      </c>
      <c r="D175" s="51" t="str">
        <f>IFERROR(VLOOKUP(A175,Internal_lists_bugs!$A$2:$I847,9,FALSE()),"please select a BUG ID")</f>
        <v>please select a BUG ID</v>
      </c>
      <c r="E175" s="52"/>
      <c r="F175" s="52"/>
      <c r="G175" s="43"/>
      <c r="H175" s="52"/>
      <c r="J175" s="52"/>
      <c r="K175" s="52"/>
    </row>
    <row r="176">
      <c r="A176" s="43"/>
      <c r="B176" s="38" t="str">
        <f>IFERROR(HYPERLINK(VLOOKUP(A176,Internal_lists_bugs!$A$2:$C$73,3,FALSE()), VLOOKUP(A176,Internal_lists_bugs!$A$2:$C$73,3,FALSE())&amp;Char(10) &amp; Char(10) &amp; VLOOKUP(A176,Internal_lists_bugs!$A$2:$Z$73,26,FALSE())),"please select a BUG ID")</f>
        <v>please select a BUG ID</v>
      </c>
      <c r="C176" s="51" t="str">
        <f>IFERROR(VLOOKUP(A176,Internal_lists_bugs!$A$2:$G847,7,FALSE()),"please select a BUG ID")</f>
        <v>please select a BUG ID</v>
      </c>
      <c r="D176" s="51" t="str">
        <f>IFERROR(VLOOKUP(A176,Internal_lists_bugs!$A$2:$I847,9,FALSE()),"please select a BUG ID")</f>
        <v>please select a BUG ID</v>
      </c>
      <c r="E176" s="52"/>
      <c r="F176" s="52"/>
      <c r="G176" s="43"/>
      <c r="H176" s="52"/>
      <c r="J176" s="52"/>
      <c r="K176" s="52"/>
    </row>
    <row r="177">
      <c r="A177" s="43"/>
      <c r="B177" s="38" t="str">
        <f>IFERROR(HYPERLINK(VLOOKUP(A177,Internal_lists_bugs!$A$2:$C$73,3,FALSE()), VLOOKUP(A177,Internal_lists_bugs!$A$2:$C$73,3,FALSE())&amp;Char(10) &amp; Char(10) &amp; VLOOKUP(A177,Internal_lists_bugs!$A$2:$Z$73,26,FALSE())),"please select a BUG ID")</f>
        <v>please select a BUG ID</v>
      </c>
      <c r="C177" s="51" t="str">
        <f>IFERROR(VLOOKUP(A177,Internal_lists_bugs!$A$2:$G847,7,FALSE()),"please select a BUG ID")</f>
        <v>please select a BUG ID</v>
      </c>
      <c r="D177" s="51" t="str">
        <f>IFERROR(VLOOKUP(A177,Internal_lists_bugs!$A$2:$I847,9,FALSE()),"please select a BUG ID")</f>
        <v>please select a BUG ID</v>
      </c>
      <c r="E177" s="52"/>
      <c r="F177" s="52"/>
      <c r="G177" s="43"/>
      <c r="H177" s="52"/>
      <c r="J177" s="52"/>
      <c r="K177" s="52"/>
    </row>
    <row r="178">
      <c r="A178" s="43"/>
      <c r="B178" s="38" t="str">
        <f>IFERROR(HYPERLINK(VLOOKUP(A178,Internal_lists_bugs!$A$2:$C$73,3,FALSE()), VLOOKUP(A178,Internal_lists_bugs!$A$2:$C$73,3,FALSE())&amp;Char(10) &amp; Char(10) &amp; VLOOKUP(A178,Internal_lists_bugs!$A$2:$Z$73,26,FALSE())),"please select a BUG ID")</f>
        <v>please select a BUG ID</v>
      </c>
      <c r="C178" s="51" t="str">
        <f>IFERROR(VLOOKUP(A178,Internal_lists_bugs!$A$2:$G847,7,FALSE()),"please select a BUG ID")</f>
        <v>please select a BUG ID</v>
      </c>
      <c r="D178" s="51" t="str">
        <f>IFERROR(VLOOKUP(A178,Internal_lists_bugs!$A$2:$I847,9,FALSE()),"please select a BUG ID")</f>
        <v>please select a BUG ID</v>
      </c>
      <c r="E178" s="52"/>
      <c r="F178" s="52"/>
      <c r="G178" s="43"/>
      <c r="H178" s="52"/>
      <c r="J178" s="52"/>
      <c r="K178" s="52"/>
    </row>
    <row r="179">
      <c r="A179" s="43"/>
      <c r="B179" s="38" t="str">
        <f>IFERROR(HYPERLINK(VLOOKUP(A179,Internal_lists_bugs!$A$2:$C$73,3,FALSE()), VLOOKUP(A179,Internal_lists_bugs!$A$2:$C$73,3,FALSE())&amp;Char(10) &amp; Char(10) &amp; VLOOKUP(A179,Internal_lists_bugs!$A$2:$Z$73,26,FALSE())),"please select a BUG ID")</f>
        <v>please select a BUG ID</v>
      </c>
      <c r="C179" s="51" t="str">
        <f>IFERROR(VLOOKUP(A179,Internal_lists_bugs!$A$2:$G847,7,FALSE()),"please select a BUG ID")</f>
        <v>please select a BUG ID</v>
      </c>
      <c r="D179" s="51" t="str">
        <f>IFERROR(VLOOKUP(A179,Internal_lists_bugs!$A$2:$I847,9,FALSE()),"please select a BUG ID")</f>
        <v>please select a BUG ID</v>
      </c>
      <c r="E179" s="52"/>
      <c r="F179" s="52"/>
      <c r="G179" s="43"/>
      <c r="H179" s="52"/>
      <c r="J179" s="52"/>
      <c r="K179" s="52"/>
    </row>
    <row r="180">
      <c r="A180" s="43"/>
      <c r="B180" s="38" t="str">
        <f>IFERROR(HYPERLINK(VLOOKUP(A180,Internal_lists_bugs!$A$2:$C$73,3,FALSE()), VLOOKUP(A180,Internal_lists_bugs!$A$2:$C$73,3,FALSE())&amp;Char(10) &amp; Char(10) &amp; VLOOKUP(A180,Internal_lists_bugs!$A$2:$Z$73,26,FALSE())),"please select a BUG ID")</f>
        <v>please select a BUG ID</v>
      </c>
      <c r="C180" s="51" t="str">
        <f>IFERROR(VLOOKUP(A180,Internal_lists_bugs!$A$2:$G847,7,FALSE()),"please select a BUG ID")</f>
        <v>please select a BUG ID</v>
      </c>
      <c r="D180" s="51" t="str">
        <f>IFERROR(VLOOKUP(A180,Internal_lists_bugs!$A$2:$I847,9,FALSE()),"please select a BUG ID")</f>
        <v>please select a BUG ID</v>
      </c>
      <c r="E180" s="52"/>
      <c r="F180" s="52"/>
      <c r="G180" s="43"/>
      <c r="H180" s="52"/>
      <c r="J180" s="52"/>
      <c r="K180" s="52"/>
    </row>
    <row r="181">
      <c r="A181" s="43"/>
      <c r="B181" s="38" t="str">
        <f>IFERROR(HYPERLINK(VLOOKUP(A181,Internal_lists_bugs!$A$2:$C$73,3,FALSE()), VLOOKUP(A181,Internal_lists_bugs!$A$2:$C$73,3,FALSE())&amp;Char(10) &amp; Char(10) &amp; VLOOKUP(A181,Internal_lists_bugs!$A$2:$Z$73,26,FALSE())),"please select a BUG ID")</f>
        <v>please select a BUG ID</v>
      </c>
      <c r="C181" s="51" t="str">
        <f>IFERROR(VLOOKUP(A181,Internal_lists_bugs!$A$2:$G847,7,FALSE()),"please select a BUG ID")</f>
        <v>please select a BUG ID</v>
      </c>
      <c r="D181" s="51" t="str">
        <f>IFERROR(VLOOKUP(A181,Internal_lists_bugs!$A$2:$I847,9,FALSE()),"please select a BUG ID")</f>
        <v>please select a BUG ID</v>
      </c>
      <c r="E181" s="52"/>
      <c r="F181" s="52"/>
      <c r="G181" s="43"/>
      <c r="H181" s="52"/>
      <c r="J181" s="52"/>
      <c r="K181" s="52"/>
    </row>
    <row r="182">
      <c r="A182" s="43"/>
      <c r="B182" s="38" t="str">
        <f>IFERROR(HYPERLINK(VLOOKUP(A182,Internal_lists_bugs!$A$2:$C$73,3,FALSE()), VLOOKUP(A182,Internal_lists_bugs!$A$2:$C$73,3,FALSE())&amp;Char(10) &amp; Char(10) &amp; VLOOKUP(A182,Internal_lists_bugs!$A$2:$Z$73,26,FALSE())),"please select a BUG ID")</f>
        <v>please select a BUG ID</v>
      </c>
      <c r="C182" s="51" t="str">
        <f>IFERROR(VLOOKUP(A182,Internal_lists_bugs!$A$2:$G847,7,FALSE()),"please select a BUG ID")</f>
        <v>please select a BUG ID</v>
      </c>
      <c r="D182" s="51" t="str">
        <f>IFERROR(VLOOKUP(A182,Internal_lists_bugs!$A$2:$I847,9,FALSE()),"please select a BUG ID")</f>
        <v>please select a BUG ID</v>
      </c>
      <c r="E182" s="52"/>
      <c r="F182" s="52"/>
      <c r="G182" s="43"/>
      <c r="H182" s="52"/>
      <c r="J182" s="52"/>
      <c r="K182" s="52"/>
    </row>
    <row r="183">
      <c r="A183" s="43"/>
      <c r="B183" s="38" t="str">
        <f>IFERROR(HYPERLINK(VLOOKUP(A183,Internal_lists_bugs!$A$2:$C$73,3,FALSE()), VLOOKUP(A183,Internal_lists_bugs!$A$2:$C$73,3,FALSE())&amp;Char(10) &amp; Char(10) &amp; VLOOKUP(A183,Internal_lists_bugs!$A$2:$Z$73,26,FALSE())),"please select a BUG ID")</f>
        <v>please select a BUG ID</v>
      </c>
      <c r="C183" s="51" t="str">
        <f>IFERROR(VLOOKUP(A183,Internal_lists_bugs!$A$2:$G847,7,FALSE()),"please select a BUG ID")</f>
        <v>please select a BUG ID</v>
      </c>
      <c r="D183" s="51" t="str">
        <f>IFERROR(VLOOKUP(A183,Internal_lists_bugs!$A$2:$I847,9,FALSE()),"please select a BUG ID")</f>
        <v>please select a BUG ID</v>
      </c>
      <c r="E183" s="52"/>
      <c r="F183" s="52"/>
      <c r="G183" s="43"/>
      <c r="H183" s="52"/>
      <c r="J183" s="52"/>
      <c r="K183" s="52"/>
    </row>
    <row r="184">
      <c r="A184" s="43"/>
      <c r="B184" s="38" t="str">
        <f>IFERROR(HYPERLINK(VLOOKUP(A184,Internal_lists_bugs!$A$2:$C$73,3,FALSE()), VLOOKUP(A184,Internal_lists_bugs!$A$2:$C$73,3,FALSE())&amp;Char(10) &amp; Char(10) &amp; VLOOKUP(A184,Internal_lists_bugs!$A$2:$Z$73,26,FALSE())),"please select a BUG ID")</f>
        <v>please select a BUG ID</v>
      </c>
      <c r="C184" s="51" t="str">
        <f>IFERROR(VLOOKUP(A184,Internal_lists_bugs!$A$2:$G847,7,FALSE()),"please select a BUG ID")</f>
        <v>please select a BUG ID</v>
      </c>
      <c r="D184" s="51" t="str">
        <f>IFERROR(VLOOKUP(A184,Internal_lists_bugs!$A$2:$I847,9,FALSE()),"please select a BUG ID")</f>
        <v>please select a BUG ID</v>
      </c>
      <c r="E184" s="52"/>
      <c r="F184" s="52"/>
      <c r="G184" s="43"/>
      <c r="H184" s="52"/>
      <c r="J184" s="52"/>
      <c r="K184" s="52"/>
    </row>
    <row r="185">
      <c r="A185" s="43"/>
      <c r="B185" s="38" t="str">
        <f>IFERROR(HYPERLINK(VLOOKUP(A185,Internal_lists_bugs!$A$2:$C$73,3,FALSE()), VLOOKUP(A185,Internal_lists_bugs!$A$2:$C$73,3,FALSE())&amp;Char(10) &amp; Char(10) &amp; VLOOKUP(A185,Internal_lists_bugs!$A$2:$Z$73,26,FALSE())),"please select a BUG ID")</f>
        <v>please select a BUG ID</v>
      </c>
      <c r="C185" s="51" t="str">
        <f>IFERROR(VLOOKUP(A185,Internal_lists_bugs!$A$2:$G847,7,FALSE()),"please select a BUG ID")</f>
        <v>please select a BUG ID</v>
      </c>
      <c r="D185" s="51" t="str">
        <f>IFERROR(VLOOKUP(A185,Internal_lists_bugs!$A$2:$I847,9,FALSE()),"please select a BUG ID")</f>
        <v>please select a BUG ID</v>
      </c>
      <c r="E185" s="52"/>
      <c r="F185" s="52"/>
      <c r="G185" s="43"/>
      <c r="H185" s="52"/>
      <c r="J185" s="52"/>
      <c r="K185" s="52"/>
    </row>
    <row r="186">
      <c r="A186" s="43"/>
      <c r="B186" s="38" t="str">
        <f>IFERROR(HYPERLINK(VLOOKUP(A186,Internal_lists_bugs!$A$2:$C$73,3,FALSE()), VLOOKUP(A186,Internal_lists_bugs!$A$2:$C$73,3,FALSE())&amp;Char(10) &amp; Char(10) &amp; VLOOKUP(A186,Internal_lists_bugs!$A$2:$Z$73,26,FALSE())),"please select a BUG ID")</f>
        <v>please select a BUG ID</v>
      </c>
      <c r="C186" s="51" t="str">
        <f>IFERROR(VLOOKUP(A186,Internal_lists_bugs!$A$2:$G847,7,FALSE()),"please select a BUG ID")</f>
        <v>please select a BUG ID</v>
      </c>
      <c r="D186" s="51" t="str">
        <f>IFERROR(VLOOKUP(A186,Internal_lists_bugs!$A$2:$I847,9,FALSE()),"please select a BUG ID")</f>
        <v>please select a BUG ID</v>
      </c>
      <c r="E186" s="52"/>
      <c r="F186" s="52"/>
      <c r="G186" s="43"/>
      <c r="H186" s="52"/>
      <c r="J186" s="52"/>
      <c r="K186" s="52"/>
    </row>
    <row r="187">
      <c r="A187" s="43"/>
      <c r="B187" s="38" t="str">
        <f>IFERROR(HYPERLINK(VLOOKUP(A187,Internal_lists_bugs!$A$2:$C$73,3,FALSE()), VLOOKUP(A187,Internal_lists_bugs!$A$2:$C$73,3,FALSE())&amp;Char(10) &amp; Char(10) &amp; VLOOKUP(A187,Internal_lists_bugs!$A$2:$Z$73,26,FALSE())),"please select a BUG ID")</f>
        <v>please select a BUG ID</v>
      </c>
      <c r="C187" s="51" t="str">
        <f>IFERROR(VLOOKUP(A187,Internal_lists_bugs!$A$2:$G847,7,FALSE()),"please select a BUG ID")</f>
        <v>please select a BUG ID</v>
      </c>
      <c r="D187" s="51" t="str">
        <f>IFERROR(VLOOKUP(A187,Internal_lists_bugs!$A$2:$I847,9,FALSE()),"please select a BUG ID")</f>
        <v>please select a BUG ID</v>
      </c>
      <c r="E187" s="52"/>
      <c r="F187" s="52"/>
      <c r="G187" s="43"/>
      <c r="H187" s="52"/>
      <c r="J187" s="52"/>
      <c r="K187" s="52"/>
    </row>
    <row r="188">
      <c r="A188" s="43"/>
      <c r="B188" s="38" t="str">
        <f>IFERROR(HYPERLINK(VLOOKUP(A188,Internal_lists_bugs!$A$2:$C$73,3,FALSE()), VLOOKUP(A188,Internal_lists_bugs!$A$2:$C$73,3,FALSE())&amp;Char(10) &amp; Char(10) &amp; VLOOKUP(A188,Internal_lists_bugs!$A$2:$Z$73,26,FALSE())),"please select a BUG ID")</f>
        <v>please select a BUG ID</v>
      </c>
      <c r="C188" s="51" t="str">
        <f>IFERROR(VLOOKUP(A188,Internal_lists_bugs!$A$2:$G847,7,FALSE()),"please select a BUG ID")</f>
        <v>please select a BUG ID</v>
      </c>
      <c r="D188" s="51" t="str">
        <f>IFERROR(VLOOKUP(A188,Internal_lists_bugs!$A$2:$I847,9,FALSE()),"please select a BUG ID")</f>
        <v>please select a BUG ID</v>
      </c>
      <c r="E188" s="52"/>
      <c r="F188" s="52"/>
      <c r="G188" s="43"/>
      <c r="H188" s="52"/>
      <c r="J188" s="52"/>
      <c r="K188" s="52"/>
    </row>
    <row r="189">
      <c r="A189" s="43"/>
      <c r="B189" s="38" t="str">
        <f>IFERROR(HYPERLINK(VLOOKUP(A189,Internal_lists_bugs!$A$2:$C$73,3,FALSE()), VLOOKUP(A189,Internal_lists_bugs!$A$2:$C$73,3,FALSE())&amp;Char(10) &amp; Char(10) &amp; VLOOKUP(A189,Internal_lists_bugs!$A$2:$Z$73,26,FALSE())),"please select a BUG ID")</f>
        <v>please select a BUG ID</v>
      </c>
      <c r="C189" s="51" t="str">
        <f>IFERROR(VLOOKUP(A189,Internal_lists_bugs!$A$2:$G847,7,FALSE()),"please select a BUG ID")</f>
        <v>please select a BUG ID</v>
      </c>
      <c r="D189" s="51" t="str">
        <f>IFERROR(VLOOKUP(A189,Internal_lists_bugs!$A$2:$I847,9,FALSE()),"please select a BUG ID")</f>
        <v>please select a BUG ID</v>
      </c>
      <c r="E189" s="52"/>
      <c r="F189" s="52"/>
      <c r="G189" s="43"/>
      <c r="H189" s="52"/>
      <c r="J189" s="52"/>
      <c r="K189" s="52"/>
    </row>
    <row r="190">
      <c r="A190" s="43"/>
      <c r="B190" s="38" t="str">
        <f>IFERROR(HYPERLINK(VLOOKUP(A190,Internal_lists_bugs!$A$2:$C$73,3,FALSE()), VLOOKUP(A190,Internal_lists_bugs!$A$2:$C$73,3,FALSE())&amp;Char(10) &amp; Char(10) &amp; VLOOKUP(A190,Internal_lists_bugs!$A$2:$Z$73,26,FALSE())),"please select a BUG ID")</f>
        <v>please select a BUG ID</v>
      </c>
      <c r="C190" s="51" t="str">
        <f>IFERROR(VLOOKUP(A190,Internal_lists_bugs!$A$2:$G847,7,FALSE()),"please select a BUG ID")</f>
        <v>please select a BUG ID</v>
      </c>
      <c r="D190" s="51" t="str">
        <f>IFERROR(VLOOKUP(A190,Internal_lists_bugs!$A$2:$I847,9,FALSE()),"please select a BUG ID")</f>
        <v>please select a BUG ID</v>
      </c>
      <c r="E190" s="52"/>
      <c r="F190" s="52"/>
      <c r="G190" s="43"/>
      <c r="H190" s="52"/>
      <c r="J190" s="52"/>
      <c r="K190" s="52"/>
    </row>
    <row r="191">
      <c r="A191" s="43"/>
      <c r="B191" s="38" t="str">
        <f>IFERROR(HYPERLINK(VLOOKUP(A191,Internal_lists_bugs!$A$2:$C$73,3,FALSE()), VLOOKUP(A191,Internal_lists_bugs!$A$2:$C$73,3,FALSE())&amp;Char(10) &amp; Char(10) &amp; VLOOKUP(A191,Internal_lists_bugs!$A$2:$Z$73,26,FALSE())),"please select a BUG ID")</f>
        <v>please select a BUG ID</v>
      </c>
      <c r="C191" s="51" t="str">
        <f>IFERROR(VLOOKUP(A191,Internal_lists_bugs!$A$2:$G847,7,FALSE()),"please select a BUG ID")</f>
        <v>please select a BUG ID</v>
      </c>
      <c r="D191" s="51" t="str">
        <f>IFERROR(VLOOKUP(A191,Internal_lists_bugs!$A$2:$I847,9,FALSE()),"please select a BUG ID")</f>
        <v>please select a BUG ID</v>
      </c>
      <c r="E191" s="52"/>
      <c r="F191" s="52"/>
      <c r="G191" s="43"/>
      <c r="H191" s="52"/>
      <c r="J191" s="52"/>
      <c r="K191" s="52"/>
    </row>
    <row r="192">
      <c r="A192" s="43"/>
      <c r="B192" s="38" t="str">
        <f>IFERROR(HYPERLINK(VLOOKUP(A192,Internal_lists_bugs!$A$2:$C$73,3,FALSE()), VLOOKUP(A192,Internal_lists_bugs!$A$2:$C$73,3,FALSE())&amp;Char(10) &amp; Char(10) &amp; VLOOKUP(A192,Internal_lists_bugs!$A$2:$Z$73,26,FALSE())),"please select a BUG ID")</f>
        <v>please select a BUG ID</v>
      </c>
      <c r="C192" s="51" t="str">
        <f>IFERROR(VLOOKUP(A192,Internal_lists_bugs!$A$2:$G847,7,FALSE()),"please select a BUG ID")</f>
        <v>please select a BUG ID</v>
      </c>
      <c r="D192" s="51" t="str">
        <f>IFERROR(VLOOKUP(A192,Internal_lists_bugs!$A$2:$I847,9,FALSE()),"please select a BUG ID")</f>
        <v>please select a BUG ID</v>
      </c>
      <c r="E192" s="52"/>
      <c r="F192" s="52"/>
      <c r="G192" s="43"/>
      <c r="H192" s="52"/>
      <c r="J192" s="52"/>
      <c r="K192" s="52"/>
    </row>
    <row r="193">
      <c r="A193" s="43"/>
      <c r="B193" s="38" t="str">
        <f>IFERROR(HYPERLINK(VLOOKUP(A193,Internal_lists_bugs!$A$2:$C$73,3,FALSE()), VLOOKUP(A193,Internal_lists_bugs!$A$2:$C$73,3,FALSE())&amp;Char(10) &amp; Char(10) &amp; VLOOKUP(A193,Internal_lists_bugs!$A$2:$Z$73,26,FALSE())),"please select a BUG ID")</f>
        <v>please select a BUG ID</v>
      </c>
      <c r="C193" s="51" t="str">
        <f>IFERROR(VLOOKUP(A193,Internal_lists_bugs!$A$2:$G847,7,FALSE()),"please select a BUG ID")</f>
        <v>please select a BUG ID</v>
      </c>
      <c r="D193" s="51" t="str">
        <f>IFERROR(VLOOKUP(A193,Internal_lists_bugs!$A$2:$I847,9,FALSE()),"please select a BUG ID")</f>
        <v>please select a BUG ID</v>
      </c>
      <c r="E193" s="52"/>
      <c r="F193" s="52"/>
      <c r="G193" s="43"/>
      <c r="H193" s="52"/>
      <c r="J193" s="52"/>
      <c r="K193" s="52"/>
    </row>
    <row r="194">
      <c r="A194" s="43"/>
      <c r="B194" s="38" t="str">
        <f>IFERROR(HYPERLINK(VLOOKUP(A194,Internal_lists_bugs!$A$2:$C$73,3,FALSE()), VLOOKUP(A194,Internal_lists_bugs!$A$2:$C$73,3,FALSE())&amp;Char(10) &amp; Char(10) &amp; VLOOKUP(A194,Internal_lists_bugs!$A$2:$Z$73,26,FALSE())),"please select a BUG ID")</f>
        <v>please select a BUG ID</v>
      </c>
      <c r="C194" s="51" t="str">
        <f>IFERROR(VLOOKUP(A194,Internal_lists_bugs!$A$2:$G847,7,FALSE()),"please select a BUG ID")</f>
        <v>please select a BUG ID</v>
      </c>
      <c r="D194" s="51" t="str">
        <f>IFERROR(VLOOKUP(A194,Internal_lists_bugs!$A$2:$I847,9,FALSE()),"please select a BUG ID")</f>
        <v>please select a BUG ID</v>
      </c>
      <c r="E194" s="52"/>
      <c r="F194" s="52"/>
      <c r="G194" s="43"/>
      <c r="H194" s="52"/>
      <c r="J194" s="52"/>
      <c r="K194" s="52"/>
    </row>
    <row r="195">
      <c r="A195" s="43"/>
      <c r="B195" s="38" t="str">
        <f>IFERROR(HYPERLINK(VLOOKUP(A195,Internal_lists_bugs!$A$2:$C$73,3,FALSE()), VLOOKUP(A195,Internal_lists_bugs!$A$2:$C$73,3,FALSE())&amp;Char(10) &amp; Char(10) &amp; VLOOKUP(A195,Internal_lists_bugs!$A$2:$Z$73,26,FALSE())),"please select a BUG ID")</f>
        <v>please select a BUG ID</v>
      </c>
      <c r="C195" s="51" t="str">
        <f>IFERROR(VLOOKUP(A195,Internal_lists_bugs!$A$2:$G847,7,FALSE()),"please select a BUG ID")</f>
        <v>please select a BUG ID</v>
      </c>
      <c r="D195" s="51" t="str">
        <f>IFERROR(VLOOKUP(A195,Internal_lists_bugs!$A$2:$I847,9,FALSE()),"please select a BUG ID")</f>
        <v>please select a BUG ID</v>
      </c>
      <c r="E195" s="52"/>
      <c r="F195" s="52"/>
      <c r="G195" s="43"/>
      <c r="H195" s="52"/>
      <c r="J195" s="52"/>
      <c r="K195" s="52"/>
    </row>
    <row r="196">
      <c r="A196" s="43"/>
      <c r="B196" s="38" t="str">
        <f>IFERROR(HYPERLINK(VLOOKUP(A196,Internal_lists_bugs!$A$2:$C$73,3,FALSE()), VLOOKUP(A196,Internal_lists_bugs!$A$2:$C$73,3,FALSE())&amp;Char(10) &amp; Char(10) &amp; VLOOKUP(A196,Internal_lists_bugs!$A$2:$Z$73,26,FALSE())),"please select a BUG ID")</f>
        <v>please select a BUG ID</v>
      </c>
      <c r="C196" s="51" t="str">
        <f>IFERROR(VLOOKUP(A196,Internal_lists_bugs!$A$2:$G847,7,FALSE()),"please select a BUG ID")</f>
        <v>please select a BUG ID</v>
      </c>
      <c r="D196" s="51" t="str">
        <f>IFERROR(VLOOKUP(A196,Internal_lists_bugs!$A$2:$I847,9,FALSE()),"please select a BUG ID")</f>
        <v>please select a BUG ID</v>
      </c>
      <c r="E196" s="52"/>
      <c r="F196" s="52"/>
      <c r="G196" s="43"/>
      <c r="H196" s="52"/>
      <c r="J196" s="52"/>
      <c r="K196" s="52"/>
    </row>
    <row r="197">
      <c r="A197" s="43"/>
      <c r="B197" s="38" t="str">
        <f>IFERROR(HYPERLINK(VLOOKUP(A197,Internal_lists_bugs!$A$2:$C$73,3,FALSE()), VLOOKUP(A197,Internal_lists_bugs!$A$2:$C$73,3,FALSE())&amp;Char(10) &amp; Char(10) &amp; VLOOKUP(A197,Internal_lists_bugs!$A$2:$Z$73,26,FALSE())),"please select a BUG ID")</f>
        <v>please select a BUG ID</v>
      </c>
      <c r="C197" s="51" t="str">
        <f>IFERROR(VLOOKUP(A197,Internal_lists_bugs!$A$2:$G847,7,FALSE()),"please select a BUG ID")</f>
        <v>please select a BUG ID</v>
      </c>
      <c r="D197" s="51" t="str">
        <f>IFERROR(VLOOKUP(A197,Internal_lists_bugs!$A$2:$I847,9,FALSE()),"please select a BUG ID")</f>
        <v>please select a BUG ID</v>
      </c>
      <c r="E197" s="52"/>
      <c r="F197" s="52"/>
      <c r="G197" s="43"/>
      <c r="H197" s="52"/>
      <c r="J197" s="52"/>
      <c r="K197" s="52"/>
    </row>
    <row r="198">
      <c r="A198" s="43"/>
      <c r="B198" s="38" t="str">
        <f>IFERROR(HYPERLINK(VLOOKUP(A198,Internal_lists_bugs!$A$2:$C$73,3,FALSE()), VLOOKUP(A198,Internal_lists_bugs!$A$2:$C$73,3,FALSE())&amp;Char(10) &amp; Char(10) &amp; VLOOKUP(A198,Internal_lists_bugs!$A$2:$Z$73,26,FALSE())),"please select a BUG ID")</f>
        <v>please select a BUG ID</v>
      </c>
      <c r="C198" s="51" t="str">
        <f>IFERROR(VLOOKUP(A198,Internal_lists_bugs!$A$2:$G847,7,FALSE()),"please select a BUG ID")</f>
        <v>please select a BUG ID</v>
      </c>
      <c r="D198" s="51" t="str">
        <f>IFERROR(VLOOKUP(A198,Internal_lists_bugs!$A$2:$I847,9,FALSE()),"please select a BUG ID")</f>
        <v>please select a BUG ID</v>
      </c>
      <c r="E198" s="52"/>
      <c r="F198" s="52"/>
      <c r="G198" s="43"/>
      <c r="H198" s="52"/>
      <c r="J198" s="52"/>
      <c r="K198" s="52"/>
    </row>
    <row r="199">
      <c r="A199" s="43"/>
      <c r="B199" s="38" t="str">
        <f>IFERROR(HYPERLINK(VLOOKUP(A199,Internal_lists_bugs!$A$2:$C$73,3,FALSE()), VLOOKUP(A199,Internal_lists_bugs!$A$2:$C$73,3,FALSE())&amp;Char(10) &amp; Char(10) &amp; VLOOKUP(A199,Internal_lists_bugs!$A$2:$Z$73,26,FALSE())),"please select a BUG ID")</f>
        <v>please select a BUG ID</v>
      </c>
      <c r="C199" s="51" t="str">
        <f>IFERROR(VLOOKUP(A199,Internal_lists_bugs!$A$2:$G847,7,FALSE()),"please select a BUG ID")</f>
        <v>please select a BUG ID</v>
      </c>
      <c r="D199" s="51" t="str">
        <f>IFERROR(VLOOKUP(A199,Internal_lists_bugs!$A$2:$I847,9,FALSE()),"please select a BUG ID")</f>
        <v>please select a BUG ID</v>
      </c>
      <c r="E199" s="52"/>
      <c r="F199" s="52"/>
      <c r="G199" s="43"/>
      <c r="H199" s="52"/>
      <c r="J199" s="52"/>
      <c r="K199" s="52"/>
    </row>
    <row r="200">
      <c r="A200" s="43"/>
      <c r="B200" s="38" t="str">
        <f>IFERROR(HYPERLINK(VLOOKUP(A200,Internal_lists_bugs!$A$2:$C$73,3,FALSE()), VLOOKUP(A200,Internal_lists_bugs!$A$2:$C$73,3,FALSE())&amp;Char(10) &amp; Char(10) &amp; VLOOKUP(A200,Internal_lists_bugs!$A$2:$Z$73,26,FALSE())),"please select a BUG ID")</f>
        <v>please select a BUG ID</v>
      </c>
      <c r="C200" s="51" t="str">
        <f>IFERROR(VLOOKUP(A200,Internal_lists_bugs!$A$2:$G847,7,FALSE()),"please select a BUG ID")</f>
        <v>please select a BUG ID</v>
      </c>
      <c r="D200" s="51" t="str">
        <f>IFERROR(VLOOKUP(A200,Internal_lists_bugs!$A$2:$I847,9,FALSE()),"please select a BUG ID")</f>
        <v>please select a BUG ID</v>
      </c>
      <c r="E200" s="52"/>
      <c r="F200" s="52"/>
      <c r="G200" s="43"/>
      <c r="H200" s="52"/>
      <c r="J200" s="52"/>
      <c r="K200" s="52"/>
    </row>
    <row r="201">
      <c r="A201" s="43"/>
      <c r="B201" s="38" t="str">
        <f>IFERROR(HYPERLINK(VLOOKUP(A201,Internal_lists_bugs!$A$2:$C$73,3,FALSE()), VLOOKUP(A201,Internal_lists_bugs!$A$2:$C$73,3,FALSE())&amp;Char(10) &amp; Char(10) &amp; VLOOKUP(A201,Internal_lists_bugs!$A$2:$Z$73,26,FALSE())),"please select a BUG ID")</f>
        <v>please select a BUG ID</v>
      </c>
      <c r="C201" s="51" t="str">
        <f>IFERROR(VLOOKUP(A201,Internal_lists_bugs!$A$2:$G847,7,FALSE()),"please select a BUG ID")</f>
        <v>please select a BUG ID</v>
      </c>
      <c r="D201" s="51" t="str">
        <f>IFERROR(VLOOKUP(A201,Internal_lists_bugs!$A$2:$I847,9,FALSE()),"please select a BUG ID")</f>
        <v>please select a BUG ID</v>
      </c>
      <c r="E201" s="52"/>
      <c r="F201" s="52"/>
      <c r="G201" s="43"/>
      <c r="H201" s="52"/>
      <c r="J201" s="52"/>
      <c r="K201" s="52"/>
    </row>
    <row r="202">
      <c r="A202" s="43"/>
      <c r="B202" s="38" t="str">
        <f>IFERROR(HYPERLINK(VLOOKUP(A202,Internal_lists_bugs!$A$2:$C$73,3,FALSE()), VLOOKUP(A202,Internal_lists_bugs!$A$2:$C$73,3,FALSE())&amp;Char(10) &amp; Char(10) &amp; VLOOKUP(A202,Internal_lists_bugs!$A$2:$Z$73,26,FALSE())),"please select a BUG ID")</f>
        <v>please select a BUG ID</v>
      </c>
      <c r="C202" s="51" t="str">
        <f>IFERROR(VLOOKUP(A202,Internal_lists_bugs!$A$2:$G847,7,FALSE()),"please select a BUG ID")</f>
        <v>please select a BUG ID</v>
      </c>
      <c r="D202" s="51" t="str">
        <f>IFERROR(VLOOKUP(A202,Internal_lists_bugs!$A$2:$I847,9,FALSE()),"please select a BUG ID")</f>
        <v>please select a BUG ID</v>
      </c>
      <c r="E202" s="52"/>
      <c r="F202" s="52"/>
      <c r="G202" s="43"/>
      <c r="H202" s="52"/>
      <c r="J202" s="52"/>
      <c r="K202" s="52"/>
    </row>
    <row r="203">
      <c r="A203" s="43"/>
      <c r="B203" s="38" t="str">
        <f>IFERROR(HYPERLINK(VLOOKUP(A203,Internal_lists_bugs!$A$2:$C$73,3,FALSE()), VLOOKUP(A203,Internal_lists_bugs!$A$2:$C$73,3,FALSE())&amp;Char(10) &amp; Char(10) &amp; VLOOKUP(A203,Internal_lists_bugs!$A$2:$Z$73,26,FALSE())),"please select a BUG ID")</f>
        <v>please select a BUG ID</v>
      </c>
      <c r="C203" s="51" t="str">
        <f>IFERROR(VLOOKUP(A203,Internal_lists_bugs!$A$2:$G847,7,FALSE()),"please select a BUG ID")</f>
        <v>please select a BUG ID</v>
      </c>
      <c r="D203" s="51" t="str">
        <f>IFERROR(VLOOKUP(A203,Internal_lists_bugs!$A$2:$I847,9,FALSE()),"please select a BUG ID")</f>
        <v>please select a BUG ID</v>
      </c>
      <c r="E203" s="52"/>
      <c r="F203" s="52"/>
      <c r="G203" s="43"/>
      <c r="H203" s="52"/>
      <c r="J203" s="52"/>
      <c r="K203" s="52"/>
    </row>
    <row r="204">
      <c r="A204" s="43"/>
      <c r="B204" s="38" t="str">
        <f>IFERROR(HYPERLINK(VLOOKUP(A204,Internal_lists_bugs!$A$2:$C$73,3,FALSE()), VLOOKUP(A204,Internal_lists_bugs!$A$2:$C$73,3,FALSE())&amp;Char(10) &amp; Char(10) &amp; VLOOKUP(A204,Internal_lists_bugs!$A$2:$Z$73,26,FALSE())),"please select a BUG ID")</f>
        <v>please select a BUG ID</v>
      </c>
      <c r="C204" s="51" t="str">
        <f>IFERROR(VLOOKUP(A204,Internal_lists_bugs!$A$2:$G847,7,FALSE()),"please select a BUG ID")</f>
        <v>please select a BUG ID</v>
      </c>
      <c r="D204" s="51" t="str">
        <f>IFERROR(VLOOKUP(A204,Internal_lists_bugs!$A$2:$I847,9,FALSE()),"please select a BUG ID")</f>
        <v>please select a BUG ID</v>
      </c>
      <c r="E204" s="52"/>
      <c r="F204" s="52"/>
      <c r="G204" s="43"/>
      <c r="H204" s="52"/>
      <c r="J204" s="52"/>
      <c r="K204" s="52"/>
    </row>
    <row r="205">
      <c r="A205" s="43"/>
      <c r="B205" s="38" t="str">
        <f>IFERROR(HYPERLINK(VLOOKUP(A205,Internal_lists_bugs!$A$2:$C$73,3,FALSE()), VLOOKUP(A205,Internal_lists_bugs!$A$2:$C$73,3,FALSE())&amp;Char(10) &amp; Char(10) &amp; VLOOKUP(A205,Internal_lists_bugs!$A$2:$Z$73,26,FALSE())),"please select a BUG ID")</f>
        <v>please select a BUG ID</v>
      </c>
      <c r="C205" s="51" t="str">
        <f>IFERROR(VLOOKUP(A205,Internal_lists_bugs!$A$2:$G847,7,FALSE()),"please select a BUG ID")</f>
        <v>please select a BUG ID</v>
      </c>
      <c r="D205" s="51" t="str">
        <f>IFERROR(VLOOKUP(A205,Internal_lists_bugs!$A$2:$I847,9,FALSE()),"please select a BUG ID")</f>
        <v>please select a BUG ID</v>
      </c>
      <c r="E205" s="52"/>
      <c r="F205" s="52"/>
      <c r="G205" s="43"/>
      <c r="H205" s="52"/>
      <c r="J205" s="52"/>
      <c r="K205" s="52"/>
    </row>
    <row r="206">
      <c r="A206" s="43"/>
      <c r="B206" s="38" t="str">
        <f>IFERROR(HYPERLINK(VLOOKUP(A206,Internal_lists_bugs!$A$2:$C$73,3,FALSE()), VLOOKUP(A206,Internal_lists_bugs!$A$2:$C$73,3,FALSE())&amp;Char(10) &amp; Char(10) &amp; VLOOKUP(A206,Internal_lists_bugs!$A$2:$Z$73,26,FALSE())),"please select a BUG ID")</f>
        <v>please select a BUG ID</v>
      </c>
      <c r="C206" s="51" t="str">
        <f>IFERROR(VLOOKUP(A206,Internal_lists_bugs!$A$2:$G847,7,FALSE()),"please select a BUG ID")</f>
        <v>please select a BUG ID</v>
      </c>
      <c r="D206" s="51" t="str">
        <f>IFERROR(VLOOKUP(A206,Internal_lists_bugs!$A$2:$I847,9,FALSE()),"please select a BUG ID")</f>
        <v>please select a BUG ID</v>
      </c>
      <c r="E206" s="52"/>
      <c r="F206" s="52"/>
      <c r="G206" s="43"/>
      <c r="H206" s="52"/>
      <c r="J206" s="52"/>
      <c r="K206" s="52"/>
    </row>
    <row r="207">
      <c r="A207" s="43"/>
      <c r="B207" s="38" t="str">
        <f>IFERROR(HYPERLINK(VLOOKUP(A207,Internal_lists_bugs!$A$2:$C$73,3,FALSE()), VLOOKUP(A207,Internal_lists_bugs!$A$2:$C$73,3,FALSE())&amp;Char(10) &amp; Char(10) &amp; VLOOKUP(A207,Internal_lists_bugs!$A$2:$Z$73,26,FALSE())),"please select a BUG ID")</f>
        <v>please select a BUG ID</v>
      </c>
      <c r="C207" s="51" t="str">
        <f>IFERROR(VLOOKUP(A207,Internal_lists_bugs!$A$2:$G847,7,FALSE()),"please select a BUG ID")</f>
        <v>please select a BUG ID</v>
      </c>
      <c r="D207" s="51" t="str">
        <f>IFERROR(VLOOKUP(A207,Internal_lists_bugs!$A$2:$I847,9,FALSE()),"please select a BUG ID")</f>
        <v>please select a BUG ID</v>
      </c>
      <c r="E207" s="52"/>
      <c r="F207" s="52"/>
      <c r="G207" s="43"/>
      <c r="H207" s="52"/>
      <c r="J207" s="52"/>
      <c r="K207" s="52"/>
    </row>
    <row r="208">
      <c r="A208" s="43"/>
      <c r="B208" s="38" t="str">
        <f>IFERROR(HYPERLINK(VLOOKUP(A208,Internal_lists_bugs!$A$2:$C$73,3,FALSE()), VLOOKUP(A208,Internal_lists_bugs!$A$2:$C$73,3,FALSE())&amp;Char(10) &amp; Char(10) &amp; VLOOKUP(A208,Internal_lists_bugs!$A$2:$Z$73,26,FALSE())),"please select a BUG ID")</f>
        <v>please select a BUG ID</v>
      </c>
      <c r="C208" s="51" t="str">
        <f>IFERROR(VLOOKUP(A208,Internal_lists_bugs!$A$2:$G847,7,FALSE()),"please select a BUG ID")</f>
        <v>please select a BUG ID</v>
      </c>
      <c r="D208" s="51" t="str">
        <f>IFERROR(VLOOKUP(A208,Internal_lists_bugs!$A$2:$I847,9,FALSE()),"please select a BUG ID")</f>
        <v>please select a BUG ID</v>
      </c>
      <c r="E208" s="52"/>
      <c r="F208" s="52"/>
      <c r="G208" s="43"/>
      <c r="H208" s="52"/>
      <c r="J208" s="52"/>
      <c r="K208" s="52"/>
    </row>
    <row r="209">
      <c r="A209" s="43"/>
      <c r="B209" s="38" t="str">
        <f>IFERROR(HYPERLINK(VLOOKUP(A209,Internal_lists_bugs!$A$2:$C$73,3,FALSE()), VLOOKUP(A209,Internal_lists_bugs!$A$2:$C$73,3,FALSE())&amp;Char(10) &amp; Char(10) &amp; VLOOKUP(A209,Internal_lists_bugs!$A$2:$Z$73,26,FALSE())),"please select a BUG ID")</f>
        <v>please select a BUG ID</v>
      </c>
      <c r="C209" s="51" t="str">
        <f>IFERROR(VLOOKUP(A209,Internal_lists_bugs!$A$2:$G847,7,FALSE()),"please select a BUG ID")</f>
        <v>please select a BUG ID</v>
      </c>
      <c r="D209" s="51" t="str">
        <f>IFERROR(VLOOKUP(A209,Internal_lists_bugs!$A$2:$I847,9,FALSE()),"please select a BUG ID")</f>
        <v>please select a BUG ID</v>
      </c>
      <c r="E209" s="52"/>
      <c r="F209" s="52"/>
      <c r="G209" s="43"/>
      <c r="H209" s="52"/>
      <c r="J209" s="52"/>
      <c r="K209" s="52"/>
    </row>
    <row r="210">
      <c r="A210" s="43"/>
      <c r="B210" s="38" t="str">
        <f>IFERROR(HYPERLINK(VLOOKUP(A210,Internal_lists_bugs!$A$2:$C$73,3,FALSE()), VLOOKUP(A210,Internal_lists_bugs!$A$2:$C$73,3,FALSE())&amp;Char(10) &amp; Char(10) &amp; VLOOKUP(A210,Internal_lists_bugs!$A$2:$Z$73,26,FALSE())),"please select a BUG ID")</f>
        <v>please select a BUG ID</v>
      </c>
      <c r="C210" s="51" t="str">
        <f>IFERROR(VLOOKUP(A210,Internal_lists_bugs!$A$2:$G847,7,FALSE()),"please select a BUG ID")</f>
        <v>please select a BUG ID</v>
      </c>
      <c r="D210" s="51" t="str">
        <f>IFERROR(VLOOKUP(A210,Internal_lists_bugs!$A$2:$I847,9,FALSE()),"please select a BUG ID")</f>
        <v>please select a BUG ID</v>
      </c>
      <c r="E210" s="52"/>
      <c r="F210" s="52"/>
      <c r="G210" s="43"/>
      <c r="H210" s="52"/>
      <c r="J210" s="52"/>
      <c r="K210" s="52"/>
    </row>
    <row r="211">
      <c r="A211" s="43"/>
      <c r="B211" s="38" t="str">
        <f>IFERROR(HYPERLINK(VLOOKUP(A211,Internal_lists_bugs!$A$2:$C$73,3,FALSE()), VLOOKUP(A211,Internal_lists_bugs!$A$2:$C$73,3,FALSE())&amp;Char(10) &amp; Char(10) &amp; VLOOKUP(A211,Internal_lists_bugs!$A$2:$Z$73,26,FALSE())),"please select a BUG ID")</f>
        <v>please select a BUG ID</v>
      </c>
      <c r="C211" s="51" t="str">
        <f>IFERROR(VLOOKUP(A211,Internal_lists_bugs!$A$2:$G847,7,FALSE()),"please select a BUG ID")</f>
        <v>please select a BUG ID</v>
      </c>
      <c r="D211" s="51" t="str">
        <f>IFERROR(VLOOKUP(A211,Internal_lists_bugs!$A$2:$I847,9,FALSE()),"please select a BUG ID")</f>
        <v>please select a BUG ID</v>
      </c>
      <c r="E211" s="52"/>
      <c r="F211" s="52"/>
      <c r="G211" s="43"/>
      <c r="H211" s="52"/>
      <c r="J211" s="52"/>
      <c r="K211" s="52"/>
    </row>
    <row r="212">
      <c r="A212" s="43"/>
      <c r="B212" s="38" t="str">
        <f>IFERROR(HYPERLINK(VLOOKUP(A212,Internal_lists_bugs!$A$2:$C$73,3,FALSE()), VLOOKUP(A212,Internal_lists_bugs!$A$2:$C$73,3,FALSE())&amp;Char(10) &amp; Char(10) &amp; VLOOKUP(A212,Internal_lists_bugs!$A$2:$Z$73,26,FALSE())),"please select a BUG ID")</f>
        <v>please select a BUG ID</v>
      </c>
      <c r="C212" s="51" t="str">
        <f>IFERROR(VLOOKUP(A212,Internal_lists_bugs!$A$2:$G847,7,FALSE()),"please select a BUG ID")</f>
        <v>please select a BUG ID</v>
      </c>
      <c r="D212" s="51" t="str">
        <f>IFERROR(VLOOKUP(A212,Internal_lists_bugs!$A$2:$I847,9,FALSE()),"please select a BUG ID")</f>
        <v>please select a BUG ID</v>
      </c>
      <c r="E212" s="52"/>
      <c r="F212" s="52"/>
      <c r="G212" s="43"/>
      <c r="H212" s="52"/>
      <c r="J212" s="52"/>
      <c r="K212" s="52"/>
    </row>
    <row r="213">
      <c r="A213" s="43"/>
      <c r="B213" s="38" t="str">
        <f>IFERROR(HYPERLINK(VLOOKUP(A213,Internal_lists_bugs!$A$2:$C$73,3,FALSE()), VLOOKUP(A213,Internal_lists_bugs!$A$2:$C$73,3,FALSE())&amp;Char(10) &amp; Char(10) &amp; VLOOKUP(A213,Internal_lists_bugs!$A$2:$Z$73,26,FALSE())),"please select a BUG ID")</f>
        <v>please select a BUG ID</v>
      </c>
      <c r="C213" s="51" t="str">
        <f>IFERROR(VLOOKUP(A213,Internal_lists_bugs!$A$2:$G847,7,FALSE()),"please select a BUG ID")</f>
        <v>please select a BUG ID</v>
      </c>
      <c r="D213" s="51" t="str">
        <f>IFERROR(VLOOKUP(A213,Internal_lists_bugs!$A$2:$I847,9,FALSE()),"please select a BUG ID")</f>
        <v>please select a BUG ID</v>
      </c>
      <c r="E213" s="52"/>
      <c r="F213" s="52"/>
      <c r="G213" s="43"/>
      <c r="H213" s="52"/>
      <c r="J213" s="52"/>
      <c r="K213" s="52"/>
    </row>
    <row r="214">
      <c r="A214" s="43"/>
      <c r="B214" s="38" t="str">
        <f>IFERROR(HYPERLINK(VLOOKUP(A214,Internal_lists_bugs!$A$2:$C$73,3,FALSE()), VLOOKUP(A214,Internal_lists_bugs!$A$2:$C$73,3,FALSE())&amp;Char(10) &amp; Char(10) &amp; VLOOKUP(A214,Internal_lists_bugs!$A$2:$Z$73,26,FALSE())),"please select a BUG ID")</f>
        <v>please select a BUG ID</v>
      </c>
      <c r="C214" s="51" t="str">
        <f>IFERROR(VLOOKUP(A214,Internal_lists_bugs!$A$2:$G847,7,FALSE()),"please select a BUG ID")</f>
        <v>please select a BUG ID</v>
      </c>
      <c r="D214" s="51" t="str">
        <f>IFERROR(VLOOKUP(A214,Internal_lists_bugs!$A$2:$I847,9,FALSE()),"please select a BUG ID")</f>
        <v>please select a BUG ID</v>
      </c>
      <c r="E214" s="52"/>
      <c r="F214" s="52"/>
      <c r="G214" s="43"/>
      <c r="H214" s="52"/>
      <c r="J214" s="52"/>
      <c r="K214" s="52"/>
    </row>
    <row r="215">
      <c r="A215" s="43"/>
      <c r="B215" s="38" t="str">
        <f>IFERROR(HYPERLINK(VLOOKUP(A215,Internal_lists_bugs!$A$2:$C$73,3,FALSE()), VLOOKUP(A215,Internal_lists_bugs!$A$2:$C$73,3,FALSE())&amp;Char(10) &amp; Char(10) &amp; VLOOKUP(A215,Internal_lists_bugs!$A$2:$Z$73,26,FALSE())),"please select a BUG ID")</f>
        <v>please select a BUG ID</v>
      </c>
      <c r="C215" s="51" t="str">
        <f>IFERROR(VLOOKUP(A215,Internal_lists_bugs!$A$2:$G847,7,FALSE()),"please select a BUG ID")</f>
        <v>please select a BUG ID</v>
      </c>
      <c r="D215" s="51" t="str">
        <f>IFERROR(VLOOKUP(A215,Internal_lists_bugs!$A$2:$I847,9,FALSE()),"please select a BUG ID")</f>
        <v>please select a BUG ID</v>
      </c>
      <c r="E215" s="52"/>
      <c r="F215" s="52"/>
      <c r="G215" s="43"/>
      <c r="H215" s="52"/>
      <c r="J215" s="52"/>
      <c r="K215" s="52"/>
    </row>
    <row r="216">
      <c r="A216" s="43"/>
      <c r="B216" s="38" t="str">
        <f>IFERROR(HYPERLINK(VLOOKUP(A216,Internal_lists_bugs!$A$2:$C$73,3,FALSE()), VLOOKUP(A216,Internal_lists_bugs!$A$2:$C$73,3,FALSE())&amp;Char(10) &amp; Char(10) &amp; VLOOKUP(A216,Internal_lists_bugs!$A$2:$Z$73,26,FALSE())),"please select a BUG ID")</f>
        <v>please select a BUG ID</v>
      </c>
      <c r="C216" s="51" t="str">
        <f>IFERROR(VLOOKUP(A216,Internal_lists_bugs!$A$2:$G847,7,FALSE()),"please select a BUG ID")</f>
        <v>please select a BUG ID</v>
      </c>
      <c r="D216" s="51" t="str">
        <f>IFERROR(VLOOKUP(A216,Internal_lists_bugs!$A$2:$I847,9,FALSE()),"please select a BUG ID")</f>
        <v>please select a BUG ID</v>
      </c>
      <c r="E216" s="52"/>
      <c r="F216" s="52"/>
      <c r="G216" s="43"/>
      <c r="H216" s="52"/>
      <c r="J216" s="52"/>
      <c r="K216" s="52"/>
    </row>
    <row r="217">
      <c r="A217" s="43"/>
      <c r="B217" s="38" t="str">
        <f>IFERROR(HYPERLINK(VLOOKUP(A217,Internal_lists_bugs!$A$2:$C$73,3,FALSE()), VLOOKUP(A217,Internal_lists_bugs!$A$2:$C$73,3,FALSE())&amp;Char(10) &amp; Char(10) &amp; VLOOKUP(A217,Internal_lists_bugs!$A$2:$Z$73,26,FALSE())),"please select a BUG ID")</f>
        <v>please select a BUG ID</v>
      </c>
      <c r="C217" s="51" t="str">
        <f>IFERROR(VLOOKUP(A217,Internal_lists_bugs!$A$2:$G847,7,FALSE()),"please select a BUG ID")</f>
        <v>please select a BUG ID</v>
      </c>
      <c r="D217" s="51" t="str">
        <f>IFERROR(VLOOKUP(A217,Internal_lists_bugs!$A$2:$I847,9,FALSE()),"please select a BUG ID")</f>
        <v>please select a BUG ID</v>
      </c>
      <c r="E217" s="52"/>
      <c r="F217" s="52"/>
      <c r="G217" s="43"/>
      <c r="H217" s="52"/>
      <c r="J217" s="52"/>
      <c r="K217" s="52"/>
    </row>
    <row r="218">
      <c r="A218" s="43"/>
      <c r="B218" s="38" t="str">
        <f>IFERROR(HYPERLINK(VLOOKUP(A218,Internal_lists_bugs!$A$2:$C$73,3,FALSE()), VLOOKUP(A218,Internal_lists_bugs!$A$2:$C$73,3,FALSE())&amp;Char(10) &amp; Char(10) &amp; VLOOKUP(A218,Internal_lists_bugs!$A$2:$Z$73,26,FALSE())),"please select a BUG ID")</f>
        <v>please select a BUG ID</v>
      </c>
      <c r="C218" s="51" t="str">
        <f>IFERROR(VLOOKUP(A218,Internal_lists_bugs!$A$2:$G847,7,FALSE()),"please select a BUG ID")</f>
        <v>please select a BUG ID</v>
      </c>
      <c r="D218" s="51" t="str">
        <f>IFERROR(VLOOKUP(A218,Internal_lists_bugs!$A$2:$I847,9,FALSE()),"please select a BUG ID")</f>
        <v>please select a BUG ID</v>
      </c>
      <c r="E218" s="52"/>
      <c r="F218" s="52"/>
      <c r="G218" s="43"/>
      <c r="H218" s="52"/>
      <c r="J218" s="52"/>
      <c r="K218" s="52"/>
    </row>
    <row r="219">
      <c r="A219" s="43"/>
      <c r="B219" s="38" t="str">
        <f>IFERROR(HYPERLINK(VLOOKUP(A219,Internal_lists_bugs!$A$2:$C$73,3,FALSE()), VLOOKUP(A219,Internal_lists_bugs!$A$2:$C$73,3,FALSE())&amp;Char(10) &amp; Char(10) &amp; VLOOKUP(A219,Internal_lists_bugs!$A$2:$Z$73,26,FALSE())),"please select a BUG ID")</f>
        <v>please select a BUG ID</v>
      </c>
      <c r="C219" s="51" t="str">
        <f>IFERROR(VLOOKUP(A219,Internal_lists_bugs!$A$2:$G847,7,FALSE()),"please select a BUG ID")</f>
        <v>please select a BUG ID</v>
      </c>
      <c r="D219" s="51" t="str">
        <f>IFERROR(VLOOKUP(A219,Internal_lists_bugs!$A$2:$I847,9,FALSE()),"please select a BUG ID")</f>
        <v>please select a BUG ID</v>
      </c>
      <c r="E219" s="52"/>
      <c r="F219" s="52"/>
      <c r="G219" s="43"/>
      <c r="H219" s="52"/>
      <c r="J219" s="52"/>
      <c r="K219" s="52"/>
    </row>
    <row r="220">
      <c r="A220" s="43"/>
      <c r="B220" s="38" t="str">
        <f>IFERROR(HYPERLINK(VLOOKUP(A220,Internal_lists_bugs!$A$2:$C$73,3,FALSE()), VLOOKUP(A220,Internal_lists_bugs!$A$2:$C$73,3,FALSE())&amp;Char(10) &amp; Char(10) &amp; VLOOKUP(A220,Internal_lists_bugs!$A$2:$Z$73,26,FALSE())),"please select a BUG ID")</f>
        <v>please select a BUG ID</v>
      </c>
      <c r="C220" s="51" t="str">
        <f>IFERROR(VLOOKUP(A220,Internal_lists_bugs!$A$2:$G847,7,FALSE()),"please select a BUG ID")</f>
        <v>please select a BUG ID</v>
      </c>
      <c r="D220" s="51" t="str">
        <f>IFERROR(VLOOKUP(A220,Internal_lists_bugs!$A$2:$I847,9,FALSE()),"please select a BUG ID")</f>
        <v>please select a BUG ID</v>
      </c>
      <c r="E220" s="52"/>
      <c r="F220" s="52"/>
      <c r="G220" s="43"/>
      <c r="H220" s="52"/>
      <c r="J220" s="52"/>
      <c r="K220" s="52"/>
    </row>
    <row r="221">
      <c r="A221" s="43"/>
      <c r="B221" s="38" t="str">
        <f>IFERROR(HYPERLINK(VLOOKUP(A221,Internal_lists_bugs!$A$2:$C$73,3,FALSE()), VLOOKUP(A221,Internal_lists_bugs!$A$2:$C$73,3,FALSE())&amp;Char(10) &amp; Char(10) &amp; VLOOKUP(A221,Internal_lists_bugs!$A$2:$Z$73,26,FALSE())),"please select a BUG ID")</f>
        <v>please select a BUG ID</v>
      </c>
      <c r="C221" s="51" t="str">
        <f>IFERROR(VLOOKUP(A221,Internal_lists_bugs!$A$2:$G847,7,FALSE()),"please select a BUG ID")</f>
        <v>please select a BUG ID</v>
      </c>
      <c r="D221" s="51" t="str">
        <f>IFERROR(VLOOKUP(A221,Internal_lists_bugs!$A$2:$I847,9,FALSE()),"please select a BUG ID")</f>
        <v>please select a BUG ID</v>
      </c>
      <c r="E221" s="52"/>
      <c r="F221" s="52"/>
      <c r="G221" s="43"/>
      <c r="H221" s="52"/>
      <c r="J221" s="52"/>
      <c r="K221" s="52"/>
    </row>
    <row r="222">
      <c r="A222" s="43"/>
      <c r="B222" s="38" t="str">
        <f>IFERROR(HYPERLINK(VLOOKUP(A222,Internal_lists_bugs!$A$2:$C$73,3,FALSE()), VLOOKUP(A222,Internal_lists_bugs!$A$2:$C$73,3,FALSE())&amp;Char(10) &amp; Char(10) &amp; VLOOKUP(A222,Internal_lists_bugs!$A$2:$Z$73,26,FALSE())),"please select a BUG ID")</f>
        <v>please select a BUG ID</v>
      </c>
      <c r="C222" s="51" t="str">
        <f>IFERROR(VLOOKUP(A222,Internal_lists_bugs!$A$2:$G847,7,FALSE()),"please select a BUG ID")</f>
        <v>please select a BUG ID</v>
      </c>
      <c r="D222" s="51" t="str">
        <f>IFERROR(VLOOKUP(A222,Internal_lists_bugs!$A$2:$I847,9,FALSE()),"please select a BUG ID")</f>
        <v>please select a BUG ID</v>
      </c>
      <c r="E222" s="52"/>
      <c r="F222" s="52"/>
      <c r="G222" s="43"/>
      <c r="H222" s="52"/>
      <c r="J222" s="52"/>
      <c r="K222" s="52"/>
    </row>
    <row r="223">
      <c r="A223" s="43"/>
      <c r="B223" s="38" t="str">
        <f>IFERROR(HYPERLINK(VLOOKUP(A223,Internal_lists_bugs!$A$2:$C$73,3,FALSE()), VLOOKUP(A223,Internal_lists_bugs!$A$2:$C$73,3,FALSE())&amp;Char(10) &amp; Char(10) &amp; VLOOKUP(A223,Internal_lists_bugs!$A$2:$Z$73,26,FALSE())),"please select a BUG ID")</f>
        <v>please select a BUG ID</v>
      </c>
      <c r="C223" s="51" t="str">
        <f>IFERROR(VLOOKUP(A223,Internal_lists_bugs!$A$2:$G847,7,FALSE()),"please select a BUG ID")</f>
        <v>please select a BUG ID</v>
      </c>
      <c r="D223" s="51" t="str">
        <f>IFERROR(VLOOKUP(A223,Internal_lists_bugs!$A$2:$I847,9,FALSE()),"please select a BUG ID")</f>
        <v>please select a BUG ID</v>
      </c>
      <c r="E223" s="52"/>
      <c r="F223" s="52"/>
      <c r="G223" s="43"/>
      <c r="H223" s="52"/>
      <c r="J223" s="52"/>
      <c r="K223" s="52"/>
    </row>
    <row r="224">
      <c r="A224" s="43"/>
      <c r="B224" s="38" t="str">
        <f>IFERROR(HYPERLINK(VLOOKUP(A224,Internal_lists_bugs!$A$2:$C$73,3,FALSE()), VLOOKUP(A224,Internal_lists_bugs!$A$2:$C$73,3,FALSE())&amp;Char(10) &amp; Char(10) &amp; VLOOKUP(A224,Internal_lists_bugs!$A$2:$Z$73,26,FALSE())),"please select a BUG ID")</f>
        <v>please select a BUG ID</v>
      </c>
      <c r="C224" s="51" t="str">
        <f>IFERROR(VLOOKUP(A224,Internal_lists_bugs!$A$2:$G847,7,FALSE()),"please select a BUG ID")</f>
        <v>please select a BUG ID</v>
      </c>
      <c r="D224" s="51" t="str">
        <f>IFERROR(VLOOKUP(A224,Internal_lists_bugs!$A$2:$I847,9,FALSE()),"please select a BUG ID")</f>
        <v>please select a BUG ID</v>
      </c>
      <c r="E224" s="52"/>
      <c r="F224" s="52"/>
      <c r="G224" s="43"/>
      <c r="H224" s="52"/>
      <c r="J224" s="52"/>
      <c r="K224" s="52"/>
    </row>
    <row r="225">
      <c r="A225" s="43"/>
      <c r="B225" s="38" t="str">
        <f>IFERROR(HYPERLINK(VLOOKUP(A225,Internal_lists_bugs!$A$2:$C$73,3,FALSE()), VLOOKUP(A225,Internal_lists_bugs!$A$2:$C$73,3,FALSE())&amp;Char(10) &amp; Char(10) &amp; VLOOKUP(A225,Internal_lists_bugs!$A$2:$Z$73,26,FALSE())),"please select a BUG ID")</f>
        <v>please select a BUG ID</v>
      </c>
      <c r="C225" s="51" t="str">
        <f>IFERROR(VLOOKUP(A225,Internal_lists_bugs!$A$2:$G847,7,FALSE()),"please select a BUG ID")</f>
        <v>please select a BUG ID</v>
      </c>
      <c r="D225" s="51" t="str">
        <f>IFERROR(VLOOKUP(A225,Internal_lists_bugs!$A$2:$I847,9,FALSE()),"please select a BUG ID")</f>
        <v>please select a BUG ID</v>
      </c>
      <c r="E225" s="52"/>
      <c r="F225" s="52"/>
      <c r="G225" s="43"/>
      <c r="H225" s="52"/>
      <c r="J225" s="52"/>
      <c r="K225" s="52"/>
    </row>
    <row r="226">
      <c r="A226" s="43"/>
      <c r="B226" s="38" t="str">
        <f>IFERROR(HYPERLINK(VLOOKUP(A226,Internal_lists_bugs!$A$2:$C$73,3,FALSE()), VLOOKUP(A226,Internal_lists_bugs!$A$2:$C$73,3,FALSE())&amp;Char(10) &amp; Char(10) &amp; VLOOKUP(A226,Internal_lists_bugs!$A$2:$Z$73,26,FALSE())),"please select a BUG ID")</f>
        <v>please select a BUG ID</v>
      </c>
      <c r="C226" s="51" t="str">
        <f>IFERROR(VLOOKUP(A226,Internal_lists_bugs!$A$2:$G847,7,FALSE()),"please select a BUG ID")</f>
        <v>please select a BUG ID</v>
      </c>
      <c r="D226" s="51" t="str">
        <f>IFERROR(VLOOKUP(A226,Internal_lists_bugs!$A$2:$I847,9,FALSE()),"please select a BUG ID")</f>
        <v>please select a BUG ID</v>
      </c>
      <c r="E226" s="52"/>
      <c r="F226" s="52"/>
      <c r="G226" s="43"/>
      <c r="H226" s="52"/>
      <c r="J226" s="52"/>
      <c r="K226" s="52"/>
    </row>
    <row r="227">
      <c r="A227" s="43"/>
      <c r="B227" s="38" t="str">
        <f>IFERROR(HYPERLINK(VLOOKUP(A227,Internal_lists_bugs!$A$2:$C$73,3,FALSE()), VLOOKUP(A227,Internal_lists_bugs!$A$2:$C$73,3,FALSE())&amp;Char(10) &amp; Char(10) &amp; VLOOKUP(A227,Internal_lists_bugs!$A$2:$Z$73,26,FALSE())),"please select a BUG ID")</f>
        <v>please select a BUG ID</v>
      </c>
      <c r="C227" s="51" t="str">
        <f>IFERROR(VLOOKUP(A227,Internal_lists_bugs!$A$2:$G847,7,FALSE()),"please select a BUG ID")</f>
        <v>please select a BUG ID</v>
      </c>
      <c r="D227" s="51" t="str">
        <f>IFERROR(VLOOKUP(A227,Internal_lists_bugs!$A$2:$I847,9,FALSE()),"please select a BUG ID")</f>
        <v>please select a BUG ID</v>
      </c>
      <c r="E227" s="52"/>
      <c r="F227" s="52"/>
      <c r="G227" s="43"/>
      <c r="H227" s="52"/>
      <c r="J227" s="52"/>
      <c r="K227" s="52"/>
    </row>
    <row r="228">
      <c r="A228" s="43"/>
      <c r="B228" s="38" t="str">
        <f>IFERROR(HYPERLINK(VLOOKUP(A228,Internal_lists_bugs!$A$2:$C$73,3,FALSE()), VLOOKUP(A228,Internal_lists_bugs!$A$2:$C$73,3,FALSE())&amp;Char(10) &amp; Char(10) &amp; VLOOKUP(A228,Internal_lists_bugs!$A$2:$Z$73,26,FALSE())),"please select a BUG ID")</f>
        <v>please select a BUG ID</v>
      </c>
      <c r="C228" s="51" t="str">
        <f>IFERROR(VLOOKUP(A228,Internal_lists_bugs!$A$2:$G847,7,FALSE()),"please select a BUG ID")</f>
        <v>please select a BUG ID</v>
      </c>
      <c r="D228" s="51" t="str">
        <f>IFERROR(VLOOKUP(A228,Internal_lists_bugs!$A$2:$I847,9,FALSE()),"please select a BUG ID")</f>
        <v>please select a BUG ID</v>
      </c>
      <c r="E228" s="52"/>
      <c r="F228" s="52"/>
      <c r="G228" s="43"/>
      <c r="H228" s="52"/>
      <c r="J228" s="52"/>
      <c r="K228" s="52"/>
    </row>
    <row r="229">
      <c r="A229" s="43"/>
      <c r="B229" s="38" t="str">
        <f>IFERROR(HYPERLINK(VLOOKUP(A229,Internal_lists_bugs!$A$2:$C$73,3,FALSE()), VLOOKUP(A229,Internal_lists_bugs!$A$2:$C$73,3,FALSE())&amp;Char(10) &amp; Char(10) &amp; VLOOKUP(A229,Internal_lists_bugs!$A$2:$Z$73,26,FALSE())),"please select a BUG ID")</f>
        <v>please select a BUG ID</v>
      </c>
      <c r="C229" s="51" t="str">
        <f>IFERROR(VLOOKUP(A229,Internal_lists_bugs!$A$2:$G847,7,FALSE()),"please select a BUG ID")</f>
        <v>please select a BUG ID</v>
      </c>
      <c r="D229" s="51" t="str">
        <f>IFERROR(VLOOKUP(A229,Internal_lists_bugs!$A$2:$I847,9,FALSE()),"please select a BUG ID")</f>
        <v>please select a BUG ID</v>
      </c>
      <c r="E229" s="52"/>
      <c r="F229" s="52"/>
      <c r="G229" s="43"/>
      <c r="H229" s="52"/>
      <c r="J229" s="52"/>
      <c r="K229" s="52"/>
    </row>
    <row r="230">
      <c r="A230" s="43"/>
      <c r="B230" s="38" t="str">
        <f>IFERROR(HYPERLINK(VLOOKUP(A230,Internal_lists_bugs!$A$2:$C$73,3,FALSE()), VLOOKUP(A230,Internal_lists_bugs!$A$2:$C$73,3,FALSE())&amp;Char(10) &amp; Char(10) &amp; VLOOKUP(A230,Internal_lists_bugs!$A$2:$Z$73,26,FALSE())),"please select a BUG ID")</f>
        <v>please select a BUG ID</v>
      </c>
      <c r="C230" s="51" t="str">
        <f>IFERROR(VLOOKUP(A230,Internal_lists_bugs!$A$2:$G847,7,FALSE()),"please select a BUG ID")</f>
        <v>please select a BUG ID</v>
      </c>
      <c r="D230" s="51" t="str">
        <f>IFERROR(VLOOKUP(A230,Internal_lists_bugs!$A$2:$I847,9,FALSE()),"please select a BUG ID")</f>
        <v>please select a BUG ID</v>
      </c>
      <c r="E230" s="52"/>
      <c r="F230" s="52"/>
      <c r="G230" s="43"/>
      <c r="H230" s="52"/>
      <c r="J230" s="52"/>
      <c r="K230" s="52"/>
    </row>
    <row r="231">
      <c r="A231" s="43"/>
      <c r="B231" s="38" t="str">
        <f>IFERROR(HYPERLINK(VLOOKUP(A231,Internal_lists_bugs!$A$2:$C$73,3,FALSE()), VLOOKUP(A231,Internal_lists_bugs!$A$2:$C$73,3,FALSE())&amp;Char(10) &amp; Char(10) &amp; VLOOKUP(A231,Internal_lists_bugs!$A$2:$Z$73,26,FALSE())),"please select a BUG ID")</f>
        <v>please select a BUG ID</v>
      </c>
      <c r="C231" s="51" t="str">
        <f>IFERROR(VLOOKUP(A231,Internal_lists_bugs!$A$2:$G847,7,FALSE()),"please select a BUG ID")</f>
        <v>please select a BUG ID</v>
      </c>
      <c r="D231" s="51" t="str">
        <f>IFERROR(VLOOKUP(A231,Internal_lists_bugs!$A$2:$I847,9,FALSE()),"please select a BUG ID")</f>
        <v>please select a BUG ID</v>
      </c>
      <c r="E231" s="52"/>
      <c r="F231" s="52"/>
      <c r="G231" s="43"/>
      <c r="H231" s="52"/>
      <c r="J231" s="52"/>
      <c r="K231" s="52"/>
    </row>
    <row r="232">
      <c r="A232" s="43"/>
      <c r="B232" s="38" t="str">
        <f>IFERROR(HYPERLINK(VLOOKUP(A232,Internal_lists_bugs!$A$2:$C$73,3,FALSE()), VLOOKUP(A232,Internal_lists_bugs!$A$2:$C$73,3,FALSE())&amp;Char(10) &amp; Char(10) &amp; VLOOKUP(A232,Internal_lists_bugs!$A$2:$Z$73,26,FALSE())),"please select a BUG ID")</f>
        <v>please select a BUG ID</v>
      </c>
      <c r="C232" s="51" t="str">
        <f>IFERROR(VLOOKUP(A232,Internal_lists_bugs!$A$2:$G847,7,FALSE()),"please select a BUG ID")</f>
        <v>please select a BUG ID</v>
      </c>
      <c r="D232" s="51" t="str">
        <f>IFERROR(VLOOKUP(A232,Internal_lists_bugs!$A$2:$I847,9,FALSE()),"please select a BUG ID")</f>
        <v>please select a BUG ID</v>
      </c>
      <c r="E232" s="52"/>
      <c r="F232" s="52"/>
      <c r="G232" s="43"/>
      <c r="H232" s="52"/>
      <c r="J232" s="52"/>
      <c r="K232" s="52"/>
    </row>
    <row r="233">
      <c r="A233" s="43"/>
      <c r="B233" s="38" t="str">
        <f>IFERROR(HYPERLINK(VLOOKUP(A233,Internal_lists_bugs!$A$2:$C$73,3,FALSE()), VLOOKUP(A233,Internal_lists_bugs!$A$2:$C$73,3,FALSE())&amp;Char(10) &amp; Char(10) &amp; VLOOKUP(A233,Internal_lists_bugs!$A$2:$Z$73,26,FALSE())),"please select a BUG ID")</f>
        <v>please select a BUG ID</v>
      </c>
      <c r="C233" s="51" t="str">
        <f>IFERROR(VLOOKUP(A233,Internal_lists_bugs!$A$2:$G847,7,FALSE()),"please select a BUG ID")</f>
        <v>please select a BUG ID</v>
      </c>
      <c r="D233" s="51" t="str">
        <f>IFERROR(VLOOKUP(A233,Internal_lists_bugs!$A$2:$I847,9,FALSE()),"please select a BUG ID")</f>
        <v>please select a BUG ID</v>
      </c>
      <c r="E233" s="52"/>
      <c r="F233" s="52"/>
      <c r="G233" s="43"/>
      <c r="H233" s="52"/>
      <c r="J233" s="52"/>
      <c r="K233" s="52"/>
    </row>
    <row r="234">
      <c r="A234" s="43"/>
      <c r="B234" s="38" t="str">
        <f>IFERROR(HYPERLINK(VLOOKUP(A234,Internal_lists_bugs!$A$2:$C$73,3,FALSE()), VLOOKUP(A234,Internal_lists_bugs!$A$2:$C$73,3,FALSE())&amp;Char(10) &amp; Char(10) &amp; VLOOKUP(A234,Internal_lists_bugs!$A$2:$Z$73,26,FALSE())),"please select a BUG ID")</f>
        <v>please select a BUG ID</v>
      </c>
      <c r="C234" s="51" t="str">
        <f>IFERROR(VLOOKUP(A234,Internal_lists_bugs!$A$2:$G847,7,FALSE()),"please select a BUG ID")</f>
        <v>please select a BUG ID</v>
      </c>
      <c r="D234" s="51" t="str">
        <f>IFERROR(VLOOKUP(A234,Internal_lists_bugs!$A$2:$I847,9,FALSE()),"please select a BUG ID")</f>
        <v>please select a BUG ID</v>
      </c>
      <c r="E234" s="52"/>
      <c r="F234" s="52"/>
      <c r="G234" s="43"/>
      <c r="H234" s="52"/>
      <c r="J234" s="52"/>
      <c r="K234" s="52"/>
    </row>
    <row r="235">
      <c r="A235" s="43"/>
      <c r="B235" s="38" t="str">
        <f>IFERROR(HYPERLINK(VLOOKUP(A235,Internal_lists_bugs!$A$2:$C$73,3,FALSE()), VLOOKUP(A235,Internal_lists_bugs!$A$2:$C$73,3,FALSE())&amp;Char(10) &amp; Char(10) &amp; VLOOKUP(A235,Internal_lists_bugs!$A$2:$Z$73,26,FALSE())),"please select a BUG ID")</f>
        <v>please select a BUG ID</v>
      </c>
      <c r="C235" s="51" t="str">
        <f>IFERROR(VLOOKUP(A235,Internal_lists_bugs!$A$2:$G847,7,FALSE()),"please select a BUG ID")</f>
        <v>please select a BUG ID</v>
      </c>
      <c r="D235" s="51" t="str">
        <f>IFERROR(VLOOKUP(A235,Internal_lists_bugs!$A$2:$I847,9,FALSE()),"please select a BUG ID")</f>
        <v>please select a BUG ID</v>
      </c>
      <c r="E235" s="52"/>
      <c r="F235" s="52"/>
      <c r="G235" s="43"/>
      <c r="H235" s="52"/>
      <c r="J235" s="52"/>
      <c r="K235" s="52"/>
    </row>
    <row r="236">
      <c r="A236" s="43"/>
      <c r="B236" s="38" t="str">
        <f>IFERROR(HYPERLINK(VLOOKUP(A236,Internal_lists_bugs!$A$2:$C$73,3,FALSE()), VLOOKUP(A236,Internal_lists_bugs!$A$2:$C$73,3,FALSE())&amp;Char(10) &amp; Char(10) &amp; VLOOKUP(A236,Internal_lists_bugs!$A$2:$Z$73,26,FALSE())),"please select a BUG ID")</f>
        <v>please select a BUG ID</v>
      </c>
      <c r="C236" s="51" t="str">
        <f>IFERROR(VLOOKUP(A236,Internal_lists_bugs!$A$2:$G847,7,FALSE()),"please select a BUG ID")</f>
        <v>please select a BUG ID</v>
      </c>
      <c r="D236" s="51" t="str">
        <f>IFERROR(VLOOKUP(A236,Internal_lists_bugs!$A$2:$I847,9,FALSE()),"please select a BUG ID")</f>
        <v>please select a BUG ID</v>
      </c>
      <c r="E236" s="52"/>
      <c r="F236" s="52"/>
      <c r="G236" s="43"/>
      <c r="H236" s="52"/>
      <c r="J236" s="52"/>
      <c r="K236" s="52"/>
    </row>
    <row r="237">
      <c r="A237" s="43"/>
      <c r="B237" s="38" t="str">
        <f>IFERROR(HYPERLINK(VLOOKUP(A237,Internal_lists_bugs!$A$2:$C$73,3,FALSE()), VLOOKUP(A237,Internal_lists_bugs!$A$2:$C$73,3,FALSE())&amp;Char(10) &amp; Char(10) &amp; VLOOKUP(A237,Internal_lists_bugs!$A$2:$Z$73,26,FALSE())),"please select a BUG ID")</f>
        <v>please select a BUG ID</v>
      </c>
      <c r="C237" s="51" t="str">
        <f>IFERROR(VLOOKUP(A237,Internal_lists_bugs!$A$2:$G847,7,FALSE()),"please select a BUG ID")</f>
        <v>please select a BUG ID</v>
      </c>
      <c r="D237" s="51" t="str">
        <f>IFERROR(VLOOKUP(A237,Internal_lists_bugs!$A$2:$I847,9,FALSE()),"please select a BUG ID")</f>
        <v>please select a BUG ID</v>
      </c>
      <c r="E237" s="52"/>
      <c r="F237" s="52"/>
      <c r="G237" s="43"/>
      <c r="H237" s="52"/>
      <c r="J237" s="52"/>
      <c r="K237" s="52"/>
    </row>
    <row r="238">
      <c r="A238" s="43"/>
      <c r="B238" s="38" t="str">
        <f>IFERROR(HYPERLINK(VLOOKUP(A238,Internal_lists_bugs!$A$2:$C$73,3,FALSE()), VLOOKUP(A238,Internal_lists_bugs!$A$2:$C$73,3,FALSE())&amp;Char(10) &amp; Char(10) &amp; VLOOKUP(A238,Internal_lists_bugs!$A$2:$Z$73,26,FALSE())),"please select a BUG ID")</f>
        <v>please select a BUG ID</v>
      </c>
      <c r="C238" s="51" t="str">
        <f>IFERROR(VLOOKUP(A238,Internal_lists_bugs!$A$2:$G847,7,FALSE()),"please select a BUG ID")</f>
        <v>please select a BUG ID</v>
      </c>
      <c r="D238" s="51" t="str">
        <f>IFERROR(VLOOKUP(A238,Internal_lists_bugs!$A$2:$I847,9,FALSE()),"please select a BUG ID")</f>
        <v>please select a BUG ID</v>
      </c>
      <c r="E238" s="52"/>
      <c r="F238" s="52"/>
      <c r="G238" s="43"/>
      <c r="H238" s="52"/>
      <c r="J238" s="52"/>
      <c r="K238" s="52"/>
    </row>
    <row r="239">
      <c r="A239" s="43"/>
      <c r="B239" s="38" t="str">
        <f>IFERROR(HYPERLINK(VLOOKUP(A239,Internal_lists_bugs!$A$2:$C$73,3,FALSE()), VLOOKUP(A239,Internal_lists_bugs!$A$2:$C$73,3,FALSE())&amp;Char(10) &amp; Char(10) &amp; VLOOKUP(A239,Internal_lists_bugs!$A$2:$Z$73,26,FALSE())),"please select a BUG ID")</f>
        <v>please select a BUG ID</v>
      </c>
      <c r="C239" s="51" t="str">
        <f>IFERROR(VLOOKUP(A239,Internal_lists_bugs!$A$2:$G847,7,FALSE()),"please select a BUG ID")</f>
        <v>please select a BUG ID</v>
      </c>
      <c r="D239" s="51" t="str">
        <f>IFERROR(VLOOKUP(A239,Internal_lists_bugs!$A$2:$I847,9,FALSE()),"please select a BUG ID")</f>
        <v>please select a BUG ID</v>
      </c>
      <c r="E239" s="52"/>
      <c r="F239" s="52"/>
      <c r="G239" s="43"/>
      <c r="H239" s="52"/>
      <c r="J239" s="52"/>
      <c r="K239" s="52"/>
    </row>
    <row r="240">
      <c r="A240" s="43"/>
      <c r="B240" s="38" t="str">
        <f>IFERROR(HYPERLINK(VLOOKUP(A240,Internal_lists_bugs!$A$2:$C$73,3,FALSE()), VLOOKUP(A240,Internal_lists_bugs!$A$2:$C$73,3,FALSE())&amp;Char(10) &amp; Char(10) &amp; VLOOKUP(A240,Internal_lists_bugs!$A$2:$Z$73,26,FALSE())),"please select a BUG ID")</f>
        <v>please select a BUG ID</v>
      </c>
      <c r="C240" s="51" t="str">
        <f>IFERROR(VLOOKUP(A240,Internal_lists_bugs!$A$2:$G847,7,FALSE()),"please select a BUG ID")</f>
        <v>please select a BUG ID</v>
      </c>
      <c r="D240" s="51" t="str">
        <f>IFERROR(VLOOKUP(A240,Internal_lists_bugs!$A$2:$I847,9,FALSE()),"please select a BUG ID")</f>
        <v>please select a BUG ID</v>
      </c>
      <c r="E240" s="52"/>
      <c r="F240" s="52"/>
      <c r="G240" s="43"/>
      <c r="H240" s="52"/>
      <c r="J240" s="52"/>
      <c r="K240" s="52"/>
    </row>
    <row r="241">
      <c r="A241" s="43"/>
      <c r="B241" s="38" t="str">
        <f>IFERROR(HYPERLINK(VLOOKUP(A241,Internal_lists_bugs!$A$2:$C$73,3,FALSE()), VLOOKUP(A241,Internal_lists_bugs!$A$2:$C$73,3,FALSE())&amp;Char(10) &amp; Char(10) &amp; VLOOKUP(A241,Internal_lists_bugs!$A$2:$Z$73,26,FALSE())),"please select a BUG ID")</f>
        <v>please select a BUG ID</v>
      </c>
      <c r="C241" s="51" t="str">
        <f>IFERROR(VLOOKUP(A241,Internal_lists_bugs!$A$2:$G847,7,FALSE()),"please select a BUG ID")</f>
        <v>please select a BUG ID</v>
      </c>
      <c r="D241" s="51" t="str">
        <f>IFERROR(VLOOKUP(A241,Internal_lists_bugs!$A$2:$I847,9,FALSE()),"please select a BUG ID")</f>
        <v>please select a BUG ID</v>
      </c>
      <c r="E241" s="52"/>
      <c r="F241" s="52"/>
      <c r="G241" s="43"/>
      <c r="H241" s="52"/>
      <c r="J241" s="52"/>
      <c r="K241" s="52"/>
    </row>
    <row r="242">
      <c r="A242" s="43"/>
      <c r="B242" s="38" t="str">
        <f>IFERROR(HYPERLINK(VLOOKUP(A242,Internal_lists_bugs!$A$2:$C$73,3,FALSE()), VLOOKUP(A242,Internal_lists_bugs!$A$2:$C$73,3,FALSE())&amp;Char(10) &amp; Char(10) &amp; VLOOKUP(A242,Internal_lists_bugs!$A$2:$Z$73,26,FALSE())),"please select a BUG ID")</f>
        <v>please select a BUG ID</v>
      </c>
      <c r="C242" s="51" t="str">
        <f>IFERROR(VLOOKUP(A242,Internal_lists_bugs!$A$2:$G847,7,FALSE()),"please select a BUG ID")</f>
        <v>please select a BUG ID</v>
      </c>
      <c r="D242" s="51" t="str">
        <f>IFERROR(VLOOKUP(A242,Internal_lists_bugs!$A$2:$I847,9,FALSE()),"please select a BUG ID")</f>
        <v>please select a BUG ID</v>
      </c>
      <c r="E242" s="52"/>
      <c r="F242" s="52"/>
      <c r="G242" s="43"/>
      <c r="H242" s="52"/>
      <c r="J242" s="52"/>
      <c r="K242" s="52"/>
    </row>
    <row r="243">
      <c r="A243" s="43"/>
      <c r="B243" s="38" t="str">
        <f>IFERROR(HYPERLINK(VLOOKUP(A243,Internal_lists_bugs!$A$2:$C$73,3,FALSE()), VLOOKUP(A243,Internal_lists_bugs!$A$2:$C$73,3,FALSE())&amp;Char(10) &amp; Char(10) &amp; VLOOKUP(A243,Internal_lists_bugs!$A$2:$Z$73,26,FALSE())),"please select a BUG ID")</f>
        <v>please select a BUG ID</v>
      </c>
      <c r="C243" s="51" t="str">
        <f>IFERROR(VLOOKUP(A243,Internal_lists_bugs!$A$2:$G847,7,FALSE()),"please select a BUG ID")</f>
        <v>please select a BUG ID</v>
      </c>
      <c r="D243" s="51" t="str">
        <f>IFERROR(VLOOKUP(A243,Internal_lists_bugs!$A$2:$I847,9,FALSE()),"please select a BUG ID")</f>
        <v>please select a BUG ID</v>
      </c>
      <c r="E243" s="52"/>
      <c r="F243" s="52"/>
      <c r="G243" s="43"/>
      <c r="H243" s="52"/>
      <c r="J243" s="52"/>
      <c r="K243" s="52"/>
    </row>
    <row r="244">
      <c r="A244" s="43"/>
      <c r="B244" s="38" t="str">
        <f>IFERROR(HYPERLINK(VLOOKUP(A244,Internal_lists_bugs!$A$2:$C$73,3,FALSE()), VLOOKUP(A244,Internal_lists_bugs!$A$2:$C$73,3,FALSE())&amp;Char(10) &amp; Char(10) &amp; VLOOKUP(A244,Internal_lists_bugs!$A$2:$Z$73,26,FALSE())),"please select a BUG ID")</f>
        <v>please select a BUG ID</v>
      </c>
      <c r="C244" s="51" t="str">
        <f>IFERROR(VLOOKUP(A244,Internal_lists_bugs!$A$2:$G847,7,FALSE()),"please select a BUG ID")</f>
        <v>please select a BUG ID</v>
      </c>
      <c r="D244" s="51" t="str">
        <f>IFERROR(VLOOKUP(A244,Internal_lists_bugs!$A$2:$I847,9,FALSE()),"please select a BUG ID")</f>
        <v>please select a BUG ID</v>
      </c>
      <c r="E244" s="52"/>
      <c r="F244" s="52"/>
      <c r="G244" s="43"/>
      <c r="H244" s="52"/>
      <c r="J244" s="52"/>
      <c r="K244" s="52"/>
    </row>
    <row r="245">
      <c r="A245" s="43"/>
      <c r="B245" s="38" t="str">
        <f>IFERROR(HYPERLINK(VLOOKUP(A245,Internal_lists_bugs!$A$2:$C$73,3,FALSE()), VLOOKUP(A245,Internal_lists_bugs!$A$2:$C$73,3,FALSE())&amp;Char(10) &amp; Char(10) &amp; VLOOKUP(A245,Internal_lists_bugs!$A$2:$Z$73,26,FALSE())),"please select a BUG ID")</f>
        <v>please select a BUG ID</v>
      </c>
      <c r="C245" s="51" t="str">
        <f>IFERROR(VLOOKUP(A245,Internal_lists_bugs!$A$2:$G847,7,FALSE()),"please select a BUG ID")</f>
        <v>please select a BUG ID</v>
      </c>
      <c r="D245" s="51" t="str">
        <f>IFERROR(VLOOKUP(A245,Internal_lists_bugs!$A$2:$I847,9,FALSE()),"please select a BUG ID")</f>
        <v>please select a BUG ID</v>
      </c>
      <c r="E245" s="52"/>
      <c r="F245" s="52"/>
      <c r="G245" s="43"/>
      <c r="H245" s="52"/>
      <c r="J245" s="52"/>
      <c r="K245" s="52"/>
    </row>
    <row r="246">
      <c r="A246" s="43"/>
      <c r="B246" s="38" t="str">
        <f>IFERROR(HYPERLINK(VLOOKUP(A246,Internal_lists_bugs!$A$2:$C$73,3,FALSE()), VLOOKUP(A246,Internal_lists_bugs!$A$2:$C$73,3,FALSE())&amp;Char(10) &amp; Char(10) &amp; VLOOKUP(A246,Internal_lists_bugs!$A$2:$Z$73,26,FALSE())),"please select a BUG ID")</f>
        <v>please select a BUG ID</v>
      </c>
      <c r="C246" s="51" t="str">
        <f>IFERROR(VLOOKUP(A246,Internal_lists_bugs!$A$2:$G847,7,FALSE()),"please select a BUG ID")</f>
        <v>please select a BUG ID</v>
      </c>
      <c r="D246" s="51" t="str">
        <f>IFERROR(VLOOKUP(A246,Internal_lists_bugs!$A$2:$I847,9,FALSE()),"please select a BUG ID")</f>
        <v>please select a BUG ID</v>
      </c>
      <c r="E246" s="52"/>
      <c r="F246" s="52"/>
      <c r="G246" s="43"/>
      <c r="H246" s="52"/>
      <c r="J246" s="52"/>
      <c r="K246" s="52"/>
    </row>
    <row r="247">
      <c r="A247" s="43"/>
      <c r="B247" s="38" t="str">
        <f>IFERROR(HYPERLINK(VLOOKUP(A247,Internal_lists_bugs!$A$2:$C$73,3,FALSE()), VLOOKUP(A247,Internal_lists_bugs!$A$2:$C$73,3,FALSE())&amp;Char(10) &amp; Char(10) &amp; VLOOKUP(A247,Internal_lists_bugs!$A$2:$Z$73,26,FALSE())),"please select a BUG ID")</f>
        <v>please select a BUG ID</v>
      </c>
      <c r="C247" s="51" t="str">
        <f>IFERROR(VLOOKUP(A247,Internal_lists_bugs!$A$2:$G847,7,FALSE()),"please select a BUG ID")</f>
        <v>please select a BUG ID</v>
      </c>
      <c r="D247" s="51" t="str">
        <f>IFERROR(VLOOKUP(A247,Internal_lists_bugs!$A$2:$I847,9,FALSE()),"please select a BUG ID")</f>
        <v>please select a BUG ID</v>
      </c>
      <c r="E247" s="52"/>
      <c r="F247" s="52"/>
      <c r="G247" s="43"/>
      <c r="H247" s="52"/>
      <c r="J247" s="52"/>
      <c r="K247" s="52"/>
    </row>
    <row r="248">
      <c r="A248" s="43"/>
      <c r="B248" s="38" t="str">
        <f>IFERROR(HYPERLINK(VLOOKUP(A248,Internal_lists_bugs!$A$2:$C$73,3,FALSE()), VLOOKUP(A248,Internal_lists_bugs!$A$2:$C$73,3,FALSE())&amp;Char(10) &amp; Char(10) &amp; VLOOKUP(A248,Internal_lists_bugs!$A$2:$Z$73,26,FALSE())),"please select a BUG ID")</f>
        <v>please select a BUG ID</v>
      </c>
      <c r="C248" s="51" t="str">
        <f>IFERROR(VLOOKUP(A248,Internal_lists_bugs!$A$2:$G847,7,FALSE()),"please select a BUG ID")</f>
        <v>please select a BUG ID</v>
      </c>
      <c r="D248" s="51" t="str">
        <f>IFERROR(VLOOKUP(A248,Internal_lists_bugs!$A$2:$I847,9,FALSE()),"please select a BUG ID")</f>
        <v>please select a BUG ID</v>
      </c>
      <c r="E248" s="52"/>
      <c r="F248" s="52"/>
      <c r="G248" s="43"/>
      <c r="H248" s="52"/>
      <c r="J248" s="52"/>
      <c r="K248" s="52"/>
    </row>
    <row r="249">
      <c r="A249" s="43"/>
      <c r="B249" s="38" t="str">
        <f>IFERROR(HYPERLINK(VLOOKUP(A249,Internal_lists_bugs!$A$2:$C$73,3,FALSE()), VLOOKUP(A249,Internal_lists_bugs!$A$2:$C$73,3,FALSE())&amp;Char(10) &amp; Char(10) &amp; VLOOKUP(A249,Internal_lists_bugs!$A$2:$Z$73,26,FALSE())),"please select a BUG ID")</f>
        <v>please select a BUG ID</v>
      </c>
      <c r="C249" s="51" t="str">
        <f>IFERROR(VLOOKUP(A249,Internal_lists_bugs!$A$2:$G847,7,FALSE()),"please select a BUG ID")</f>
        <v>please select a BUG ID</v>
      </c>
      <c r="D249" s="51" t="str">
        <f>IFERROR(VLOOKUP(A249,Internal_lists_bugs!$A$2:$I847,9,FALSE()),"please select a BUG ID")</f>
        <v>please select a BUG ID</v>
      </c>
      <c r="E249" s="52"/>
      <c r="F249" s="52"/>
      <c r="G249" s="43"/>
      <c r="H249" s="52"/>
      <c r="J249" s="52"/>
      <c r="K249" s="52"/>
    </row>
    <row r="250">
      <c r="A250" s="43"/>
      <c r="B250" s="38" t="str">
        <f>IFERROR(HYPERLINK(VLOOKUP(A250,Internal_lists_bugs!$A$2:$C$73,3,FALSE()), VLOOKUP(A250,Internal_lists_bugs!$A$2:$C$73,3,FALSE())&amp;Char(10) &amp; Char(10) &amp; VLOOKUP(A250,Internal_lists_bugs!$A$2:$Z$73,26,FALSE())),"please select a BUG ID")</f>
        <v>please select a BUG ID</v>
      </c>
      <c r="C250" s="51" t="str">
        <f>IFERROR(VLOOKUP(A250,Internal_lists_bugs!$A$2:$G847,7,FALSE()),"please select a BUG ID")</f>
        <v>please select a BUG ID</v>
      </c>
      <c r="D250" s="51" t="str">
        <f>IFERROR(VLOOKUP(A250,Internal_lists_bugs!$A$2:$I847,9,FALSE()),"please select a BUG ID")</f>
        <v>please select a BUG ID</v>
      </c>
      <c r="E250" s="52"/>
      <c r="F250" s="52"/>
      <c r="G250" s="43"/>
      <c r="H250" s="52"/>
      <c r="J250" s="52"/>
      <c r="K250" s="52"/>
    </row>
    <row r="251">
      <c r="A251" s="43"/>
      <c r="B251" s="38" t="str">
        <f>IFERROR(HYPERLINK(VLOOKUP(A251,Internal_lists_bugs!$A$2:$C$73,3,FALSE()), VLOOKUP(A251,Internal_lists_bugs!$A$2:$C$73,3,FALSE())&amp;Char(10) &amp; Char(10) &amp; VLOOKUP(A251,Internal_lists_bugs!$A$2:$Z$73,26,FALSE())),"please select a BUG ID")</f>
        <v>please select a BUG ID</v>
      </c>
      <c r="C251" s="51" t="str">
        <f>IFERROR(VLOOKUP(A251,Internal_lists_bugs!$A$2:$G847,7,FALSE()),"please select a BUG ID")</f>
        <v>please select a BUG ID</v>
      </c>
      <c r="D251" s="51" t="str">
        <f>IFERROR(VLOOKUP(A251,Internal_lists_bugs!$A$2:$I847,9,FALSE()),"please select a BUG ID")</f>
        <v>please select a BUG ID</v>
      </c>
      <c r="E251" s="52"/>
      <c r="F251" s="52"/>
      <c r="G251" s="43"/>
      <c r="H251" s="52"/>
      <c r="J251" s="52"/>
      <c r="K251" s="52"/>
    </row>
    <row r="252">
      <c r="A252" s="43"/>
      <c r="B252" s="38" t="str">
        <f>IFERROR(HYPERLINK(VLOOKUP(A252,Internal_lists_bugs!$A$2:$C$73,3,FALSE()), VLOOKUP(A252,Internal_lists_bugs!$A$2:$C$73,3,FALSE())&amp;Char(10) &amp; Char(10) &amp; VLOOKUP(A252,Internal_lists_bugs!$A$2:$Z$73,26,FALSE())),"please select a BUG ID")</f>
        <v>please select a BUG ID</v>
      </c>
      <c r="C252" s="51" t="str">
        <f>IFERROR(VLOOKUP(A252,Internal_lists_bugs!$A$2:$G847,7,FALSE()),"please select a BUG ID")</f>
        <v>please select a BUG ID</v>
      </c>
      <c r="D252" s="51" t="str">
        <f>IFERROR(VLOOKUP(A252,Internal_lists_bugs!$A$2:$I847,9,FALSE()),"please select a BUG ID")</f>
        <v>please select a BUG ID</v>
      </c>
      <c r="E252" s="52"/>
      <c r="F252" s="52"/>
      <c r="G252" s="43"/>
      <c r="H252" s="52"/>
      <c r="J252" s="52"/>
      <c r="K252" s="52"/>
    </row>
    <row r="253">
      <c r="A253" s="43"/>
      <c r="B253" s="38" t="str">
        <f>IFERROR(HYPERLINK(VLOOKUP(A253,Internal_lists_bugs!$A$2:$C$73,3,FALSE()), VLOOKUP(A253,Internal_lists_bugs!$A$2:$C$73,3,FALSE())&amp;Char(10) &amp; Char(10) &amp; VLOOKUP(A253,Internal_lists_bugs!$A$2:$Z$73,26,FALSE())),"please select a BUG ID")</f>
        <v>please select a BUG ID</v>
      </c>
      <c r="C253" s="51" t="str">
        <f>IFERROR(VLOOKUP(A253,Internal_lists_bugs!$A$2:$G847,7,FALSE()),"please select a BUG ID")</f>
        <v>please select a BUG ID</v>
      </c>
      <c r="D253" s="51" t="str">
        <f>IFERROR(VLOOKUP(A253,Internal_lists_bugs!$A$2:$I847,9,FALSE()),"please select a BUG ID")</f>
        <v>please select a BUG ID</v>
      </c>
      <c r="E253" s="52"/>
      <c r="F253" s="52"/>
      <c r="G253" s="43"/>
      <c r="H253" s="52"/>
      <c r="J253" s="52"/>
      <c r="K253" s="52"/>
    </row>
    <row r="254">
      <c r="A254" s="43"/>
      <c r="B254" s="38" t="str">
        <f>IFERROR(HYPERLINK(VLOOKUP(A254,Internal_lists_bugs!$A$2:$C$73,3,FALSE()), VLOOKUP(A254,Internal_lists_bugs!$A$2:$C$73,3,FALSE())&amp;Char(10) &amp; Char(10) &amp; VLOOKUP(A254,Internal_lists_bugs!$A$2:$Z$73,26,FALSE())),"please select a BUG ID")</f>
        <v>please select a BUG ID</v>
      </c>
      <c r="C254" s="51" t="str">
        <f>IFERROR(VLOOKUP(A254,Internal_lists_bugs!$A$2:$G847,7,FALSE()),"please select a BUG ID")</f>
        <v>please select a BUG ID</v>
      </c>
      <c r="D254" s="51" t="str">
        <f>IFERROR(VLOOKUP(A254,Internal_lists_bugs!$A$2:$I847,9,FALSE()),"please select a BUG ID")</f>
        <v>please select a BUG ID</v>
      </c>
      <c r="E254" s="52"/>
      <c r="F254" s="52"/>
      <c r="G254" s="43"/>
      <c r="H254" s="52"/>
      <c r="J254" s="52"/>
      <c r="K254" s="52"/>
    </row>
    <row r="255">
      <c r="A255" s="43"/>
      <c r="B255" s="38" t="str">
        <f>IFERROR(HYPERLINK(VLOOKUP(A255,Internal_lists_bugs!$A$2:$C$73,3,FALSE()), VLOOKUP(A255,Internal_lists_bugs!$A$2:$C$73,3,FALSE())&amp;Char(10) &amp; Char(10) &amp; VLOOKUP(A255,Internal_lists_bugs!$A$2:$Z$73,26,FALSE())),"please select a BUG ID")</f>
        <v>please select a BUG ID</v>
      </c>
      <c r="C255" s="51" t="str">
        <f>IFERROR(VLOOKUP(A255,Internal_lists_bugs!$A$2:$G847,7,FALSE()),"please select a BUG ID")</f>
        <v>please select a BUG ID</v>
      </c>
      <c r="D255" s="51" t="str">
        <f>IFERROR(VLOOKUP(A255,Internal_lists_bugs!$A$2:$I847,9,FALSE()),"please select a BUG ID")</f>
        <v>please select a BUG ID</v>
      </c>
      <c r="E255" s="52"/>
      <c r="F255" s="52"/>
      <c r="G255" s="43"/>
      <c r="H255" s="52"/>
      <c r="J255" s="52"/>
      <c r="K255" s="52"/>
    </row>
    <row r="256">
      <c r="A256" s="43"/>
      <c r="B256" s="38" t="str">
        <f>IFERROR(HYPERLINK(VLOOKUP(A256,Internal_lists_bugs!$A$2:$C$73,3,FALSE()), VLOOKUP(A256,Internal_lists_bugs!$A$2:$C$73,3,FALSE())&amp;Char(10) &amp; Char(10) &amp; VLOOKUP(A256,Internal_lists_bugs!$A$2:$Z$73,26,FALSE())),"please select a BUG ID")</f>
        <v>please select a BUG ID</v>
      </c>
      <c r="C256" s="51" t="str">
        <f>IFERROR(VLOOKUP(A256,Internal_lists_bugs!$A$2:$G847,7,FALSE()),"please select a BUG ID")</f>
        <v>please select a BUG ID</v>
      </c>
      <c r="D256" s="51" t="str">
        <f>IFERROR(VLOOKUP(A256,Internal_lists_bugs!$A$2:$I847,9,FALSE()),"please select a BUG ID")</f>
        <v>please select a BUG ID</v>
      </c>
      <c r="E256" s="52"/>
      <c r="F256" s="52"/>
      <c r="G256" s="43"/>
      <c r="H256" s="52"/>
      <c r="J256" s="52"/>
      <c r="K256" s="52"/>
    </row>
    <row r="257">
      <c r="A257" s="43"/>
      <c r="B257" s="38" t="str">
        <f>IFERROR(HYPERLINK(VLOOKUP(A257,Internal_lists_bugs!$A$2:$C$73,3,FALSE()), VLOOKUP(A257,Internal_lists_bugs!$A$2:$C$73,3,FALSE())&amp;Char(10) &amp; Char(10) &amp; VLOOKUP(A257,Internal_lists_bugs!$A$2:$Z$73,26,FALSE())),"please select a BUG ID")</f>
        <v>please select a BUG ID</v>
      </c>
      <c r="C257" s="51" t="str">
        <f>IFERROR(VLOOKUP(A257,Internal_lists_bugs!$A$2:$G847,7,FALSE()),"please select a BUG ID")</f>
        <v>please select a BUG ID</v>
      </c>
      <c r="D257" s="51" t="str">
        <f>IFERROR(VLOOKUP(A257,Internal_lists_bugs!$A$2:$I847,9,FALSE()),"please select a BUG ID")</f>
        <v>please select a BUG ID</v>
      </c>
      <c r="E257" s="52"/>
      <c r="F257" s="52"/>
      <c r="G257" s="43"/>
      <c r="H257" s="52"/>
      <c r="J257" s="52"/>
      <c r="K257" s="52"/>
    </row>
    <row r="258">
      <c r="A258" s="43"/>
      <c r="B258" s="38" t="str">
        <f>IFERROR(HYPERLINK(VLOOKUP(A258,Internal_lists_bugs!$A$2:$C$73,3,FALSE()), VLOOKUP(A258,Internal_lists_bugs!$A$2:$C$73,3,FALSE())&amp;Char(10) &amp; Char(10) &amp; VLOOKUP(A258,Internal_lists_bugs!$A$2:$Z$73,26,FALSE())),"please select a BUG ID")</f>
        <v>please select a BUG ID</v>
      </c>
      <c r="C258" s="51" t="str">
        <f>IFERROR(VLOOKUP(A258,Internal_lists_bugs!$A$2:$G847,7,FALSE()),"please select a BUG ID")</f>
        <v>please select a BUG ID</v>
      </c>
      <c r="D258" s="51" t="str">
        <f>IFERROR(VLOOKUP(A258,Internal_lists_bugs!$A$2:$I847,9,FALSE()),"please select a BUG ID")</f>
        <v>please select a BUG ID</v>
      </c>
      <c r="E258" s="52"/>
      <c r="F258" s="52"/>
      <c r="G258" s="43"/>
      <c r="H258" s="52"/>
      <c r="J258" s="52"/>
      <c r="K258" s="52"/>
    </row>
    <row r="259">
      <c r="A259" s="43"/>
      <c r="B259" s="38" t="str">
        <f>IFERROR(HYPERLINK(VLOOKUP(A259,Internal_lists_bugs!$A$2:$C$73,3,FALSE()), VLOOKUP(A259,Internal_lists_bugs!$A$2:$C$73,3,FALSE())&amp;Char(10) &amp; Char(10) &amp; VLOOKUP(A259,Internal_lists_bugs!$A$2:$Z$73,26,FALSE())),"please select a BUG ID")</f>
        <v>please select a BUG ID</v>
      </c>
      <c r="C259" s="51" t="str">
        <f>IFERROR(VLOOKUP(A259,Internal_lists_bugs!$A$2:$G847,7,FALSE()),"please select a BUG ID")</f>
        <v>please select a BUG ID</v>
      </c>
      <c r="D259" s="51" t="str">
        <f>IFERROR(VLOOKUP(A259,Internal_lists_bugs!$A$2:$I847,9,FALSE()),"please select a BUG ID")</f>
        <v>please select a BUG ID</v>
      </c>
      <c r="E259" s="52"/>
      <c r="F259" s="52"/>
      <c r="G259" s="43"/>
      <c r="H259" s="52"/>
      <c r="J259" s="52"/>
      <c r="K259" s="52"/>
    </row>
    <row r="260">
      <c r="A260" s="43"/>
      <c r="B260" s="38" t="str">
        <f>IFERROR(HYPERLINK(VLOOKUP(A260,Internal_lists_bugs!$A$2:$C$73,3,FALSE()), VLOOKUP(A260,Internal_lists_bugs!$A$2:$C$73,3,FALSE())&amp;Char(10) &amp; Char(10) &amp; VLOOKUP(A260,Internal_lists_bugs!$A$2:$Z$73,26,FALSE())),"please select a BUG ID")</f>
        <v>please select a BUG ID</v>
      </c>
      <c r="C260" s="51" t="str">
        <f>IFERROR(VLOOKUP(A260,Internal_lists_bugs!$A$2:$G847,7,FALSE()),"please select a BUG ID")</f>
        <v>please select a BUG ID</v>
      </c>
      <c r="D260" s="51" t="str">
        <f>IFERROR(VLOOKUP(A260,Internal_lists_bugs!$A$2:$I847,9,FALSE()),"please select a BUG ID")</f>
        <v>please select a BUG ID</v>
      </c>
      <c r="E260" s="52"/>
      <c r="F260" s="52"/>
      <c r="G260" s="43"/>
      <c r="H260" s="52"/>
      <c r="J260" s="52"/>
      <c r="K260" s="52"/>
    </row>
    <row r="261">
      <c r="A261" s="43"/>
      <c r="B261" s="38" t="str">
        <f>IFERROR(HYPERLINK(VLOOKUP(A261,Internal_lists_bugs!$A$2:$C$73,3,FALSE()), VLOOKUP(A261,Internal_lists_bugs!$A$2:$C$73,3,FALSE())&amp;Char(10) &amp; Char(10) &amp; VLOOKUP(A261,Internal_lists_bugs!$A$2:$Z$73,26,FALSE())),"please select a BUG ID")</f>
        <v>please select a BUG ID</v>
      </c>
      <c r="C261" s="51" t="str">
        <f>IFERROR(VLOOKUP(A261,Internal_lists_bugs!$A$2:$G847,7,FALSE()),"please select a BUG ID")</f>
        <v>please select a BUG ID</v>
      </c>
      <c r="D261" s="51" t="str">
        <f>IFERROR(VLOOKUP(A261,Internal_lists_bugs!$A$2:$I847,9,FALSE()),"please select a BUG ID")</f>
        <v>please select a BUG ID</v>
      </c>
      <c r="E261" s="52"/>
      <c r="F261" s="52"/>
      <c r="G261" s="43"/>
      <c r="H261" s="52"/>
      <c r="J261" s="52"/>
      <c r="K261" s="52"/>
    </row>
    <row r="262">
      <c r="A262" s="43"/>
      <c r="B262" s="38" t="str">
        <f>IFERROR(HYPERLINK(VLOOKUP(A262,Internal_lists_bugs!$A$2:$C$73,3,FALSE()), VLOOKUP(A262,Internal_lists_bugs!$A$2:$C$73,3,FALSE())&amp;Char(10) &amp; Char(10) &amp; VLOOKUP(A262,Internal_lists_bugs!$A$2:$Z$73,26,FALSE())),"please select a BUG ID")</f>
        <v>please select a BUG ID</v>
      </c>
      <c r="C262" s="51" t="str">
        <f>IFERROR(VLOOKUP(A262,Internal_lists_bugs!$A$2:$G847,7,FALSE()),"please select a BUG ID")</f>
        <v>please select a BUG ID</v>
      </c>
      <c r="D262" s="51" t="str">
        <f>IFERROR(VLOOKUP(A262,Internal_lists_bugs!$A$2:$I847,9,FALSE()),"please select a BUG ID")</f>
        <v>please select a BUG ID</v>
      </c>
      <c r="E262" s="52"/>
      <c r="F262" s="52"/>
      <c r="G262" s="43"/>
      <c r="H262" s="52"/>
      <c r="J262" s="52"/>
      <c r="K262" s="52"/>
    </row>
    <row r="263">
      <c r="A263" s="43"/>
      <c r="B263" s="38" t="str">
        <f>IFERROR(HYPERLINK(VLOOKUP(A263,Internal_lists_bugs!$A$2:$C$73,3,FALSE()), VLOOKUP(A263,Internal_lists_bugs!$A$2:$C$73,3,FALSE())&amp;Char(10) &amp; Char(10) &amp; VLOOKUP(A263,Internal_lists_bugs!$A$2:$Z$73,26,FALSE())),"please select a BUG ID")</f>
        <v>please select a BUG ID</v>
      </c>
      <c r="C263" s="51" t="str">
        <f>IFERROR(VLOOKUP(A263,Internal_lists_bugs!$A$2:$G847,7,FALSE()),"please select a BUG ID")</f>
        <v>please select a BUG ID</v>
      </c>
      <c r="D263" s="51" t="str">
        <f>IFERROR(VLOOKUP(A263,Internal_lists_bugs!$A$2:$I847,9,FALSE()),"please select a BUG ID")</f>
        <v>please select a BUG ID</v>
      </c>
      <c r="E263" s="52"/>
      <c r="F263" s="52"/>
      <c r="G263" s="43"/>
      <c r="H263" s="52"/>
      <c r="J263" s="52"/>
      <c r="K263" s="52"/>
    </row>
    <row r="264">
      <c r="A264" s="43"/>
      <c r="B264" s="38" t="str">
        <f>IFERROR(HYPERLINK(VLOOKUP(A264,Internal_lists_bugs!$A$2:$C$73,3,FALSE()), VLOOKUP(A264,Internal_lists_bugs!$A$2:$C$73,3,FALSE())&amp;Char(10) &amp; Char(10) &amp; VLOOKUP(A264,Internal_lists_bugs!$A$2:$Z$73,26,FALSE())),"please select a BUG ID")</f>
        <v>please select a BUG ID</v>
      </c>
      <c r="C264" s="51" t="str">
        <f>IFERROR(VLOOKUP(A264,Internal_lists_bugs!$A$2:$G847,7,FALSE()),"please select a BUG ID")</f>
        <v>please select a BUG ID</v>
      </c>
      <c r="D264" s="51" t="str">
        <f>IFERROR(VLOOKUP(A264,Internal_lists_bugs!$A$2:$I847,9,FALSE()),"please select a BUG ID")</f>
        <v>please select a BUG ID</v>
      </c>
      <c r="E264" s="52"/>
      <c r="F264" s="52"/>
      <c r="G264" s="43"/>
      <c r="H264" s="52"/>
      <c r="J264" s="52"/>
      <c r="K264" s="52"/>
    </row>
    <row r="265">
      <c r="A265" s="43"/>
      <c r="B265" s="38" t="str">
        <f>IFERROR(HYPERLINK(VLOOKUP(A265,Internal_lists_bugs!$A$2:$C$73,3,FALSE()), VLOOKUP(A265,Internal_lists_bugs!$A$2:$C$73,3,FALSE())&amp;Char(10) &amp; Char(10) &amp; VLOOKUP(A265,Internal_lists_bugs!$A$2:$Z$73,26,FALSE())),"please select a BUG ID")</f>
        <v>please select a BUG ID</v>
      </c>
      <c r="C265" s="51" t="str">
        <f>IFERROR(VLOOKUP(A265,Internal_lists_bugs!$A$2:$G847,7,FALSE()),"please select a BUG ID")</f>
        <v>please select a BUG ID</v>
      </c>
      <c r="D265" s="51" t="str">
        <f>IFERROR(VLOOKUP(A265,Internal_lists_bugs!$A$2:$I847,9,FALSE()),"please select a BUG ID")</f>
        <v>please select a BUG ID</v>
      </c>
      <c r="E265" s="52"/>
      <c r="F265" s="52"/>
      <c r="G265" s="43"/>
      <c r="H265" s="52"/>
      <c r="J265" s="52"/>
      <c r="K265" s="52"/>
    </row>
    <row r="266">
      <c r="A266" s="43"/>
      <c r="B266" s="38" t="str">
        <f>IFERROR(HYPERLINK(VLOOKUP(A266,Internal_lists_bugs!$A$2:$C$73,3,FALSE()), VLOOKUP(A266,Internal_lists_bugs!$A$2:$C$73,3,FALSE())&amp;Char(10) &amp; Char(10) &amp; VLOOKUP(A266,Internal_lists_bugs!$A$2:$Z$73,26,FALSE())),"please select a BUG ID")</f>
        <v>please select a BUG ID</v>
      </c>
      <c r="C266" s="51" t="str">
        <f>IFERROR(VLOOKUP(A266,Internal_lists_bugs!$A$2:$G847,7,FALSE()),"please select a BUG ID")</f>
        <v>please select a BUG ID</v>
      </c>
      <c r="D266" s="51" t="str">
        <f>IFERROR(VLOOKUP(A266,Internal_lists_bugs!$A$2:$I847,9,FALSE()),"please select a BUG ID")</f>
        <v>please select a BUG ID</v>
      </c>
      <c r="E266" s="52"/>
      <c r="F266" s="52"/>
      <c r="G266" s="43"/>
      <c r="H266" s="52"/>
      <c r="J266" s="52"/>
      <c r="K266" s="52"/>
    </row>
    <row r="267">
      <c r="A267" s="43"/>
      <c r="B267" s="38" t="str">
        <f>IFERROR(HYPERLINK(VLOOKUP(A267,Internal_lists_bugs!$A$2:$C$73,3,FALSE()), VLOOKUP(A267,Internal_lists_bugs!$A$2:$C$73,3,FALSE())&amp;Char(10) &amp; Char(10) &amp; VLOOKUP(A267,Internal_lists_bugs!$A$2:$Z$73,26,FALSE())),"please select a BUG ID")</f>
        <v>please select a BUG ID</v>
      </c>
      <c r="C267" s="51" t="str">
        <f>IFERROR(VLOOKUP(A267,Internal_lists_bugs!$A$2:$G847,7,FALSE()),"please select a BUG ID")</f>
        <v>please select a BUG ID</v>
      </c>
      <c r="D267" s="51" t="str">
        <f>IFERROR(VLOOKUP(A267,Internal_lists_bugs!$A$2:$I847,9,FALSE()),"please select a BUG ID")</f>
        <v>please select a BUG ID</v>
      </c>
      <c r="E267" s="52"/>
      <c r="F267" s="52"/>
      <c r="G267" s="43"/>
      <c r="H267" s="52"/>
      <c r="J267" s="52"/>
      <c r="K267" s="52"/>
    </row>
    <row r="268">
      <c r="A268" s="43"/>
      <c r="B268" s="38" t="str">
        <f>IFERROR(HYPERLINK(VLOOKUP(A268,Internal_lists_bugs!$A$2:$C$73,3,FALSE()), VLOOKUP(A268,Internal_lists_bugs!$A$2:$C$73,3,FALSE())&amp;Char(10) &amp; Char(10) &amp; VLOOKUP(A268,Internal_lists_bugs!$A$2:$Z$73,26,FALSE())),"please select a BUG ID")</f>
        <v>please select a BUG ID</v>
      </c>
      <c r="C268" s="51" t="str">
        <f>IFERROR(VLOOKUP(A268,Internal_lists_bugs!$A$2:$G847,7,FALSE()),"please select a BUG ID")</f>
        <v>please select a BUG ID</v>
      </c>
      <c r="D268" s="51" t="str">
        <f>IFERROR(VLOOKUP(A268,Internal_lists_bugs!$A$2:$I847,9,FALSE()),"please select a BUG ID")</f>
        <v>please select a BUG ID</v>
      </c>
      <c r="E268" s="52"/>
      <c r="F268" s="52"/>
      <c r="G268" s="43"/>
      <c r="H268" s="52"/>
      <c r="J268" s="52"/>
      <c r="K268" s="52"/>
    </row>
    <row r="269">
      <c r="A269" s="43"/>
      <c r="B269" s="38" t="str">
        <f>IFERROR(HYPERLINK(VLOOKUP(A269,Internal_lists_bugs!$A$2:$C$73,3,FALSE()), VLOOKUP(A269,Internal_lists_bugs!$A$2:$C$73,3,FALSE())&amp;Char(10) &amp; Char(10) &amp; VLOOKUP(A269,Internal_lists_bugs!$A$2:$Z$73,26,FALSE())),"please select a BUG ID")</f>
        <v>please select a BUG ID</v>
      </c>
      <c r="C269" s="51" t="str">
        <f>IFERROR(VLOOKUP(A269,Internal_lists_bugs!$A$2:$G847,7,FALSE()),"please select a BUG ID")</f>
        <v>please select a BUG ID</v>
      </c>
      <c r="D269" s="51" t="str">
        <f>IFERROR(VLOOKUP(A269,Internal_lists_bugs!$A$2:$I847,9,FALSE()),"please select a BUG ID")</f>
        <v>please select a BUG ID</v>
      </c>
      <c r="E269" s="52"/>
      <c r="F269" s="52"/>
      <c r="G269" s="43"/>
      <c r="H269" s="52"/>
      <c r="J269" s="52"/>
      <c r="K269" s="52"/>
    </row>
    <row r="270">
      <c r="A270" s="43"/>
      <c r="B270" s="38" t="str">
        <f>IFERROR(HYPERLINK(VLOOKUP(A270,Internal_lists_bugs!$A$2:$C$73,3,FALSE()), VLOOKUP(A270,Internal_lists_bugs!$A$2:$C$73,3,FALSE())&amp;Char(10) &amp; Char(10) &amp; VLOOKUP(A270,Internal_lists_bugs!$A$2:$Z$73,26,FALSE())),"please select a BUG ID")</f>
        <v>please select a BUG ID</v>
      </c>
      <c r="C270" s="51" t="str">
        <f>IFERROR(VLOOKUP(A270,Internal_lists_bugs!$A$2:$G847,7,FALSE()),"please select a BUG ID")</f>
        <v>please select a BUG ID</v>
      </c>
      <c r="D270" s="51" t="str">
        <f>IFERROR(VLOOKUP(A270,Internal_lists_bugs!$A$2:$I847,9,FALSE()),"please select a BUG ID")</f>
        <v>please select a BUG ID</v>
      </c>
      <c r="E270" s="52"/>
      <c r="F270" s="52"/>
      <c r="G270" s="43"/>
      <c r="H270" s="52"/>
      <c r="J270" s="52"/>
      <c r="K270" s="52"/>
    </row>
    <row r="271">
      <c r="A271" s="43"/>
      <c r="B271" s="38" t="str">
        <f>IFERROR(HYPERLINK(VLOOKUP(A271,Internal_lists_bugs!$A$2:$C$73,3,FALSE()), VLOOKUP(A271,Internal_lists_bugs!$A$2:$C$73,3,FALSE())&amp;Char(10) &amp; Char(10) &amp; VLOOKUP(A271,Internal_lists_bugs!$A$2:$Z$73,26,FALSE())),"please select a BUG ID")</f>
        <v>please select a BUG ID</v>
      </c>
      <c r="C271" s="51" t="str">
        <f>IFERROR(VLOOKUP(A271,Internal_lists_bugs!$A$2:$G847,7,FALSE()),"please select a BUG ID")</f>
        <v>please select a BUG ID</v>
      </c>
      <c r="D271" s="51" t="str">
        <f>IFERROR(VLOOKUP(A271,Internal_lists_bugs!$A$2:$I847,9,FALSE()),"please select a BUG ID")</f>
        <v>please select a BUG ID</v>
      </c>
      <c r="E271" s="52"/>
      <c r="F271" s="52"/>
      <c r="G271" s="43"/>
      <c r="H271" s="52"/>
      <c r="J271" s="52"/>
      <c r="K271" s="52"/>
    </row>
    <row r="272">
      <c r="A272" s="43"/>
      <c r="B272" s="38" t="str">
        <f>IFERROR(HYPERLINK(VLOOKUP(A272,Internal_lists_bugs!$A$2:$C$73,3,FALSE()), VLOOKUP(A272,Internal_lists_bugs!$A$2:$C$73,3,FALSE())&amp;Char(10) &amp; Char(10) &amp; VLOOKUP(A272,Internal_lists_bugs!$A$2:$Z$73,26,FALSE())),"please select a BUG ID")</f>
        <v>please select a BUG ID</v>
      </c>
      <c r="C272" s="51" t="str">
        <f>IFERROR(VLOOKUP(A272,Internal_lists_bugs!$A$2:$G847,7,FALSE()),"please select a BUG ID")</f>
        <v>please select a BUG ID</v>
      </c>
      <c r="D272" s="51" t="str">
        <f>IFERROR(VLOOKUP(A272,Internal_lists_bugs!$A$2:$I847,9,FALSE()),"please select a BUG ID")</f>
        <v>please select a BUG ID</v>
      </c>
      <c r="E272" s="52"/>
      <c r="F272" s="52"/>
      <c r="G272" s="43"/>
      <c r="H272" s="52"/>
      <c r="J272" s="52"/>
      <c r="K272" s="52"/>
    </row>
    <row r="273">
      <c r="A273" s="43"/>
      <c r="B273" s="38" t="str">
        <f>IFERROR(HYPERLINK(VLOOKUP(A273,Internal_lists_bugs!$A$2:$C$73,3,FALSE()), VLOOKUP(A273,Internal_lists_bugs!$A$2:$C$73,3,FALSE())&amp;Char(10) &amp; Char(10) &amp; VLOOKUP(A273,Internal_lists_bugs!$A$2:$Z$73,26,FALSE())),"please select a BUG ID")</f>
        <v>please select a BUG ID</v>
      </c>
      <c r="C273" s="51" t="str">
        <f>IFERROR(VLOOKUP(A273,Internal_lists_bugs!$A$2:$G847,7,FALSE()),"please select a BUG ID")</f>
        <v>please select a BUG ID</v>
      </c>
      <c r="D273" s="51" t="str">
        <f>IFERROR(VLOOKUP(A273,Internal_lists_bugs!$A$2:$I847,9,FALSE()),"please select a BUG ID")</f>
        <v>please select a BUG ID</v>
      </c>
      <c r="E273" s="52"/>
      <c r="F273" s="52"/>
      <c r="G273" s="43"/>
      <c r="H273" s="52"/>
      <c r="J273" s="52"/>
      <c r="K273" s="52"/>
    </row>
    <row r="274">
      <c r="A274" s="43"/>
      <c r="B274" s="38" t="str">
        <f>IFERROR(HYPERLINK(VLOOKUP(A274,Internal_lists_bugs!$A$2:$C$73,3,FALSE()), VLOOKUP(A274,Internal_lists_bugs!$A$2:$C$73,3,FALSE())&amp;Char(10) &amp; Char(10) &amp; VLOOKUP(A274,Internal_lists_bugs!$A$2:$Z$73,26,FALSE())),"please select a BUG ID")</f>
        <v>please select a BUG ID</v>
      </c>
      <c r="C274" s="51" t="str">
        <f>IFERROR(VLOOKUP(A274,Internal_lists_bugs!$A$2:$G847,7,FALSE()),"please select a BUG ID")</f>
        <v>please select a BUG ID</v>
      </c>
      <c r="D274" s="51" t="str">
        <f>IFERROR(VLOOKUP(A274,Internal_lists_bugs!$A$2:$I847,9,FALSE()),"please select a BUG ID")</f>
        <v>please select a BUG ID</v>
      </c>
      <c r="E274" s="52"/>
      <c r="F274" s="52"/>
      <c r="G274" s="43"/>
      <c r="H274" s="52"/>
      <c r="J274" s="52"/>
      <c r="K274" s="52"/>
    </row>
    <row r="275">
      <c r="A275" s="43"/>
      <c r="B275" s="38" t="str">
        <f>IFERROR(HYPERLINK(VLOOKUP(A275,Internal_lists_bugs!$A$2:$C$73,3,FALSE()), VLOOKUP(A275,Internal_lists_bugs!$A$2:$C$73,3,FALSE())&amp;Char(10) &amp; Char(10) &amp; VLOOKUP(A275,Internal_lists_bugs!$A$2:$Z$73,26,FALSE())),"please select a BUG ID")</f>
        <v>please select a BUG ID</v>
      </c>
      <c r="C275" s="51" t="str">
        <f>IFERROR(VLOOKUP(A275,Internal_lists_bugs!$A$2:$G847,7,FALSE()),"please select a BUG ID")</f>
        <v>please select a BUG ID</v>
      </c>
      <c r="D275" s="51" t="str">
        <f>IFERROR(VLOOKUP(A275,Internal_lists_bugs!$A$2:$I847,9,FALSE()),"please select a BUG ID")</f>
        <v>please select a BUG ID</v>
      </c>
      <c r="E275" s="52"/>
      <c r="F275" s="52"/>
      <c r="G275" s="43"/>
      <c r="H275" s="52"/>
      <c r="J275" s="52"/>
      <c r="K275" s="52"/>
    </row>
    <row r="276">
      <c r="A276" s="43"/>
      <c r="B276" s="38" t="str">
        <f>IFERROR(HYPERLINK(VLOOKUP(A276,Internal_lists_bugs!$A$2:$C$73,3,FALSE()), VLOOKUP(A276,Internal_lists_bugs!$A$2:$C$73,3,FALSE())&amp;Char(10) &amp; Char(10) &amp; VLOOKUP(A276,Internal_lists_bugs!$A$2:$Z$73,26,FALSE())),"please select a BUG ID")</f>
        <v>please select a BUG ID</v>
      </c>
      <c r="C276" s="51" t="str">
        <f>IFERROR(VLOOKUP(A276,Internal_lists_bugs!$A$2:$G847,7,FALSE()),"please select a BUG ID")</f>
        <v>please select a BUG ID</v>
      </c>
      <c r="D276" s="51" t="str">
        <f>IFERROR(VLOOKUP(A276,Internal_lists_bugs!$A$2:$I847,9,FALSE()),"please select a BUG ID")</f>
        <v>please select a BUG ID</v>
      </c>
      <c r="E276" s="52"/>
      <c r="F276" s="52"/>
      <c r="G276" s="43"/>
      <c r="H276" s="52"/>
      <c r="J276" s="52"/>
      <c r="K276" s="52"/>
    </row>
    <row r="277">
      <c r="A277" s="43"/>
      <c r="B277" s="38" t="str">
        <f>IFERROR(HYPERLINK(VLOOKUP(A277,Internal_lists_bugs!$A$2:$C$73,3,FALSE()), VLOOKUP(A277,Internal_lists_bugs!$A$2:$C$73,3,FALSE())&amp;Char(10) &amp; Char(10) &amp; VLOOKUP(A277,Internal_lists_bugs!$A$2:$Z$73,26,FALSE())),"please select a BUG ID")</f>
        <v>please select a BUG ID</v>
      </c>
      <c r="C277" s="51" t="str">
        <f>IFERROR(VLOOKUP(A277,Internal_lists_bugs!$A$2:$G847,7,FALSE()),"please select a BUG ID")</f>
        <v>please select a BUG ID</v>
      </c>
      <c r="D277" s="51" t="str">
        <f>IFERROR(VLOOKUP(A277,Internal_lists_bugs!$A$2:$I847,9,FALSE()),"please select a BUG ID")</f>
        <v>please select a BUG ID</v>
      </c>
      <c r="E277" s="52"/>
      <c r="F277" s="52"/>
      <c r="G277" s="43"/>
      <c r="H277" s="52"/>
      <c r="J277" s="52"/>
      <c r="K277" s="52"/>
    </row>
    <row r="278">
      <c r="A278" s="43"/>
      <c r="B278" s="38" t="str">
        <f>IFERROR(HYPERLINK(VLOOKUP(A278,Internal_lists_bugs!$A$2:$C$73,3,FALSE()), VLOOKUP(A278,Internal_lists_bugs!$A$2:$C$73,3,FALSE())&amp;Char(10) &amp; Char(10) &amp; VLOOKUP(A278,Internal_lists_bugs!$A$2:$Z$73,26,FALSE())),"please select a BUG ID")</f>
        <v>please select a BUG ID</v>
      </c>
      <c r="C278" s="51" t="str">
        <f>IFERROR(VLOOKUP(A278,Internal_lists_bugs!$A$2:$G847,7,FALSE()),"please select a BUG ID")</f>
        <v>please select a BUG ID</v>
      </c>
      <c r="D278" s="51" t="str">
        <f>IFERROR(VLOOKUP(A278,Internal_lists_bugs!$A$2:$I847,9,FALSE()),"please select a BUG ID")</f>
        <v>please select a BUG ID</v>
      </c>
      <c r="E278" s="52"/>
      <c r="F278" s="52"/>
      <c r="G278" s="43"/>
      <c r="H278" s="52"/>
      <c r="J278" s="52"/>
      <c r="K278" s="52"/>
    </row>
    <row r="279">
      <c r="A279" s="43"/>
      <c r="B279" s="38" t="str">
        <f>IFERROR(HYPERLINK(VLOOKUP(A279,Internal_lists_bugs!$A$2:$C$73,3,FALSE()), VLOOKUP(A279,Internal_lists_bugs!$A$2:$C$73,3,FALSE())&amp;Char(10) &amp; Char(10) &amp; VLOOKUP(A279,Internal_lists_bugs!$A$2:$Z$73,26,FALSE())),"please select a BUG ID")</f>
        <v>please select a BUG ID</v>
      </c>
      <c r="C279" s="51" t="str">
        <f>IFERROR(VLOOKUP(A279,Internal_lists_bugs!$A$2:$G847,7,FALSE()),"please select a BUG ID")</f>
        <v>please select a BUG ID</v>
      </c>
      <c r="D279" s="51" t="str">
        <f>IFERROR(VLOOKUP(A279,Internal_lists_bugs!$A$2:$I847,9,FALSE()),"please select a BUG ID")</f>
        <v>please select a BUG ID</v>
      </c>
      <c r="E279" s="52"/>
      <c r="F279" s="52"/>
      <c r="G279" s="43"/>
      <c r="H279" s="52"/>
      <c r="J279" s="52"/>
      <c r="K279" s="52"/>
    </row>
    <row r="280">
      <c r="A280" s="43"/>
      <c r="B280" s="38" t="str">
        <f>IFERROR(HYPERLINK(VLOOKUP(A280,Internal_lists_bugs!$A$2:$C$73,3,FALSE()), VLOOKUP(A280,Internal_lists_bugs!$A$2:$C$73,3,FALSE())&amp;Char(10) &amp; Char(10) &amp; VLOOKUP(A280,Internal_lists_bugs!$A$2:$Z$73,26,FALSE())),"please select a BUG ID")</f>
        <v>please select a BUG ID</v>
      </c>
      <c r="C280" s="51" t="str">
        <f>IFERROR(VLOOKUP(A280,Internal_lists_bugs!$A$2:$G847,7,FALSE()),"please select a BUG ID")</f>
        <v>please select a BUG ID</v>
      </c>
      <c r="D280" s="51" t="str">
        <f>IFERROR(VLOOKUP(A280,Internal_lists_bugs!$A$2:$I847,9,FALSE()),"please select a BUG ID")</f>
        <v>please select a BUG ID</v>
      </c>
      <c r="E280" s="52"/>
      <c r="F280" s="52"/>
      <c r="G280" s="43"/>
      <c r="H280" s="52"/>
      <c r="J280" s="52"/>
      <c r="K280" s="52"/>
    </row>
    <row r="281">
      <c r="A281" s="43"/>
      <c r="B281" s="38" t="str">
        <f>IFERROR(HYPERLINK(VLOOKUP(A281,Internal_lists_bugs!$A$2:$C$73,3,FALSE()), VLOOKUP(A281,Internal_lists_bugs!$A$2:$C$73,3,FALSE())&amp;Char(10) &amp; Char(10) &amp; VLOOKUP(A281,Internal_lists_bugs!$A$2:$Z$73,26,FALSE())),"please select a BUG ID")</f>
        <v>please select a BUG ID</v>
      </c>
      <c r="C281" s="51" t="str">
        <f>IFERROR(VLOOKUP(A281,Internal_lists_bugs!$A$2:$G847,7,FALSE()),"please select a BUG ID")</f>
        <v>please select a BUG ID</v>
      </c>
      <c r="D281" s="51" t="str">
        <f>IFERROR(VLOOKUP(A281,Internal_lists_bugs!$A$2:$I847,9,FALSE()),"please select a BUG ID")</f>
        <v>please select a BUG ID</v>
      </c>
      <c r="E281" s="52"/>
      <c r="F281" s="52"/>
      <c r="G281" s="43"/>
      <c r="H281" s="52"/>
      <c r="J281" s="52"/>
      <c r="K281" s="52"/>
    </row>
    <row r="282">
      <c r="A282" s="43"/>
      <c r="B282" s="38" t="str">
        <f>IFERROR(HYPERLINK(VLOOKUP(A282,Internal_lists_bugs!$A$2:$C$73,3,FALSE()), VLOOKUP(A282,Internal_lists_bugs!$A$2:$C$73,3,FALSE())&amp;Char(10) &amp; Char(10) &amp; VLOOKUP(A282,Internal_lists_bugs!$A$2:$Z$73,26,FALSE())),"please select a BUG ID")</f>
        <v>please select a BUG ID</v>
      </c>
      <c r="C282" s="51" t="str">
        <f>IFERROR(VLOOKUP(A282,Internal_lists_bugs!$A$2:$G847,7,FALSE()),"please select a BUG ID")</f>
        <v>please select a BUG ID</v>
      </c>
      <c r="D282" s="51" t="str">
        <f>IFERROR(VLOOKUP(A282,Internal_lists_bugs!$A$2:$I847,9,FALSE()),"please select a BUG ID")</f>
        <v>please select a BUG ID</v>
      </c>
      <c r="E282" s="52"/>
      <c r="F282" s="52"/>
      <c r="G282" s="43"/>
      <c r="H282" s="52"/>
      <c r="J282" s="52"/>
      <c r="K282" s="52"/>
    </row>
    <row r="283">
      <c r="A283" s="43"/>
      <c r="B283" s="38" t="str">
        <f>IFERROR(HYPERLINK(VLOOKUP(A283,Internal_lists_bugs!$A$2:$C$73,3,FALSE()), VLOOKUP(A283,Internal_lists_bugs!$A$2:$C$73,3,FALSE())&amp;Char(10) &amp; Char(10) &amp; VLOOKUP(A283,Internal_lists_bugs!$A$2:$Z$73,26,FALSE())),"please select a BUG ID")</f>
        <v>please select a BUG ID</v>
      </c>
      <c r="C283" s="51" t="str">
        <f>IFERROR(VLOOKUP(A283,Internal_lists_bugs!$A$2:$G847,7,FALSE()),"please select a BUG ID")</f>
        <v>please select a BUG ID</v>
      </c>
      <c r="D283" s="51" t="str">
        <f>IFERROR(VLOOKUP(A283,Internal_lists_bugs!$A$2:$I847,9,FALSE()),"please select a BUG ID")</f>
        <v>please select a BUG ID</v>
      </c>
      <c r="E283" s="52"/>
      <c r="F283" s="52"/>
      <c r="G283" s="43"/>
      <c r="H283" s="52"/>
      <c r="J283" s="52"/>
      <c r="K283" s="52"/>
    </row>
    <row r="284">
      <c r="A284" s="43"/>
      <c r="B284" s="38" t="str">
        <f>IFERROR(HYPERLINK(VLOOKUP(A284,Internal_lists_bugs!$A$2:$C$73,3,FALSE()), VLOOKUP(A284,Internal_lists_bugs!$A$2:$C$73,3,FALSE())&amp;Char(10) &amp; Char(10) &amp; VLOOKUP(A284,Internal_lists_bugs!$A$2:$Z$73,26,FALSE())),"please select a BUG ID")</f>
        <v>please select a BUG ID</v>
      </c>
      <c r="C284" s="51" t="str">
        <f>IFERROR(VLOOKUP(A284,Internal_lists_bugs!$A$2:$G847,7,FALSE()),"please select a BUG ID")</f>
        <v>please select a BUG ID</v>
      </c>
      <c r="D284" s="51" t="str">
        <f>IFERROR(VLOOKUP(A284,Internal_lists_bugs!$A$2:$I847,9,FALSE()),"please select a BUG ID")</f>
        <v>please select a BUG ID</v>
      </c>
      <c r="E284" s="52"/>
      <c r="F284" s="52"/>
      <c r="G284" s="43"/>
      <c r="H284" s="52"/>
      <c r="J284" s="52"/>
      <c r="K284" s="52"/>
    </row>
    <row r="285">
      <c r="A285" s="43"/>
      <c r="B285" s="38" t="str">
        <f>IFERROR(HYPERLINK(VLOOKUP(A285,Internal_lists_bugs!$A$2:$C$73,3,FALSE()), VLOOKUP(A285,Internal_lists_bugs!$A$2:$C$73,3,FALSE())&amp;Char(10) &amp; Char(10) &amp; VLOOKUP(A285,Internal_lists_bugs!$A$2:$Z$73,26,FALSE())),"please select a BUG ID")</f>
        <v>please select a BUG ID</v>
      </c>
      <c r="C285" s="51" t="str">
        <f>IFERROR(VLOOKUP(A285,Internal_lists_bugs!$A$2:$G847,7,FALSE()),"please select a BUG ID")</f>
        <v>please select a BUG ID</v>
      </c>
      <c r="D285" s="51" t="str">
        <f>IFERROR(VLOOKUP(A285,Internal_lists_bugs!$A$2:$I847,9,FALSE()),"please select a BUG ID")</f>
        <v>please select a BUG ID</v>
      </c>
      <c r="E285" s="52"/>
      <c r="F285" s="52"/>
      <c r="G285" s="43"/>
      <c r="H285" s="52"/>
      <c r="J285" s="52"/>
      <c r="K285" s="52"/>
    </row>
    <row r="286">
      <c r="A286" s="43"/>
      <c r="B286" s="38" t="str">
        <f>IFERROR(HYPERLINK(VLOOKUP(A286,Internal_lists_bugs!$A$2:$C$73,3,FALSE()), VLOOKUP(A286,Internal_lists_bugs!$A$2:$C$73,3,FALSE())&amp;Char(10) &amp; Char(10) &amp; VLOOKUP(A286,Internal_lists_bugs!$A$2:$Z$73,26,FALSE())),"please select a BUG ID")</f>
        <v>please select a BUG ID</v>
      </c>
      <c r="C286" s="51" t="str">
        <f>IFERROR(VLOOKUP(A286,Internal_lists_bugs!$A$2:$G847,7,FALSE()),"please select a BUG ID")</f>
        <v>please select a BUG ID</v>
      </c>
      <c r="D286" s="51" t="str">
        <f>IFERROR(VLOOKUP(A286,Internal_lists_bugs!$A$2:$I847,9,FALSE()),"please select a BUG ID")</f>
        <v>please select a BUG ID</v>
      </c>
      <c r="E286" s="52"/>
      <c r="F286" s="52"/>
      <c r="G286" s="43"/>
      <c r="H286" s="52"/>
      <c r="J286" s="52"/>
      <c r="K286" s="52"/>
    </row>
    <row r="287">
      <c r="A287" s="43"/>
      <c r="B287" s="38" t="str">
        <f>IFERROR(HYPERLINK(VLOOKUP(A287,Internal_lists_bugs!$A$2:$C$73,3,FALSE()), VLOOKUP(A287,Internal_lists_bugs!$A$2:$C$73,3,FALSE())&amp;Char(10) &amp; Char(10) &amp; VLOOKUP(A287,Internal_lists_bugs!$A$2:$Z$73,26,FALSE())),"please select a BUG ID")</f>
        <v>please select a BUG ID</v>
      </c>
      <c r="C287" s="51" t="str">
        <f>IFERROR(VLOOKUP(A287,Internal_lists_bugs!$A$2:$G847,7,FALSE()),"please select a BUG ID")</f>
        <v>please select a BUG ID</v>
      </c>
      <c r="D287" s="51" t="str">
        <f>IFERROR(VLOOKUP(A287,Internal_lists_bugs!$A$2:$I847,9,FALSE()),"please select a BUG ID")</f>
        <v>please select a BUG ID</v>
      </c>
      <c r="E287" s="52"/>
      <c r="F287" s="52"/>
      <c r="G287" s="43"/>
      <c r="H287" s="52"/>
      <c r="J287" s="52"/>
      <c r="K287" s="52"/>
    </row>
    <row r="288">
      <c r="A288" s="43"/>
      <c r="B288" s="38" t="str">
        <f>IFERROR(HYPERLINK(VLOOKUP(A288,Internal_lists_bugs!$A$2:$C$73,3,FALSE()), VLOOKUP(A288,Internal_lists_bugs!$A$2:$C$73,3,FALSE())&amp;Char(10) &amp; Char(10) &amp; VLOOKUP(A288,Internal_lists_bugs!$A$2:$Z$73,26,FALSE())),"please select a BUG ID")</f>
        <v>please select a BUG ID</v>
      </c>
      <c r="C288" s="51" t="str">
        <f>IFERROR(VLOOKUP(A288,Internal_lists_bugs!$A$2:$G847,7,FALSE()),"please select a BUG ID")</f>
        <v>please select a BUG ID</v>
      </c>
      <c r="D288" s="51" t="str">
        <f>IFERROR(VLOOKUP(A288,Internal_lists_bugs!$A$2:$I847,9,FALSE()),"please select a BUG ID")</f>
        <v>please select a BUG ID</v>
      </c>
      <c r="E288" s="52"/>
      <c r="F288" s="52"/>
      <c r="G288" s="43"/>
      <c r="H288" s="52"/>
      <c r="J288" s="52"/>
      <c r="K288" s="52"/>
    </row>
    <row r="289">
      <c r="A289" s="43"/>
      <c r="B289" s="38" t="str">
        <f>IFERROR(HYPERLINK(VLOOKUP(A289,Internal_lists_bugs!$A$2:$C$73,3,FALSE()), VLOOKUP(A289,Internal_lists_bugs!$A$2:$C$73,3,FALSE())&amp;Char(10) &amp; Char(10) &amp; VLOOKUP(A289,Internal_lists_bugs!$A$2:$Z$73,26,FALSE())),"please select a BUG ID")</f>
        <v>please select a BUG ID</v>
      </c>
      <c r="C289" s="51" t="str">
        <f>IFERROR(VLOOKUP(A289,Internal_lists_bugs!$A$2:$G847,7,FALSE()),"please select a BUG ID")</f>
        <v>please select a BUG ID</v>
      </c>
      <c r="D289" s="51" t="str">
        <f>IFERROR(VLOOKUP(A289,Internal_lists_bugs!$A$2:$I847,9,FALSE()),"please select a BUG ID")</f>
        <v>please select a BUG ID</v>
      </c>
      <c r="E289" s="52"/>
      <c r="F289" s="52"/>
      <c r="G289" s="43"/>
      <c r="H289" s="52"/>
      <c r="J289" s="52"/>
      <c r="K289" s="52"/>
    </row>
    <row r="290">
      <c r="A290" s="43"/>
      <c r="B290" s="38" t="str">
        <f>IFERROR(HYPERLINK(VLOOKUP(A290,Internal_lists_bugs!$A$2:$C$73,3,FALSE()), VLOOKUP(A290,Internal_lists_bugs!$A$2:$C$73,3,FALSE())&amp;Char(10) &amp; Char(10) &amp; VLOOKUP(A290,Internal_lists_bugs!$A$2:$Z$73,26,FALSE())),"please select a BUG ID")</f>
        <v>please select a BUG ID</v>
      </c>
      <c r="C290" s="51" t="str">
        <f>IFERROR(VLOOKUP(A290,Internal_lists_bugs!$A$2:$G847,7,FALSE()),"please select a BUG ID")</f>
        <v>please select a BUG ID</v>
      </c>
      <c r="D290" s="51" t="str">
        <f>IFERROR(VLOOKUP(A290,Internal_lists_bugs!$A$2:$I847,9,FALSE()),"please select a BUG ID")</f>
        <v>please select a BUG ID</v>
      </c>
      <c r="E290" s="52"/>
      <c r="F290" s="52"/>
      <c r="G290" s="43"/>
      <c r="H290" s="52"/>
      <c r="J290" s="52"/>
      <c r="K290" s="52"/>
    </row>
    <row r="291">
      <c r="A291" s="43"/>
      <c r="B291" s="38" t="str">
        <f>IFERROR(HYPERLINK(VLOOKUP(A291,Internal_lists_bugs!$A$2:$C$73,3,FALSE()), VLOOKUP(A291,Internal_lists_bugs!$A$2:$C$73,3,FALSE())&amp;Char(10) &amp; Char(10) &amp; VLOOKUP(A291,Internal_lists_bugs!$A$2:$Z$73,26,FALSE())),"please select a BUG ID")</f>
        <v>please select a BUG ID</v>
      </c>
      <c r="C291" s="51" t="str">
        <f>IFERROR(VLOOKUP(A291,Internal_lists_bugs!$A$2:$G847,7,FALSE()),"please select a BUG ID")</f>
        <v>please select a BUG ID</v>
      </c>
      <c r="D291" s="51" t="str">
        <f>IFERROR(VLOOKUP(A291,Internal_lists_bugs!$A$2:$I847,9,FALSE()),"please select a BUG ID")</f>
        <v>please select a BUG ID</v>
      </c>
      <c r="E291" s="52"/>
      <c r="F291" s="52"/>
      <c r="G291" s="43"/>
      <c r="H291" s="52"/>
      <c r="J291" s="52"/>
      <c r="K291" s="52"/>
    </row>
    <row r="292">
      <c r="A292" s="43"/>
      <c r="B292" s="38" t="str">
        <f>IFERROR(HYPERLINK(VLOOKUP(A292,Internal_lists_bugs!$A$2:$C$73,3,FALSE()), VLOOKUP(A292,Internal_lists_bugs!$A$2:$C$73,3,FALSE())&amp;Char(10) &amp; Char(10) &amp; VLOOKUP(A292,Internal_lists_bugs!$A$2:$Z$73,26,FALSE())),"please select a BUG ID")</f>
        <v>please select a BUG ID</v>
      </c>
      <c r="C292" s="51" t="str">
        <f>IFERROR(VLOOKUP(A292,Internal_lists_bugs!$A$2:$G847,7,FALSE()),"please select a BUG ID")</f>
        <v>please select a BUG ID</v>
      </c>
      <c r="D292" s="51" t="str">
        <f>IFERROR(VLOOKUP(A292,Internal_lists_bugs!$A$2:$I847,9,FALSE()),"please select a BUG ID")</f>
        <v>please select a BUG ID</v>
      </c>
      <c r="E292" s="52"/>
      <c r="F292" s="52"/>
      <c r="G292" s="43"/>
      <c r="H292" s="52"/>
      <c r="J292" s="52"/>
      <c r="K292" s="52"/>
    </row>
    <row r="293">
      <c r="A293" s="43"/>
      <c r="B293" s="38" t="str">
        <f>IFERROR(HYPERLINK(VLOOKUP(A293,Internal_lists_bugs!$A$2:$C$73,3,FALSE()), VLOOKUP(A293,Internal_lists_bugs!$A$2:$C$73,3,FALSE())&amp;Char(10) &amp; Char(10) &amp; VLOOKUP(A293,Internal_lists_bugs!$A$2:$Z$73,26,FALSE())),"please select a BUG ID")</f>
        <v>please select a BUG ID</v>
      </c>
      <c r="C293" s="51" t="str">
        <f>IFERROR(VLOOKUP(A293,Internal_lists_bugs!$A$2:$G847,7,FALSE()),"please select a BUG ID")</f>
        <v>please select a BUG ID</v>
      </c>
      <c r="D293" s="51" t="str">
        <f>IFERROR(VLOOKUP(A293,Internal_lists_bugs!$A$2:$I847,9,FALSE()),"please select a BUG ID")</f>
        <v>please select a BUG ID</v>
      </c>
      <c r="E293" s="52"/>
      <c r="F293" s="52"/>
      <c r="G293" s="43"/>
      <c r="H293" s="52"/>
      <c r="J293" s="52"/>
      <c r="K293" s="52"/>
    </row>
    <row r="294">
      <c r="A294" s="43"/>
      <c r="B294" s="38" t="str">
        <f>IFERROR(HYPERLINK(VLOOKUP(A294,Internal_lists_bugs!$A$2:$C$73,3,FALSE()), VLOOKUP(A294,Internal_lists_bugs!$A$2:$C$73,3,FALSE())&amp;Char(10) &amp; Char(10) &amp; VLOOKUP(A294,Internal_lists_bugs!$A$2:$Z$73,26,FALSE())),"please select a BUG ID")</f>
        <v>please select a BUG ID</v>
      </c>
      <c r="C294" s="51" t="str">
        <f>IFERROR(VLOOKUP(A294,Internal_lists_bugs!$A$2:$G847,7,FALSE()),"please select a BUG ID")</f>
        <v>please select a BUG ID</v>
      </c>
      <c r="D294" s="51" t="str">
        <f>IFERROR(VLOOKUP(A294,Internal_lists_bugs!$A$2:$I847,9,FALSE()),"please select a BUG ID")</f>
        <v>please select a BUG ID</v>
      </c>
      <c r="E294" s="52"/>
      <c r="F294" s="52"/>
      <c r="G294" s="43"/>
      <c r="H294" s="52"/>
      <c r="J294" s="52"/>
      <c r="K294" s="52"/>
    </row>
    <row r="295">
      <c r="A295" s="43"/>
      <c r="B295" s="38" t="str">
        <f>IFERROR(HYPERLINK(VLOOKUP(A295,Internal_lists_bugs!$A$2:$C$73,3,FALSE()), VLOOKUP(A295,Internal_lists_bugs!$A$2:$C$73,3,FALSE())&amp;Char(10) &amp; Char(10) &amp; VLOOKUP(A295,Internal_lists_bugs!$A$2:$Z$73,26,FALSE())),"please select a BUG ID")</f>
        <v>please select a BUG ID</v>
      </c>
      <c r="C295" s="51" t="str">
        <f>IFERROR(VLOOKUP(A295,Internal_lists_bugs!$A$2:$G847,7,FALSE()),"please select a BUG ID")</f>
        <v>please select a BUG ID</v>
      </c>
      <c r="D295" s="51" t="str">
        <f>IFERROR(VLOOKUP(A295,Internal_lists_bugs!$A$2:$I847,9,FALSE()),"please select a BUG ID")</f>
        <v>please select a BUG ID</v>
      </c>
      <c r="E295" s="52"/>
      <c r="F295" s="52"/>
      <c r="G295" s="43"/>
      <c r="H295" s="52"/>
      <c r="J295" s="52"/>
      <c r="K295" s="52"/>
    </row>
    <row r="296">
      <c r="A296" s="43"/>
      <c r="B296" s="38" t="str">
        <f>IFERROR(HYPERLINK(VLOOKUP(A296,Internal_lists_bugs!$A$2:$C$73,3,FALSE()), VLOOKUP(A296,Internal_lists_bugs!$A$2:$C$73,3,FALSE())&amp;Char(10) &amp; Char(10) &amp; VLOOKUP(A296,Internal_lists_bugs!$A$2:$Z$73,26,FALSE())),"please select a BUG ID")</f>
        <v>please select a BUG ID</v>
      </c>
      <c r="C296" s="51" t="str">
        <f>IFERROR(VLOOKUP(A296,Internal_lists_bugs!$A$2:$G847,7,FALSE()),"please select a BUG ID")</f>
        <v>please select a BUG ID</v>
      </c>
      <c r="D296" s="51" t="str">
        <f>IFERROR(VLOOKUP(A296,Internal_lists_bugs!$A$2:$I847,9,FALSE()),"please select a BUG ID")</f>
        <v>please select a BUG ID</v>
      </c>
      <c r="E296" s="52"/>
      <c r="F296" s="52"/>
      <c r="G296" s="43"/>
      <c r="H296" s="52"/>
      <c r="J296" s="52"/>
      <c r="K296" s="52"/>
    </row>
    <row r="297">
      <c r="A297" s="43"/>
      <c r="B297" s="38" t="str">
        <f>IFERROR(HYPERLINK(VLOOKUP(A297,Internal_lists_bugs!$A$2:$C$73,3,FALSE()), VLOOKUP(A297,Internal_lists_bugs!$A$2:$C$73,3,FALSE())&amp;Char(10) &amp; Char(10) &amp; VLOOKUP(A297,Internal_lists_bugs!$A$2:$Z$73,26,FALSE())),"please select a BUG ID")</f>
        <v>please select a BUG ID</v>
      </c>
      <c r="C297" s="51" t="str">
        <f>IFERROR(VLOOKUP(A297,Internal_lists_bugs!$A$2:$G847,7,FALSE()),"please select a BUG ID")</f>
        <v>please select a BUG ID</v>
      </c>
      <c r="D297" s="51" t="str">
        <f>IFERROR(VLOOKUP(A297,Internal_lists_bugs!$A$2:$I847,9,FALSE()),"please select a BUG ID")</f>
        <v>please select a BUG ID</v>
      </c>
      <c r="E297" s="52"/>
      <c r="F297" s="52"/>
      <c r="G297" s="43"/>
      <c r="H297" s="52"/>
      <c r="J297" s="52"/>
      <c r="K297" s="52"/>
    </row>
    <row r="298">
      <c r="A298" s="43"/>
      <c r="B298" s="38" t="str">
        <f>IFERROR(HYPERLINK(VLOOKUP(A298,Internal_lists_bugs!$A$2:$C$73,3,FALSE()), VLOOKUP(A298,Internal_lists_bugs!$A$2:$C$73,3,FALSE())&amp;Char(10) &amp; Char(10) &amp; VLOOKUP(A298,Internal_lists_bugs!$A$2:$Z$73,26,FALSE())),"please select a BUG ID")</f>
        <v>please select a BUG ID</v>
      </c>
      <c r="C298" s="51" t="str">
        <f>IFERROR(VLOOKUP(A298,Internal_lists_bugs!$A$2:$G847,7,FALSE()),"please select a BUG ID")</f>
        <v>please select a BUG ID</v>
      </c>
      <c r="D298" s="51" t="str">
        <f>IFERROR(VLOOKUP(A298,Internal_lists_bugs!$A$2:$I847,9,FALSE()),"please select a BUG ID")</f>
        <v>please select a BUG ID</v>
      </c>
      <c r="E298" s="52"/>
      <c r="F298" s="52"/>
      <c r="G298" s="43"/>
      <c r="H298" s="52"/>
      <c r="J298" s="52"/>
      <c r="K298" s="52"/>
    </row>
    <row r="299">
      <c r="A299" s="43"/>
      <c r="B299" s="38" t="str">
        <f>IFERROR(HYPERLINK(VLOOKUP(A299,Internal_lists_bugs!$A$2:$C$73,3,FALSE()), VLOOKUP(A299,Internal_lists_bugs!$A$2:$C$73,3,FALSE())&amp;Char(10) &amp; Char(10) &amp; VLOOKUP(A299,Internal_lists_bugs!$A$2:$Z$73,26,FALSE())),"please select a BUG ID")</f>
        <v>please select a BUG ID</v>
      </c>
      <c r="C299" s="51" t="str">
        <f>IFERROR(VLOOKUP(A299,Internal_lists_bugs!$A$2:$G847,7,FALSE()),"please select a BUG ID")</f>
        <v>please select a BUG ID</v>
      </c>
      <c r="D299" s="51" t="str">
        <f>IFERROR(VLOOKUP(A299,Internal_lists_bugs!$A$2:$I847,9,FALSE()),"please select a BUG ID")</f>
        <v>please select a BUG ID</v>
      </c>
      <c r="E299" s="52"/>
      <c r="F299" s="52"/>
      <c r="G299" s="43"/>
      <c r="H299" s="52"/>
      <c r="J299" s="52"/>
      <c r="K299" s="52"/>
    </row>
    <row r="300">
      <c r="A300" s="43"/>
      <c r="B300" s="38" t="str">
        <f>IFERROR(HYPERLINK(VLOOKUP(A300,Internal_lists_bugs!$A$2:$C$73,3,FALSE()), VLOOKUP(A300,Internal_lists_bugs!$A$2:$C$73,3,FALSE())&amp;Char(10) &amp; Char(10) &amp; VLOOKUP(A300,Internal_lists_bugs!$A$2:$Z$73,26,FALSE())),"please select a BUG ID")</f>
        <v>please select a BUG ID</v>
      </c>
      <c r="C300" s="51" t="str">
        <f>IFERROR(VLOOKUP(A300,Internal_lists_bugs!$A$2:$G847,7,FALSE()),"please select a BUG ID")</f>
        <v>please select a BUG ID</v>
      </c>
      <c r="D300" s="51" t="str">
        <f>IFERROR(VLOOKUP(A300,Internal_lists_bugs!$A$2:$I847,9,FALSE()),"please select a BUG ID")</f>
        <v>please select a BUG ID</v>
      </c>
      <c r="E300" s="52"/>
      <c r="F300" s="52"/>
      <c r="G300" s="43"/>
      <c r="H300" s="52"/>
      <c r="J300" s="52"/>
      <c r="K300" s="52"/>
    </row>
    <row r="301">
      <c r="A301" s="43"/>
      <c r="B301" s="38" t="str">
        <f>IFERROR(HYPERLINK(VLOOKUP(A301,Internal_lists_bugs!$A$2:$C$73,3,FALSE()), VLOOKUP(A301,Internal_lists_bugs!$A$2:$C$73,3,FALSE())&amp;Char(10) &amp; Char(10) &amp; VLOOKUP(A301,Internal_lists_bugs!$A$2:$Z$73,26,FALSE())),"please select a BUG ID")</f>
        <v>please select a BUG ID</v>
      </c>
      <c r="C301" s="51" t="str">
        <f>IFERROR(VLOOKUP(A301,Internal_lists_bugs!$A$2:$G847,7,FALSE()),"please select a BUG ID")</f>
        <v>please select a BUG ID</v>
      </c>
      <c r="D301" s="51" t="str">
        <f>IFERROR(VLOOKUP(A301,Internal_lists_bugs!$A$2:$I847,9,FALSE()),"please select a BUG ID")</f>
        <v>please select a BUG ID</v>
      </c>
      <c r="E301" s="52"/>
      <c r="F301" s="52"/>
      <c r="G301" s="43"/>
      <c r="H301" s="52"/>
      <c r="J301" s="52"/>
      <c r="K301" s="52"/>
    </row>
    <row r="302">
      <c r="A302" s="43"/>
      <c r="B302" s="38" t="str">
        <f>IFERROR(HYPERLINK(VLOOKUP(A302,Internal_lists_bugs!$A$2:$C$73,3,FALSE()), VLOOKUP(A302,Internal_lists_bugs!$A$2:$C$73,3,FALSE())&amp;Char(10) &amp; Char(10) &amp; VLOOKUP(A302,Internal_lists_bugs!$A$2:$Z$73,26,FALSE())),"please select a BUG ID")</f>
        <v>please select a BUG ID</v>
      </c>
      <c r="C302" s="51" t="str">
        <f>IFERROR(VLOOKUP(A302,Internal_lists_bugs!$A$2:$G847,7,FALSE()),"please select a BUG ID")</f>
        <v>please select a BUG ID</v>
      </c>
      <c r="D302" s="51" t="str">
        <f>IFERROR(VLOOKUP(A302,Internal_lists_bugs!$A$2:$I847,9,FALSE()),"please select a BUG ID")</f>
        <v>please select a BUG ID</v>
      </c>
      <c r="E302" s="52"/>
      <c r="F302" s="52"/>
      <c r="G302" s="43"/>
      <c r="H302" s="52"/>
      <c r="J302" s="52"/>
      <c r="K302" s="52"/>
    </row>
    <row r="303">
      <c r="A303" s="43"/>
      <c r="B303" s="38" t="str">
        <f>IFERROR(HYPERLINK(VLOOKUP(A303,Internal_lists_bugs!$A$2:$C$73,3,FALSE()), VLOOKUP(A303,Internal_lists_bugs!$A$2:$C$73,3,FALSE())&amp;Char(10) &amp; Char(10) &amp; VLOOKUP(A303,Internal_lists_bugs!$A$2:$Z$73,26,FALSE())),"please select a BUG ID")</f>
        <v>please select a BUG ID</v>
      </c>
      <c r="C303" s="51" t="str">
        <f>IFERROR(VLOOKUP(A303,Internal_lists_bugs!$A$2:$G847,7,FALSE()),"please select a BUG ID")</f>
        <v>please select a BUG ID</v>
      </c>
      <c r="D303" s="51" t="str">
        <f>IFERROR(VLOOKUP(A303,Internal_lists_bugs!$A$2:$I847,9,FALSE()),"please select a BUG ID")</f>
        <v>please select a BUG ID</v>
      </c>
      <c r="E303" s="52"/>
      <c r="F303" s="52"/>
      <c r="G303" s="43"/>
      <c r="H303" s="52"/>
      <c r="J303" s="52"/>
      <c r="K303" s="52"/>
    </row>
    <row r="304">
      <c r="A304" s="43"/>
      <c r="B304" s="38" t="str">
        <f>IFERROR(HYPERLINK(VLOOKUP(A304,Internal_lists_bugs!$A$2:$C$73,3,FALSE()), VLOOKUP(A304,Internal_lists_bugs!$A$2:$C$73,3,FALSE())&amp;Char(10) &amp; Char(10) &amp; VLOOKUP(A304,Internal_lists_bugs!$A$2:$Z$73,26,FALSE())),"please select a BUG ID")</f>
        <v>please select a BUG ID</v>
      </c>
      <c r="C304" s="51" t="str">
        <f>IFERROR(VLOOKUP(A304,Internal_lists_bugs!$A$2:$G847,7,FALSE()),"please select a BUG ID")</f>
        <v>please select a BUG ID</v>
      </c>
      <c r="D304" s="51" t="str">
        <f>IFERROR(VLOOKUP(A304,Internal_lists_bugs!$A$2:$I847,9,FALSE()),"please select a BUG ID")</f>
        <v>please select a BUG ID</v>
      </c>
      <c r="E304" s="52"/>
      <c r="F304" s="52"/>
      <c r="G304" s="43"/>
      <c r="H304" s="52"/>
      <c r="J304" s="52"/>
      <c r="K304" s="52"/>
    </row>
    <row r="305">
      <c r="A305" s="43"/>
      <c r="B305" s="38" t="str">
        <f>IFERROR(HYPERLINK(VLOOKUP(A305,Internal_lists_bugs!$A$2:$C$73,3,FALSE()), VLOOKUP(A305,Internal_lists_bugs!$A$2:$C$73,3,FALSE())&amp;Char(10) &amp; Char(10) &amp; VLOOKUP(A305,Internal_lists_bugs!$A$2:$Z$73,26,FALSE())),"please select a BUG ID")</f>
        <v>please select a BUG ID</v>
      </c>
      <c r="C305" s="51" t="str">
        <f>IFERROR(VLOOKUP(A305,Internal_lists_bugs!$A$2:$G847,7,FALSE()),"please select a BUG ID")</f>
        <v>please select a BUG ID</v>
      </c>
      <c r="D305" s="51" t="str">
        <f>IFERROR(VLOOKUP(A305,Internal_lists_bugs!$A$2:$I847,9,FALSE()),"please select a BUG ID")</f>
        <v>please select a BUG ID</v>
      </c>
      <c r="E305" s="52"/>
      <c r="F305" s="52"/>
      <c r="G305" s="43"/>
      <c r="H305" s="52"/>
      <c r="J305" s="52"/>
      <c r="K305" s="52"/>
    </row>
    <row r="306">
      <c r="A306" s="43"/>
      <c r="B306" s="38" t="str">
        <f>IFERROR(HYPERLINK(VLOOKUP(A306,Internal_lists_bugs!$A$2:$C$73,3,FALSE()), VLOOKUP(A306,Internal_lists_bugs!$A$2:$C$73,3,FALSE())&amp;Char(10) &amp; Char(10) &amp; VLOOKUP(A306,Internal_lists_bugs!$A$2:$Z$73,26,FALSE())),"please select a BUG ID")</f>
        <v>please select a BUG ID</v>
      </c>
      <c r="C306" s="51" t="str">
        <f>IFERROR(VLOOKUP(A306,Internal_lists_bugs!$A$2:$G847,7,FALSE()),"please select a BUG ID")</f>
        <v>please select a BUG ID</v>
      </c>
      <c r="D306" s="51" t="str">
        <f>IFERROR(VLOOKUP(A306,Internal_lists_bugs!$A$2:$I847,9,FALSE()),"please select a BUG ID")</f>
        <v>please select a BUG ID</v>
      </c>
      <c r="E306" s="52"/>
      <c r="F306" s="52"/>
      <c r="G306" s="43"/>
      <c r="H306" s="52"/>
      <c r="J306" s="52"/>
      <c r="K306" s="52"/>
    </row>
    <row r="307">
      <c r="A307" s="43"/>
      <c r="B307" s="38" t="str">
        <f>IFERROR(HYPERLINK(VLOOKUP(A307,Internal_lists_bugs!$A$2:$C$73,3,FALSE()), VLOOKUP(A307,Internal_lists_bugs!$A$2:$C$73,3,FALSE())&amp;Char(10) &amp; Char(10) &amp; VLOOKUP(A307,Internal_lists_bugs!$A$2:$Z$73,26,FALSE())),"please select a BUG ID")</f>
        <v>please select a BUG ID</v>
      </c>
      <c r="C307" s="51" t="str">
        <f>IFERROR(VLOOKUP(A307,Internal_lists_bugs!$A$2:$G847,7,FALSE()),"please select a BUG ID")</f>
        <v>please select a BUG ID</v>
      </c>
      <c r="D307" s="51" t="str">
        <f>IFERROR(VLOOKUP(A307,Internal_lists_bugs!$A$2:$I847,9,FALSE()),"please select a BUG ID")</f>
        <v>please select a BUG ID</v>
      </c>
      <c r="E307" s="52"/>
      <c r="F307" s="52"/>
      <c r="G307" s="43"/>
      <c r="H307" s="52"/>
      <c r="J307" s="52"/>
      <c r="K307" s="52"/>
    </row>
    <row r="308">
      <c r="A308" s="43"/>
      <c r="B308" s="38" t="str">
        <f>IFERROR(HYPERLINK(VLOOKUP(A308,Internal_lists_bugs!$A$2:$C$73,3,FALSE()), VLOOKUP(A308,Internal_lists_bugs!$A$2:$C$73,3,FALSE())&amp;Char(10) &amp; Char(10) &amp; VLOOKUP(A308,Internal_lists_bugs!$A$2:$Z$73,26,FALSE())),"please select a BUG ID")</f>
        <v>please select a BUG ID</v>
      </c>
      <c r="C308" s="51" t="str">
        <f>IFERROR(VLOOKUP(A308,Internal_lists_bugs!$A$2:$G847,7,FALSE()),"please select a BUG ID")</f>
        <v>please select a BUG ID</v>
      </c>
      <c r="D308" s="51" t="str">
        <f>IFERROR(VLOOKUP(A308,Internal_lists_bugs!$A$2:$I847,9,FALSE()),"please select a BUG ID")</f>
        <v>please select a BUG ID</v>
      </c>
      <c r="E308" s="52"/>
      <c r="F308" s="52"/>
      <c r="G308" s="43"/>
      <c r="H308" s="52"/>
      <c r="J308" s="52"/>
      <c r="K308" s="52"/>
    </row>
    <row r="309">
      <c r="A309" s="43"/>
      <c r="B309" s="38" t="str">
        <f>IFERROR(HYPERLINK(VLOOKUP(A309,Internal_lists_bugs!$A$2:$C$73,3,FALSE()), VLOOKUP(A309,Internal_lists_bugs!$A$2:$C$73,3,FALSE())&amp;Char(10) &amp; Char(10) &amp; VLOOKUP(A309,Internal_lists_bugs!$A$2:$Z$73,26,FALSE())),"please select a BUG ID")</f>
        <v>please select a BUG ID</v>
      </c>
      <c r="C309" s="51" t="str">
        <f>IFERROR(VLOOKUP(A309,Internal_lists_bugs!$A$2:$G847,7,FALSE()),"please select a BUG ID")</f>
        <v>please select a BUG ID</v>
      </c>
      <c r="D309" s="51" t="str">
        <f>IFERROR(VLOOKUP(A309,Internal_lists_bugs!$A$2:$I847,9,FALSE()),"please select a BUG ID")</f>
        <v>please select a BUG ID</v>
      </c>
      <c r="E309" s="52"/>
      <c r="F309" s="52"/>
      <c r="G309" s="43"/>
      <c r="H309" s="52"/>
      <c r="J309" s="52"/>
      <c r="K309" s="52"/>
    </row>
    <row r="310">
      <c r="A310" s="43"/>
      <c r="B310" s="38" t="str">
        <f>IFERROR(HYPERLINK(VLOOKUP(A310,Internal_lists_bugs!$A$2:$C$73,3,FALSE()), VLOOKUP(A310,Internal_lists_bugs!$A$2:$C$73,3,FALSE())&amp;Char(10) &amp; Char(10) &amp; VLOOKUP(A310,Internal_lists_bugs!$A$2:$Z$73,26,FALSE())),"please select a BUG ID")</f>
        <v>please select a BUG ID</v>
      </c>
      <c r="C310" s="51" t="str">
        <f>IFERROR(VLOOKUP(A310,Internal_lists_bugs!$A$2:$G847,7,FALSE()),"please select a BUG ID")</f>
        <v>please select a BUG ID</v>
      </c>
      <c r="D310" s="51" t="str">
        <f>IFERROR(VLOOKUP(A310,Internal_lists_bugs!$A$2:$I847,9,FALSE()),"please select a BUG ID")</f>
        <v>please select a BUG ID</v>
      </c>
      <c r="E310" s="52"/>
      <c r="F310" s="52"/>
      <c r="G310" s="43"/>
      <c r="H310" s="52"/>
      <c r="J310" s="52"/>
      <c r="K310" s="52"/>
    </row>
    <row r="311">
      <c r="A311" s="43"/>
      <c r="B311" s="38" t="str">
        <f>IFERROR(HYPERLINK(VLOOKUP(A311,Internal_lists_bugs!$A$2:$C$73,3,FALSE()), VLOOKUP(A311,Internal_lists_bugs!$A$2:$C$73,3,FALSE())&amp;Char(10) &amp; Char(10) &amp; VLOOKUP(A311,Internal_lists_bugs!$A$2:$Z$73,26,FALSE())),"please select a BUG ID")</f>
        <v>please select a BUG ID</v>
      </c>
      <c r="C311" s="51" t="str">
        <f>IFERROR(VLOOKUP(A311,Internal_lists_bugs!$A$2:$G847,7,FALSE()),"please select a BUG ID")</f>
        <v>please select a BUG ID</v>
      </c>
      <c r="D311" s="51" t="str">
        <f>IFERROR(VLOOKUP(A311,Internal_lists_bugs!$A$2:$I847,9,FALSE()),"please select a BUG ID")</f>
        <v>please select a BUG ID</v>
      </c>
      <c r="E311" s="52"/>
      <c r="F311" s="52"/>
      <c r="G311" s="43"/>
      <c r="H311" s="52"/>
      <c r="J311" s="52"/>
      <c r="K311" s="52"/>
    </row>
    <row r="312">
      <c r="A312" s="43"/>
      <c r="B312" s="38" t="str">
        <f>IFERROR(HYPERLINK(VLOOKUP(A312,Internal_lists_bugs!$A$2:$C$73,3,FALSE()), VLOOKUP(A312,Internal_lists_bugs!$A$2:$C$73,3,FALSE())&amp;Char(10) &amp; Char(10) &amp; VLOOKUP(A312,Internal_lists_bugs!$A$2:$Z$73,26,FALSE())),"please select a BUG ID")</f>
        <v>please select a BUG ID</v>
      </c>
      <c r="C312" s="51" t="str">
        <f>IFERROR(VLOOKUP(A312,Internal_lists_bugs!$A$2:$G847,7,FALSE()),"please select a BUG ID")</f>
        <v>please select a BUG ID</v>
      </c>
      <c r="D312" s="51" t="str">
        <f>IFERROR(VLOOKUP(A312,Internal_lists_bugs!$A$2:$I847,9,FALSE()),"please select a BUG ID")</f>
        <v>please select a BUG ID</v>
      </c>
      <c r="E312" s="52"/>
      <c r="F312" s="52"/>
      <c r="G312" s="43"/>
      <c r="H312" s="52"/>
      <c r="J312" s="52"/>
      <c r="K312" s="52"/>
    </row>
    <row r="313">
      <c r="A313" s="43"/>
      <c r="B313" s="38" t="str">
        <f>IFERROR(HYPERLINK(VLOOKUP(A313,Internal_lists_bugs!$A$2:$C$73,3,FALSE()), VLOOKUP(A313,Internal_lists_bugs!$A$2:$C$73,3,FALSE())&amp;Char(10) &amp; Char(10) &amp; VLOOKUP(A313,Internal_lists_bugs!$A$2:$Z$73,26,FALSE())),"please select a BUG ID")</f>
        <v>please select a BUG ID</v>
      </c>
      <c r="C313" s="51" t="str">
        <f>IFERROR(VLOOKUP(A313,Internal_lists_bugs!$A$2:$G847,7,FALSE()),"please select a BUG ID")</f>
        <v>please select a BUG ID</v>
      </c>
      <c r="D313" s="51" t="str">
        <f>IFERROR(VLOOKUP(A313,Internal_lists_bugs!$A$2:$I847,9,FALSE()),"please select a BUG ID")</f>
        <v>please select a BUG ID</v>
      </c>
      <c r="E313" s="52"/>
      <c r="F313" s="52"/>
      <c r="G313" s="43"/>
      <c r="H313" s="52"/>
      <c r="J313" s="52"/>
      <c r="K313" s="52"/>
    </row>
    <row r="314">
      <c r="A314" s="43"/>
      <c r="B314" s="38" t="str">
        <f>IFERROR(HYPERLINK(VLOOKUP(A314,Internal_lists_bugs!$A$2:$C$73,3,FALSE()), VLOOKUP(A314,Internal_lists_bugs!$A$2:$C$73,3,FALSE())&amp;Char(10) &amp; Char(10) &amp; VLOOKUP(A314,Internal_lists_bugs!$A$2:$Z$73,26,FALSE())),"please select a BUG ID")</f>
        <v>please select a BUG ID</v>
      </c>
      <c r="C314" s="51" t="str">
        <f>IFERROR(VLOOKUP(A314,Internal_lists_bugs!$A$2:$G847,7,FALSE()),"please select a BUG ID")</f>
        <v>please select a BUG ID</v>
      </c>
      <c r="D314" s="51" t="str">
        <f>IFERROR(VLOOKUP(A314,Internal_lists_bugs!$A$2:$I847,9,FALSE()),"please select a BUG ID")</f>
        <v>please select a BUG ID</v>
      </c>
      <c r="E314" s="52"/>
      <c r="F314" s="52"/>
      <c r="G314" s="43"/>
      <c r="H314" s="52"/>
      <c r="J314" s="52"/>
      <c r="K314" s="52"/>
    </row>
    <row r="315">
      <c r="A315" s="43"/>
      <c r="B315" s="38" t="str">
        <f>IFERROR(HYPERLINK(VLOOKUP(A315,Internal_lists_bugs!$A$2:$C$73,3,FALSE()), VLOOKUP(A315,Internal_lists_bugs!$A$2:$C$73,3,FALSE())&amp;Char(10) &amp; Char(10) &amp; VLOOKUP(A315,Internal_lists_bugs!$A$2:$Z$73,26,FALSE())),"please select a BUG ID")</f>
        <v>please select a BUG ID</v>
      </c>
      <c r="C315" s="51" t="str">
        <f>IFERROR(VLOOKUP(A315,Internal_lists_bugs!$A$2:$G847,7,FALSE()),"please select a BUG ID")</f>
        <v>please select a BUG ID</v>
      </c>
      <c r="D315" s="51" t="str">
        <f>IFERROR(VLOOKUP(A315,Internal_lists_bugs!$A$2:$I847,9,FALSE()),"please select a BUG ID")</f>
        <v>please select a BUG ID</v>
      </c>
      <c r="E315" s="52"/>
      <c r="F315" s="52"/>
      <c r="G315" s="43"/>
      <c r="H315" s="52"/>
      <c r="J315" s="52"/>
      <c r="K315" s="52"/>
    </row>
    <row r="316">
      <c r="A316" s="43"/>
      <c r="B316" s="38" t="str">
        <f>IFERROR(HYPERLINK(VLOOKUP(A316,Internal_lists_bugs!$A$2:$C$73,3,FALSE()), VLOOKUP(A316,Internal_lists_bugs!$A$2:$C$73,3,FALSE())&amp;Char(10) &amp; Char(10) &amp; VLOOKUP(A316,Internal_lists_bugs!$A$2:$Z$73,26,FALSE())),"please select a BUG ID")</f>
        <v>please select a BUG ID</v>
      </c>
      <c r="C316" s="51" t="str">
        <f>IFERROR(VLOOKUP(A316,Internal_lists_bugs!$A$2:$G847,7,FALSE()),"please select a BUG ID")</f>
        <v>please select a BUG ID</v>
      </c>
      <c r="D316" s="51" t="str">
        <f>IFERROR(VLOOKUP(A316,Internal_lists_bugs!$A$2:$I847,9,FALSE()),"please select a BUG ID")</f>
        <v>please select a BUG ID</v>
      </c>
      <c r="E316" s="52"/>
      <c r="F316" s="52"/>
      <c r="G316" s="43"/>
      <c r="H316" s="52"/>
      <c r="J316" s="52"/>
      <c r="K316" s="52"/>
    </row>
    <row r="317">
      <c r="A317" s="43"/>
      <c r="B317" s="38" t="str">
        <f>IFERROR(HYPERLINK(VLOOKUP(A317,Internal_lists_bugs!$A$2:$C$73,3,FALSE()), VLOOKUP(A317,Internal_lists_bugs!$A$2:$C$73,3,FALSE())&amp;Char(10) &amp; Char(10) &amp; VLOOKUP(A317,Internal_lists_bugs!$A$2:$Z$73,26,FALSE())),"please select a BUG ID")</f>
        <v>please select a BUG ID</v>
      </c>
      <c r="C317" s="51" t="str">
        <f>IFERROR(VLOOKUP(A317,Internal_lists_bugs!$A$2:$G847,7,FALSE()),"please select a BUG ID")</f>
        <v>please select a BUG ID</v>
      </c>
      <c r="D317" s="51" t="str">
        <f>IFERROR(VLOOKUP(A317,Internal_lists_bugs!$A$2:$I847,9,FALSE()),"please select a BUG ID")</f>
        <v>please select a BUG ID</v>
      </c>
      <c r="E317" s="52"/>
      <c r="F317" s="52"/>
      <c r="G317" s="43"/>
      <c r="H317" s="52"/>
      <c r="J317" s="52"/>
      <c r="K317" s="52"/>
    </row>
    <row r="318">
      <c r="A318" s="43"/>
      <c r="B318" s="38" t="str">
        <f>IFERROR(HYPERLINK(VLOOKUP(A318,Internal_lists_bugs!$A$2:$C$73,3,FALSE()), VLOOKUP(A318,Internal_lists_bugs!$A$2:$C$73,3,FALSE())&amp;Char(10) &amp; Char(10) &amp; VLOOKUP(A318,Internal_lists_bugs!$A$2:$Z$73,26,FALSE())),"please select a BUG ID")</f>
        <v>please select a BUG ID</v>
      </c>
      <c r="C318" s="51" t="str">
        <f>IFERROR(VLOOKUP(A318,Internal_lists_bugs!$A$2:$G847,7,FALSE()),"please select a BUG ID")</f>
        <v>please select a BUG ID</v>
      </c>
      <c r="D318" s="51" t="str">
        <f>IFERROR(VLOOKUP(A318,Internal_lists_bugs!$A$2:$I847,9,FALSE()),"please select a BUG ID")</f>
        <v>please select a BUG ID</v>
      </c>
      <c r="E318" s="52"/>
      <c r="F318" s="52"/>
      <c r="G318" s="43"/>
      <c r="H318" s="52"/>
      <c r="J318" s="52"/>
      <c r="K318" s="52"/>
    </row>
    <row r="319">
      <c r="A319" s="43"/>
      <c r="B319" s="38" t="str">
        <f>IFERROR(HYPERLINK(VLOOKUP(A319,Internal_lists_bugs!$A$2:$C$73,3,FALSE()), VLOOKUP(A319,Internal_lists_bugs!$A$2:$C$73,3,FALSE())&amp;Char(10) &amp; Char(10) &amp; VLOOKUP(A319,Internal_lists_bugs!$A$2:$Z$73,26,FALSE())),"please select a BUG ID")</f>
        <v>please select a BUG ID</v>
      </c>
      <c r="C319" s="51" t="str">
        <f>IFERROR(VLOOKUP(A319,Internal_lists_bugs!$A$2:$G847,7,FALSE()),"please select a BUG ID")</f>
        <v>please select a BUG ID</v>
      </c>
      <c r="D319" s="51" t="str">
        <f>IFERROR(VLOOKUP(A319,Internal_lists_bugs!$A$2:$I847,9,FALSE()),"please select a BUG ID")</f>
        <v>please select a BUG ID</v>
      </c>
      <c r="E319" s="52"/>
      <c r="F319" s="52"/>
      <c r="G319" s="43"/>
      <c r="H319" s="52"/>
      <c r="J319" s="52"/>
      <c r="K319" s="52"/>
    </row>
    <row r="320">
      <c r="A320" s="43"/>
      <c r="B320" s="38" t="str">
        <f>IFERROR(HYPERLINK(VLOOKUP(A320,Internal_lists_bugs!$A$2:$C$73,3,FALSE()), VLOOKUP(A320,Internal_lists_bugs!$A$2:$C$73,3,FALSE())&amp;Char(10) &amp; Char(10) &amp; VLOOKUP(A320,Internal_lists_bugs!$A$2:$Z$73,26,FALSE())),"please select a BUG ID")</f>
        <v>please select a BUG ID</v>
      </c>
      <c r="C320" s="51" t="str">
        <f>IFERROR(VLOOKUP(A320,Internal_lists_bugs!$A$2:$G847,7,FALSE()),"please select a BUG ID")</f>
        <v>please select a BUG ID</v>
      </c>
      <c r="D320" s="51" t="str">
        <f>IFERROR(VLOOKUP(A320,Internal_lists_bugs!$A$2:$I847,9,FALSE()),"please select a BUG ID")</f>
        <v>please select a BUG ID</v>
      </c>
      <c r="E320" s="52"/>
      <c r="F320" s="52"/>
      <c r="G320" s="43"/>
      <c r="H320" s="52"/>
      <c r="J320" s="52"/>
      <c r="K320" s="52"/>
    </row>
    <row r="321">
      <c r="A321" s="43"/>
      <c r="B321" s="38" t="str">
        <f>IFERROR(HYPERLINK(VLOOKUP(A321,Internal_lists_bugs!$A$2:$C$73,3,FALSE()), VLOOKUP(A321,Internal_lists_bugs!$A$2:$C$73,3,FALSE())&amp;Char(10) &amp; Char(10) &amp; VLOOKUP(A321,Internal_lists_bugs!$A$2:$Z$73,26,FALSE())),"please select a BUG ID")</f>
        <v>please select a BUG ID</v>
      </c>
      <c r="C321" s="51" t="str">
        <f>IFERROR(VLOOKUP(A321,Internal_lists_bugs!$A$2:$G847,7,FALSE()),"please select a BUG ID")</f>
        <v>please select a BUG ID</v>
      </c>
      <c r="D321" s="51" t="str">
        <f>IFERROR(VLOOKUP(A321,Internal_lists_bugs!$A$2:$I847,9,FALSE()),"please select a BUG ID")</f>
        <v>please select a BUG ID</v>
      </c>
      <c r="E321" s="52"/>
      <c r="F321" s="52"/>
      <c r="G321" s="43"/>
      <c r="H321" s="52"/>
      <c r="J321" s="52"/>
      <c r="K321" s="52"/>
    </row>
    <row r="322">
      <c r="A322" s="43"/>
      <c r="B322" s="38" t="str">
        <f>IFERROR(HYPERLINK(VLOOKUP(A322,Internal_lists_bugs!$A$2:$C$73,3,FALSE()), VLOOKUP(A322,Internal_lists_bugs!$A$2:$C$73,3,FALSE())&amp;Char(10) &amp; Char(10) &amp; VLOOKUP(A322,Internal_lists_bugs!$A$2:$Z$73,26,FALSE())),"please select a BUG ID")</f>
        <v>please select a BUG ID</v>
      </c>
      <c r="C322" s="51" t="str">
        <f>IFERROR(VLOOKUP(A322,Internal_lists_bugs!$A$2:$G847,7,FALSE()),"please select a BUG ID")</f>
        <v>please select a BUG ID</v>
      </c>
      <c r="D322" s="51" t="str">
        <f>IFERROR(VLOOKUP(A322,Internal_lists_bugs!$A$2:$I847,9,FALSE()),"please select a BUG ID")</f>
        <v>please select a BUG ID</v>
      </c>
      <c r="E322" s="52"/>
      <c r="F322" s="52"/>
      <c r="G322" s="43"/>
      <c r="H322" s="52"/>
      <c r="J322" s="52"/>
      <c r="K322" s="52"/>
    </row>
    <row r="323">
      <c r="A323" s="43"/>
      <c r="B323" s="38" t="str">
        <f>IFERROR(HYPERLINK(VLOOKUP(A323,Internal_lists_bugs!$A$2:$C$73,3,FALSE()), VLOOKUP(A323,Internal_lists_bugs!$A$2:$C$73,3,FALSE())&amp;Char(10) &amp; Char(10) &amp; VLOOKUP(A323,Internal_lists_bugs!$A$2:$Z$73,26,FALSE())),"please select a BUG ID")</f>
        <v>please select a BUG ID</v>
      </c>
      <c r="C323" s="51" t="str">
        <f>IFERROR(VLOOKUP(A323,Internal_lists_bugs!$A$2:$G847,7,FALSE()),"please select a BUG ID")</f>
        <v>please select a BUG ID</v>
      </c>
      <c r="D323" s="51" t="str">
        <f>IFERROR(VLOOKUP(A323,Internal_lists_bugs!$A$2:$I847,9,FALSE()),"please select a BUG ID")</f>
        <v>please select a BUG ID</v>
      </c>
      <c r="E323" s="52"/>
      <c r="F323" s="52"/>
      <c r="G323" s="43"/>
      <c r="H323" s="52"/>
      <c r="J323" s="52"/>
      <c r="K323" s="52"/>
    </row>
    <row r="324">
      <c r="A324" s="43"/>
      <c r="B324" s="38" t="str">
        <f>IFERROR(HYPERLINK(VLOOKUP(A324,Internal_lists_bugs!$A$2:$C$73,3,FALSE()), VLOOKUP(A324,Internal_lists_bugs!$A$2:$C$73,3,FALSE())&amp;Char(10) &amp; Char(10) &amp; VLOOKUP(A324,Internal_lists_bugs!$A$2:$Z$73,26,FALSE())),"please select a BUG ID")</f>
        <v>please select a BUG ID</v>
      </c>
      <c r="C324" s="51" t="str">
        <f>IFERROR(VLOOKUP(A324,Internal_lists_bugs!$A$2:$G847,7,FALSE()),"please select a BUG ID")</f>
        <v>please select a BUG ID</v>
      </c>
      <c r="D324" s="51" t="str">
        <f>IFERROR(VLOOKUP(A324,Internal_lists_bugs!$A$2:$I847,9,FALSE()),"please select a BUG ID")</f>
        <v>please select a BUG ID</v>
      </c>
      <c r="E324" s="52"/>
      <c r="F324" s="52"/>
      <c r="G324" s="43"/>
      <c r="H324" s="52"/>
      <c r="J324" s="52"/>
      <c r="K324" s="52"/>
    </row>
    <row r="325">
      <c r="A325" s="43"/>
      <c r="B325" s="38" t="str">
        <f>IFERROR(HYPERLINK(VLOOKUP(A325,Internal_lists_bugs!$A$2:$C$73,3,FALSE()), VLOOKUP(A325,Internal_lists_bugs!$A$2:$C$73,3,FALSE())&amp;Char(10) &amp; Char(10) &amp; VLOOKUP(A325,Internal_lists_bugs!$A$2:$Z$73,26,FALSE())),"please select a BUG ID")</f>
        <v>please select a BUG ID</v>
      </c>
      <c r="C325" s="51" t="str">
        <f>IFERROR(VLOOKUP(A325,Internal_lists_bugs!$A$2:$G847,7,FALSE()),"please select a BUG ID")</f>
        <v>please select a BUG ID</v>
      </c>
      <c r="D325" s="51" t="str">
        <f>IFERROR(VLOOKUP(A325,Internal_lists_bugs!$A$2:$I847,9,FALSE()),"please select a BUG ID")</f>
        <v>please select a BUG ID</v>
      </c>
      <c r="E325" s="52"/>
      <c r="F325" s="52"/>
      <c r="G325" s="43"/>
      <c r="H325" s="52"/>
      <c r="J325" s="52"/>
      <c r="K325" s="52"/>
    </row>
    <row r="326">
      <c r="A326" s="43"/>
      <c r="B326" s="38" t="str">
        <f>IFERROR(HYPERLINK(VLOOKUP(A326,Internal_lists_bugs!$A$2:$C$73,3,FALSE()), VLOOKUP(A326,Internal_lists_bugs!$A$2:$C$73,3,FALSE())&amp;Char(10) &amp; Char(10) &amp; VLOOKUP(A326,Internal_lists_bugs!$A$2:$Z$73,26,FALSE())),"please select a BUG ID")</f>
        <v>please select a BUG ID</v>
      </c>
      <c r="C326" s="51" t="str">
        <f>IFERROR(VLOOKUP(A326,Internal_lists_bugs!$A$2:$G847,7,FALSE()),"please select a BUG ID")</f>
        <v>please select a BUG ID</v>
      </c>
      <c r="D326" s="51" t="str">
        <f>IFERROR(VLOOKUP(A326,Internal_lists_bugs!$A$2:$I847,9,FALSE()),"please select a BUG ID")</f>
        <v>please select a BUG ID</v>
      </c>
      <c r="E326" s="52"/>
      <c r="F326" s="52"/>
      <c r="G326" s="43"/>
      <c r="H326" s="52"/>
      <c r="J326" s="52"/>
      <c r="K326" s="52"/>
    </row>
    <row r="327">
      <c r="A327" s="43"/>
      <c r="B327" s="38" t="str">
        <f>IFERROR(HYPERLINK(VLOOKUP(A327,Internal_lists_bugs!$A$2:$C$73,3,FALSE()), VLOOKUP(A327,Internal_lists_bugs!$A$2:$C$73,3,FALSE())&amp;Char(10) &amp; Char(10) &amp; VLOOKUP(A327,Internal_lists_bugs!$A$2:$Z$73,26,FALSE())),"please select a BUG ID")</f>
        <v>please select a BUG ID</v>
      </c>
      <c r="C327" s="51" t="str">
        <f>IFERROR(VLOOKUP(A327,Internal_lists_bugs!$A$2:$G847,7,FALSE()),"please select a BUG ID")</f>
        <v>please select a BUG ID</v>
      </c>
      <c r="D327" s="51" t="str">
        <f>IFERROR(VLOOKUP(A327,Internal_lists_bugs!$A$2:$I847,9,FALSE()),"please select a BUG ID")</f>
        <v>please select a BUG ID</v>
      </c>
      <c r="E327" s="52"/>
      <c r="F327" s="52"/>
      <c r="G327" s="43"/>
      <c r="H327" s="52"/>
      <c r="J327" s="52"/>
      <c r="K327" s="52"/>
    </row>
    <row r="328">
      <c r="A328" s="43"/>
      <c r="B328" s="38" t="str">
        <f>IFERROR(HYPERLINK(VLOOKUP(A328,Internal_lists_bugs!$A$2:$C$73,3,FALSE()), VLOOKUP(A328,Internal_lists_bugs!$A$2:$C$73,3,FALSE())&amp;Char(10) &amp; Char(10) &amp; VLOOKUP(A328,Internal_lists_bugs!$A$2:$Z$73,26,FALSE())),"please select a BUG ID")</f>
        <v>please select a BUG ID</v>
      </c>
      <c r="C328" s="51" t="str">
        <f>IFERROR(VLOOKUP(A328,Internal_lists_bugs!$A$2:$G847,7,FALSE()),"please select a BUG ID")</f>
        <v>please select a BUG ID</v>
      </c>
      <c r="D328" s="51" t="str">
        <f>IFERROR(VLOOKUP(A328,Internal_lists_bugs!$A$2:$I847,9,FALSE()),"please select a BUG ID")</f>
        <v>please select a BUG ID</v>
      </c>
      <c r="E328" s="52"/>
      <c r="F328" s="52"/>
      <c r="G328" s="43"/>
      <c r="H328" s="52"/>
      <c r="J328" s="52"/>
      <c r="K328" s="52"/>
    </row>
    <row r="329">
      <c r="A329" s="43"/>
      <c r="B329" s="38" t="str">
        <f>IFERROR(HYPERLINK(VLOOKUP(A329,Internal_lists_bugs!$A$2:$C$73,3,FALSE()), VLOOKUP(A329,Internal_lists_bugs!$A$2:$C$73,3,FALSE())&amp;Char(10) &amp; Char(10) &amp; VLOOKUP(A329,Internal_lists_bugs!$A$2:$Z$73,26,FALSE())),"please select a BUG ID")</f>
        <v>please select a BUG ID</v>
      </c>
      <c r="C329" s="51" t="str">
        <f>IFERROR(VLOOKUP(A329,Internal_lists_bugs!$A$2:$G847,7,FALSE()),"please select a BUG ID")</f>
        <v>please select a BUG ID</v>
      </c>
      <c r="D329" s="51" t="str">
        <f>IFERROR(VLOOKUP(A329,Internal_lists_bugs!$A$2:$I847,9,FALSE()),"please select a BUG ID")</f>
        <v>please select a BUG ID</v>
      </c>
      <c r="E329" s="52"/>
      <c r="F329" s="52"/>
      <c r="G329" s="43"/>
      <c r="H329" s="52"/>
      <c r="J329" s="52"/>
      <c r="K329" s="52"/>
    </row>
    <row r="330">
      <c r="A330" s="43"/>
      <c r="B330" s="38" t="str">
        <f>IFERROR(HYPERLINK(VLOOKUP(A330,Internal_lists_bugs!$A$2:$C$73,3,FALSE()), VLOOKUP(A330,Internal_lists_bugs!$A$2:$C$73,3,FALSE())&amp;Char(10) &amp; Char(10) &amp; VLOOKUP(A330,Internal_lists_bugs!$A$2:$Z$73,26,FALSE())),"please select a BUG ID")</f>
        <v>please select a BUG ID</v>
      </c>
      <c r="C330" s="51" t="str">
        <f>IFERROR(VLOOKUP(A330,Internal_lists_bugs!$A$2:$G847,7,FALSE()),"please select a BUG ID")</f>
        <v>please select a BUG ID</v>
      </c>
      <c r="D330" s="51" t="str">
        <f>IFERROR(VLOOKUP(A330,Internal_lists_bugs!$A$2:$I847,9,FALSE()),"please select a BUG ID")</f>
        <v>please select a BUG ID</v>
      </c>
      <c r="E330" s="52"/>
      <c r="F330" s="52"/>
      <c r="G330" s="43"/>
      <c r="H330" s="52"/>
      <c r="J330" s="52"/>
      <c r="K330" s="52"/>
    </row>
    <row r="331">
      <c r="A331" s="43"/>
      <c r="B331" s="38" t="str">
        <f>IFERROR(HYPERLINK(VLOOKUP(A331,Internal_lists_bugs!$A$2:$C$73,3,FALSE()), VLOOKUP(A331,Internal_lists_bugs!$A$2:$C$73,3,FALSE())&amp;Char(10) &amp; Char(10) &amp; VLOOKUP(A331,Internal_lists_bugs!$A$2:$Z$73,26,FALSE())),"please select a BUG ID")</f>
        <v>please select a BUG ID</v>
      </c>
      <c r="C331" s="51" t="str">
        <f>IFERROR(VLOOKUP(A331,Internal_lists_bugs!$A$2:$G847,7,FALSE()),"please select a BUG ID")</f>
        <v>please select a BUG ID</v>
      </c>
      <c r="D331" s="51" t="str">
        <f>IFERROR(VLOOKUP(A331,Internal_lists_bugs!$A$2:$I847,9,FALSE()),"please select a BUG ID")</f>
        <v>please select a BUG ID</v>
      </c>
      <c r="E331" s="52"/>
      <c r="F331" s="52"/>
      <c r="G331" s="43"/>
      <c r="H331" s="52"/>
      <c r="J331" s="52"/>
      <c r="K331" s="52"/>
    </row>
    <row r="332">
      <c r="A332" s="43"/>
      <c r="B332" s="38" t="str">
        <f>IFERROR(HYPERLINK(VLOOKUP(A332,Internal_lists_bugs!$A$2:$C$73,3,FALSE()), VLOOKUP(A332,Internal_lists_bugs!$A$2:$C$73,3,FALSE())&amp;Char(10) &amp; Char(10) &amp; VLOOKUP(A332,Internal_lists_bugs!$A$2:$Z$73,26,FALSE())),"please select a BUG ID")</f>
        <v>please select a BUG ID</v>
      </c>
      <c r="C332" s="51" t="str">
        <f>IFERROR(VLOOKUP(A332,Internal_lists_bugs!$A$2:$G847,7,FALSE()),"please select a BUG ID")</f>
        <v>please select a BUG ID</v>
      </c>
      <c r="D332" s="51" t="str">
        <f>IFERROR(VLOOKUP(A332,Internal_lists_bugs!$A$2:$I847,9,FALSE()),"please select a BUG ID")</f>
        <v>please select a BUG ID</v>
      </c>
      <c r="E332" s="52"/>
      <c r="F332" s="52"/>
      <c r="G332" s="43"/>
      <c r="H332" s="52"/>
      <c r="J332" s="52"/>
      <c r="K332" s="52"/>
    </row>
    <row r="333">
      <c r="A333" s="43"/>
      <c r="B333" s="38" t="str">
        <f>IFERROR(HYPERLINK(VLOOKUP(A333,Internal_lists_bugs!$A$2:$C$73,3,FALSE()), VLOOKUP(A333,Internal_lists_bugs!$A$2:$C$73,3,FALSE())&amp;Char(10) &amp; Char(10) &amp; VLOOKUP(A333,Internal_lists_bugs!$A$2:$Z$73,26,FALSE())),"please select a BUG ID")</f>
        <v>please select a BUG ID</v>
      </c>
      <c r="C333" s="51" t="str">
        <f>IFERROR(VLOOKUP(A333,Internal_lists_bugs!$A$2:$G847,7,FALSE()),"please select a BUG ID")</f>
        <v>please select a BUG ID</v>
      </c>
      <c r="D333" s="51" t="str">
        <f>IFERROR(VLOOKUP(A333,Internal_lists_bugs!$A$2:$I847,9,FALSE()),"please select a BUG ID")</f>
        <v>please select a BUG ID</v>
      </c>
      <c r="E333" s="52"/>
      <c r="F333" s="52"/>
      <c r="G333" s="43"/>
      <c r="H333" s="52"/>
      <c r="J333" s="52"/>
      <c r="K333" s="52"/>
    </row>
    <row r="334">
      <c r="A334" s="43"/>
      <c r="B334" s="38" t="str">
        <f>IFERROR(HYPERLINK(VLOOKUP(A334,Internal_lists_bugs!$A$2:$C$73,3,FALSE()), VLOOKUP(A334,Internal_lists_bugs!$A$2:$C$73,3,FALSE())&amp;Char(10) &amp; Char(10) &amp; VLOOKUP(A334,Internal_lists_bugs!$A$2:$Z$73,26,FALSE())),"please select a BUG ID")</f>
        <v>please select a BUG ID</v>
      </c>
      <c r="C334" s="51" t="str">
        <f>IFERROR(VLOOKUP(A334,Internal_lists_bugs!$A$2:$G847,7,FALSE()),"please select a BUG ID")</f>
        <v>please select a BUG ID</v>
      </c>
      <c r="D334" s="51" t="str">
        <f>IFERROR(VLOOKUP(A334,Internal_lists_bugs!$A$2:$I847,9,FALSE()),"please select a BUG ID")</f>
        <v>please select a BUG ID</v>
      </c>
      <c r="E334" s="52"/>
      <c r="F334" s="52"/>
      <c r="G334" s="43"/>
      <c r="H334" s="52"/>
      <c r="J334" s="52"/>
      <c r="K334" s="52"/>
    </row>
    <row r="335">
      <c r="A335" s="43"/>
      <c r="B335" s="38" t="str">
        <f>IFERROR(HYPERLINK(VLOOKUP(A335,Internal_lists_bugs!$A$2:$C$73,3,FALSE()), VLOOKUP(A335,Internal_lists_bugs!$A$2:$C$73,3,FALSE())&amp;Char(10) &amp; Char(10) &amp; VLOOKUP(A335,Internal_lists_bugs!$A$2:$Z$73,26,FALSE())),"please select a BUG ID")</f>
        <v>please select a BUG ID</v>
      </c>
      <c r="C335" s="51" t="str">
        <f>IFERROR(VLOOKUP(A335,Internal_lists_bugs!$A$2:$G847,7,FALSE()),"please select a BUG ID")</f>
        <v>please select a BUG ID</v>
      </c>
      <c r="D335" s="51" t="str">
        <f>IFERROR(VLOOKUP(A335,Internal_lists_bugs!$A$2:$I847,9,FALSE()),"please select a BUG ID")</f>
        <v>please select a BUG ID</v>
      </c>
      <c r="E335" s="52"/>
      <c r="F335" s="52"/>
      <c r="G335" s="43"/>
      <c r="H335" s="52"/>
      <c r="J335" s="52"/>
      <c r="K335" s="52"/>
    </row>
    <row r="336">
      <c r="A336" s="43"/>
      <c r="B336" s="38" t="str">
        <f>IFERROR(HYPERLINK(VLOOKUP(A336,Internal_lists_bugs!$A$2:$C$73,3,FALSE()), VLOOKUP(A336,Internal_lists_bugs!$A$2:$C$73,3,FALSE())&amp;Char(10) &amp; Char(10) &amp; VLOOKUP(A336,Internal_lists_bugs!$A$2:$Z$73,26,FALSE())),"please select a BUG ID")</f>
        <v>please select a BUG ID</v>
      </c>
      <c r="C336" s="51" t="str">
        <f>IFERROR(VLOOKUP(A336,Internal_lists_bugs!$A$2:$G847,7,FALSE()),"please select a BUG ID")</f>
        <v>please select a BUG ID</v>
      </c>
      <c r="D336" s="51" t="str">
        <f>IFERROR(VLOOKUP(A336,Internal_lists_bugs!$A$2:$I847,9,FALSE()),"please select a BUG ID")</f>
        <v>please select a BUG ID</v>
      </c>
      <c r="E336" s="52"/>
      <c r="F336" s="52"/>
      <c r="G336" s="43"/>
      <c r="H336" s="52"/>
      <c r="J336" s="52"/>
      <c r="K336" s="52"/>
    </row>
    <row r="337">
      <c r="A337" s="43"/>
      <c r="B337" s="38" t="str">
        <f>IFERROR(HYPERLINK(VLOOKUP(A337,Internal_lists_bugs!$A$2:$C$73,3,FALSE()), VLOOKUP(A337,Internal_lists_bugs!$A$2:$C$73,3,FALSE())&amp;Char(10) &amp; Char(10) &amp; VLOOKUP(A337,Internal_lists_bugs!$A$2:$Z$73,26,FALSE())),"please select a BUG ID")</f>
        <v>please select a BUG ID</v>
      </c>
      <c r="C337" s="51" t="str">
        <f>IFERROR(VLOOKUP(A337,Internal_lists_bugs!$A$2:$G847,7,FALSE()),"please select a BUG ID")</f>
        <v>please select a BUG ID</v>
      </c>
      <c r="D337" s="51" t="str">
        <f>IFERROR(VLOOKUP(A337,Internal_lists_bugs!$A$2:$I847,9,FALSE()),"please select a BUG ID")</f>
        <v>please select a BUG ID</v>
      </c>
      <c r="E337" s="52"/>
      <c r="F337" s="52"/>
      <c r="G337" s="43"/>
      <c r="H337" s="52"/>
      <c r="J337" s="52"/>
      <c r="K337" s="52"/>
    </row>
    <row r="338">
      <c r="A338" s="43"/>
      <c r="B338" s="38" t="str">
        <f>IFERROR(HYPERLINK(VLOOKUP(A338,Internal_lists_bugs!$A$2:$C$73,3,FALSE()), VLOOKUP(A338,Internal_lists_bugs!$A$2:$C$73,3,FALSE())&amp;Char(10) &amp; Char(10) &amp; VLOOKUP(A338,Internal_lists_bugs!$A$2:$Z$73,26,FALSE())),"please select a BUG ID")</f>
        <v>please select a BUG ID</v>
      </c>
      <c r="C338" s="51" t="str">
        <f>IFERROR(VLOOKUP(A338,Internal_lists_bugs!$A$2:$G847,7,FALSE()),"please select a BUG ID")</f>
        <v>please select a BUG ID</v>
      </c>
      <c r="D338" s="51" t="str">
        <f>IFERROR(VLOOKUP(A338,Internal_lists_bugs!$A$2:$I847,9,FALSE()),"please select a BUG ID")</f>
        <v>please select a BUG ID</v>
      </c>
      <c r="E338" s="52"/>
      <c r="F338" s="52"/>
      <c r="G338" s="43"/>
      <c r="H338" s="52"/>
      <c r="J338" s="52"/>
      <c r="K338" s="52"/>
    </row>
    <row r="339">
      <c r="A339" s="43"/>
      <c r="B339" s="38" t="str">
        <f>IFERROR(HYPERLINK(VLOOKUP(A339,Internal_lists_bugs!$A$2:$C$73,3,FALSE()), VLOOKUP(A339,Internal_lists_bugs!$A$2:$C$73,3,FALSE())&amp;Char(10) &amp; Char(10) &amp; VLOOKUP(A339,Internal_lists_bugs!$A$2:$Z$73,26,FALSE())),"please select a BUG ID")</f>
        <v>please select a BUG ID</v>
      </c>
      <c r="C339" s="51" t="str">
        <f>IFERROR(VLOOKUP(A339,Internal_lists_bugs!$A$2:$G847,7,FALSE()),"please select a BUG ID")</f>
        <v>please select a BUG ID</v>
      </c>
      <c r="D339" s="51" t="str">
        <f>IFERROR(VLOOKUP(A339,Internal_lists_bugs!$A$2:$I847,9,FALSE()),"please select a BUG ID")</f>
        <v>please select a BUG ID</v>
      </c>
      <c r="E339" s="52"/>
      <c r="F339" s="52"/>
      <c r="G339" s="43"/>
      <c r="H339" s="52"/>
      <c r="J339" s="52"/>
      <c r="K339" s="52"/>
    </row>
    <row r="340">
      <c r="A340" s="43"/>
      <c r="B340" s="38" t="str">
        <f>IFERROR(HYPERLINK(VLOOKUP(A340,Internal_lists_bugs!$A$2:$C$73,3,FALSE()), VLOOKUP(A340,Internal_lists_bugs!$A$2:$C$73,3,FALSE())&amp;Char(10) &amp; Char(10) &amp; VLOOKUP(A340,Internal_lists_bugs!$A$2:$Z$73,26,FALSE())),"please select a BUG ID")</f>
        <v>please select a BUG ID</v>
      </c>
      <c r="C340" s="51" t="str">
        <f>IFERROR(VLOOKUP(A340,Internal_lists_bugs!$A$2:$G847,7,FALSE()),"please select a BUG ID")</f>
        <v>please select a BUG ID</v>
      </c>
      <c r="D340" s="51" t="str">
        <f>IFERROR(VLOOKUP(A340,Internal_lists_bugs!$A$2:$I847,9,FALSE()),"please select a BUG ID")</f>
        <v>please select a BUG ID</v>
      </c>
      <c r="E340" s="52"/>
      <c r="F340" s="52"/>
      <c r="G340" s="43"/>
      <c r="H340" s="52"/>
      <c r="J340" s="52"/>
      <c r="K340" s="52"/>
    </row>
    <row r="341">
      <c r="A341" s="43"/>
      <c r="B341" s="38" t="str">
        <f>IFERROR(HYPERLINK(VLOOKUP(A341,Internal_lists_bugs!$A$2:$C$73,3,FALSE()), VLOOKUP(A341,Internal_lists_bugs!$A$2:$C$73,3,FALSE())&amp;Char(10) &amp; Char(10) &amp; VLOOKUP(A341,Internal_lists_bugs!$A$2:$Z$73,26,FALSE())),"please select a BUG ID")</f>
        <v>please select a BUG ID</v>
      </c>
      <c r="C341" s="51" t="str">
        <f>IFERROR(VLOOKUP(A341,Internal_lists_bugs!$A$2:$G847,7,FALSE()),"please select a BUG ID")</f>
        <v>please select a BUG ID</v>
      </c>
      <c r="D341" s="51" t="str">
        <f>IFERROR(VLOOKUP(A341,Internal_lists_bugs!$A$2:$I847,9,FALSE()),"please select a BUG ID")</f>
        <v>please select a BUG ID</v>
      </c>
      <c r="E341" s="52"/>
      <c r="F341" s="52"/>
      <c r="G341" s="43"/>
      <c r="H341" s="52"/>
      <c r="J341" s="52"/>
      <c r="K341" s="52"/>
    </row>
    <row r="342">
      <c r="A342" s="43"/>
      <c r="B342" s="38" t="str">
        <f>IFERROR(HYPERLINK(VLOOKUP(A342,Internal_lists_bugs!$A$2:$C$73,3,FALSE()), VLOOKUP(A342,Internal_lists_bugs!$A$2:$C$73,3,FALSE())&amp;Char(10) &amp; Char(10) &amp; VLOOKUP(A342,Internal_lists_bugs!$A$2:$Z$73,26,FALSE())),"please select a BUG ID")</f>
        <v>please select a BUG ID</v>
      </c>
      <c r="C342" s="51" t="str">
        <f>IFERROR(VLOOKUP(A342,Internal_lists_bugs!$A$2:$G847,7,FALSE()),"please select a BUG ID")</f>
        <v>please select a BUG ID</v>
      </c>
      <c r="D342" s="51" t="str">
        <f>IFERROR(VLOOKUP(A342,Internal_lists_bugs!$A$2:$I847,9,FALSE()),"please select a BUG ID")</f>
        <v>please select a BUG ID</v>
      </c>
      <c r="E342" s="52"/>
      <c r="F342" s="52"/>
      <c r="G342" s="43"/>
      <c r="H342" s="52"/>
      <c r="J342" s="52"/>
      <c r="K342" s="52"/>
    </row>
    <row r="343">
      <c r="A343" s="43"/>
      <c r="B343" s="38" t="str">
        <f>IFERROR(HYPERLINK(VLOOKUP(A343,Internal_lists_bugs!$A$2:$C$73,3,FALSE()), VLOOKUP(A343,Internal_lists_bugs!$A$2:$C$73,3,FALSE())&amp;Char(10) &amp; Char(10) &amp; VLOOKUP(A343,Internal_lists_bugs!$A$2:$Z$73,26,FALSE())),"please select a BUG ID")</f>
        <v>please select a BUG ID</v>
      </c>
      <c r="C343" s="51" t="str">
        <f>IFERROR(VLOOKUP(A343,Internal_lists_bugs!$A$2:$G847,7,FALSE()),"please select a BUG ID")</f>
        <v>please select a BUG ID</v>
      </c>
      <c r="D343" s="51" t="str">
        <f>IFERROR(VLOOKUP(A343,Internal_lists_bugs!$A$2:$I847,9,FALSE()),"please select a BUG ID")</f>
        <v>please select a BUG ID</v>
      </c>
      <c r="E343" s="52"/>
      <c r="F343" s="52"/>
      <c r="G343" s="43"/>
      <c r="H343" s="52"/>
      <c r="J343" s="52"/>
      <c r="K343" s="52"/>
    </row>
    <row r="344">
      <c r="A344" s="43"/>
      <c r="B344" s="38" t="str">
        <f>IFERROR(HYPERLINK(VLOOKUP(A344,Internal_lists_bugs!$A$2:$C$73,3,FALSE()), VLOOKUP(A344,Internal_lists_bugs!$A$2:$C$73,3,FALSE())&amp;Char(10) &amp; Char(10) &amp; VLOOKUP(A344,Internal_lists_bugs!$A$2:$Z$73,26,FALSE())),"please select a BUG ID")</f>
        <v>please select a BUG ID</v>
      </c>
      <c r="C344" s="51" t="str">
        <f>IFERROR(VLOOKUP(A344,Internal_lists_bugs!$A$2:$G847,7,FALSE()),"please select a BUG ID")</f>
        <v>please select a BUG ID</v>
      </c>
      <c r="D344" s="51" t="str">
        <f>IFERROR(VLOOKUP(A344,Internal_lists_bugs!$A$2:$I847,9,FALSE()),"please select a BUG ID")</f>
        <v>please select a BUG ID</v>
      </c>
      <c r="E344" s="52"/>
      <c r="F344" s="52"/>
      <c r="G344" s="43"/>
      <c r="H344" s="52"/>
      <c r="J344" s="52"/>
      <c r="K344" s="52"/>
    </row>
    <row r="345">
      <c r="A345" s="43"/>
      <c r="B345" s="38" t="str">
        <f>IFERROR(HYPERLINK(VLOOKUP(A345,Internal_lists_bugs!$A$2:$C$73,3,FALSE()), VLOOKUP(A345,Internal_lists_bugs!$A$2:$C$73,3,FALSE())&amp;Char(10) &amp; Char(10) &amp; VLOOKUP(A345,Internal_lists_bugs!$A$2:$Z$73,26,FALSE())),"please select a BUG ID")</f>
        <v>please select a BUG ID</v>
      </c>
      <c r="C345" s="51" t="str">
        <f>IFERROR(VLOOKUP(A345,Internal_lists_bugs!$A$2:$G847,7,FALSE()),"please select a BUG ID")</f>
        <v>please select a BUG ID</v>
      </c>
      <c r="D345" s="51" t="str">
        <f>IFERROR(VLOOKUP(A345,Internal_lists_bugs!$A$2:$I847,9,FALSE()),"please select a BUG ID")</f>
        <v>please select a BUG ID</v>
      </c>
      <c r="E345" s="52"/>
      <c r="F345" s="52"/>
      <c r="G345" s="43"/>
      <c r="H345" s="52"/>
      <c r="J345" s="52"/>
      <c r="K345" s="52"/>
    </row>
    <row r="346">
      <c r="A346" s="43"/>
      <c r="B346" s="38" t="str">
        <f>IFERROR(HYPERLINK(VLOOKUP(A346,Internal_lists_bugs!$A$2:$C$73,3,FALSE()), VLOOKUP(A346,Internal_lists_bugs!$A$2:$C$73,3,FALSE())&amp;Char(10) &amp; Char(10) &amp; VLOOKUP(A346,Internal_lists_bugs!$A$2:$Z$73,26,FALSE())),"please select a BUG ID")</f>
        <v>please select a BUG ID</v>
      </c>
      <c r="C346" s="51" t="str">
        <f>IFERROR(VLOOKUP(A346,Internal_lists_bugs!$A$2:$G847,7,FALSE()),"please select a BUG ID")</f>
        <v>please select a BUG ID</v>
      </c>
      <c r="D346" s="51" t="str">
        <f>IFERROR(VLOOKUP(A346,Internal_lists_bugs!$A$2:$I847,9,FALSE()),"please select a BUG ID")</f>
        <v>please select a BUG ID</v>
      </c>
      <c r="E346" s="52"/>
      <c r="F346" s="52"/>
      <c r="G346" s="43"/>
      <c r="H346" s="52"/>
      <c r="J346" s="52"/>
      <c r="K346" s="52"/>
    </row>
    <row r="347">
      <c r="A347" s="43"/>
      <c r="B347" s="38" t="str">
        <f>IFERROR(HYPERLINK(VLOOKUP(A347,Internal_lists_bugs!$A$2:$C$73,3,FALSE()), VLOOKUP(A347,Internal_lists_bugs!$A$2:$C$73,3,FALSE())&amp;Char(10) &amp; Char(10) &amp; VLOOKUP(A347,Internal_lists_bugs!$A$2:$Z$73,26,FALSE())),"please select a BUG ID")</f>
        <v>please select a BUG ID</v>
      </c>
      <c r="C347" s="51" t="str">
        <f>IFERROR(VLOOKUP(A347,Internal_lists_bugs!$A$2:$G847,7,FALSE()),"please select a BUG ID")</f>
        <v>please select a BUG ID</v>
      </c>
      <c r="D347" s="51" t="str">
        <f>IFERROR(VLOOKUP(A347,Internal_lists_bugs!$A$2:$I847,9,FALSE()),"please select a BUG ID")</f>
        <v>please select a BUG ID</v>
      </c>
      <c r="E347" s="52"/>
      <c r="F347" s="52"/>
      <c r="G347" s="43"/>
      <c r="H347" s="52"/>
      <c r="J347" s="52"/>
      <c r="K347" s="52"/>
    </row>
    <row r="348">
      <c r="A348" s="43"/>
      <c r="B348" s="38" t="str">
        <f>IFERROR(HYPERLINK(VLOOKUP(A348,Internal_lists_bugs!$A$2:$C$73,3,FALSE()), VLOOKUP(A348,Internal_lists_bugs!$A$2:$C$73,3,FALSE())&amp;Char(10) &amp; Char(10) &amp; VLOOKUP(A348,Internal_lists_bugs!$A$2:$Z$73,26,FALSE())),"please select a BUG ID")</f>
        <v>please select a BUG ID</v>
      </c>
      <c r="C348" s="51" t="str">
        <f>IFERROR(VLOOKUP(A348,Internal_lists_bugs!$A$2:$G847,7,FALSE()),"please select a BUG ID")</f>
        <v>please select a BUG ID</v>
      </c>
      <c r="D348" s="51" t="str">
        <f>IFERROR(VLOOKUP(A348,Internal_lists_bugs!$A$2:$I847,9,FALSE()),"please select a BUG ID")</f>
        <v>please select a BUG ID</v>
      </c>
      <c r="E348" s="52"/>
      <c r="F348" s="52"/>
      <c r="G348" s="43"/>
      <c r="H348" s="52"/>
      <c r="J348" s="52"/>
      <c r="K348" s="52"/>
    </row>
    <row r="349">
      <c r="A349" s="43"/>
      <c r="B349" s="38" t="str">
        <f>IFERROR(HYPERLINK(VLOOKUP(A349,Internal_lists_bugs!$A$2:$C$73,3,FALSE()), VLOOKUP(A349,Internal_lists_bugs!$A$2:$C$73,3,FALSE())&amp;Char(10) &amp; Char(10) &amp; VLOOKUP(A349,Internal_lists_bugs!$A$2:$Z$73,26,FALSE())),"please select a BUG ID")</f>
        <v>please select a BUG ID</v>
      </c>
      <c r="C349" s="51" t="str">
        <f>IFERROR(VLOOKUP(A349,Internal_lists_bugs!$A$2:$G847,7,FALSE()),"please select a BUG ID")</f>
        <v>please select a BUG ID</v>
      </c>
      <c r="D349" s="51" t="str">
        <f>IFERROR(VLOOKUP(A349,Internal_lists_bugs!$A$2:$I847,9,FALSE()),"please select a BUG ID")</f>
        <v>please select a BUG ID</v>
      </c>
      <c r="E349" s="52"/>
      <c r="F349" s="52"/>
      <c r="G349" s="43"/>
      <c r="H349" s="52"/>
      <c r="J349" s="52"/>
      <c r="K349" s="52"/>
    </row>
    <row r="350">
      <c r="A350" s="43"/>
      <c r="B350" s="38" t="str">
        <f>IFERROR(HYPERLINK(VLOOKUP(A350,Internal_lists_bugs!$A$2:$C$73,3,FALSE()), VLOOKUP(A350,Internal_lists_bugs!$A$2:$C$73,3,FALSE())&amp;Char(10) &amp; Char(10) &amp; VLOOKUP(A350,Internal_lists_bugs!$A$2:$Z$73,26,FALSE())),"please select a BUG ID")</f>
        <v>please select a BUG ID</v>
      </c>
      <c r="C350" s="51" t="str">
        <f>IFERROR(VLOOKUP(A350,Internal_lists_bugs!$A$2:$G847,7,FALSE()),"please select a BUG ID")</f>
        <v>please select a BUG ID</v>
      </c>
      <c r="D350" s="51" t="str">
        <f>IFERROR(VLOOKUP(A350,Internal_lists_bugs!$A$2:$I847,9,FALSE()),"please select a BUG ID")</f>
        <v>please select a BUG ID</v>
      </c>
      <c r="E350" s="52"/>
      <c r="F350" s="52"/>
      <c r="G350" s="43"/>
      <c r="H350" s="52"/>
      <c r="J350" s="52"/>
      <c r="K350" s="52"/>
    </row>
    <row r="351">
      <c r="A351" s="43"/>
      <c r="B351" s="38" t="str">
        <f>IFERROR(HYPERLINK(VLOOKUP(A351,Internal_lists_bugs!$A$2:$C$73,3,FALSE()), VLOOKUP(A351,Internal_lists_bugs!$A$2:$C$73,3,FALSE())&amp;Char(10) &amp; Char(10) &amp; VLOOKUP(A351,Internal_lists_bugs!$A$2:$Z$73,26,FALSE())),"please select a BUG ID")</f>
        <v>please select a BUG ID</v>
      </c>
      <c r="C351" s="51" t="str">
        <f>IFERROR(VLOOKUP(A351,Internal_lists_bugs!$A$2:$G847,7,FALSE()),"please select a BUG ID")</f>
        <v>please select a BUG ID</v>
      </c>
      <c r="D351" s="51" t="str">
        <f>IFERROR(VLOOKUP(A351,Internal_lists_bugs!$A$2:$I847,9,FALSE()),"please select a BUG ID")</f>
        <v>please select a BUG ID</v>
      </c>
      <c r="E351" s="52"/>
      <c r="F351" s="52"/>
      <c r="G351" s="43"/>
      <c r="H351" s="52"/>
      <c r="J351" s="52"/>
      <c r="K351" s="52"/>
    </row>
    <row r="352">
      <c r="A352" s="43"/>
      <c r="B352" s="38" t="str">
        <f>IFERROR(HYPERLINK(VLOOKUP(A352,Internal_lists_bugs!$A$2:$C$73,3,FALSE()), VLOOKUP(A352,Internal_lists_bugs!$A$2:$C$73,3,FALSE())&amp;Char(10) &amp; Char(10) &amp; VLOOKUP(A352,Internal_lists_bugs!$A$2:$Z$73,26,FALSE())),"please select a BUG ID")</f>
        <v>please select a BUG ID</v>
      </c>
      <c r="C352" s="51" t="str">
        <f>IFERROR(VLOOKUP(A352,Internal_lists_bugs!$A$2:$G847,7,FALSE()),"please select a BUG ID")</f>
        <v>please select a BUG ID</v>
      </c>
      <c r="D352" s="51" t="str">
        <f>IFERROR(VLOOKUP(A352,Internal_lists_bugs!$A$2:$I847,9,FALSE()),"please select a BUG ID")</f>
        <v>please select a BUG ID</v>
      </c>
      <c r="E352" s="52"/>
      <c r="F352" s="52"/>
      <c r="G352" s="43"/>
      <c r="H352" s="52"/>
      <c r="J352" s="52"/>
      <c r="K352" s="52"/>
    </row>
    <row r="353">
      <c r="A353" s="43"/>
      <c r="B353" s="38" t="str">
        <f>IFERROR(HYPERLINK(VLOOKUP(A353,Internal_lists_bugs!$A$2:$C$73,3,FALSE()), VLOOKUP(A353,Internal_lists_bugs!$A$2:$C$73,3,FALSE())&amp;Char(10) &amp; Char(10) &amp; VLOOKUP(A353,Internal_lists_bugs!$A$2:$Z$73,26,FALSE())),"please select a BUG ID")</f>
        <v>please select a BUG ID</v>
      </c>
      <c r="C353" s="51" t="str">
        <f>IFERROR(VLOOKUP(A353,Internal_lists_bugs!$A$2:$G847,7,FALSE()),"please select a BUG ID")</f>
        <v>please select a BUG ID</v>
      </c>
      <c r="D353" s="51" t="str">
        <f>IFERROR(VLOOKUP(A353,Internal_lists_bugs!$A$2:$I847,9,FALSE()),"please select a BUG ID")</f>
        <v>please select a BUG ID</v>
      </c>
      <c r="E353" s="52"/>
      <c r="F353" s="52"/>
      <c r="G353" s="43"/>
      <c r="H353" s="52"/>
      <c r="J353" s="52"/>
      <c r="K353" s="52"/>
    </row>
    <row r="354">
      <c r="A354" s="43"/>
      <c r="B354" s="38" t="str">
        <f>IFERROR(HYPERLINK(VLOOKUP(A354,Internal_lists_bugs!$A$2:$C$73,3,FALSE()), VLOOKUP(A354,Internal_lists_bugs!$A$2:$C$73,3,FALSE())&amp;Char(10) &amp; Char(10) &amp; VLOOKUP(A354,Internal_lists_bugs!$A$2:$Z$73,26,FALSE())),"please select a BUG ID")</f>
        <v>please select a BUG ID</v>
      </c>
      <c r="C354" s="51" t="str">
        <f>IFERROR(VLOOKUP(A354,Internal_lists_bugs!$A$2:$G847,7,FALSE()),"please select a BUG ID")</f>
        <v>please select a BUG ID</v>
      </c>
      <c r="D354" s="51" t="str">
        <f>IFERROR(VLOOKUP(A354,Internal_lists_bugs!$A$2:$I847,9,FALSE()),"please select a BUG ID")</f>
        <v>please select a BUG ID</v>
      </c>
      <c r="E354" s="52"/>
      <c r="F354" s="52"/>
      <c r="G354" s="43"/>
      <c r="H354" s="52"/>
      <c r="J354" s="52"/>
      <c r="K354" s="52"/>
    </row>
    <row r="355">
      <c r="A355" s="43"/>
      <c r="B355" s="38" t="str">
        <f>IFERROR(HYPERLINK(VLOOKUP(A355,Internal_lists_bugs!$A$2:$C$73,3,FALSE()), VLOOKUP(A355,Internal_lists_bugs!$A$2:$C$73,3,FALSE())&amp;Char(10) &amp; Char(10) &amp; VLOOKUP(A355,Internal_lists_bugs!$A$2:$Z$73,26,FALSE())),"please select a BUG ID")</f>
        <v>please select a BUG ID</v>
      </c>
      <c r="C355" s="51" t="str">
        <f>IFERROR(VLOOKUP(A355,Internal_lists_bugs!$A$2:$G847,7,FALSE()),"please select a BUG ID")</f>
        <v>please select a BUG ID</v>
      </c>
      <c r="D355" s="51" t="str">
        <f>IFERROR(VLOOKUP(A355,Internal_lists_bugs!$A$2:$I847,9,FALSE()),"please select a BUG ID")</f>
        <v>please select a BUG ID</v>
      </c>
      <c r="E355" s="52"/>
      <c r="F355" s="52"/>
      <c r="G355" s="43"/>
      <c r="H355" s="52"/>
      <c r="J355" s="52"/>
      <c r="K355" s="52"/>
    </row>
    <row r="356">
      <c r="A356" s="43"/>
      <c r="B356" s="38" t="str">
        <f>IFERROR(HYPERLINK(VLOOKUP(A356,Internal_lists_bugs!$A$2:$C$73,3,FALSE()), VLOOKUP(A356,Internal_lists_bugs!$A$2:$C$73,3,FALSE())&amp;Char(10) &amp; Char(10) &amp; VLOOKUP(A356,Internal_lists_bugs!$A$2:$Z$73,26,FALSE())),"please select a BUG ID")</f>
        <v>please select a BUG ID</v>
      </c>
      <c r="C356" s="51" t="str">
        <f>IFERROR(VLOOKUP(A356,Internal_lists_bugs!$A$2:$G847,7,FALSE()),"please select a BUG ID")</f>
        <v>please select a BUG ID</v>
      </c>
      <c r="D356" s="51" t="str">
        <f>IFERROR(VLOOKUP(A356,Internal_lists_bugs!$A$2:$I847,9,FALSE()),"please select a BUG ID")</f>
        <v>please select a BUG ID</v>
      </c>
      <c r="E356" s="52"/>
      <c r="F356" s="52"/>
      <c r="G356" s="43"/>
      <c r="H356" s="52"/>
      <c r="J356" s="52"/>
      <c r="K356" s="52"/>
    </row>
    <row r="357">
      <c r="A357" s="43"/>
      <c r="B357" s="38" t="str">
        <f>IFERROR(HYPERLINK(VLOOKUP(A357,Internal_lists_bugs!$A$2:$C$73,3,FALSE()), VLOOKUP(A357,Internal_lists_bugs!$A$2:$C$73,3,FALSE())&amp;Char(10) &amp; Char(10) &amp; VLOOKUP(A357,Internal_lists_bugs!$A$2:$Z$73,26,FALSE())),"please select a BUG ID")</f>
        <v>please select a BUG ID</v>
      </c>
      <c r="C357" s="51" t="str">
        <f>IFERROR(VLOOKUP(A357,Internal_lists_bugs!$A$2:$G847,7,FALSE()),"please select a BUG ID")</f>
        <v>please select a BUG ID</v>
      </c>
      <c r="D357" s="51" t="str">
        <f>IFERROR(VLOOKUP(A357,Internal_lists_bugs!$A$2:$I847,9,FALSE()),"please select a BUG ID")</f>
        <v>please select a BUG ID</v>
      </c>
      <c r="E357" s="52"/>
      <c r="F357" s="52"/>
      <c r="G357" s="43"/>
      <c r="H357" s="52"/>
      <c r="J357" s="52"/>
      <c r="K357" s="52"/>
    </row>
    <row r="358">
      <c r="A358" s="43"/>
      <c r="B358" s="38" t="str">
        <f>IFERROR(HYPERLINK(VLOOKUP(A358,Internal_lists_bugs!$A$2:$C$73,3,FALSE()), VLOOKUP(A358,Internal_lists_bugs!$A$2:$C$73,3,FALSE())&amp;Char(10) &amp; Char(10) &amp; VLOOKUP(A358,Internal_lists_bugs!$A$2:$Z$73,26,FALSE())),"please select a BUG ID")</f>
        <v>please select a BUG ID</v>
      </c>
      <c r="C358" s="51" t="str">
        <f>IFERROR(VLOOKUP(A358,Internal_lists_bugs!$A$2:$G847,7,FALSE()),"please select a BUG ID")</f>
        <v>please select a BUG ID</v>
      </c>
      <c r="D358" s="51" t="str">
        <f>IFERROR(VLOOKUP(A358,Internal_lists_bugs!$A$2:$I847,9,FALSE()),"please select a BUG ID")</f>
        <v>please select a BUG ID</v>
      </c>
      <c r="E358" s="52"/>
      <c r="F358" s="52"/>
      <c r="G358" s="43"/>
      <c r="H358" s="52"/>
      <c r="J358" s="52"/>
      <c r="K358" s="52"/>
    </row>
    <row r="359">
      <c r="A359" s="43"/>
      <c r="B359" s="38" t="str">
        <f>IFERROR(HYPERLINK(VLOOKUP(A359,Internal_lists_bugs!$A$2:$C$73,3,FALSE()), VLOOKUP(A359,Internal_lists_bugs!$A$2:$C$73,3,FALSE())&amp;Char(10) &amp; Char(10) &amp; VLOOKUP(A359,Internal_lists_bugs!$A$2:$Z$73,26,FALSE())),"please select a BUG ID")</f>
        <v>please select a BUG ID</v>
      </c>
      <c r="C359" s="51" t="str">
        <f>IFERROR(VLOOKUP(A359,Internal_lists_bugs!$A$2:$G847,7,FALSE()),"please select a BUG ID")</f>
        <v>please select a BUG ID</v>
      </c>
      <c r="D359" s="51" t="str">
        <f>IFERROR(VLOOKUP(A359,Internal_lists_bugs!$A$2:$I847,9,FALSE()),"please select a BUG ID")</f>
        <v>please select a BUG ID</v>
      </c>
      <c r="E359" s="52"/>
      <c r="F359" s="52"/>
      <c r="G359" s="43"/>
      <c r="H359" s="52"/>
      <c r="J359" s="52"/>
      <c r="K359" s="52"/>
    </row>
    <row r="360">
      <c r="A360" s="43"/>
      <c r="B360" s="38" t="str">
        <f>IFERROR(HYPERLINK(VLOOKUP(A360,Internal_lists_bugs!$A$2:$C$73,3,FALSE()), VLOOKUP(A360,Internal_lists_bugs!$A$2:$C$73,3,FALSE())&amp;Char(10) &amp; Char(10) &amp; VLOOKUP(A360,Internal_lists_bugs!$A$2:$Z$73,26,FALSE())),"please select a BUG ID")</f>
        <v>please select a BUG ID</v>
      </c>
      <c r="C360" s="51" t="str">
        <f>IFERROR(VLOOKUP(A360,Internal_lists_bugs!$A$2:$G847,7,FALSE()),"please select a BUG ID")</f>
        <v>please select a BUG ID</v>
      </c>
      <c r="D360" s="51" t="str">
        <f>IFERROR(VLOOKUP(A360,Internal_lists_bugs!$A$2:$I847,9,FALSE()),"please select a BUG ID")</f>
        <v>please select a BUG ID</v>
      </c>
      <c r="E360" s="52"/>
      <c r="F360" s="52"/>
      <c r="G360" s="43"/>
      <c r="H360" s="52"/>
      <c r="J360" s="52"/>
      <c r="K360" s="52"/>
    </row>
    <row r="361">
      <c r="A361" s="43"/>
      <c r="B361" s="38" t="str">
        <f>IFERROR(HYPERLINK(VLOOKUP(A361,Internal_lists_bugs!$A$2:$C$73,3,FALSE()), VLOOKUP(A361,Internal_lists_bugs!$A$2:$C$73,3,FALSE())&amp;Char(10) &amp; Char(10) &amp; VLOOKUP(A361,Internal_lists_bugs!$A$2:$Z$73,26,FALSE())),"please select a BUG ID")</f>
        <v>please select a BUG ID</v>
      </c>
      <c r="C361" s="51" t="str">
        <f>IFERROR(VLOOKUP(A361,Internal_lists_bugs!$A$2:$G847,7,FALSE()),"please select a BUG ID")</f>
        <v>please select a BUG ID</v>
      </c>
      <c r="D361" s="51" t="str">
        <f>IFERROR(VLOOKUP(A361,Internal_lists_bugs!$A$2:$I847,9,FALSE()),"please select a BUG ID")</f>
        <v>please select a BUG ID</v>
      </c>
      <c r="E361" s="52"/>
      <c r="F361" s="52"/>
      <c r="G361" s="43"/>
      <c r="H361" s="52"/>
      <c r="J361" s="52"/>
      <c r="K361" s="52"/>
    </row>
    <row r="362">
      <c r="A362" s="43"/>
      <c r="B362" s="38" t="str">
        <f>IFERROR(HYPERLINK(VLOOKUP(A362,Internal_lists_bugs!$A$2:$C$73,3,FALSE()), VLOOKUP(A362,Internal_lists_bugs!$A$2:$C$73,3,FALSE())&amp;Char(10) &amp; Char(10) &amp; VLOOKUP(A362,Internal_lists_bugs!$A$2:$Z$73,26,FALSE())),"please select a BUG ID")</f>
        <v>please select a BUG ID</v>
      </c>
      <c r="C362" s="51" t="str">
        <f>IFERROR(VLOOKUP(A362,Internal_lists_bugs!$A$2:$G847,7,FALSE()),"please select a BUG ID")</f>
        <v>please select a BUG ID</v>
      </c>
      <c r="D362" s="51" t="str">
        <f>IFERROR(VLOOKUP(A362,Internal_lists_bugs!$A$2:$I847,9,FALSE()),"please select a BUG ID")</f>
        <v>please select a BUG ID</v>
      </c>
      <c r="E362" s="52"/>
      <c r="F362" s="52"/>
      <c r="G362" s="43"/>
      <c r="H362" s="52"/>
      <c r="J362" s="52"/>
      <c r="K362" s="52"/>
    </row>
    <row r="363">
      <c r="A363" s="43"/>
      <c r="B363" s="38" t="str">
        <f>IFERROR(HYPERLINK(VLOOKUP(A363,Internal_lists_bugs!$A$2:$C$73,3,FALSE()), VLOOKUP(A363,Internal_lists_bugs!$A$2:$C$73,3,FALSE())&amp;Char(10) &amp; Char(10) &amp; VLOOKUP(A363,Internal_lists_bugs!$A$2:$Z$73,26,FALSE())),"please select a BUG ID")</f>
        <v>please select a BUG ID</v>
      </c>
      <c r="C363" s="51" t="str">
        <f>IFERROR(VLOOKUP(A363,Internal_lists_bugs!$A$2:$G847,7,FALSE()),"please select a BUG ID")</f>
        <v>please select a BUG ID</v>
      </c>
      <c r="D363" s="51" t="str">
        <f>IFERROR(VLOOKUP(A363,Internal_lists_bugs!$A$2:$I847,9,FALSE()),"please select a BUG ID")</f>
        <v>please select a BUG ID</v>
      </c>
      <c r="E363" s="52"/>
      <c r="F363" s="52"/>
      <c r="G363" s="43"/>
      <c r="H363" s="52"/>
      <c r="J363" s="52"/>
      <c r="K363" s="52"/>
    </row>
    <row r="364">
      <c r="A364" s="43"/>
      <c r="B364" s="38" t="str">
        <f>IFERROR(HYPERLINK(VLOOKUP(A364,Internal_lists_bugs!$A$2:$C$73,3,FALSE()), VLOOKUP(A364,Internal_lists_bugs!$A$2:$C$73,3,FALSE())&amp;Char(10) &amp; Char(10) &amp; VLOOKUP(A364,Internal_lists_bugs!$A$2:$Z$73,26,FALSE())),"please select a BUG ID")</f>
        <v>please select a BUG ID</v>
      </c>
      <c r="C364" s="51" t="str">
        <f>IFERROR(VLOOKUP(A364,Internal_lists_bugs!$A$2:$G847,7,FALSE()),"please select a BUG ID")</f>
        <v>please select a BUG ID</v>
      </c>
      <c r="D364" s="51" t="str">
        <f>IFERROR(VLOOKUP(A364,Internal_lists_bugs!$A$2:$I847,9,FALSE()),"please select a BUG ID")</f>
        <v>please select a BUG ID</v>
      </c>
      <c r="E364" s="52"/>
      <c r="F364" s="52"/>
      <c r="G364" s="43"/>
      <c r="H364" s="52"/>
      <c r="J364" s="52"/>
      <c r="K364" s="52"/>
    </row>
    <row r="365">
      <c r="A365" s="43"/>
      <c r="B365" s="38" t="str">
        <f>IFERROR(HYPERLINK(VLOOKUP(A365,Internal_lists_bugs!$A$2:$C$73,3,FALSE()), VLOOKUP(A365,Internal_lists_bugs!$A$2:$C$73,3,FALSE())&amp;Char(10) &amp; Char(10) &amp; VLOOKUP(A365,Internal_lists_bugs!$A$2:$Z$73,26,FALSE())),"please select a BUG ID")</f>
        <v>please select a BUG ID</v>
      </c>
      <c r="C365" s="51" t="str">
        <f>IFERROR(VLOOKUP(A365,Internal_lists_bugs!$A$2:$G847,7,FALSE()),"please select a BUG ID")</f>
        <v>please select a BUG ID</v>
      </c>
      <c r="D365" s="51" t="str">
        <f>IFERROR(VLOOKUP(A365,Internal_lists_bugs!$A$2:$I847,9,FALSE()),"please select a BUG ID")</f>
        <v>please select a BUG ID</v>
      </c>
      <c r="E365" s="52"/>
      <c r="F365" s="52"/>
      <c r="G365" s="43"/>
      <c r="H365" s="52"/>
      <c r="J365" s="52"/>
      <c r="K365" s="52"/>
    </row>
    <row r="366">
      <c r="A366" s="43"/>
      <c r="B366" s="38" t="str">
        <f>IFERROR(HYPERLINK(VLOOKUP(A366,Internal_lists_bugs!$A$2:$C$73,3,FALSE()), VLOOKUP(A366,Internal_lists_bugs!$A$2:$C$73,3,FALSE())&amp;Char(10) &amp; Char(10) &amp; VLOOKUP(A366,Internal_lists_bugs!$A$2:$Z$73,26,FALSE())),"please select a BUG ID")</f>
        <v>please select a BUG ID</v>
      </c>
      <c r="C366" s="51" t="str">
        <f>IFERROR(VLOOKUP(A366,Internal_lists_bugs!$A$2:$G847,7,FALSE()),"please select a BUG ID")</f>
        <v>please select a BUG ID</v>
      </c>
      <c r="D366" s="51" t="str">
        <f>IFERROR(VLOOKUP(A366,Internal_lists_bugs!$A$2:$I847,9,FALSE()),"please select a BUG ID")</f>
        <v>please select a BUG ID</v>
      </c>
      <c r="E366" s="52"/>
      <c r="F366" s="52"/>
      <c r="G366" s="43"/>
      <c r="H366" s="52"/>
      <c r="J366" s="52"/>
      <c r="K366" s="52"/>
    </row>
    <row r="367">
      <c r="A367" s="43"/>
      <c r="B367" s="38" t="str">
        <f>IFERROR(HYPERLINK(VLOOKUP(A367,Internal_lists_bugs!$A$2:$C$73,3,FALSE()), VLOOKUP(A367,Internal_lists_bugs!$A$2:$C$73,3,FALSE())&amp;Char(10) &amp; Char(10) &amp; VLOOKUP(A367,Internal_lists_bugs!$A$2:$Z$73,26,FALSE())),"please select a BUG ID")</f>
        <v>please select a BUG ID</v>
      </c>
      <c r="C367" s="51" t="str">
        <f>IFERROR(VLOOKUP(A367,Internal_lists_bugs!$A$2:$G847,7,FALSE()),"please select a BUG ID")</f>
        <v>please select a BUG ID</v>
      </c>
      <c r="D367" s="51" t="str">
        <f>IFERROR(VLOOKUP(A367,Internal_lists_bugs!$A$2:$I847,9,FALSE()),"please select a BUG ID")</f>
        <v>please select a BUG ID</v>
      </c>
      <c r="E367" s="52"/>
      <c r="F367" s="52"/>
      <c r="G367" s="43"/>
      <c r="H367" s="52"/>
      <c r="J367" s="52"/>
      <c r="K367" s="52"/>
    </row>
    <row r="368">
      <c r="A368" s="43"/>
      <c r="B368" s="38" t="str">
        <f>IFERROR(HYPERLINK(VLOOKUP(A368,Internal_lists_bugs!$A$2:$C$73,3,FALSE()), VLOOKUP(A368,Internal_lists_bugs!$A$2:$C$73,3,FALSE())&amp;Char(10) &amp; Char(10) &amp; VLOOKUP(A368,Internal_lists_bugs!$A$2:$Z$73,26,FALSE())),"please select a BUG ID")</f>
        <v>please select a BUG ID</v>
      </c>
      <c r="C368" s="51" t="str">
        <f>IFERROR(VLOOKUP(A368,Internal_lists_bugs!$A$2:$G847,7,FALSE()),"please select a BUG ID")</f>
        <v>please select a BUG ID</v>
      </c>
      <c r="D368" s="51" t="str">
        <f>IFERROR(VLOOKUP(A368,Internal_lists_bugs!$A$2:$I847,9,FALSE()),"please select a BUG ID")</f>
        <v>please select a BUG ID</v>
      </c>
      <c r="E368" s="52"/>
      <c r="F368" s="52"/>
      <c r="G368" s="43"/>
      <c r="H368" s="52"/>
      <c r="J368" s="52"/>
      <c r="K368" s="52"/>
    </row>
    <row r="369">
      <c r="A369" s="43"/>
      <c r="B369" s="38" t="str">
        <f>IFERROR(HYPERLINK(VLOOKUP(A369,Internal_lists_bugs!$A$2:$C$73,3,FALSE()), VLOOKUP(A369,Internal_lists_bugs!$A$2:$C$73,3,FALSE())&amp;Char(10) &amp; Char(10) &amp; VLOOKUP(A369,Internal_lists_bugs!$A$2:$Z$73,26,FALSE())),"please select a BUG ID")</f>
        <v>please select a BUG ID</v>
      </c>
      <c r="C369" s="51" t="str">
        <f>IFERROR(VLOOKUP(A369,Internal_lists_bugs!$A$2:$G847,7,FALSE()),"please select a BUG ID")</f>
        <v>please select a BUG ID</v>
      </c>
      <c r="D369" s="51" t="str">
        <f>IFERROR(VLOOKUP(A369,Internal_lists_bugs!$A$2:$I847,9,FALSE()),"please select a BUG ID")</f>
        <v>please select a BUG ID</v>
      </c>
      <c r="E369" s="52"/>
      <c r="F369" s="52"/>
      <c r="G369" s="43"/>
      <c r="H369" s="52"/>
      <c r="J369" s="52"/>
      <c r="K369" s="52"/>
    </row>
    <row r="370">
      <c r="A370" s="43"/>
      <c r="B370" s="38" t="str">
        <f>IFERROR(HYPERLINK(VLOOKUP(A370,Internal_lists_bugs!$A$2:$C$73,3,FALSE()), VLOOKUP(A370,Internal_lists_bugs!$A$2:$C$73,3,FALSE())&amp;Char(10) &amp; Char(10) &amp; VLOOKUP(A370,Internal_lists_bugs!$A$2:$Z$73,26,FALSE())),"please select a BUG ID")</f>
        <v>please select a BUG ID</v>
      </c>
      <c r="C370" s="51" t="str">
        <f>IFERROR(VLOOKUP(A370,Internal_lists_bugs!$A$2:$G847,7,FALSE()),"please select a BUG ID")</f>
        <v>please select a BUG ID</v>
      </c>
      <c r="D370" s="51" t="str">
        <f>IFERROR(VLOOKUP(A370,Internal_lists_bugs!$A$2:$I847,9,FALSE()),"please select a BUG ID")</f>
        <v>please select a BUG ID</v>
      </c>
      <c r="E370" s="52"/>
      <c r="F370" s="52"/>
      <c r="G370" s="43"/>
      <c r="H370" s="52"/>
      <c r="J370" s="52"/>
      <c r="K370" s="52"/>
    </row>
    <row r="371">
      <c r="A371" s="43"/>
      <c r="B371" s="38" t="str">
        <f>IFERROR(HYPERLINK(VLOOKUP(A371,Internal_lists_bugs!$A$2:$C$73,3,FALSE()), VLOOKUP(A371,Internal_lists_bugs!$A$2:$C$73,3,FALSE())&amp;Char(10) &amp; Char(10) &amp; VLOOKUP(A371,Internal_lists_bugs!$A$2:$Z$73,26,FALSE())),"please select a BUG ID")</f>
        <v>please select a BUG ID</v>
      </c>
      <c r="C371" s="51" t="str">
        <f>IFERROR(VLOOKUP(A371,Internal_lists_bugs!$A$2:$G847,7,FALSE()),"please select a BUG ID")</f>
        <v>please select a BUG ID</v>
      </c>
      <c r="D371" s="51" t="str">
        <f>IFERROR(VLOOKUP(A371,Internal_lists_bugs!$A$2:$I847,9,FALSE()),"please select a BUG ID")</f>
        <v>please select a BUG ID</v>
      </c>
      <c r="E371" s="52"/>
      <c r="F371" s="52"/>
      <c r="G371" s="43"/>
      <c r="H371" s="52"/>
      <c r="J371" s="52"/>
      <c r="K371" s="52"/>
    </row>
    <row r="372">
      <c r="A372" s="43"/>
      <c r="B372" s="38" t="str">
        <f>IFERROR(HYPERLINK(VLOOKUP(A372,Internal_lists_bugs!$A$2:$C$73,3,FALSE()), VLOOKUP(A372,Internal_lists_bugs!$A$2:$C$73,3,FALSE())&amp;Char(10) &amp; Char(10) &amp; VLOOKUP(A372,Internal_lists_bugs!$A$2:$Z$73,26,FALSE())),"please select a BUG ID")</f>
        <v>please select a BUG ID</v>
      </c>
      <c r="C372" s="51" t="str">
        <f>IFERROR(VLOOKUP(A372,Internal_lists_bugs!$A$2:$G847,7,FALSE()),"please select a BUG ID")</f>
        <v>please select a BUG ID</v>
      </c>
      <c r="D372" s="51" t="str">
        <f>IFERROR(VLOOKUP(A372,Internal_lists_bugs!$A$2:$I847,9,FALSE()),"please select a BUG ID")</f>
        <v>please select a BUG ID</v>
      </c>
      <c r="E372" s="52"/>
      <c r="F372" s="52"/>
      <c r="G372" s="43"/>
      <c r="H372" s="52"/>
      <c r="J372" s="52"/>
      <c r="K372" s="52"/>
    </row>
    <row r="373">
      <c r="A373" s="43"/>
      <c r="B373" s="38" t="str">
        <f>IFERROR(HYPERLINK(VLOOKUP(A373,Internal_lists_bugs!$A$2:$C$73,3,FALSE()), VLOOKUP(A373,Internal_lists_bugs!$A$2:$C$73,3,FALSE())&amp;Char(10) &amp; Char(10) &amp; VLOOKUP(A373,Internal_lists_bugs!$A$2:$Z$73,26,FALSE())),"please select a BUG ID")</f>
        <v>please select a BUG ID</v>
      </c>
      <c r="C373" s="51" t="str">
        <f>IFERROR(VLOOKUP(A373,Internal_lists_bugs!$A$2:$G847,7,FALSE()),"please select a BUG ID")</f>
        <v>please select a BUG ID</v>
      </c>
      <c r="D373" s="51" t="str">
        <f>IFERROR(VLOOKUP(A373,Internal_lists_bugs!$A$2:$I847,9,FALSE()),"please select a BUG ID")</f>
        <v>please select a BUG ID</v>
      </c>
      <c r="E373" s="52"/>
      <c r="F373" s="52"/>
      <c r="G373" s="43"/>
      <c r="H373" s="52"/>
      <c r="J373" s="52"/>
      <c r="K373" s="52"/>
    </row>
    <row r="374">
      <c r="A374" s="43"/>
      <c r="B374" s="38" t="str">
        <f>IFERROR(HYPERLINK(VLOOKUP(A374,Internal_lists_bugs!$A$2:$C$73,3,FALSE()), VLOOKUP(A374,Internal_lists_bugs!$A$2:$C$73,3,FALSE())&amp;Char(10) &amp; Char(10) &amp; VLOOKUP(A374,Internal_lists_bugs!$A$2:$Z$73,26,FALSE())),"please select a BUG ID")</f>
        <v>please select a BUG ID</v>
      </c>
      <c r="C374" s="51" t="str">
        <f>IFERROR(VLOOKUP(A374,Internal_lists_bugs!$A$2:$G847,7,FALSE()),"please select a BUG ID")</f>
        <v>please select a BUG ID</v>
      </c>
      <c r="D374" s="51" t="str">
        <f>IFERROR(VLOOKUP(A374,Internal_lists_bugs!$A$2:$I847,9,FALSE()),"please select a BUG ID")</f>
        <v>please select a BUG ID</v>
      </c>
      <c r="E374" s="52"/>
      <c r="F374" s="52"/>
      <c r="G374" s="43"/>
      <c r="H374" s="52"/>
      <c r="J374" s="52"/>
      <c r="K374" s="52"/>
    </row>
    <row r="375">
      <c r="A375" s="43"/>
      <c r="B375" s="38" t="str">
        <f>IFERROR(HYPERLINK(VLOOKUP(A375,Internal_lists_bugs!$A$2:$C$73,3,FALSE()), VLOOKUP(A375,Internal_lists_bugs!$A$2:$C$73,3,FALSE())&amp;Char(10) &amp; Char(10) &amp; VLOOKUP(A375,Internal_lists_bugs!$A$2:$Z$73,26,FALSE())),"please select a BUG ID")</f>
        <v>please select a BUG ID</v>
      </c>
      <c r="C375" s="51" t="str">
        <f>IFERROR(VLOOKUP(A375,Internal_lists_bugs!$A$2:$G847,7,FALSE()),"please select a BUG ID")</f>
        <v>please select a BUG ID</v>
      </c>
      <c r="D375" s="51" t="str">
        <f>IFERROR(VLOOKUP(A375,Internal_lists_bugs!$A$2:$I847,9,FALSE()),"please select a BUG ID")</f>
        <v>please select a BUG ID</v>
      </c>
      <c r="E375" s="52"/>
      <c r="F375" s="52"/>
      <c r="G375" s="43"/>
      <c r="H375" s="52"/>
      <c r="J375" s="52"/>
      <c r="K375" s="52"/>
    </row>
    <row r="376">
      <c r="A376" s="43"/>
      <c r="B376" s="38" t="str">
        <f>IFERROR(HYPERLINK(VLOOKUP(A376,Internal_lists_bugs!$A$2:$C$73,3,FALSE()), VLOOKUP(A376,Internal_lists_bugs!$A$2:$C$73,3,FALSE())&amp;Char(10) &amp; Char(10) &amp; VLOOKUP(A376,Internal_lists_bugs!$A$2:$Z$73,26,FALSE())),"please select a BUG ID")</f>
        <v>please select a BUG ID</v>
      </c>
      <c r="C376" s="51" t="str">
        <f>IFERROR(VLOOKUP(A376,Internal_lists_bugs!$A$2:$G847,7,FALSE()),"please select a BUG ID")</f>
        <v>please select a BUG ID</v>
      </c>
      <c r="D376" s="51" t="str">
        <f>IFERROR(VLOOKUP(A376,Internal_lists_bugs!$A$2:$I847,9,FALSE()),"please select a BUG ID")</f>
        <v>please select a BUG ID</v>
      </c>
      <c r="E376" s="52"/>
      <c r="F376" s="52"/>
      <c r="G376" s="43"/>
      <c r="H376" s="52"/>
      <c r="J376" s="52"/>
      <c r="K376" s="52"/>
    </row>
    <row r="377">
      <c r="A377" s="43"/>
      <c r="B377" s="38" t="str">
        <f>IFERROR(HYPERLINK(VLOOKUP(A377,Internal_lists_bugs!$A$2:$C$73,3,FALSE()), VLOOKUP(A377,Internal_lists_bugs!$A$2:$C$73,3,FALSE())&amp;Char(10) &amp; Char(10) &amp; VLOOKUP(A377,Internal_lists_bugs!$A$2:$Z$73,26,FALSE())),"please select a BUG ID")</f>
        <v>please select a BUG ID</v>
      </c>
      <c r="C377" s="51" t="str">
        <f>IFERROR(VLOOKUP(A377,Internal_lists_bugs!$A$2:$G847,7,FALSE()),"please select a BUG ID")</f>
        <v>please select a BUG ID</v>
      </c>
      <c r="D377" s="51" t="str">
        <f>IFERROR(VLOOKUP(A377,Internal_lists_bugs!$A$2:$I847,9,FALSE()),"please select a BUG ID")</f>
        <v>please select a BUG ID</v>
      </c>
      <c r="E377" s="52"/>
      <c r="F377" s="52"/>
      <c r="G377" s="43"/>
      <c r="H377" s="52"/>
      <c r="J377" s="52"/>
      <c r="K377" s="52"/>
    </row>
    <row r="378">
      <c r="A378" s="43"/>
      <c r="B378" s="38" t="str">
        <f>IFERROR(HYPERLINK(VLOOKUP(A378,Internal_lists_bugs!$A$2:$C$73,3,FALSE()), VLOOKUP(A378,Internal_lists_bugs!$A$2:$C$73,3,FALSE())&amp;Char(10) &amp; Char(10) &amp; VLOOKUP(A378,Internal_lists_bugs!$A$2:$Z$73,26,FALSE())),"please select a BUG ID")</f>
        <v>please select a BUG ID</v>
      </c>
      <c r="C378" s="51" t="str">
        <f>IFERROR(VLOOKUP(A378,Internal_lists_bugs!$A$2:$G847,7,FALSE()),"please select a BUG ID")</f>
        <v>please select a BUG ID</v>
      </c>
      <c r="D378" s="51" t="str">
        <f>IFERROR(VLOOKUP(A378,Internal_lists_bugs!$A$2:$I847,9,FALSE()),"please select a BUG ID")</f>
        <v>please select a BUG ID</v>
      </c>
      <c r="E378" s="52"/>
      <c r="F378" s="52"/>
      <c r="G378" s="43"/>
      <c r="H378" s="52"/>
      <c r="J378" s="52"/>
      <c r="K378" s="52"/>
    </row>
    <row r="379">
      <c r="A379" s="43"/>
      <c r="B379" s="38" t="str">
        <f>IFERROR(HYPERLINK(VLOOKUP(A379,Internal_lists_bugs!$A$2:$C$73,3,FALSE()), VLOOKUP(A379,Internal_lists_bugs!$A$2:$C$73,3,FALSE())&amp;Char(10) &amp; Char(10) &amp; VLOOKUP(A379,Internal_lists_bugs!$A$2:$Z$73,26,FALSE())),"please select a BUG ID")</f>
        <v>please select a BUG ID</v>
      </c>
      <c r="C379" s="51" t="str">
        <f>IFERROR(VLOOKUP(A379,Internal_lists_bugs!$A$2:$G847,7,FALSE()),"please select a BUG ID")</f>
        <v>please select a BUG ID</v>
      </c>
      <c r="D379" s="51" t="str">
        <f>IFERROR(VLOOKUP(A379,Internal_lists_bugs!$A$2:$I847,9,FALSE()),"please select a BUG ID")</f>
        <v>please select a BUG ID</v>
      </c>
      <c r="E379" s="52"/>
      <c r="F379" s="52"/>
      <c r="G379" s="43"/>
      <c r="H379" s="52"/>
      <c r="J379" s="52"/>
      <c r="K379" s="52"/>
    </row>
    <row r="380">
      <c r="A380" s="43"/>
      <c r="B380" s="38" t="str">
        <f>IFERROR(HYPERLINK(VLOOKUP(A380,Internal_lists_bugs!$A$2:$C$73,3,FALSE()), VLOOKUP(A380,Internal_lists_bugs!$A$2:$C$73,3,FALSE())&amp;Char(10) &amp; Char(10) &amp; VLOOKUP(A380,Internal_lists_bugs!$A$2:$Z$73,26,FALSE())),"please select a BUG ID")</f>
        <v>please select a BUG ID</v>
      </c>
      <c r="C380" s="51" t="str">
        <f>IFERROR(VLOOKUP(A380,Internal_lists_bugs!$A$2:$G847,7,FALSE()),"please select a BUG ID")</f>
        <v>please select a BUG ID</v>
      </c>
      <c r="D380" s="51" t="str">
        <f>IFERROR(VLOOKUP(A380,Internal_lists_bugs!$A$2:$I847,9,FALSE()),"please select a BUG ID")</f>
        <v>please select a BUG ID</v>
      </c>
      <c r="E380" s="52"/>
      <c r="F380" s="52"/>
      <c r="G380" s="43"/>
      <c r="H380" s="52"/>
      <c r="J380" s="52"/>
      <c r="K380" s="52"/>
    </row>
    <row r="381">
      <c r="A381" s="43"/>
      <c r="B381" s="38" t="str">
        <f>IFERROR(HYPERLINK(VLOOKUP(A381,Internal_lists_bugs!$A$2:$C$73,3,FALSE()), VLOOKUP(A381,Internal_lists_bugs!$A$2:$C$73,3,FALSE())&amp;Char(10) &amp; Char(10) &amp; VLOOKUP(A381,Internal_lists_bugs!$A$2:$Z$73,26,FALSE())),"please select a BUG ID")</f>
        <v>please select a BUG ID</v>
      </c>
      <c r="C381" s="51" t="str">
        <f>IFERROR(VLOOKUP(A381,Internal_lists_bugs!$A$2:$G847,7,FALSE()),"please select a BUG ID")</f>
        <v>please select a BUG ID</v>
      </c>
      <c r="D381" s="51" t="str">
        <f>IFERROR(VLOOKUP(A381,Internal_lists_bugs!$A$2:$I847,9,FALSE()),"please select a BUG ID")</f>
        <v>please select a BUG ID</v>
      </c>
      <c r="E381" s="52"/>
      <c r="F381" s="52"/>
      <c r="G381" s="43"/>
      <c r="H381" s="52"/>
      <c r="J381" s="52"/>
      <c r="K381" s="52"/>
    </row>
    <row r="382">
      <c r="A382" s="43"/>
      <c r="B382" s="38" t="str">
        <f>IFERROR(HYPERLINK(VLOOKUP(A382,Internal_lists_bugs!$A$2:$C$73,3,FALSE()), VLOOKUP(A382,Internal_lists_bugs!$A$2:$C$73,3,FALSE())&amp;Char(10) &amp; Char(10) &amp; VLOOKUP(A382,Internal_lists_bugs!$A$2:$Z$73,26,FALSE())),"please select a BUG ID")</f>
        <v>please select a BUG ID</v>
      </c>
      <c r="C382" s="51" t="str">
        <f>IFERROR(VLOOKUP(A382,Internal_lists_bugs!$A$2:$G847,7,FALSE()),"please select a BUG ID")</f>
        <v>please select a BUG ID</v>
      </c>
      <c r="D382" s="51" t="str">
        <f>IFERROR(VLOOKUP(A382,Internal_lists_bugs!$A$2:$I847,9,FALSE()),"please select a BUG ID")</f>
        <v>please select a BUG ID</v>
      </c>
      <c r="E382" s="52"/>
      <c r="F382" s="52"/>
      <c r="G382" s="43"/>
      <c r="H382" s="52"/>
      <c r="J382" s="52"/>
      <c r="K382" s="52"/>
    </row>
    <row r="383">
      <c r="A383" s="43"/>
      <c r="B383" s="38" t="str">
        <f>IFERROR(HYPERLINK(VLOOKUP(A383,Internal_lists_bugs!$A$2:$C$73,3,FALSE()), VLOOKUP(A383,Internal_lists_bugs!$A$2:$C$73,3,FALSE())&amp;Char(10) &amp; Char(10) &amp; VLOOKUP(A383,Internal_lists_bugs!$A$2:$Z$73,26,FALSE())),"please select a BUG ID")</f>
        <v>please select a BUG ID</v>
      </c>
      <c r="C383" s="51" t="str">
        <f>IFERROR(VLOOKUP(A383,Internal_lists_bugs!$A$2:$G847,7,FALSE()),"please select a BUG ID")</f>
        <v>please select a BUG ID</v>
      </c>
      <c r="D383" s="51" t="str">
        <f>IFERROR(VLOOKUP(A383,Internal_lists_bugs!$A$2:$I847,9,FALSE()),"please select a BUG ID")</f>
        <v>please select a BUG ID</v>
      </c>
      <c r="E383" s="52"/>
      <c r="F383" s="52"/>
      <c r="G383" s="43"/>
      <c r="H383" s="52"/>
      <c r="J383" s="52"/>
      <c r="K383" s="52"/>
    </row>
    <row r="384">
      <c r="A384" s="43"/>
      <c r="B384" s="38" t="str">
        <f>IFERROR(HYPERLINK(VLOOKUP(A384,Internal_lists_bugs!$A$2:$C$73,3,FALSE()), VLOOKUP(A384,Internal_lists_bugs!$A$2:$C$73,3,FALSE())&amp;Char(10) &amp; Char(10) &amp; VLOOKUP(A384,Internal_lists_bugs!$A$2:$Z$73,26,FALSE())),"please select a BUG ID")</f>
        <v>please select a BUG ID</v>
      </c>
      <c r="C384" s="51" t="str">
        <f>IFERROR(VLOOKUP(A384,Internal_lists_bugs!$A$2:$G847,7,FALSE()),"please select a BUG ID")</f>
        <v>please select a BUG ID</v>
      </c>
      <c r="D384" s="51" t="str">
        <f>IFERROR(VLOOKUP(A384,Internal_lists_bugs!$A$2:$I847,9,FALSE()),"please select a BUG ID")</f>
        <v>please select a BUG ID</v>
      </c>
      <c r="E384" s="52"/>
      <c r="F384" s="52"/>
      <c r="G384" s="43"/>
      <c r="H384" s="52"/>
      <c r="J384" s="52"/>
      <c r="K384" s="52"/>
    </row>
    <row r="385">
      <c r="A385" s="43"/>
      <c r="B385" s="38" t="str">
        <f>IFERROR(HYPERLINK(VLOOKUP(A385,Internal_lists_bugs!$A$2:$C$73,3,FALSE()), VLOOKUP(A385,Internal_lists_bugs!$A$2:$C$73,3,FALSE())&amp;Char(10) &amp; Char(10) &amp; VLOOKUP(A385,Internal_lists_bugs!$A$2:$Z$73,26,FALSE())),"please select a BUG ID")</f>
        <v>please select a BUG ID</v>
      </c>
      <c r="C385" s="51" t="str">
        <f>IFERROR(VLOOKUP(A385,Internal_lists_bugs!$A$2:$G847,7,FALSE()),"please select a BUG ID")</f>
        <v>please select a BUG ID</v>
      </c>
      <c r="D385" s="51" t="str">
        <f>IFERROR(VLOOKUP(A385,Internal_lists_bugs!$A$2:$I847,9,FALSE()),"please select a BUG ID")</f>
        <v>please select a BUG ID</v>
      </c>
      <c r="E385" s="52"/>
      <c r="F385" s="52"/>
      <c r="G385" s="43"/>
      <c r="H385" s="52"/>
      <c r="J385" s="52"/>
      <c r="K385" s="52"/>
    </row>
    <row r="386">
      <c r="A386" s="43"/>
      <c r="B386" s="38" t="str">
        <f>IFERROR(HYPERLINK(VLOOKUP(A386,Internal_lists_bugs!$A$2:$C$73,3,FALSE()), VLOOKUP(A386,Internal_lists_bugs!$A$2:$C$73,3,FALSE())&amp;Char(10) &amp; Char(10) &amp; VLOOKUP(A386,Internal_lists_bugs!$A$2:$Z$73,26,FALSE())),"please select a BUG ID")</f>
        <v>please select a BUG ID</v>
      </c>
      <c r="C386" s="51" t="str">
        <f>IFERROR(VLOOKUP(A386,Internal_lists_bugs!$A$2:$G847,7,FALSE()),"please select a BUG ID")</f>
        <v>please select a BUG ID</v>
      </c>
      <c r="D386" s="51" t="str">
        <f>IFERROR(VLOOKUP(A386,Internal_lists_bugs!$A$2:$I847,9,FALSE()),"please select a BUG ID")</f>
        <v>please select a BUG ID</v>
      </c>
      <c r="E386" s="52"/>
      <c r="F386" s="52"/>
      <c r="G386" s="43"/>
      <c r="H386" s="52"/>
      <c r="J386" s="52"/>
      <c r="K386" s="52"/>
    </row>
    <row r="387">
      <c r="A387" s="43"/>
      <c r="B387" s="38" t="str">
        <f>IFERROR(HYPERLINK(VLOOKUP(A387,Internal_lists_bugs!$A$2:$C$73,3,FALSE()), VLOOKUP(A387,Internal_lists_bugs!$A$2:$C$73,3,FALSE())&amp;Char(10) &amp; Char(10) &amp; VLOOKUP(A387,Internal_lists_bugs!$A$2:$Z$73,26,FALSE())),"please select a BUG ID")</f>
        <v>please select a BUG ID</v>
      </c>
      <c r="C387" s="51" t="str">
        <f>IFERROR(VLOOKUP(A387,Internal_lists_bugs!$A$2:$G847,7,FALSE()),"please select a BUG ID")</f>
        <v>please select a BUG ID</v>
      </c>
      <c r="D387" s="51" t="str">
        <f>IFERROR(VLOOKUP(A387,Internal_lists_bugs!$A$2:$I847,9,FALSE()),"please select a BUG ID")</f>
        <v>please select a BUG ID</v>
      </c>
      <c r="E387" s="52"/>
      <c r="F387" s="52"/>
      <c r="G387" s="43"/>
      <c r="H387" s="52"/>
      <c r="J387" s="52"/>
      <c r="K387" s="52"/>
    </row>
    <row r="388">
      <c r="A388" s="43"/>
      <c r="B388" s="38" t="str">
        <f>IFERROR(HYPERLINK(VLOOKUP(A388,Internal_lists_bugs!$A$2:$C$73,3,FALSE()), VLOOKUP(A388,Internal_lists_bugs!$A$2:$C$73,3,FALSE())&amp;Char(10) &amp; Char(10) &amp; VLOOKUP(A388,Internal_lists_bugs!$A$2:$Z$73,26,FALSE())),"please select a BUG ID")</f>
        <v>please select a BUG ID</v>
      </c>
      <c r="C388" s="51" t="str">
        <f>IFERROR(VLOOKUP(A388,Internal_lists_bugs!$A$2:$G847,7,FALSE()),"please select a BUG ID")</f>
        <v>please select a BUG ID</v>
      </c>
      <c r="D388" s="51" t="str">
        <f>IFERROR(VLOOKUP(A388,Internal_lists_bugs!$A$2:$I847,9,FALSE()),"please select a BUG ID")</f>
        <v>please select a BUG ID</v>
      </c>
      <c r="E388" s="52"/>
      <c r="F388" s="52"/>
      <c r="G388" s="43"/>
      <c r="H388" s="52"/>
      <c r="J388" s="52"/>
      <c r="K388" s="52"/>
    </row>
    <row r="389">
      <c r="A389" s="43"/>
      <c r="B389" s="38" t="str">
        <f>IFERROR(HYPERLINK(VLOOKUP(A389,Internal_lists_bugs!$A$2:$C$73,3,FALSE()), VLOOKUP(A389,Internal_lists_bugs!$A$2:$C$73,3,FALSE())&amp;Char(10) &amp; Char(10) &amp; VLOOKUP(A389,Internal_lists_bugs!$A$2:$Z$73,26,FALSE())),"please select a BUG ID")</f>
        <v>please select a BUG ID</v>
      </c>
      <c r="C389" s="51" t="str">
        <f>IFERROR(VLOOKUP(A389,Internal_lists_bugs!$A$2:$G847,7,FALSE()),"please select a BUG ID")</f>
        <v>please select a BUG ID</v>
      </c>
      <c r="D389" s="51" t="str">
        <f>IFERROR(VLOOKUP(A389,Internal_lists_bugs!$A$2:$I847,9,FALSE()),"please select a BUG ID")</f>
        <v>please select a BUG ID</v>
      </c>
      <c r="E389" s="52"/>
      <c r="F389" s="52"/>
      <c r="G389" s="43"/>
      <c r="H389" s="52"/>
      <c r="J389" s="52"/>
      <c r="K389" s="52"/>
    </row>
    <row r="390">
      <c r="A390" s="43"/>
      <c r="B390" s="38" t="str">
        <f>IFERROR(HYPERLINK(VLOOKUP(A390,Internal_lists_bugs!$A$2:$C$73,3,FALSE()), VLOOKUP(A390,Internal_lists_bugs!$A$2:$C$73,3,FALSE())&amp;Char(10) &amp; Char(10) &amp; VLOOKUP(A390,Internal_lists_bugs!$A$2:$Z$73,26,FALSE())),"please select a BUG ID")</f>
        <v>please select a BUG ID</v>
      </c>
      <c r="C390" s="51" t="str">
        <f>IFERROR(VLOOKUP(A390,Internal_lists_bugs!$A$2:$G847,7,FALSE()),"please select a BUG ID")</f>
        <v>please select a BUG ID</v>
      </c>
      <c r="D390" s="51" t="str">
        <f>IFERROR(VLOOKUP(A390,Internal_lists_bugs!$A$2:$I847,9,FALSE()),"please select a BUG ID")</f>
        <v>please select a BUG ID</v>
      </c>
      <c r="E390" s="52"/>
      <c r="F390" s="52"/>
      <c r="G390" s="43"/>
      <c r="H390" s="52"/>
      <c r="J390" s="52"/>
      <c r="K390" s="52"/>
    </row>
    <row r="391">
      <c r="A391" s="43"/>
      <c r="B391" s="38" t="str">
        <f>IFERROR(HYPERLINK(VLOOKUP(A391,Internal_lists_bugs!$A$2:$C$73,3,FALSE()), VLOOKUP(A391,Internal_lists_bugs!$A$2:$C$73,3,FALSE())&amp;Char(10) &amp; Char(10) &amp; VLOOKUP(A391,Internal_lists_bugs!$A$2:$Z$73,26,FALSE())),"please select a BUG ID")</f>
        <v>please select a BUG ID</v>
      </c>
      <c r="C391" s="51" t="str">
        <f>IFERROR(VLOOKUP(A391,Internal_lists_bugs!$A$2:$G847,7,FALSE()),"please select a BUG ID")</f>
        <v>please select a BUG ID</v>
      </c>
      <c r="D391" s="51" t="str">
        <f>IFERROR(VLOOKUP(A391,Internal_lists_bugs!$A$2:$I847,9,FALSE()),"please select a BUG ID")</f>
        <v>please select a BUG ID</v>
      </c>
      <c r="E391" s="52"/>
      <c r="F391" s="52"/>
      <c r="G391" s="43"/>
      <c r="H391" s="52"/>
      <c r="J391" s="52"/>
      <c r="K391" s="52"/>
    </row>
    <row r="392">
      <c r="A392" s="43"/>
      <c r="B392" s="38" t="str">
        <f>IFERROR(HYPERLINK(VLOOKUP(A392,Internal_lists_bugs!$A$2:$C$73,3,FALSE()), VLOOKUP(A392,Internal_lists_bugs!$A$2:$C$73,3,FALSE())&amp;Char(10) &amp; Char(10) &amp; VLOOKUP(A392,Internal_lists_bugs!$A$2:$Z$73,26,FALSE())),"please select a BUG ID")</f>
        <v>please select a BUG ID</v>
      </c>
      <c r="C392" s="51" t="str">
        <f>IFERROR(VLOOKUP(A392,Internal_lists_bugs!$A$2:$G847,7,FALSE()),"please select a BUG ID")</f>
        <v>please select a BUG ID</v>
      </c>
      <c r="D392" s="51" t="str">
        <f>IFERROR(VLOOKUP(A392,Internal_lists_bugs!$A$2:$I847,9,FALSE()),"please select a BUG ID")</f>
        <v>please select a BUG ID</v>
      </c>
      <c r="E392" s="52"/>
      <c r="F392" s="52"/>
      <c r="G392" s="43"/>
      <c r="H392" s="52"/>
      <c r="J392" s="52"/>
      <c r="K392" s="52"/>
    </row>
    <row r="393">
      <c r="A393" s="43"/>
      <c r="B393" s="38" t="str">
        <f>IFERROR(HYPERLINK(VLOOKUP(A393,Internal_lists_bugs!$A$2:$C$73,3,FALSE()), VLOOKUP(A393,Internal_lists_bugs!$A$2:$C$73,3,FALSE())&amp;Char(10) &amp; Char(10) &amp; VLOOKUP(A393,Internal_lists_bugs!$A$2:$Z$73,26,FALSE())),"please select a BUG ID")</f>
        <v>please select a BUG ID</v>
      </c>
      <c r="C393" s="51" t="str">
        <f>IFERROR(VLOOKUP(A393,Internal_lists_bugs!$A$2:$G847,7,FALSE()),"please select a BUG ID")</f>
        <v>please select a BUG ID</v>
      </c>
      <c r="D393" s="51" t="str">
        <f>IFERROR(VLOOKUP(A393,Internal_lists_bugs!$A$2:$I847,9,FALSE()),"please select a BUG ID")</f>
        <v>please select a BUG ID</v>
      </c>
      <c r="E393" s="52"/>
      <c r="F393" s="52"/>
      <c r="G393" s="43"/>
      <c r="H393" s="52"/>
      <c r="J393" s="52"/>
      <c r="K393" s="52"/>
    </row>
    <row r="394">
      <c r="A394" s="43"/>
      <c r="B394" s="38" t="str">
        <f>IFERROR(HYPERLINK(VLOOKUP(A394,Internal_lists_bugs!$A$2:$C$73,3,FALSE()), VLOOKUP(A394,Internal_lists_bugs!$A$2:$C$73,3,FALSE())&amp;Char(10) &amp; Char(10) &amp; VLOOKUP(A394,Internal_lists_bugs!$A$2:$Z$73,26,FALSE())),"please select a BUG ID")</f>
        <v>please select a BUG ID</v>
      </c>
      <c r="C394" s="51" t="str">
        <f>IFERROR(VLOOKUP(A394,Internal_lists_bugs!$A$2:$G847,7,FALSE()),"please select a BUG ID")</f>
        <v>please select a BUG ID</v>
      </c>
      <c r="D394" s="51" t="str">
        <f>IFERROR(VLOOKUP(A394,Internal_lists_bugs!$A$2:$I847,9,FALSE()),"please select a BUG ID")</f>
        <v>please select a BUG ID</v>
      </c>
      <c r="E394" s="52"/>
      <c r="F394" s="52"/>
      <c r="G394" s="43"/>
      <c r="H394" s="52"/>
      <c r="J394" s="52"/>
      <c r="K394" s="52"/>
    </row>
    <row r="395">
      <c r="A395" s="43"/>
      <c r="B395" s="38" t="str">
        <f>IFERROR(HYPERLINK(VLOOKUP(A395,Internal_lists_bugs!$A$2:$C$73,3,FALSE()), VLOOKUP(A395,Internal_lists_bugs!$A$2:$C$73,3,FALSE())&amp;Char(10) &amp; Char(10) &amp; VLOOKUP(A395,Internal_lists_bugs!$A$2:$Z$73,26,FALSE())),"please select a BUG ID")</f>
        <v>please select a BUG ID</v>
      </c>
      <c r="C395" s="51" t="str">
        <f>IFERROR(VLOOKUP(A395,Internal_lists_bugs!$A$2:$G847,7,FALSE()),"please select a BUG ID")</f>
        <v>please select a BUG ID</v>
      </c>
      <c r="D395" s="51" t="str">
        <f>IFERROR(VLOOKUP(A395,Internal_lists_bugs!$A$2:$I847,9,FALSE()),"please select a BUG ID")</f>
        <v>please select a BUG ID</v>
      </c>
      <c r="E395" s="52"/>
      <c r="F395" s="52"/>
      <c r="G395" s="43"/>
      <c r="H395" s="52"/>
      <c r="J395" s="52"/>
      <c r="K395" s="52"/>
    </row>
    <row r="396">
      <c r="A396" s="43"/>
      <c r="B396" s="38" t="str">
        <f>IFERROR(HYPERLINK(VLOOKUP(A396,Internal_lists_bugs!$A$2:$C$73,3,FALSE()), VLOOKUP(A396,Internal_lists_bugs!$A$2:$C$73,3,FALSE())&amp;Char(10) &amp; Char(10) &amp; VLOOKUP(A396,Internal_lists_bugs!$A$2:$Z$73,26,FALSE())),"please select a BUG ID")</f>
        <v>please select a BUG ID</v>
      </c>
      <c r="C396" s="51" t="str">
        <f>IFERROR(VLOOKUP(A396,Internal_lists_bugs!$A$2:$G847,7,FALSE()),"please select a BUG ID")</f>
        <v>please select a BUG ID</v>
      </c>
      <c r="D396" s="51" t="str">
        <f>IFERROR(VLOOKUP(A396,Internal_lists_bugs!$A$2:$I847,9,FALSE()),"please select a BUG ID")</f>
        <v>please select a BUG ID</v>
      </c>
      <c r="E396" s="52"/>
      <c r="F396" s="52"/>
      <c r="G396" s="43"/>
      <c r="H396" s="52"/>
      <c r="J396" s="52"/>
      <c r="K396" s="52"/>
    </row>
    <row r="397">
      <c r="A397" s="43"/>
      <c r="B397" s="38" t="str">
        <f>IFERROR(HYPERLINK(VLOOKUP(A397,Internal_lists_bugs!$A$2:$C$73,3,FALSE()), VLOOKUP(A397,Internal_lists_bugs!$A$2:$C$73,3,FALSE())&amp;Char(10) &amp; Char(10) &amp; VLOOKUP(A397,Internal_lists_bugs!$A$2:$Z$73,26,FALSE())),"please select a BUG ID")</f>
        <v>please select a BUG ID</v>
      </c>
      <c r="C397" s="51" t="str">
        <f>IFERROR(VLOOKUP(A397,Internal_lists_bugs!$A$2:$G847,7,FALSE()),"please select a BUG ID")</f>
        <v>please select a BUG ID</v>
      </c>
      <c r="D397" s="51" t="str">
        <f>IFERROR(VLOOKUP(A397,Internal_lists_bugs!$A$2:$I847,9,FALSE()),"please select a BUG ID")</f>
        <v>please select a BUG ID</v>
      </c>
      <c r="E397" s="52"/>
      <c r="F397" s="52"/>
      <c r="G397" s="43"/>
      <c r="H397" s="52"/>
      <c r="J397" s="52"/>
      <c r="K397" s="52"/>
    </row>
    <row r="398">
      <c r="A398" s="43"/>
      <c r="B398" s="38" t="str">
        <f>IFERROR(HYPERLINK(VLOOKUP(A398,Internal_lists_bugs!$A$2:$C$73,3,FALSE()), VLOOKUP(A398,Internal_lists_bugs!$A$2:$C$73,3,FALSE())&amp;Char(10) &amp; Char(10) &amp; VLOOKUP(A398,Internal_lists_bugs!$A$2:$Z$73,26,FALSE())),"please select a BUG ID")</f>
        <v>please select a BUG ID</v>
      </c>
      <c r="C398" s="51" t="str">
        <f>IFERROR(VLOOKUP(A398,Internal_lists_bugs!$A$2:$G847,7,FALSE()),"please select a BUG ID")</f>
        <v>please select a BUG ID</v>
      </c>
      <c r="D398" s="51" t="str">
        <f>IFERROR(VLOOKUP(A398,Internal_lists_bugs!$A$2:$I847,9,FALSE()),"please select a BUG ID")</f>
        <v>please select a BUG ID</v>
      </c>
      <c r="E398" s="52"/>
      <c r="F398" s="52"/>
      <c r="G398" s="43"/>
      <c r="H398" s="52"/>
      <c r="J398" s="52"/>
      <c r="K398" s="52"/>
    </row>
    <row r="399">
      <c r="A399" s="43"/>
      <c r="B399" s="38" t="str">
        <f>IFERROR(HYPERLINK(VLOOKUP(A399,Internal_lists_bugs!$A$2:$C$73,3,FALSE()), VLOOKUP(A399,Internal_lists_bugs!$A$2:$C$73,3,FALSE())&amp;Char(10) &amp; Char(10) &amp; VLOOKUP(A399,Internal_lists_bugs!$A$2:$Z$73,26,FALSE())),"please select a BUG ID")</f>
        <v>please select a BUG ID</v>
      </c>
      <c r="C399" s="51" t="str">
        <f>IFERROR(VLOOKUP(A399,Internal_lists_bugs!$A$2:$G847,7,FALSE()),"please select a BUG ID")</f>
        <v>please select a BUG ID</v>
      </c>
      <c r="D399" s="51" t="str">
        <f>IFERROR(VLOOKUP(A399,Internal_lists_bugs!$A$2:$I847,9,FALSE()),"please select a BUG ID")</f>
        <v>please select a BUG ID</v>
      </c>
      <c r="E399" s="52"/>
      <c r="F399" s="52"/>
      <c r="G399" s="43"/>
      <c r="H399" s="52"/>
      <c r="J399" s="52"/>
      <c r="K399" s="52"/>
    </row>
    <row r="400">
      <c r="A400" s="43"/>
      <c r="B400" s="38" t="str">
        <f>IFERROR(HYPERLINK(VLOOKUP(A400,Internal_lists_bugs!$A$2:$C$73,3,FALSE()), VLOOKUP(A400,Internal_lists_bugs!$A$2:$C$73,3,FALSE())&amp;Char(10) &amp; Char(10) &amp; VLOOKUP(A400,Internal_lists_bugs!$A$2:$Z$73,26,FALSE())),"please select a BUG ID")</f>
        <v>please select a BUG ID</v>
      </c>
      <c r="C400" s="51" t="str">
        <f>IFERROR(VLOOKUP(A400,Internal_lists_bugs!$A$2:$G847,7,FALSE()),"please select a BUG ID")</f>
        <v>please select a BUG ID</v>
      </c>
      <c r="D400" s="51" t="str">
        <f>IFERROR(VLOOKUP(A400,Internal_lists_bugs!$A$2:$I847,9,FALSE()),"please select a BUG ID")</f>
        <v>please select a BUG ID</v>
      </c>
      <c r="E400" s="52"/>
      <c r="F400" s="52"/>
      <c r="G400" s="43"/>
      <c r="H400" s="52"/>
      <c r="J400" s="52"/>
      <c r="K400" s="52"/>
    </row>
    <row r="401">
      <c r="A401" s="43"/>
      <c r="B401" s="38" t="str">
        <f>IFERROR(HYPERLINK(VLOOKUP(A401,Internal_lists_bugs!$A$2:$C$73,3,FALSE()), VLOOKUP(A401,Internal_lists_bugs!$A$2:$C$73,3,FALSE())&amp;Char(10) &amp; Char(10) &amp; VLOOKUP(A401,Internal_lists_bugs!$A$2:$Z$73,26,FALSE())),"please select a BUG ID")</f>
        <v>please select a BUG ID</v>
      </c>
      <c r="C401" s="51" t="str">
        <f>IFERROR(VLOOKUP(A401,Internal_lists_bugs!$A$2:$G847,7,FALSE()),"please select a BUG ID")</f>
        <v>please select a BUG ID</v>
      </c>
      <c r="D401" s="51" t="str">
        <f>IFERROR(VLOOKUP(A401,Internal_lists_bugs!$A$2:$I847,9,FALSE()),"please select a BUG ID")</f>
        <v>please select a BUG ID</v>
      </c>
      <c r="E401" s="52"/>
      <c r="F401" s="52"/>
      <c r="G401" s="43"/>
      <c r="H401" s="52"/>
      <c r="J401" s="52"/>
      <c r="K401" s="52"/>
    </row>
    <row r="402">
      <c r="A402" s="43"/>
      <c r="B402" s="38" t="str">
        <f>IFERROR(HYPERLINK(VLOOKUP(A402,Internal_lists_bugs!$A$2:$C$73,3,FALSE()), VLOOKUP(A402,Internal_lists_bugs!$A$2:$C$73,3,FALSE())&amp;Char(10) &amp; Char(10) &amp; VLOOKUP(A402,Internal_lists_bugs!$A$2:$Z$73,26,FALSE())),"please select a BUG ID")</f>
        <v>please select a BUG ID</v>
      </c>
      <c r="C402" s="51" t="str">
        <f>IFERROR(VLOOKUP(A402,Internal_lists_bugs!$A$2:$G847,7,FALSE()),"please select a BUG ID")</f>
        <v>please select a BUG ID</v>
      </c>
      <c r="D402" s="51" t="str">
        <f>IFERROR(VLOOKUP(A402,Internal_lists_bugs!$A$2:$I847,9,FALSE()),"please select a BUG ID")</f>
        <v>please select a BUG ID</v>
      </c>
      <c r="E402" s="52"/>
      <c r="F402" s="52"/>
      <c r="G402" s="43"/>
      <c r="H402" s="52"/>
      <c r="J402" s="52"/>
      <c r="K402" s="52"/>
    </row>
    <row r="403">
      <c r="A403" s="43"/>
      <c r="B403" s="38" t="str">
        <f>IFERROR(HYPERLINK(VLOOKUP(A403,Internal_lists_bugs!$A$2:$C$73,3,FALSE()), VLOOKUP(A403,Internal_lists_bugs!$A$2:$C$73,3,FALSE())&amp;Char(10) &amp; Char(10) &amp; VLOOKUP(A403,Internal_lists_bugs!$A$2:$Z$73,26,FALSE())),"please select a BUG ID")</f>
        <v>please select a BUG ID</v>
      </c>
      <c r="C403" s="51" t="str">
        <f>IFERROR(VLOOKUP(A403,Internal_lists_bugs!$A$2:$G847,7,FALSE()),"please select a BUG ID")</f>
        <v>please select a BUG ID</v>
      </c>
      <c r="D403" s="51" t="str">
        <f>IFERROR(VLOOKUP(A403,Internal_lists_bugs!$A$2:$I847,9,FALSE()),"please select a BUG ID")</f>
        <v>please select a BUG ID</v>
      </c>
      <c r="E403" s="52"/>
      <c r="F403" s="52"/>
      <c r="G403" s="43"/>
      <c r="H403" s="52"/>
      <c r="J403" s="52"/>
      <c r="K403" s="52"/>
    </row>
    <row r="404">
      <c r="A404" s="43"/>
      <c r="B404" s="38" t="str">
        <f>IFERROR(HYPERLINK(VLOOKUP(A404,Internal_lists_bugs!$A$2:$C$73,3,FALSE()), VLOOKUP(A404,Internal_lists_bugs!$A$2:$C$73,3,FALSE())&amp;Char(10) &amp; Char(10) &amp; VLOOKUP(A404,Internal_lists_bugs!$A$2:$Z$73,26,FALSE())),"please select a BUG ID")</f>
        <v>please select a BUG ID</v>
      </c>
      <c r="C404" s="51" t="str">
        <f>IFERROR(VLOOKUP(A404,Internal_lists_bugs!$A$2:$G847,7,FALSE()),"please select a BUG ID")</f>
        <v>please select a BUG ID</v>
      </c>
      <c r="D404" s="51" t="str">
        <f>IFERROR(VLOOKUP(A404,Internal_lists_bugs!$A$2:$I847,9,FALSE()),"please select a BUG ID")</f>
        <v>please select a BUG ID</v>
      </c>
      <c r="E404" s="52"/>
      <c r="F404" s="52"/>
      <c r="G404" s="43"/>
      <c r="H404" s="52"/>
      <c r="J404" s="52"/>
      <c r="K404" s="52"/>
    </row>
    <row r="405">
      <c r="A405" s="43"/>
      <c r="B405" s="38" t="str">
        <f>IFERROR(HYPERLINK(VLOOKUP(A405,Internal_lists_bugs!$A$2:$C$73,3,FALSE()), VLOOKUP(A405,Internal_lists_bugs!$A$2:$C$73,3,FALSE())&amp;Char(10) &amp; Char(10) &amp; VLOOKUP(A405,Internal_lists_bugs!$A$2:$Z$73,26,FALSE())),"please select a BUG ID")</f>
        <v>please select a BUG ID</v>
      </c>
      <c r="C405" s="51" t="str">
        <f>IFERROR(VLOOKUP(A405,Internal_lists_bugs!$A$2:$G847,7,FALSE()),"please select a BUG ID")</f>
        <v>please select a BUG ID</v>
      </c>
      <c r="D405" s="51" t="str">
        <f>IFERROR(VLOOKUP(A405,Internal_lists_bugs!$A$2:$I847,9,FALSE()),"please select a BUG ID")</f>
        <v>please select a BUG ID</v>
      </c>
      <c r="E405" s="52"/>
      <c r="F405" s="52"/>
      <c r="G405" s="43"/>
      <c r="H405" s="52"/>
      <c r="J405" s="52"/>
      <c r="K405" s="52"/>
    </row>
    <row r="406">
      <c r="A406" s="43"/>
      <c r="B406" s="38" t="str">
        <f>IFERROR(HYPERLINK(VLOOKUP(A406,Internal_lists_bugs!$A$2:$C$73,3,FALSE()), VLOOKUP(A406,Internal_lists_bugs!$A$2:$C$73,3,FALSE())&amp;Char(10) &amp; Char(10) &amp; VLOOKUP(A406,Internal_lists_bugs!$A$2:$Z$73,26,FALSE())),"please select a BUG ID")</f>
        <v>please select a BUG ID</v>
      </c>
      <c r="C406" s="51" t="str">
        <f>IFERROR(VLOOKUP(A406,Internal_lists_bugs!$A$2:$G847,7,FALSE()),"please select a BUG ID")</f>
        <v>please select a BUG ID</v>
      </c>
      <c r="D406" s="51" t="str">
        <f>IFERROR(VLOOKUP(A406,Internal_lists_bugs!$A$2:$I847,9,FALSE()),"please select a BUG ID")</f>
        <v>please select a BUG ID</v>
      </c>
      <c r="E406" s="52"/>
      <c r="F406" s="52"/>
      <c r="G406" s="43"/>
      <c r="H406" s="52"/>
      <c r="J406" s="52"/>
      <c r="K406" s="52"/>
    </row>
    <row r="407">
      <c r="A407" s="43"/>
      <c r="B407" s="38" t="str">
        <f>IFERROR(HYPERLINK(VLOOKUP(A407,Internal_lists_bugs!$A$2:$C$73,3,FALSE()), VLOOKUP(A407,Internal_lists_bugs!$A$2:$C$73,3,FALSE())&amp;Char(10) &amp; Char(10) &amp; VLOOKUP(A407,Internal_lists_bugs!$A$2:$Z$73,26,FALSE())),"please select a BUG ID")</f>
        <v>please select a BUG ID</v>
      </c>
      <c r="C407" s="51" t="str">
        <f>IFERROR(VLOOKUP(A407,Internal_lists_bugs!$A$2:$G847,7,FALSE()),"please select a BUG ID")</f>
        <v>please select a BUG ID</v>
      </c>
      <c r="D407" s="51" t="str">
        <f>IFERROR(VLOOKUP(A407,Internal_lists_bugs!$A$2:$I847,9,FALSE()),"please select a BUG ID")</f>
        <v>please select a BUG ID</v>
      </c>
      <c r="E407" s="52"/>
      <c r="F407" s="52"/>
      <c r="G407" s="43"/>
      <c r="H407" s="52"/>
      <c r="J407" s="52"/>
      <c r="K407" s="52"/>
    </row>
    <row r="408">
      <c r="A408" s="43"/>
      <c r="B408" s="38" t="str">
        <f>IFERROR(HYPERLINK(VLOOKUP(A408,Internal_lists_bugs!$A$2:$C$73,3,FALSE()), VLOOKUP(A408,Internal_lists_bugs!$A$2:$C$73,3,FALSE())&amp;Char(10) &amp; Char(10) &amp; VLOOKUP(A408,Internal_lists_bugs!$A$2:$Z$73,26,FALSE())),"please select a BUG ID")</f>
        <v>please select a BUG ID</v>
      </c>
      <c r="C408" s="51" t="str">
        <f>IFERROR(VLOOKUP(A408,Internal_lists_bugs!$A$2:$G847,7,FALSE()),"please select a BUG ID")</f>
        <v>please select a BUG ID</v>
      </c>
      <c r="D408" s="51" t="str">
        <f>IFERROR(VLOOKUP(A408,Internal_lists_bugs!$A$2:$I847,9,FALSE()),"please select a BUG ID")</f>
        <v>please select a BUG ID</v>
      </c>
      <c r="E408" s="52"/>
      <c r="F408" s="52"/>
      <c r="G408" s="43"/>
      <c r="H408" s="52"/>
      <c r="J408" s="52"/>
      <c r="K408" s="52"/>
    </row>
    <row r="409">
      <c r="A409" s="43"/>
      <c r="B409" s="38" t="str">
        <f>IFERROR(HYPERLINK(VLOOKUP(A409,Internal_lists_bugs!$A$2:$C$73,3,FALSE()), VLOOKUP(A409,Internal_lists_bugs!$A$2:$C$73,3,FALSE())&amp;Char(10) &amp; Char(10) &amp; VLOOKUP(A409,Internal_lists_bugs!$A$2:$Z$73,26,FALSE())),"please select a BUG ID")</f>
        <v>please select a BUG ID</v>
      </c>
      <c r="C409" s="51" t="str">
        <f>IFERROR(VLOOKUP(A409,Internal_lists_bugs!$A$2:$G847,7,FALSE()),"please select a BUG ID")</f>
        <v>please select a BUG ID</v>
      </c>
      <c r="D409" s="51" t="str">
        <f>IFERROR(VLOOKUP(A409,Internal_lists_bugs!$A$2:$I847,9,FALSE()),"please select a BUG ID")</f>
        <v>please select a BUG ID</v>
      </c>
      <c r="E409" s="52"/>
      <c r="F409" s="52"/>
      <c r="G409" s="43"/>
      <c r="H409" s="52"/>
      <c r="J409" s="52"/>
      <c r="K409" s="52"/>
    </row>
    <row r="410">
      <c r="A410" s="43"/>
      <c r="B410" s="38" t="str">
        <f>IFERROR(HYPERLINK(VLOOKUP(A410,Internal_lists_bugs!$A$2:$C$73,3,FALSE()), VLOOKUP(A410,Internal_lists_bugs!$A$2:$C$73,3,FALSE())&amp;Char(10) &amp; Char(10) &amp; VLOOKUP(A410,Internal_lists_bugs!$A$2:$Z$73,26,FALSE())),"please select a BUG ID")</f>
        <v>please select a BUG ID</v>
      </c>
      <c r="C410" s="51" t="str">
        <f>IFERROR(VLOOKUP(A410,Internal_lists_bugs!$A$2:$G847,7,FALSE()),"please select a BUG ID")</f>
        <v>please select a BUG ID</v>
      </c>
      <c r="D410" s="51" t="str">
        <f>IFERROR(VLOOKUP(A410,Internal_lists_bugs!$A$2:$I847,9,FALSE()),"please select a BUG ID")</f>
        <v>please select a BUG ID</v>
      </c>
      <c r="E410" s="52"/>
      <c r="F410" s="52"/>
      <c r="G410" s="43"/>
      <c r="H410" s="52"/>
      <c r="J410" s="52"/>
      <c r="K410" s="52"/>
    </row>
    <row r="411">
      <c r="A411" s="43"/>
      <c r="B411" s="38" t="str">
        <f>IFERROR(HYPERLINK(VLOOKUP(A411,Internal_lists_bugs!$A$2:$C$73,3,FALSE()), VLOOKUP(A411,Internal_lists_bugs!$A$2:$C$73,3,FALSE())&amp;Char(10) &amp; Char(10) &amp; VLOOKUP(A411,Internal_lists_bugs!$A$2:$Z$73,26,FALSE())),"please select a BUG ID")</f>
        <v>please select a BUG ID</v>
      </c>
      <c r="C411" s="51" t="str">
        <f>IFERROR(VLOOKUP(A411,Internal_lists_bugs!$A$2:$G847,7,FALSE()),"please select a BUG ID")</f>
        <v>please select a BUG ID</v>
      </c>
      <c r="D411" s="51" t="str">
        <f>IFERROR(VLOOKUP(A411,Internal_lists_bugs!$A$2:$I847,9,FALSE()),"please select a BUG ID")</f>
        <v>please select a BUG ID</v>
      </c>
      <c r="E411" s="52"/>
      <c r="F411" s="52"/>
      <c r="G411" s="43"/>
      <c r="H411" s="52"/>
      <c r="J411" s="52"/>
      <c r="K411" s="52"/>
    </row>
    <row r="412">
      <c r="A412" s="43"/>
      <c r="B412" s="38" t="str">
        <f>IFERROR(HYPERLINK(VLOOKUP(A412,Internal_lists_bugs!$A$2:$C$73,3,FALSE()), VLOOKUP(A412,Internal_lists_bugs!$A$2:$C$73,3,FALSE())&amp;Char(10) &amp; Char(10) &amp; VLOOKUP(A412,Internal_lists_bugs!$A$2:$Z$73,26,FALSE())),"please select a BUG ID")</f>
        <v>please select a BUG ID</v>
      </c>
      <c r="C412" s="51" t="str">
        <f>IFERROR(VLOOKUP(A412,Internal_lists_bugs!$A$2:$G847,7,FALSE()),"please select a BUG ID")</f>
        <v>please select a BUG ID</v>
      </c>
      <c r="D412" s="51" t="str">
        <f>IFERROR(VLOOKUP(A412,Internal_lists_bugs!$A$2:$I847,9,FALSE()),"please select a BUG ID")</f>
        <v>please select a BUG ID</v>
      </c>
      <c r="E412" s="52"/>
      <c r="F412" s="52"/>
      <c r="G412" s="43"/>
      <c r="H412" s="52"/>
      <c r="J412" s="52"/>
      <c r="K412" s="52"/>
    </row>
    <row r="413">
      <c r="A413" s="43"/>
      <c r="B413" s="38" t="str">
        <f>IFERROR(HYPERLINK(VLOOKUP(A413,Internal_lists_bugs!$A$2:$C$73,3,FALSE()), VLOOKUP(A413,Internal_lists_bugs!$A$2:$C$73,3,FALSE())&amp;Char(10) &amp; Char(10) &amp; VLOOKUP(A413,Internal_lists_bugs!$A$2:$Z$73,26,FALSE())),"please select a BUG ID")</f>
        <v>please select a BUG ID</v>
      </c>
      <c r="C413" s="51" t="str">
        <f>IFERROR(VLOOKUP(A413,Internal_lists_bugs!$A$2:$G847,7,FALSE()),"please select a BUG ID")</f>
        <v>please select a BUG ID</v>
      </c>
      <c r="D413" s="51" t="str">
        <f>IFERROR(VLOOKUP(A413,Internal_lists_bugs!$A$2:$I847,9,FALSE()),"please select a BUG ID")</f>
        <v>please select a BUG ID</v>
      </c>
      <c r="E413" s="52"/>
      <c r="F413" s="52"/>
      <c r="G413" s="43"/>
      <c r="H413" s="52"/>
      <c r="J413" s="52"/>
      <c r="K413" s="52"/>
    </row>
    <row r="414">
      <c r="A414" s="43"/>
      <c r="B414" s="38" t="str">
        <f>IFERROR(HYPERLINK(VLOOKUP(A414,Internal_lists_bugs!$A$2:$C$73,3,FALSE()), VLOOKUP(A414,Internal_lists_bugs!$A$2:$C$73,3,FALSE())&amp;Char(10) &amp; Char(10) &amp; VLOOKUP(A414,Internal_lists_bugs!$A$2:$Z$73,26,FALSE())),"please select a BUG ID")</f>
        <v>please select a BUG ID</v>
      </c>
      <c r="C414" s="51" t="str">
        <f>IFERROR(VLOOKUP(A414,Internal_lists_bugs!$A$2:$G847,7,FALSE()),"please select a BUG ID")</f>
        <v>please select a BUG ID</v>
      </c>
      <c r="D414" s="51" t="str">
        <f>IFERROR(VLOOKUP(A414,Internal_lists_bugs!$A$2:$I847,9,FALSE()),"please select a BUG ID")</f>
        <v>please select a BUG ID</v>
      </c>
      <c r="E414" s="52"/>
      <c r="F414" s="52"/>
      <c r="G414" s="43"/>
      <c r="H414" s="52"/>
      <c r="J414" s="52"/>
      <c r="K414" s="52"/>
    </row>
    <row r="415">
      <c r="A415" s="43"/>
      <c r="B415" s="38" t="str">
        <f>IFERROR(HYPERLINK(VLOOKUP(A415,Internal_lists_bugs!$A$2:$C$73,3,FALSE()), VLOOKUP(A415,Internal_lists_bugs!$A$2:$C$73,3,FALSE())&amp;Char(10) &amp; Char(10) &amp; VLOOKUP(A415,Internal_lists_bugs!$A$2:$Z$73,26,FALSE())),"please select a BUG ID")</f>
        <v>please select a BUG ID</v>
      </c>
      <c r="C415" s="51" t="str">
        <f>IFERROR(VLOOKUP(A415,Internal_lists_bugs!$A$2:$G847,7,FALSE()),"please select a BUG ID")</f>
        <v>please select a BUG ID</v>
      </c>
      <c r="D415" s="51" t="str">
        <f>IFERROR(VLOOKUP(A415,Internal_lists_bugs!$A$2:$I847,9,FALSE()),"please select a BUG ID")</f>
        <v>please select a BUG ID</v>
      </c>
      <c r="E415" s="52"/>
      <c r="F415" s="52"/>
      <c r="G415" s="43"/>
      <c r="H415" s="52"/>
      <c r="J415" s="52"/>
      <c r="K415" s="52"/>
    </row>
    <row r="416">
      <c r="A416" s="43"/>
      <c r="B416" s="38" t="str">
        <f>IFERROR(HYPERLINK(VLOOKUP(A416,Internal_lists_bugs!$A$2:$C$73,3,FALSE()), VLOOKUP(A416,Internal_lists_bugs!$A$2:$C$73,3,FALSE())&amp;Char(10) &amp; Char(10) &amp; VLOOKUP(A416,Internal_lists_bugs!$A$2:$Z$73,26,FALSE())),"please select a BUG ID")</f>
        <v>please select a BUG ID</v>
      </c>
      <c r="C416" s="51" t="str">
        <f>IFERROR(VLOOKUP(A416,Internal_lists_bugs!$A$2:$G847,7,FALSE()),"please select a BUG ID")</f>
        <v>please select a BUG ID</v>
      </c>
      <c r="D416" s="51" t="str">
        <f>IFERROR(VLOOKUP(A416,Internal_lists_bugs!$A$2:$I847,9,FALSE()),"please select a BUG ID")</f>
        <v>please select a BUG ID</v>
      </c>
      <c r="E416" s="52"/>
      <c r="F416" s="52"/>
      <c r="G416" s="43"/>
      <c r="H416" s="52"/>
      <c r="J416" s="52"/>
      <c r="K416" s="52"/>
    </row>
    <row r="417">
      <c r="A417" s="43"/>
      <c r="B417" s="38" t="str">
        <f>IFERROR(HYPERLINK(VLOOKUP(A417,Internal_lists_bugs!$A$2:$C$73,3,FALSE()), VLOOKUP(A417,Internal_lists_bugs!$A$2:$C$73,3,FALSE())&amp;Char(10) &amp; Char(10) &amp; VLOOKUP(A417,Internal_lists_bugs!$A$2:$Z$73,26,FALSE())),"please select a BUG ID")</f>
        <v>please select a BUG ID</v>
      </c>
      <c r="C417" s="51" t="str">
        <f>IFERROR(VLOOKUP(A417,Internal_lists_bugs!$A$2:$G847,7,FALSE()),"please select a BUG ID")</f>
        <v>please select a BUG ID</v>
      </c>
      <c r="D417" s="51" t="str">
        <f>IFERROR(VLOOKUP(A417,Internal_lists_bugs!$A$2:$I847,9,FALSE()),"please select a BUG ID")</f>
        <v>please select a BUG ID</v>
      </c>
      <c r="E417" s="52"/>
      <c r="F417" s="52"/>
      <c r="G417" s="43"/>
      <c r="H417" s="52"/>
      <c r="J417" s="52"/>
      <c r="K417" s="52"/>
    </row>
    <row r="418">
      <c r="A418" s="43"/>
      <c r="B418" s="38" t="str">
        <f>IFERROR(HYPERLINK(VLOOKUP(A418,Internal_lists_bugs!$A$2:$C$73,3,FALSE()), VLOOKUP(A418,Internal_lists_bugs!$A$2:$C$73,3,FALSE())&amp;Char(10) &amp; Char(10) &amp; VLOOKUP(A418,Internal_lists_bugs!$A$2:$Z$73,26,FALSE())),"please select a BUG ID")</f>
        <v>please select a BUG ID</v>
      </c>
      <c r="C418" s="51" t="str">
        <f>IFERROR(VLOOKUP(A418,Internal_lists_bugs!$A$2:$G847,7,FALSE()),"please select a BUG ID")</f>
        <v>please select a BUG ID</v>
      </c>
      <c r="D418" s="51" t="str">
        <f>IFERROR(VLOOKUP(A418,Internal_lists_bugs!$A$2:$I847,9,FALSE()),"please select a BUG ID")</f>
        <v>please select a BUG ID</v>
      </c>
      <c r="E418" s="52"/>
      <c r="F418" s="52"/>
      <c r="G418" s="43"/>
      <c r="H418" s="52"/>
      <c r="J418" s="52"/>
      <c r="K418" s="52"/>
    </row>
    <row r="419">
      <c r="A419" s="43"/>
      <c r="B419" s="38" t="str">
        <f>IFERROR(HYPERLINK(VLOOKUP(A419,Internal_lists_bugs!$A$2:$C$73,3,FALSE()), VLOOKUP(A419,Internal_lists_bugs!$A$2:$C$73,3,FALSE())&amp;Char(10) &amp; Char(10) &amp; VLOOKUP(A419,Internal_lists_bugs!$A$2:$Z$73,26,FALSE())),"please select a BUG ID")</f>
        <v>please select a BUG ID</v>
      </c>
      <c r="C419" s="51" t="str">
        <f>IFERROR(VLOOKUP(A419,Internal_lists_bugs!$A$2:$G847,7,FALSE()),"please select a BUG ID")</f>
        <v>please select a BUG ID</v>
      </c>
      <c r="D419" s="51" t="str">
        <f>IFERROR(VLOOKUP(A419,Internal_lists_bugs!$A$2:$I847,9,FALSE()),"please select a BUG ID")</f>
        <v>please select a BUG ID</v>
      </c>
      <c r="E419" s="52"/>
      <c r="F419" s="52"/>
      <c r="G419" s="43"/>
      <c r="H419" s="52"/>
      <c r="J419" s="52"/>
      <c r="K419" s="52"/>
    </row>
    <row r="420">
      <c r="A420" s="43"/>
      <c r="B420" s="38" t="str">
        <f>IFERROR(HYPERLINK(VLOOKUP(A420,Internal_lists_bugs!$A$2:$C$73,3,FALSE()), VLOOKUP(A420,Internal_lists_bugs!$A$2:$C$73,3,FALSE())&amp;Char(10) &amp; Char(10) &amp; VLOOKUP(A420,Internal_lists_bugs!$A$2:$Z$73,26,FALSE())),"please select a BUG ID")</f>
        <v>please select a BUG ID</v>
      </c>
      <c r="C420" s="51" t="str">
        <f>IFERROR(VLOOKUP(A420,Internal_lists_bugs!$A$2:$G847,7,FALSE()),"please select a BUG ID")</f>
        <v>please select a BUG ID</v>
      </c>
      <c r="D420" s="51" t="str">
        <f>IFERROR(VLOOKUP(A420,Internal_lists_bugs!$A$2:$I847,9,FALSE()),"please select a BUG ID")</f>
        <v>please select a BUG ID</v>
      </c>
      <c r="E420" s="52"/>
      <c r="F420" s="52"/>
      <c r="G420" s="43"/>
      <c r="H420" s="52"/>
      <c r="J420" s="52"/>
      <c r="K420" s="52"/>
    </row>
    <row r="421">
      <c r="A421" s="43"/>
      <c r="B421" s="38" t="str">
        <f>IFERROR(HYPERLINK(VLOOKUP(A421,Internal_lists_bugs!$A$2:$C$73,3,FALSE()), VLOOKUP(A421,Internal_lists_bugs!$A$2:$C$73,3,FALSE())&amp;Char(10) &amp; Char(10) &amp; VLOOKUP(A421,Internal_lists_bugs!$A$2:$Z$73,26,FALSE())),"please select a BUG ID")</f>
        <v>please select a BUG ID</v>
      </c>
      <c r="C421" s="51" t="str">
        <f>IFERROR(VLOOKUP(A421,Internal_lists_bugs!$A$2:$G847,7,FALSE()),"please select a BUG ID")</f>
        <v>please select a BUG ID</v>
      </c>
      <c r="D421" s="51" t="str">
        <f>IFERROR(VLOOKUP(A421,Internal_lists_bugs!$A$2:$I847,9,FALSE()),"please select a BUG ID")</f>
        <v>please select a BUG ID</v>
      </c>
      <c r="E421" s="52"/>
      <c r="F421" s="52"/>
      <c r="G421" s="43"/>
      <c r="H421" s="52"/>
      <c r="J421" s="52"/>
      <c r="K421" s="52"/>
    </row>
    <row r="422">
      <c r="A422" s="43"/>
      <c r="B422" s="38" t="str">
        <f>IFERROR(HYPERLINK(VLOOKUP(A422,Internal_lists_bugs!$A$2:$C$73,3,FALSE()), VLOOKUP(A422,Internal_lists_bugs!$A$2:$C$73,3,FALSE())&amp;Char(10) &amp; Char(10) &amp; VLOOKUP(A422,Internal_lists_bugs!$A$2:$Z$73,26,FALSE())),"please select a BUG ID")</f>
        <v>please select a BUG ID</v>
      </c>
      <c r="C422" s="51" t="str">
        <f>IFERROR(VLOOKUP(A422,Internal_lists_bugs!$A$2:$G847,7,FALSE()),"please select a BUG ID")</f>
        <v>please select a BUG ID</v>
      </c>
      <c r="D422" s="51" t="str">
        <f>IFERROR(VLOOKUP(A422,Internal_lists_bugs!$A$2:$I847,9,FALSE()),"please select a BUG ID")</f>
        <v>please select a BUG ID</v>
      </c>
      <c r="E422" s="52"/>
      <c r="F422" s="52"/>
      <c r="G422" s="43"/>
      <c r="H422" s="52"/>
      <c r="J422" s="52"/>
      <c r="K422" s="52"/>
    </row>
    <row r="423">
      <c r="A423" s="43"/>
      <c r="B423" s="38" t="str">
        <f>IFERROR(HYPERLINK(VLOOKUP(A423,Internal_lists_bugs!$A$2:$C$73,3,FALSE()), VLOOKUP(A423,Internal_lists_bugs!$A$2:$C$73,3,FALSE())&amp;Char(10) &amp; Char(10) &amp; VLOOKUP(A423,Internal_lists_bugs!$A$2:$Z$73,26,FALSE())),"please select a BUG ID")</f>
        <v>please select a BUG ID</v>
      </c>
      <c r="C423" s="51" t="str">
        <f>IFERROR(VLOOKUP(A423,Internal_lists_bugs!$A$2:$G847,7,FALSE()),"please select a BUG ID")</f>
        <v>please select a BUG ID</v>
      </c>
      <c r="D423" s="51" t="str">
        <f>IFERROR(VLOOKUP(A423,Internal_lists_bugs!$A$2:$I847,9,FALSE()),"please select a BUG ID")</f>
        <v>please select a BUG ID</v>
      </c>
      <c r="E423" s="52"/>
      <c r="F423" s="52"/>
      <c r="G423" s="43"/>
      <c r="H423" s="52"/>
      <c r="J423" s="52"/>
      <c r="K423" s="52"/>
    </row>
    <row r="424">
      <c r="A424" s="43"/>
      <c r="B424" s="38" t="str">
        <f>IFERROR(HYPERLINK(VLOOKUP(A424,Internal_lists_bugs!$A$2:$C$73,3,FALSE()), VLOOKUP(A424,Internal_lists_bugs!$A$2:$C$73,3,FALSE())&amp;Char(10) &amp; Char(10) &amp; VLOOKUP(A424,Internal_lists_bugs!$A$2:$Z$73,26,FALSE())),"please select a BUG ID")</f>
        <v>please select a BUG ID</v>
      </c>
      <c r="C424" s="51" t="str">
        <f>IFERROR(VLOOKUP(A424,Internal_lists_bugs!$A$2:$G847,7,FALSE()),"please select a BUG ID")</f>
        <v>please select a BUG ID</v>
      </c>
      <c r="D424" s="51" t="str">
        <f>IFERROR(VLOOKUP(A424,Internal_lists_bugs!$A$2:$I847,9,FALSE()),"please select a BUG ID")</f>
        <v>please select a BUG ID</v>
      </c>
      <c r="E424" s="52"/>
      <c r="F424" s="52"/>
      <c r="G424" s="43"/>
      <c r="H424" s="52"/>
      <c r="J424" s="52"/>
      <c r="K424" s="52"/>
    </row>
    <row r="425">
      <c r="A425" s="43"/>
      <c r="B425" s="38" t="str">
        <f>IFERROR(HYPERLINK(VLOOKUP(A425,Internal_lists_bugs!$A$2:$C$73,3,FALSE()), VLOOKUP(A425,Internal_lists_bugs!$A$2:$C$73,3,FALSE())&amp;Char(10) &amp; Char(10) &amp; VLOOKUP(A425,Internal_lists_bugs!$A$2:$Z$73,26,FALSE())),"please select a BUG ID")</f>
        <v>please select a BUG ID</v>
      </c>
      <c r="C425" s="51" t="str">
        <f>IFERROR(VLOOKUP(A425,Internal_lists_bugs!$A$2:$G847,7,FALSE()),"please select a BUG ID")</f>
        <v>please select a BUG ID</v>
      </c>
      <c r="D425" s="51" t="str">
        <f>IFERROR(VLOOKUP(A425,Internal_lists_bugs!$A$2:$I847,9,FALSE()),"please select a BUG ID")</f>
        <v>please select a BUG ID</v>
      </c>
      <c r="E425" s="52"/>
      <c r="F425" s="52"/>
      <c r="G425" s="43"/>
      <c r="H425" s="52"/>
      <c r="J425" s="52"/>
      <c r="K425" s="52"/>
    </row>
    <row r="426">
      <c r="A426" s="43"/>
      <c r="B426" s="38" t="str">
        <f>IFERROR(HYPERLINK(VLOOKUP(A426,Internal_lists_bugs!$A$2:$C$73,3,FALSE()), VLOOKUP(A426,Internal_lists_bugs!$A$2:$C$73,3,FALSE())&amp;Char(10) &amp; Char(10) &amp; VLOOKUP(A426,Internal_lists_bugs!$A$2:$Z$73,26,FALSE())),"please select a BUG ID")</f>
        <v>please select a BUG ID</v>
      </c>
      <c r="C426" s="51" t="str">
        <f>IFERROR(VLOOKUP(A426,Internal_lists_bugs!$A$2:$G847,7,FALSE()),"please select a BUG ID")</f>
        <v>please select a BUG ID</v>
      </c>
      <c r="D426" s="51" t="str">
        <f>IFERROR(VLOOKUP(A426,Internal_lists_bugs!$A$2:$I847,9,FALSE()),"please select a BUG ID")</f>
        <v>please select a BUG ID</v>
      </c>
      <c r="E426" s="52"/>
      <c r="F426" s="52"/>
      <c r="G426" s="43"/>
      <c r="H426" s="52"/>
      <c r="J426" s="52"/>
      <c r="K426" s="52"/>
    </row>
    <row r="427">
      <c r="A427" s="43"/>
      <c r="B427" s="38" t="str">
        <f>IFERROR(HYPERLINK(VLOOKUP(A427,Internal_lists_bugs!$A$2:$C$73,3,FALSE()), VLOOKUP(A427,Internal_lists_bugs!$A$2:$C$73,3,FALSE())&amp;Char(10) &amp; Char(10) &amp; VLOOKUP(A427,Internal_lists_bugs!$A$2:$Z$73,26,FALSE())),"please select a BUG ID")</f>
        <v>please select a BUG ID</v>
      </c>
      <c r="C427" s="51" t="str">
        <f>IFERROR(VLOOKUP(A427,Internal_lists_bugs!$A$2:$G847,7,FALSE()),"please select a BUG ID")</f>
        <v>please select a BUG ID</v>
      </c>
      <c r="D427" s="51" t="str">
        <f>IFERROR(VLOOKUP(A427,Internal_lists_bugs!$A$2:$I847,9,FALSE()),"please select a BUG ID")</f>
        <v>please select a BUG ID</v>
      </c>
      <c r="E427" s="52"/>
      <c r="F427" s="52"/>
      <c r="G427" s="43"/>
      <c r="H427" s="52"/>
      <c r="J427" s="52"/>
      <c r="K427" s="52"/>
    </row>
    <row r="428">
      <c r="A428" s="43"/>
      <c r="B428" s="38" t="str">
        <f>IFERROR(HYPERLINK(VLOOKUP(A428,Internal_lists_bugs!$A$2:$C$73,3,FALSE()), VLOOKUP(A428,Internal_lists_bugs!$A$2:$C$73,3,FALSE())&amp;Char(10) &amp; Char(10) &amp; VLOOKUP(A428,Internal_lists_bugs!$A$2:$Z$73,26,FALSE())),"please select a BUG ID")</f>
        <v>please select a BUG ID</v>
      </c>
      <c r="C428" s="51" t="str">
        <f>IFERROR(VLOOKUP(A428,Internal_lists_bugs!$A$2:$G847,7,FALSE()),"please select a BUG ID")</f>
        <v>please select a BUG ID</v>
      </c>
      <c r="D428" s="51" t="str">
        <f>IFERROR(VLOOKUP(A428,Internal_lists_bugs!$A$2:$I847,9,FALSE()),"please select a BUG ID")</f>
        <v>please select a BUG ID</v>
      </c>
      <c r="E428" s="52"/>
      <c r="F428" s="52"/>
      <c r="G428" s="43"/>
      <c r="H428" s="52"/>
      <c r="J428" s="52"/>
      <c r="K428" s="52"/>
    </row>
    <row r="429">
      <c r="A429" s="43"/>
      <c r="B429" s="38" t="str">
        <f>IFERROR(HYPERLINK(VLOOKUP(A429,Internal_lists_bugs!$A$2:$C$73,3,FALSE()), VLOOKUP(A429,Internal_lists_bugs!$A$2:$C$73,3,FALSE())&amp;Char(10) &amp; Char(10) &amp; VLOOKUP(A429,Internal_lists_bugs!$A$2:$Z$73,26,FALSE())),"please select a BUG ID")</f>
        <v>please select a BUG ID</v>
      </c>
      <c r="C429" s="51" t="str">
        <f>IFERROR(VLOOKUP(A429,Internal_lists_bugs!$A$2:$G847,7,FALSE()),"please select a BUG ID")</f>
        <v>please select a BUG ID</v>
      </c>
      <c r="D429" s="51" t="str">
        <f>IFERROR(VLOOKUP(A429,Internal_lists_bugs!$A$2:$I847,9,FALSE()),"please select a BUG ID")</f>
        <v>please select a BUG ID</v>
      </c>
      <c r="E429" s="52"/>
      <c r="F429" s="52"/>
      <c r="G429" s="43"/>
      <c r="H429" s="52"/>
      <c r="J429" s="52"/>
      <c r="K429" s="52"/>
    </row>
    <row r="430">
      <c r="A430" s="43"/>
      <c r="B430" s="38" t="str">
        <f>IFERROR(HYPERLINK(VLOOKUP(A430,Internal_lists_bugs!$A$2:$C$73,3,FALSE()), VLOOKUP(A430,Internal_lists_bugs!$A$2:$C$73,3,FALSE())&amp;Char(10) &amp; Char(10) &amp; VLOOKUP(A430,Internal_lists_bugs!$A$2:$Z$73,26,FALSE())),"please select a BUG ID")</f>
        <v>please select a BUG ID</v>
      </c>
      <c r="C430" s="51" t="str">
        <f>IFERROR(VLOOKUP(A430,Internal_lists_bugs!$A$2:$G847,7,FALSE()),"please select a BUG ID")</f>
        <v>please select a BUG ID</v>
      </c>
      <c r="D430" s="51" t="str">
        <f>IFERROR(VLOOKUP(A430,Internal_lists_bugs!$A$2:$I847,9,FALSE()),"please select a BUG ID")</f>
        <v>please select a BUG ID</v>
      </c>
      <c r="E430" s="52"/>
      <c r="F430" s="52"/>
      <c r="G430" s="43"/>
      <c r="H430" s="52"/>
      <c r="J430" s="52"/>
      <c r="K430" s="52"/>
    </row>
    <row r="431">
      <c r="A431" s="43"/>
      <c r="B431" s="38" t="str">
        <f>IFERROR(HYPERLINK(VLOOKUP(A431,Internal_lists_bugs!$A$2:$C$73,3,FALSE()), VLOOKUP(A431,Internal_lists_bugs!$A$2:$C$73,3,FALSE())&amp;Char(10) &amp; Char(10) &amp; VLOOKUP(A431,Internal_lists_bugs!$A$2:$Z$73,26,FALSE())),"please select a BUG ID")</f>
        <v>please select a BUG ID</v>
      </c>
      <c r="C431" s="51" t="str">
        <f>IFERROR(VLOOKUP(A431,Internal_lists_bugs!$A$2:$G847,7,FALSE()),"please select a BUG ID")</f>
        <v>please select a BUG ID</v>
      </c>
      <c r="D431" s="51" t="str">
        <f>IFERROR(VLOOKUP(A431,Internal_lists_bugs!$A$2:$I847,9,FALSE()),"please select a BUG ID")</f>
        <v>please select a BUG ID</v>
      </c>
      <c r="E431" s="52"/>
      <c r="F431" s="52"/>
      <c r="G431" s="43"/>
      <c r="H431" s="52"/>
      <c r="J431" s="52"/>
      <c r="K431" s="52"/>
    </row>
    <row r="432">
      <c r="A432" s="43"/>
      <c r="B432" s="38" t="str">
        <f>IFERROR(HYPERLINK(VLOOKUP(A432,Internal_lists_bugs!$A$2:$C$73,3,FALSE()), VLOOKUP(A432,Internal_lists_bugs!$A$2:$C$73,3,FALSE())&amp;Char(10) &amp; Char(10) &amp; VLOOKUP(A432,Internal_lists_bugs!$A$2:$Z$73,26,FALSE())),"please select a BUG ID")</f>
        <v>please select a BUG ID</v>
      </c>
      <c r="C432" s="51" t="str">
        <f>IFERROR(VLOOKUP(A432,Internal_lists_bugs!$A$2:$G847,7,FALSE()),"please select a BUG ID")</f>
        <v>please select a BUG ID</v>
      </c>
      <c r="D432" s="51" t="str">
        <f>IFERROR(VLOOKUP(A432,Internal_lists_bugs!$A$2:$I847,9,FALSE()),"please select a BUG ID")</f>
        <v>please select a BUG ID</v>
      </c>
      <c r="E432" s="52"/>
      <c r="F432" s="52"/>
      <c r="G432" s="43"/>
      <c r="H432" s="52"/>
      <c r="J432" s="52"/>
      <c r="K432" s="52"/>
    </row>
    <row r="433">
      <c r="A433" s="43"/>
      <c r="B433" s="38" t="str">
        <f>IFERROR(HYPERLINK(VLOOKUP(A433,Internal_lists_bugs!$A$2:$C$73,3,FALSE()), VLOOKUP(A433,Internal_lists_bugs!$A$2:$C$73,3,FALSE())&amp;Char(10) &amp; Char(10) &amp; VLOOKUP(A433,Internal_lists_bugs!$A$2:$Z$73,26,FALSE())),"please select a BUG ID")</f>
        <v>please select a BUG ID</v>
      </c>
      <c r="C433" s="51" t="str">
        <f>IFERROR(VLOOKUP(A433,Internal_lists_bugs!$A$2:$G847,7,FALSE()),"please select a BUG ID")</f>
        <v>please select a BUG ID</v>
      </c>
      <c r="D433" s="51" t="str">
        <f>IFERROR(VLOOKUP(A433,Internal_lists_bugs!$A$2:$I847,9,FALSE()),"please select a BUG ID")</f>
        <v>please select a BUG ID</v>
      </c>
      <c r="E433" s="52"/>
      <c r="F433" s="52"/>
      <c r="G433" s="43"/>
      <c r="H433" s="52"/>
      <c r="J433" s="52"/>
      <c r="K433" s="52"/>
    </row>
    <row r="434">
      <c r="A434" s="43"/>
      <c r="B434" s="38" t="str">
        <f>IFERROR(HYPERLINK(VLOOKUP(A434,Internal_lists_bugs!$A$2:$C$73,3,FALSE()), VLOOKUP(A434,Internal_lists_bugs!$A$2:$C$73,3,FALSE())&amp;Char(10) &amp; Char(10) &amp; VLOOKUP(A434,Internal_lists_bugs!$A$2:$Z$73,26,FALSE())),"please select a BUG ID")</f>
        <v>please select a BUG ID</v>
      </c>
      <c r="C434" s="51" t="str">
        <f>IFERROR(VLOOKUP(A434,Internal_lists_bugs!$A$2:$G847,7,FALSE()),"please select a BUG ID")</f>
        <v>please select a BUG ID</v>
      </c>
      <c r="D434" s="51" t="str">
        <f>IFERROR(VLOOKUP(A434,Internal_lists_bugs!$A$2:$I847,9,FALSE()),"please select a BUG ID")</f>
        <v>please select a BUG ID</v>
      </c>
      <c r="E434" s="52"/>
      <c r="F434" s="52"/>
      <c r="G434" s="43"/>
      <c r="H434" s="52"/>
      <c r="J434" s="52"/>
      <c r="K434" s="52"/>
    </row>
    <row r="435">
      <c r="A435" s="43"/>
      <c r="B435" s="38" t="str">
        <f>IFERROR(HYPERLINK(VLOOKUP(A435,Internal_lists_bugs!$A$2:$C$73,3,FALSE()), VLOOKUP(A435,Internal_lists_bugs!$A$2:$C$73,3,FALSE())&amp;Char(10) &amp; Char(10) &amp; VLOOKUP(A435,Internal_lists_bugs!$A$2:$Z$73,26,FALSE())),"please select a BUG ID")</f>
        <v>please select a BUG ID</v>
      </c>
      <c r="C435" s="51" t="str">
        <f>IFERROR(VLOOKUP(A435,Internal_lists_bugs!$A$2:$G847,7,FALSE()),"please select a BUG ID")</f>
        <v>please select a BUG ID</v>
      </c>
      <c r="D435" s="51" t="str">
        <f>IFERROR(VLOOKUP(A435,Internal_lists_bugs!$A$2:$I847,9,FALSE()),"please select a BUG ID")</f>
        <v>please select a BUG ID</v>
      </c>
      <c r="E435" s="52"/>
      <c r="F435" s="52"/>
      <c r="G435" s="43"/>
      <c r="H435" s="52"/>
      <c r="J435" s="52"/>
      <c r="K435" s="52"/>
    </row>
    <row r="436">
      <c r="A436" s="43"/>
      <c r="B436" s="38" t="str">
        <f>IFERROR(HYPERLINK(VLOOKUP(A436,Internal_lists_bugs!$A$2:$C$73,3,FALSE()), VLOOKUP(A436,Internal_lists_bugs!$A$2:$C$73,3,FALSE())&amp;Char(10) &amp; Char(10) &amp; VLOOKUP(A436,Internal_lists_bugs!$A$2:$Z$73,26,FALSE())),"please select a BUG ID")</f>
        <v>please select a BUG ID</v>
      </c>
      <c r="C436" s="51" t="str">
        <f>IFERROR(VLOOKUP(A436,Internal_lists_bugs!$A$2:$G847,7,FALSE()),"please select a BUG ID")</f>
        <v>please select a BUG ID</v>
      </c>
      <c r="D436" s="51" t="str">
        <f>IFERROR(VLOOKUP(A436,Internal_lists_bugs!$A$2:$I847,9,FALSE()),"please select a BUG ID")</f>
        <v>please select a BUG ID</v>
      </c>
      <c r="E436" s="52"/>
      <c r="F436" s="52"/>
      <c r="G436" s="43"/>
      <c r="H436" s="52"/>
      <c r="J436" s="52"/>
      <c r="K436" s="52"/>
    </row>
    <row r="437">
      <c r="A437" s="43"/>
      <c r="B437" s="38" t="str">
        <f>IFERROR(HYPERLINK(VLOOKUP(A437,Internal_lists_bugs!$A$2:$C$73,3,FALSE()), VLOOKUP(A437,Internal_lists_bugs!$A$2:$C$73,3,FALSE())&amp;Char(10) &amp; Char(10) &amp; VLOOKUP(A437,Internal_lists_bugs!$A$2:$Z$73,26,FALSE())),"please select a BUG ID")</f>
        <v>please select a BUG ID</v>
      </c>
      <c r="C437" s="51" t="str">
        <f>IFERROR(VLOOKUP(A437,Internal_lists_bugs!$A$2:$G847,7,FALSE()),"please select a BUG ID")</f>
        <v>please select a BUG ID</v>
      </c>
      <c r="D437" s="51" t="str">
        <f>IFERROR(VLOOKUP(A437,Internal_lists_bugs!$A$2:$I847,9,FALSE()),"please select a BUG ID")</f>
        <v>please select a BUG ID</v>
      </c>
      <c r="E437" s="52"/>
      <c r="F437" s="52"/>
      <c r="G437" s="43"/>
      <c r="H437" s="52"/>
      <c r="J437" s="52"/>
      <c r="K437" s="52"/>
    </row>
    <row r="438">
      <c r="A438" s="43"/>
      <c r="B438" s="38" t="str">
        <f>IFERROR(HYPERLINK(VLOOKUP(A438,Internal_lists_bugs!$A$2:$C$73,3,FALSE()), VLOOKUP(A438,Internal_lists_bugs!$A$2:$C$73,3,FALSE())&amp;Char(10) &amp; Char(10) &amp; VLOOKUP(A438,Internal_lists_bugs!$A$2:$Z$73,26,FALSE())),"please select a BUG ID")</f>
        <v>please select a BUG ID</v>
      </c>
      <c r="C438" s="51" t="str">
        <f>IFERROR(VLOOKUP(A438,Internal_lists_bugs!$A$2:$G847,7,FALSE()),"please select a BUG ID")</f>
        <v>please select a BUG ID</v>
      </c>
      <c r="D438" s="51" t="str">
        <f>IFERROR(VLOOKUP(A438,Internal_lists_bugs!$A$2:$I847,9,FALSE()),"please select a BUG ID")</f>
        <v>please select a BUG ID</v>
      </c>
      <c r="E438" s="52"/>
      <c r="F438" s="52"/>
      <c r="G438" s="43"/>
      <c r="H438" s="52"/>
      <c r="J438" s="52"/>
      <c r="K438" s="52"/>
    </row>
    <row r="439">
      <c r="A439" s="43"/>
      <c r="B439" s="38" t="str">
        <f>IFERROR(HYPERLINK(VLOOKUP(A439,Internal_lists_bugs!$A$2:$C$73,3,FALSE()), VLOOKUP(A439,Internal_lists_bugs!$A$2:$C$73,3,FALSE())&amp;Char(10) &amp; Char(10) &amp; VLOOKUP(A439,Internal_lists_bugs!$A$2:$Z$73,26,FALSE())),"please select a BUG ID")</f>
        <v>please select a BUG ID</v>
      </c>
      <c r="C439" s="51" t="str">
        <f>IFERROR(VLOOKUP(A439,Internal_lists_bugs!$A$2:$G847,7,FALSE()),"please select a BUG ID")</f>
        <v>please select a BUG ID</v>
      </c>
      <c r="D439" s="51" t="str">
        <f>IFERROR(VLOOKUP(A439,Internal_lists_bugs!$A$2:$I847,9,FALSE()),"please select a BUG ID")</f>
        <v>please select a BUG ID</v>
      </c>
      <c r="E439" s="52"/>
      <c r="F439" s="52"/>
      <c r="G439" s="43"/>
      <c r="H439" s="52"/>
      <c r="J439" s="52"/>
      <c r="K439" s="52"/>
    </row>
    <row r="440">
      <c r="A440" s="43"/>
      <c r="B440" s="38" t="str">
        <f>IFERROR(HYPERLINK(VLOOKUP(A440,Internal_lists_bugs!$A$2:$C$73,3,FALSE()), VLOOKUP(A440,Internal_lists_bugs!$A$2:$C$73,3,FALSE())&amp;Char(10) &amp; Char(10) &amp; VLOOKUP(A440,Internal_lists_bugs!$A$2:$Z$73,26,FALSE())),"please select a BUG ID")</f>
        <v>please select a BUG ID</v>
      </c>
      <c r="C440" s="51" t="str">
        <f>IFERROR(VLOOKUP(A440,Internal_lists_bugs!$A$2:$G847,7,FALSE()),"please select a BUG ID")</f>
        <v>please select a BUG ID</v>
      </c>
      <c r="D440" s="51" t="str">
        <f>IFERROR(VLOOKUP(A440,Internal_lists_bugs!$A$2:$I847,9,FALSE()),"please select a BUG ID")</f>
        <v>please select a BUG ID</v>
      </c>
      <c r="E440" s="52"/>
      <c r="F440" s="52"/>
      <c r="G440" s="43"/>
      <c r="H440" s="52"/>
      <c r="J440" s="52"/>
      <c r="K440" s="52"/>
    </row>
    <row r="441">
      <c r="A441" s="43"/>
      <c r="B441" s="38" t="str">
        <f>IFERROR(HYPERLINK(VLOOKUP(A441,Internal_lists_bugs!$A$2:$C$73,3,FALSE()), VLOOKUP(A441,Internal_lists_bugs!$A$2:$C$73,3,FALSE())&amp;Char(10) &amp; Char(10) &amp; VLOOKUP(A441,Internal_lists_bugs!$A$2:$Z$73,26,FALSE())),"please select a BUG ID")</f>
        <v>please select a BUG ID</v>
      </c>
      <c r="C441" s="51" t="str">
        <f>IFERROR(VLOOKUP(A441,Internal_lists_bugs!$A$2:$G847,7,FALSE()),"please select a BUG ID")</f>
        <v>please select a BUG ID</v>
      </c>
      <c r="D441" s="51" t="str">
        <f>IFERROR(VLOOKUP(A441,Internal_lists_bugs!$A$2:$I847,9,FALSE()),"please select a BUG ID")</f>
        <v>please select a BUG ID</v>
      </c>
      <c r="E441" s="52"/>
      <c r="F441" s="52"/>
      <c r="G441" s="43"/>
      <c r="H441" s="52"/>
      <c r="J441" s="52"/>
      <c r="K441" s="52"/>
    </row>
    <row r="442">
      <c r="A442" s="43"/>
      <c r="B442" s="38" t="str">
        <f>IFERROR(HYPERLINK(VLOOKUP(A442,Internal_lists_bugs!$A$2:$C$73,3,FALSE()), VLOOKUP(A442,Internal_lists_bugs!$A$2:$C$73,3,FALSE())&amp;Char(10) &amp; Char(10) &amp; VLOOKUP(A442,Internal_lists_bugs!$A$2:$Z$73,26,FALSE())),"please select a BUG ID")</f>
        <v>please select a BUG ID</v>
      </c>
      <c r="C442" s="51" t="str">
        <f>IFERROR(VLOOKUP(A442,Internal_lists_bugs!$A$2:$G847,7,FALSE()),"please select a BUG ID")</f>
        <v>please select a BUG ID</v>
      </c>
      <c r="D442" s="51" t="str">
        <f>IFERROR(VLOOKUP(A442,Internal_lists_bugs!$A$2:$I847,9,FALSE()),"please select a BUG ID")</f>
        <v>please select a BUG ID</v>
      </c>
      <c r="E442" s="52"/>
      <c r="F442" s="52"/>
      <c r="G442" s="43"/>
      <c r="H442" s="52"/>
      <c r="J442" s="52"/>
      <c r="K442" s="52"/>
    </row>
    <row r="443">
      <c r="A443" s="43"/>
      <c r="B443" s="38" t="str">
        <f>IFERROR(HYPERLINK(VLOOKUP(A443,Internal_lists_bugs!$A$2:$C$73,3,FALSE()), VLOOKUP(A443,Internal_lists_bugs!$A$2:$C$73,3,FALSE())&amp;Char(10) &amp; Char(10) &amp; VLOOKUP(A443,Internal_lists_bugs!$A$2:$Z$73,26,FALSE())),"please select a BUG ID")</f>
        <v>please select a BUG ID</v>
      </c>
      <c r="C443" s="51" t="str">
        <f>IFERROR(VLOOKUP(A443,Internal_lists_bugs!$A$2:$G847,7,FALSE()),"please select a BUG ID")</f>
        <v>please select a BUG ID</v>
      </c>
      <c r="D443" s="51" t="str">
        <f>IFERROR(VLOOKUP(A443,Internal_lists_bugs!$A$2:$I847,9,FALSE()),"please select a BUG ID")</f>
        <v>please select a BUG ID</v>
      </c>
      <c r="E443" s="52"/>
      <c r="F443" s="52"/>
      <c r="G443" s="43"/>
      <c r="H443" s="52"/>
      <c r="J443" s="52"/>
      <c r="K443" s="52"/>
    </row>
    <row r="444">
      <c r="A444" s="43"/>
      <c r="B444" s="38" t="str">
        <f>IFERROR(HYPERLINK(VLOOKUP(A444,Internal_lists_bugs!$A$2:$C$73,3,FALSE()), VLOOKUP(A444,Internal_lists_bugs!$A$2:$C$73,3,FALSE())&amp;Char(10) &amp; Char(10) &amp; VLOOKUP(A444,Internal_lists_bugs!$A$2:$Z$73,26,FALSE())),"please select a BUG ID")</f>
        <v>please select a BUG ID</v>
      </c>
      <c r="C444" s="51" t="str">
        <f>IFERROR(VLOOKUP(A444,Internal_lists_bugs!$A$2:$G847,7,FALSE()),"please select a BUG ID")</f>
        <v>please select a BUG ID</v>
      </c>
      <c r="D444" s="51" t="str">
        <f>IFERROR(VLOOKUP(A444,Internal_lists_bugs!$A$2:$I847,9,FALSE()),"please select a BUG ID")</f>
        <v>please select a BUG ID</v>
      </c>
      <c r="E444" s="52"/>
      <c r="F444" s="52"/>
      <c r="G444" s="43"/>
      <c r="H444" s="52"/>
      <c r="J444" s="52"/>
      <c r="K444" s="52"/>
    </row>
    <row r="445">
      <c r="A445" s="43"/>
      <c r="B445" s="38" t="str">
        <f>IFERROR(HYPERLINK(VLOOKUP(A445,Internal_lists_bugs!$A$2:$C$73,3,FALSE()), VLOOKUP(A445,Internal_lists_bugs!$A$2:$C$73,3,FALSE())&amp;Char(10) &amp; Char(10) &amp; VLOOKUP(A445,Internal_lists_bugs!$A$2:$Z$73,26,FALSE())),"please select a BUG ID")</f>
        <v>please select a BUG ID</v>
      </c>
      <c r="C445" s="51" t="str">
        <f>IFERROR(VLOOKUP(A445,Internal_lists_bugs!$A$2:$G847,7,FALSE()),"please select a BUG ID")</f>
        <v>please select a BUG ID</v>
      </c>
      <c r="D445" s="51" t="str">
        <f>IFERROR(VLOOKUP(A445,Internal_lists_bugs!$A$2:$I847,9,FALSE()),"please select a BUG ID")</f>
        <v>please select a BUG ID</v>
      </c>
      <c r="E445" s="52"/>
      <c r="F445" s="52"/>
      <c r="G445" s="43"/>
      <c r="H445" s="52"/>
      <c r="J445" s="52"/>
      <c r="K445" s="52"/>
    </row>
    <row r="446">
      <c r="A446" s="43"/>
      <c r="B446" s="38" t="str">
        <f>IFERROR(HYPERLINK(VLOOKUP(A446,Internal_lists_bugs!$A$2:$C$73,3,FALSE()), VLOOKUP(A446,Internal_lists_bugs!$A$2:$C$73,3,FALSE())&amp;Char(10) &amp; Char(10) &amp; VLOOKUP(A446,Internal_lists_bugs!$A$2:$Z$73,26,FALSE())),"please select a BUG ID")</f>
        <v>please select a BUG ID</v>
      </c>
      <c r="C446" s="51" t="str">
        <f>IFERROR(VLOOKUP(A446,Internal_lists_bugs!$A$2:$G847,7,FALSE()),"please select a BUG ID")</f>
        <v>please select a BUG ID</v>
      </c>
      <c r="D446" s="51" t="str">
        <f>IFERROR(VLOOKUP(A446,Internal_lists_bugs!$A$2:$I847,9,FALSE()),"please select a BUG ID")</f>
        <v>please select a BUG ID</v>
      </c>
      <c r="E446" s="52"/>
      <c r="F446" s="52"/>
      <c r="G446" s="43"/>
      <c r="H446" s="52"/>
      <c r="J446" s="52"/>
      <c r="K446" s="52"/>
    </row>
    <row r="447">
      <c r="A447" s="43"/>
      <c r="B447" s="38" t="str">
        <f>IFERROR(HYPERLINK(VLOOKUP(A447,Internal_lists_bugs!$A$2:$C$73,3,FALSE()), VLOOKUP(A447,Internal_lists_bugs!$A$2:$C$73,3,FALSE())&amp;Char(10) &amp; Char(10) &amp; VLOOKUP(A447,Internal_lists_bugs!$A$2:$Z$73,26,FALSE())),"please select a BUG ID")</f>
        <v>please select a BUG ID</v>
      </c>
      <c r="C447" s="51" t="str">
        <f>IFERROR(VLOOKUP(A447,Internal_lists_bugs!$A$2:$G847,7,FALSE()),"please select a BUG ID")</f>
        <v>please select a BUG ID</v>
      </c>
      <c r="D447" s="51" t="str">
        <f>IFERROR(VLOOKUP(A447,Internal_lists_bugs!$A$2:$I847,9,FALSE()),"please select a BUG ID")</f>
        <v>please select a BUG ID</v>
      </c>
      <c r="E447" s="52"/>
      <c r="F447" s="52"/>
      <c r="G447" s="43"/>
      <c r="H447" s="52"/>
      <c r="J447" s="52"/>
      <c r="K447" s="52"/>
    </row>
    <row r="448">
      <c r="A448" s="43"/>
      <c r="B448" s="38" t="str">
        <f>IFERROR(HYPERLINK(VLOOKUP(A448,Internal_lists_bugs!$A$2:$C$73,3,FALSE()), VLOOKUP(A448,Internal_lists_bugs!$A$2:$C$73,3,FALSE())&amp;Char(10) &amp; Char(10) &amp; VLOOKUP(A448,Internal_lists_bugs!$A$2:$Z$73,26,FALSE())),"please select a BUG ID")</f>
        <v>please select a BUG ID</v>
      </c>
      <c r="C448" s="51" t="str">
        <f>IFERROR(VLOOKUP(A448,Internal_lists_bugs!$A$2:$G847,7,FALSE()),"please select a BUG ID")</f>
        <v>please select a BUG ID</v>
      </c>
      <c r="D448" s="51" t="str">
        <f>IFERROR(VLOOKUP(A448,Internal_lists_bugs!$A$2:$I847,9,FALSE()),"please select a BUG ID")</f>
        <v>please select a BUG ID</v>
      </c>
      <c r="E448" s="52"/>
      <c r="F448" s="52"/>
      <c r="G448" s="43"/>
      <c r="H448" s="52"/>
      <c r="J448" s="52"/>
      <c r="K448" s="52"/>
    </row>
    <row r="449">
      <c r="A449" s="43"/>
      <c r="B449" s="38" t="str">
        <f>IFERROR(HYPERLINK(VLOOKUP(A449,Internal_lists_bugs!$A$2:$C$73,3,FALSE()), VLOOKUP(A449,Internal_lists_bugs!$A$2:$C$73,3,FALSE())&amp;Char(10) &amp; Char(10) &amp; VLOOKUP(A449,Internal_lists_bugs!$A$2:$Z$73,26,FALSE())),"please select a BUG ID")</f>
        <v>please select a BUG ID</v>
      </c>
      <c r="C449" s="51" t="str">
        <f>IFERROR(VLOOKUP(A449,Internal_lists_bugs!$A$2:$G847,7,FALSE()),"please select a BUG ID")</f>
        <v>please select a BUG ID</v>
      </c>
      <c r="D449" s="51" t="str">
        <f>IFERROR(VLOOKUP(A449,Internal_lists_bugs!$A$2:$I847,9,FALSE()),"please select a BUG ID")</f>
        <v>please select a BUG ID</v>
      </c>
      <c r="E449" s="52"/>
      <c r="F449" s="52"/>
      <c r="G449" s="43"/>
      <c r="H449" s="52"/>
      <c r="J449" s="52"/>
      <c r="K449" s="52"/>
    </row>
    <row r="450">
      <c r="A450" s="43"/>
      <c r="B450" s="38" t="str">
        <f>IFERROR(HYPERLINK(VLOOKUP(A450,Internal_lists_bugs!$A$2:$C$73,3,FALSE()), VLOOKUP(A450,Internal_lists_bugs!$A$2:$C$73,3,FALSE())&amp;Char(10) &amp; Char(10) &amp; VLOOKUP(A450,Internal_lists_bugs!$A$2:$Z$73,26,FALSE())),"please select a BUG ID")</f>
        <v>please select a BUG ID</v>
      </c>
      <c r="C450" s="51" t="str">
        <f>IFERROR(VLOOKUP(A450,Internal_lists_bugs!$A$2:$G847,7,FALSE()),"please select a BUG ID")</f>
        <v>please select a BUG ID</v>
      </c>
      <c r="D450" s="51" t="str">
        <f>IFERROR(VLOOKUP(A450,Internal_lists_bugs!$A$2:$I847,9,FALSE()),"please select a BUG ID")</f>
        <v>please select a BUG ID</v>
      </c>
      <c r="E450" s="52"/>
      <c r="F450" s="52"/>
      <c r="G450" s="43"/>
      <c r="H450" s="52"/>
      <c r="J450" s="52"/>
      <c r="K450" s="52"/>
    </row>
    <row r="451">
      <c r="A451" s="43"/>
      <c r="B451" s="38" t="str">
        <f>IFERROR(HYPERLINK(VLOOKUP(A451,Internal_lists_bugs!$A$2:$C$73,3,FALSE()), VLOOKUP(A451,Internal_lists_bugs!$A$2:$C$73,3,FALSE())&amp;Char(10) &amp; Char(10) &amp; VLOOKUP(A451,Internal_lists_bugs!$A$2:$Z$73,26,FALSE())),"please select a BUG ID")</f>
        <v>please select a BUG ID</v>
      </c>
      <c r="C451" s="51" t="str">
        <f>IFERROR(VLOOKUP(A451,Internal_lists_bugs!$A$2:$G847,7,FALSE()),"please select a BUG ID")</f>
        <v>please select a BUG ID</v>
      </c>
      <c r="D451" s="51" t="str">
        <f>IFERROR(VLOOKUP(A451,Internal_lists_bugs!$A$2:$I847,9,FALSE()),"please select a BUG ID")</f>
        <v>please select a BUG ID</v>
      </c>
      <c r="E451" s="52"/>
      <c r="F451" s="52"/>
      <c r="G451" s="43"/>
      <c r="H451" s="52"/>
      <c r="J451" s="52"/>
      <c r="K451" s="52"/>
    </row>
    <row r="452">
      <c r="A452" s="43"/>
      <c r="B452" s="38" t="str">
        <f>IFERROR(HYPERLINK(VLOOKUP(A452,Internal_lists_bugs!$A$2:$C$73,3,FALSE()), VLOOKUP(A452,Internal_lists_bugs!$A$2:$C$73,3,FALSE())&amp;Char(10) &amp; Char(10) &amp; VLOOKUP(A452,Internal_lists_bugs!$A$2:$Z$73,26,FALSE())),"please select a BUG ID")</f>
        <v>please select a BUG ID</v>
      </c>
      <c r="C452" s="51" t="str">
        <f>IFERROR(VLOOKUP(A452,Internal_lists_bugs!$A$2:$G847,7,FALSE()),"please select a BUG ID")</f>
        <v>please select a BUG ID</v>
      </c>
      <c r="D452" s="51" t="str">
        <f>IFERROR(VLOOKUP(A452,Internal_lists_bugs!$A$2:$I847,9,FALSE()),"please select a BUG ID")</f>
        <v>please select a BUG ID</v>
      </c>
      <c r="E452" s="52"/>
      <c r="F452" s="52"/>
      <c r="G452" s="43"/>
      <c r="H452" s="52"/>
      <c r="J452" s="52"/>
      <c r="K452" s="52"/>
    </row>
    <row r="453">
      <c r="A453" s="43"/>
      <c r="B453" s="38" t="str">
        <f>IFERROR(HYPERLINK(VLOOKUP(A453,Internal_lists_bugs!$A$2:$C$73,3,FALSE()), VLOOKUP(A453,Internal_lists_bugs!$A$2:$C$73,3,FALSE())&amp;Char(10) &amp; Char(10) &amp; VLOOKUP(A453,Internal_lists_bugs!$A$2:$Z$73,26,FALSE())),"please select a BUG ID")</f>
        <v>please select a BUG ID</v>
      </c>
      <c r="C453" s="51" t="str">
        <f>IFERROR(VLOOKUP(A453,Internal_lists_bugs!$A$2:$G847,7,FALSE()),"please select a BUG ID")</f>
        <v>please select a BUG ID</v>
      </c>
      <c r="D453" s="51" t="str">
        <f>IFERROR(VLOOKUP(A453,Internal_lists_bugs!$A$2:$I847,9,FALSE()),"please select a BUG ID")</f>
        <v>please select a BUG ID</v>
      </c>
      <c r="E453" s="52"/>
      <c r="F453" s="52"/>
      <c r="G453" s="43"/>
      <c r="H453" s="52"/>
      <c r="J453" s="52"/>
      <c r="K453" s="52"/>
    </row>
    <row r="454">
      <c r="A454" s="43"/>
      <c r="B454" s="38" t="str">
        <f>IFERROR(HYPERLINK(VLOOKUP(A454,Internal_lists_bugs!$A$2:$C$73,3,FALSE()), VLOOKUP(A454,Internal_lists_bugs!$A$2:$C$73,3,FALSE())&amp;Char(10) &amp; Char(10) &amp; VLOOKUP(A454,Internal_lists_bugs!$A$2:$Z$73,26,FALSE())),"please select a BUG ID")</f>
        <v>please select a BUG ID</v>
      </c>
      <c r="C454" s="51" t="str">
        <f>IFERROR(VLOOKUP(A454,Internal_lists_bugs!$A$2:$G847,7,FALSE()),"please select a BUG ID")</f>
        <v>please select a BUG ID</v>
      </c>
      <c r="D454" s="51" t="str">
        <f>IFERROR(VLOOKUP(A454,Internal_lists_bugs!$A$2:$I847,9,FALSE()),"please select a BUG ID")</f>
        <v>please select a BUG ID</v>
      </c>
      <c r="E454" s="52"/>
      <c r="F454" s="52"/>
      <c r="G454" s="43"/>
      <c r="H454" s="52"/>
      <c r="J454" s="52"/>
      <c r="K454" s="52"/>
    </row>
    <row r="455">
      <c r="A455" s="43"/>
      <c r="B455" s="38" t="str">
        <f>IFERROR(HYPERLINK(VLOOKUP(A455,Internal_lists_bugs!$A$2:$C$73,3,FALSE()), VLOOKUP(A455,Internal_lists_bugs!$A$2:$C$73,3,FALSE())&amp;Char(10) &amp; Char(10) &amp; VLOOKUP(A455,Internal_lists_bugs!$A$2:$Z$73,26,FALSE())),"please select a BUG ID")</f>
        <v>please select a BUG ID</v>
      </c>
      <c r="C455" s="51" t="str">
        <f>IFERROR(VLOOKUP(A455,Internal_lists_bugs!$A$2:$G847,7,FALSE()),"please select a BUG ID")</f>
        <v>please select a BUG ID</v>
      </c>
      <c r="D455" s="51" t="str">
        <f>IFERROR(VLOOKUP(A455,Internal_lists_bugs!$A$2:$I847,9,FALSE()),"please select a BUG ID")</f>
        <v>please select a BUG ID</v>
      </c>
      <c r="E455" s="52"/>
      <c r="F455" s="52"/>
      <c r="G455" s="43"/>
      <c r="H455" s="52"/>
      <c r="J455" s="52"/>
      <c r="K455" s="52"/>
    </row>
    <row r="456">
      <c r="A456" s="43"/>
      <c r="B456" s="38" t="str">
        <f>IFERROR(HYPERLINK(VLOOKUP(A456,Internal_lists_bugs!$A$2:$C$73,3,FALSE()), VLOOKUP(A456,Internal_lists_bugs!$A$2:$C$73,3,FALSE())&amp;Char(10) &amp; Char(10) &amp; VLOOKUP(A456,Internal_lists_bugs!$A$2:$Z$73,26,FALSE())),"please select a BUG ID")</f>
        <v>please select a BUG ID</v>
      </c>
      <c r="C456" s="51" t="str">
        <f>IFERROR(VLOOKUP(A456,Internal_lists_bugs!$A$2:$G847,7,FALSE()),"please select a BUG ID")</f>
        <v>please select a BUG ID</v>
      </c>
      <c r="D456" s="51" t="str">
        <f>IFERROR(VLOOKUP(A456,Internal_lists_bugs!$A$2:$I847,9,FALSE()),"please select a BUG ID")</f>
        <v>please select a BUG ID</v>
      </c>
      <c r="E456" s="52"/>
      <c r="F456" s="52"/>
      <c r="G456" s="43"/>
      <c r="H456" s="52"/>
      <c r="J456" s="52"/>
      <c r="K456" s="52"/>
    </row>
    <row r="457">
      <c r="A457" s="43"/>
      <c r="B457" s="38" t="str">
        <f>IFERROR(HYPERLINK(VLOOKUP(A457,Internal_lists_bugs!$A$2:$C$73,3,FALSE()), VLOOKUP(A457,Internal_lists_bugs!$A$2:$C$73,3,FALSE())&amp;Char(10) &amp; Char(10) &amp; VLOOKUP(A457,Internal_lists_bugs!$A$2:$Z$73,26,FALSE())),"please select a BUG ID")</f>
        <v>please select a BUG ID</v>
      </c>
      <c r="C457" s="51" t="str">
        <f>IFERROR(VLOOKUP(A457,Internal_lists_bugs!$A$2:$G847,7,FALSE()),"please select a BUG ID")</f>
        <v>please select a BUG ID</v>
      </c>
      <c r="D457" s="51" t="str">
        <f>IFERROR(VLOOKUP(A457,Internal_lists_bugs!$A$2:$I847,9,FALSE()),"please select a BUG ID")</f>
        <v>please select a BUG ID</v>
      </c>
      <c r="E457" s="52"/>
      <c r="F457" s="52"/>
      <c r="G457" s="43"/>
      <c r="H457" s="52"/>
      <c r="J457" s="52"/>
      <c r="K457" s="52"/>
    </row>
    <row r="458">
      <c r="A458" s="43"/>
      <c r="B458" s="38" t="str">
        <f>IFERROR(HYPERLINK(VLOOKUP(A458,Internal_lists_bugs!$A$2:$C$73,3,FALSE()), VLOOKUP(A458,Internal_lists_bugs!$A$2:$C$73,3,FALSE())&amp;Char(10) &amp; Char(10) &amp; VLOOKUP(A458,Internal_lists_bugs!$A$2:$Z$73,26,FALSE())),"please select a BUG ID")</f>
        <v>please select a BUG ID</v>
      </c>
      <c r="C458" s="51" t="str">
        <f>IFERROR(VLOOKUP(A458,Internal_lists_bugs!$A$2:$G847,7,FALSE()),"please select a BUG ID")</f>
        <v>please select a BUG ID</v>
      </c>
      <c r="D458" s="51" t="str">
        <f>IFERROR(VLOOKUP(A458,Internal_lists_bugs!$A$2:$I847,9,FALSE()),"please select a BUG ID")</f>
        <v>please select a BUG ID</v>
      </c>
      <c r="E458" s="52"/>
      <c r="F458" s="52"/>
      <c r="G458" s="43"/>
      <c r="H458" s="52"/>
      <c r="J458" s="52"/>
      <c r="K458" s="52"/>
    </row>
    <row r="459">
      <c r="A459" s="43"/>
      <c r="B459" s="38" t="str">
        <f>IFERROR(HYPERLINK(VLOOKUP(A459,Internal_lists_bugs!$A$2:$C$73,3,FALSE()), VLOOKUP(A459,Internal_lists_bugs!$A$2:$C$73,3,FALSE())&amp;Char(10) &amp; Char(10) &amp; VLOOKUP(A459,Internal_lists_bugs!$A$2:$Z$73,26,FALSE())),"please select a BUG ID")</f>
        <v>please select a BUG ID</v>
      </c>
      <c r="C459" s="51" t="str">
        <f>IFERROR(VLOOKUP(A459,Internal_lists_bugs!$A$2:$G847,7,FALSE()),"please select a BUG ID")</f>
        <v>please select a BUG ID</v>
      </c>
      <c r="D459" s="51" t="str">
        <f>IFERROR(VLOOKUP(A459,Internal_lists_bugs!$A$2:$I847,9,FALSE()),"please select a BUG ID")</f>
        <v>please select a BUG ID</v>
      </c>
      <c r="E459" s="52"/>
      <c r="F459" s="52"/>
      <c r="G459" s="43"/>
      <c r="H459" s="52"/>
      <c r="J459" s="52"/>
      <c r="K459" s="52"/>
    </row>
    <row r="460">
      <c r="A460" s="43"/>
      <c r="B460" s="38" t="str">
        <f>IFERROR(HYPERLINK(VLOOKUP(A460,Internal_lists_bugs!$A$2:$C$73,3,FALSE()), VLOOKUP(A460,Internal_lists_bugs!$A$2:$C$73,3,FALSE())&amp;Char(10) &amp; Char(10) &amp; VLOOKUP(A460,Internal_lists_bugs!$A$2:$Z$73,26,FALSE())),"please select a BUG ID")</f>
        <v>please select a BUG ID</v>
      </c>
      <c r="C460" s="51" t="str">
        <f>IFERROR(VLOOKUP(A460,Internal_lists_bugs!$A$2:$G847,7,FALSE()),"please select a BUG ID")</f>
        <v>please select a BUG ID</v>
      </c>
      <c r="D460" s="51" t="str">
        <f>IFERROR(VLOOKUP(A460,Internal_lists_bugs!$A$2:$I847,9,FALSE()),"please select a BUG ID")</f>
        <v>please select a BUG ID</v>
      </c>
      <c r="E460" s="52"/>
      <c r="F460" s="52"/>
      <c r="G460" s="43"/>
      <c r="H460" s="52"/>
      <c r="J460" s="52"/>
      <c r="K460" s="52"/>
    </row>
    <row r="461">
      <c r="A461" s="43"/>
      <c r="B461" s="38" t="str">
        <f>IFERROR(HYPERLINK(VLOOKUP(A461,Internal_lists_bugs!$A$2:$C$73,3,FALSE()), VLOOKUP(A461,Internal_lists_bugs!$A$2:$C$73,3,FALSE())&amp;Char(10) &amp; Char(10) &amp; VLOOKUP(A461,Internal_lists_bugs!$A$2:$Z$73,26,FALSE())),"please select a BUG ID")</f>
        <v>please select a BUG ID</v>
      </c>
      <c r="C461" s="51" t="str">
        <f>IFERROR(VLOOKUP(A461,Internal_lists_bugs!$A$2:$G847,7,FALSE()),"please select a BUG ID")</f>
        <v>please select a BUG ID</v>
      </c>
      <c r="D461" s="51" t="str">
        <f>IFERROR(VLOOKUP(A461,Internal_lists_bugs!$A$2:$I847,9,FALSE()),"please select a BUG ID")</f>
        <v>please select a BUG ID</v>
      </c>
      <c r="E461" s="52"/>
      <c r="F461" s="52"/>
      <c r="G461" s="43"/>
      <c r="H461" s="52"/>
      <c r="J461" s="52"/>
      <c r="K461" s="52"/>
    </row>
    <row r="462">
      <c r="A462" s="43"/>
      <c r="B462" s="38" t="str">
        <f>IFERROR(HYPERLINK(VLOOKUP(A462,Internal_lists_bugs!$A$2:$C$73,3,FALSE()), VLOOKUP(A462,Internal_lists_bugs!$A$2:$C$73,3,FALSE())&amp;Char(10) &amp; Char(10) &amp; VLOOKUP(A462,Internal_lists_bugs!$A$2:$Z$73,26,FALSE())),"please select a BUG ID")</f>
        <v>please select a BUG ID</v>
      </c>
      <c r="C462" s="51" t="str">
        <f>IFERROR(VLOOKUP(A462,Internal_lists_bugs!$A$2:$G847,7,FALSE()),"please select a BUG ID")</f>
        <v>please select a BUG ID</v>
      </c>
      <c r="D462" s="51" t="str">
        <f>IFERROR(VLOOKUP(A462,Internal_lists_bugs!$A$2:$I847,9,FALSE()),"please select a BUG ID")</f>
        <v>please select a BUG ID</v>
      </c>
      <c r="E462" s="52"/>
      <c r="F462" s="52"/>
      <c r="G462" s="43"/>
      <c r="H462" s="52"/>
      <c r="J462" s="52"/>
      <c r="K462" s="52"/>
    </row>
    <row r="463">
      <c r="A463" s="43"/>
      <c r="B463" s="38" t="str">
        <f>IFERROR(HYPERLINK(VLOOKUP(A463,Internal_lists_bugs!$A$2:$C$73,3,FALSE()), VLOOKUP(A463,Internal_lists_bugs!$A$2:$C$73,3,FALSE())&amp;Char(10) &amp; Char(10) &amp; VLOOKUP(A463,Internal_lists_bugs!$A$2:$Z$73,26,FALSE())),"please select a BUG ID")</f>
        <v>please select a BUG ID</v>
      </c>
      <c r="C463" s="51" t="str">
        <f>IFERROR(VLOOKUP(A463,Internal_lists_bugs!$A$2:$G847,7,FALSE()),"please select a BUG ID")</f>
        <v>please select a BUG ID</v>
      </c>
      <c r="D463" s="51" t="str">
        <f>IFERROR(VLOOKUP(A463,Internal_lists_bugs!$A$2:$I847,9,FALSE()),"please select a BUG ID")</f>
        <v>please select a BUG ID</v>
      </c>
      <c r="E463" s="52"/>
      <c r="F463" s="52"/>
      <c r="G463" s="43"/>
      <c r="H463" s="52"/>
      <c r="J463" s="52"/>
      <c r="K463" s="52"/>
    </row>
    <row r="464">
      <c r="A464" s="43"/>
      <c r="B464" s="38" t="str">
        <f>IFERROR(HYPERLINK(VLOOKUP(A464,Internal_lists_bugs!$A$2:$C$73,3,FALSE()), VLOOKUP(A464,Internal_lists_bugs!$A$2:$C$73,3,FALSE())&amp;Char(10) &amp; Char(10) &amp; VLOOKUP(A464,Internal_lists_bugs!$A$2:$Z$73,26,FALSE())),"please select a BUG ID")</f>
        <v>please select a BUG ID</v>
      </c>
      <c r="C464" s="51" t="str">
        <f>IFERROR(VLOOKUP(A464,Internal_lists_bugs!$A$2:$G847,7,FALSE()),"please select a BUG ID")</f>
        <v>please select a BUG ID</v>
      </c>
      <c r="D464" s="51" t="str">
        <f>IFERROR(VLOOKUP(A464,Internal_lists_bugs!$A$2:$I847,9,FALSE()),"please select a BUG ID")</f>
        <v>please select a BUG ID</v>
      </c>
      <c r="E464" s="52"/>
      <c r="F464" s="52"/>
      <c r="G464" s="43"/>
      <c r="H464" s="52"/>
      <c r="J464" s="52"/>
      <c r="K464" s="52"/>
    </row>
    <row r="465">
      <c r="A465" s="43"/>
      <c r="B465" s="38" t="str">
        <f>IFERROR(HYPERLINK(VLOOKUP(A465,Internal_lists_bugs!$A$2:$C$73,3,FALSE()), VLOOKUP(A465,Internal_lists_bugs!$A$2:$C$73,3,FALSE())&amp;Char(10) &amp; Char(10) &amp; VLOOKUP(A465,Internal_lists_bugs!$A$2:$Z$73,26,FALSE())),"please select a BUG ID")</f>
        <v>please select a BUG ID</v>
      </c>
      <c r="C465" s="51" t="str">
        <f>IFERROR(VLOOKUP(A465,Internal_lists_bugs!$A$2:$G847,7,FALSE()),"please select a BUG ID")</f>
        <v>please select a BUG ID</v>
      </c>
      <c r="D465" s="51" t="str">
        <f>IFERROR(VLOOKUP(A465,Internal_lists_bugs!$A$2:$I847,9,FALSE()),"please select a BUG ID")</f>
        <v>please select a BUG ID</v>
      </c>
      <c r="E465" s="52"/>
      <c r="F465" s="52"/>
      <c r="G465" s="43"/>
      <c r="H465" s="52"/>
      <c r="J465" s="52"/>
      <c r="K465" s="52"/>
    </row>
    <row r="466">
      <c r="A466" s="43"/>
      <c r="B466" s="38" t="str">
        <f>IFERROR(HYPERLINK(VLOOKUP(A466,Internal_lists_bugs!$A$2:$C$73,3,FALSE()), VLOOKUP(A466,Internal_lists_bugs!$A$2:$C$73,3,FALSE())&amp;Char(10) &amp; Char(10) &amp; VLOOKUP(A466,Internal_lists_bugs!$A$2:$Z$73,26,FALSE())),"please select a BUG ID")</f>
        <v>please select a BUG ID</v>
      </c>
      <c r="C466" s="51" t="str">
        <f>IFERROR(VLOOKUP(A466,Internal_lists_bugs!$A$2:$G847,7,FALSE()),"please select a BUG ID")</f>
        <v>please select a BUG ID</v>
      </c>
      <c r="D466" s="51" t="str">
        <f>IFERROR(VLOOKUP(A466,Internal_lists_bugs!$A$2:$I847,9,FALSE()),"please select a BUG ID")</f>
        <v>please select a BUG ID</v>
      </c>
      <c r="E466" s="52"/>
      <c r="F466" s="52"/>
      <c r="G466" s="43"/>
      <c r="H466" s="52"/>
      <c r="J466" s="52"/>
      <c r="K466" s="52"/>
    </row>
    <row r="467">
      <c r="A467" s="43"/>
      <c r="B467" s="38" t="str">
        <f>IFERROR(HYPERLINK(VLOOKUP(A467,Internal_lists_bugs!$A$2:$C$73,3,FALSE()), VLOOKUP(A467,Internal_lists_bugs!$A$2:$C$73,3,FALSE())&amp;Char(10) &amp; Char(10) &amp; VLOOKUP(A467,Internal_lists_bugs!$A$2:$Z$73,26,FALSE())),"please select a BUG ID")</f>
        <v>please select a BUG ID</v>
      </c>
      <c r="C467" s="51" t="str">
        <f>IFERROR(VLOOKUP(A467,Internal_lists_bugs!$A$2:$G847,7,FALSE()),"please select a BUG ID")</f>
        <v>please select a BUG ID</v>
      </c>
      <c r="D467" s="51" t="str">
        <f>IFERROR(VLOOKUP(A467,Internal_lists_bugs!$A$2:$I847,9,FALSE()),"please select a BUG ID")</f>
        <v>please select a BUG ID</v>
      </c>
      <c r="E467" s="52"/>
      <c r="F467" s="52"/>
      <c r="G467" s="43"/>
      <c r="H467" s="52"/>
      <c r="J467" s="52"/>
      <c r="K467" s="52"/>
    </row>
    <row r="468">
      <c r="A468" s="43"/>
      <c r="B468" s="38" t="str">
        <f>IFERROR(HYPERLINK(VLOOKUP(A468,Internal_lists_bugs!$A$2:$C$73,3,FALSE()), VLOOKUP(A468,Internal_lists_bugs!$A$2:$C$73,3,FALSE())&amp;Char(10) &amp; Char(10) &amp; VLOOKUP(A468,Internal_lists_bugs!$A$2:$Z$73,26,FALSE())),"please select a BUG ID")</f>
        <v>please select a BUG ID</v>
      </c>
      <c r="C468" s="51" t="str">
        <f>IFERROR(VLOOKUP(A468,Internal_lists_bugs!$A$2:$G847,7,FALSE()),"please select a BUG ID")</f>
        <v>please select a BUG ID</v>
      </c>
      <c r="D468" s="51" t="str">
        <f>IFERROR(VLOOKUP(A468,Internal_lists_bugs!$A$2:$I847,9,FALSE()),"please select a BUG ID")</f>
        <v>please select a BUG ID</v>
      </c>
      <c r="E468" s="52"/>
      <c r="F468" s="52"/>
      <c r="G468" s="43"/>
      <c r="H468" s="52"/>
      <c r="J468" s="52"/>
      <c r="K468" s="52"/>
    </row>
    <row r="469">
      <c r="A469" s="43"/>
      <c r="B469" s="38" t="str">
        <f>IFERROR(HYPERLINK(VLOOKUP(A469,Internal_lists_bugs!$A$2:$C$73,3,FALSE()), VLOOKUP(A469,Internal_lists_bugs!$A$2:$C$73,3,FALSE())&amp;Char(10) &amp; Char(10) &amp; VLOOKUP(A469,Internal_lists_bugs!$A$2:$Z$73,26,FALSE())),"please select a BUG ID")</f>
        <v>please select a BUG ID</v>
      </c>
      <c r="C469" s="51" t="str">
        <f>IFERROR(VLOOKUP(A469,Internal_lists_bugs!$A$2:$G847,7,FALSE()),"please select a BUG ID")</f>
        <v>please select a BUG ID</v>
      </c>
      <c r="D469" s="51" t="str">
        <f>IFERROR(VLOOKUP(A469,Internal_lists_bugs!$A$2:$I847,9,FALSE()),"please select a BUG ID")</f>
        <v>please select a BUG ID</v>
      </c>
      <c r="E469" s="52"/>
      <c r="F469" s="52"/>
      <c r="G469" s="43"/>
      <c r="H469" s="52"/>
      <c r="J469" s="52"/>
      <c r="K469" s="52"/>
    </row>
    <row r="470">
      <c r="A470" s="43"/>
      <c r="B470" s="38" t="str">
        <f>IFERROR(HYPERLINK(VLOOKUP(A470,Internal_lists_bugs!$A$2:$C$73,3,FALSE()), VLOOKUP(A470,Internal_lists_bugs!$A$2:$C$73,3,FALSE())&amp;Char(10) &amp; Char(10) &amp; VLOOKUP(A470,Internal_lists_bugs!$A$2:$Z$73,26,FALSE())),"please select a BUG ID")</f>
        <v>please select a BUG ID</v>
      </c>
      <c r="C470" s="51" t="str">
        <f>IFERROR(VLOOKUP(A470,Internal_lists_bugs!$A$2:$G847,7,FALSE()),"please select a BUG ID")</f>
        <v>please select a BUG ID</v>
      </c>
      <c r="D470" s="51" t="str">
        <f>IFERROR(VLOOKUP(A470,Internal_lists_bugs!$A$2:$I847,9,FALSE()),"please select a BUG ID")</f>
        <v>please select a BUG ID</v>
      </c>
      <c r="E470" s="52"/>
      <c r="F470" s="52"/>
      <c r="G470" s="43"/>
      <c r="H470" s="52"/>
      <c r="J470" s="52"/>
      <c r="K470" s="52"/>
    </row>
    <row r="471">
      <c r="A471" s="43"/>
      <c r="B471" s="38" t="str">
        <f>IFERROR(HYPERLINK(VLOOKUP(A471,Internal_lists_bugs!$A$2:$C$73,3,FALSE()), VLOOKUP(A471,Internal_lists_bugs!$A$2:$C$73,3,FALSE())&amp;Char(10) &amp; Char(10) &amp; VLOOKUP(A471,Internal_lists_bugs!$A$2:$Z$73,26,FALSE())),"please select a BUG ID")</f>
        <v>please select a BUG ID</v>
      </c>
      <c r="C471" s="51" t="str">
        <f>IFERROR(VLOOKUP(A471,Internal_lists_bugs!$A$2:$G847,7,FALSE()),"please select a BUG ID")</f>
        <v>please select a BUG ID</v>
      </c>
      <c r="D471" s="51" t="str">
        <f>IFERROR(VLOOKUP(A471,Internal_lists_bugs!$A$2:$I847,9,FALSE()),"please select a BUG ID")</f>
        <v>please select a BUG ID</v>
      </c>
      <c r="E471" s="52"/>
      <c r="F471" s="52"/>
      <c r="G471" s="43"/>
      <c r="H471" s="52"/>
      <c r="J471" s="52"/>
      <c r="K471" s="52"/>
    </row>
    <row r="472">
      <c r="A472" s="43"/>
      <c r="B472" s="38" t="str">
        <f>IFERROR(HYPERLINK(VLOOKUP(A472,Internal_lists_bugs!$A$2:$C$73,3,FALSE()), VLOOKUP(A472,Internal_lists_bugs!$A$2:$C$73,3,FALSE())&amp;Char(10) &amp; Char(10) &amp; VLOOKUP(A472,Internal_lists_bugs!$A$2:$Z$73,26,FALSE())),"please select a BUG ID")</f>
        <v>please select a BUG ID</v>
      </c>
      <c r="C472" s="51" t="str">
        <f>IFERROR(VLOOKUP(A472,Internal_lists_bugs!$A$2:$G847,7,FALSE()),"please select a BUG ID")</f>
        <v>please select a BUG ID</v>
      </c>
      <c r="D472" s="51" t="str">
        <f>IFERROR(VLOOKUP(A472,Internal_lists_bugs!$A$2:$I847,9,FALSE()),"please select a BUG ID")</f>
        <v>please select a BUG ID</v>
      </c>
      <c r="E472" s="52"/>
      <c r="F472" s="52"/>
      <c r="G472" s="43"/>
      <c r="H472" s="52"/>
      <c r="J472" s="52"/>
      <c r="K472" s="52"/>
    </row>
    <row r="473">
      <c r="A473" s="43"/>
      <c r="B473" s="38" t="str">
        <f>IFERROR(HYPERLINK(VLOOKUP(A473,Internal_lists_bugs!$A$2:$C$73,3,FALSE()), VLOOKUP(A473,Internal_lists_bugs!$A$2:$C$73,3,FALSE())&amp;Char(10) &amp; Char(10) &amp; VLOOKUP(A473,Internal_lists_bugs!$A$2:$Z$73,26,FALSE())),"please select a BUG ID")</f>
        <v>please select a BUG ID</v>
      </c>
      <c r="C473" s="51" t="str">
        <f>IFERROR(VLOOKUP(A473,Internal_lists_bugs!$A$2:$G847,7,FALSE()),"please select a BUG ID")</f>
        <v>please select a BUG ID</v>
      </c>
      <c r="D473" s="51" t="str">
        <f>IFERROR(VLOOKUP(A473,Internal_lists_bugs!$A$2:$I847,9,FALSE()),"please select a BUG ID")</f>
        <v>please select a BUG ID</v>
      </c>
      <c r="E473" s="52"/>
      <c r="F473" s="52"/>
      <c r="G473" s="43"/>
      <c r="H473" s="52"/>
      <c r="J473" s="52"/>
      <c r="K473" s="52"/>
    </row>
    <row r="474">
      <c r="A474" s="43"/>
      <c r="B474" s="38" t="str">
        <f>IFERROR(HYPERLINK(VLOOKUP(A474,Internal_lists_bugs!$A$2:$C$73,3,FALSE()), VLOOKUP(A474,Internal_lists_bugs!$A$2:$C$73,3,FALSE())&amp;Char(10) &amp; Char(10) &amp; VLOOKUP(A474,Internal_lists_bugs!$A$2:$Z$73,26,FALSE())),"please select a BUG ID")</f>
        <v>please select a BUG ID</v>
      </c>
      <c r="C474" s="51" t="str">
        <f>IFERROR(VLOOKUP(A474,Internal_lists_bugs!$A$2:$G847,7,FALSE()),"please select a BUG ID")</f>
        <v>please select a BUG ID</v>
      </c>
      <c r="D474" s="51" t="str">
        <f>IFERROR(VLOOKUP(A474,Internal_lists_bugs!$A$2:$I847,9,FALSE()),"please select a BUG ID")</f>
        <v>please select a BUG ID</v>
      </c>
      <c r="E474" s="52"/>
      <c r="F474" s="52"/>
      <c r="G474" s="43"/>
      <c r="H474" s="52"/>
      <c r="J474" s="52"/>
      <c r="K474" s="52"/>
    </row>
    <row r="475">
      <c r="A475" s="43"/>
      <c r="B475" s="38" t="str">
        <f>IFERROR(HYPERLINK(VLOOKUP(A475,Internal_lists_bugs!$A$2:$C$73,3,FALSE()), VLOOKUP(A475,Internal_lists_bugs!$A$2:$C$73,3,FALSE())&amp;Char(10) &amp; Char(10) &amp; VLOOKUP(A475,Internal_lists_bugs!$A$2:$Z$73,26,FALSE())),"please select a BUG ID")</f>
        <v>please select a BUG ID</v>
      </c>
      <c r="C475" s="51" t="str">
        <f>IFERROR(VLOOKUP(A475,Internal_lists_bugs!$A$2:$G847,7,FALSE()),"please select a BUG ID")</f>
        <v>please select a BUG ID</v>
      </c>
      <c r="D475" s="51" t="str">
        <f>IFERROR(VLOOKUP(A475,Internal_lists_bugs!$A$2:$I847,9,FALSE()),"please select a BUG ID")</f>
        <v>please select a BUG ID</v>
      </c>
      <c r="E475" s="52"/>
      <c r="F475" s="52"/>
      <c r="G475" s="43"/>
      <c r="H475" s="52"/>
      <c r="J475" s="52"/>
      <c r="K475" s="52"/>
    </row>
    <row r="476">
      <c r="A476" s="43"/>
      <c r="B476" s="38" t="str">
        <f>IFERROR(HYPERLINK(VLOOKUP(A476,Internal_lists_bugs!$A$2:$C$73,3,FALSE()), VLOOKUP(A476,Internal_lists_bugs!$A$2:$C$73,3,FALSE())&amp;Char(10) &amp; Char(10) &amp; VLOOKUP(A476,Internal_lists_bugs!$A$2:$Z$73,26,FALSE())),"please select a BUG ID")</f>
        <v>please select a BUG ID</v>
      </c>
      <c r="C476" s="51" t="str">
        <f>IFERROR(VLOOKUP(A476,Internal_lists_bugs!$A$2:$G847,7,FALSE()),"please select a BUG ID")</f>
        <v>please select a BUG ID</v>
      </c>
      <c r="D476" s="51" t="str">
        <f>IFERROR(VLOOKUP(A476,Internal_lists_bugs!$A$2:$I847,9,FALSE()),"please select a BUG ID")</f>
        <v>please select a BUG ID</v>
      </c>
      <c r="E476" s="52"/>
      <c r="F476" s="52"/>
      <c r="G476" s="43"/>
      <c r="H476" s="52"/>
      <c r="J476" s="52"/>
      <c r="K476" s="52"/>
    </row>
    <row r="477">
      <c r="A477" s="43"/>
      <c r="B477" s="38" t="str">
        <f>IFERROR(HYPERLINK(VLOOKUP(A477,Internal_lists_bugs!$A$2:$C$73,3,FALSE()), VLOOKUP(A477,Internal_lists_bugs!$A$2:$C$73,3,FALSE())&amp;Char(10) &amp; Char(10) &amp; VLOOKUP(A477,Internal_lists_bugs!$A$2:$Z$73,26,FALSE())),"please select a BUG ID")</f>
        <v>please select a BUG ID</v>
      </c>
      <c r="C477" s="51" t="str">
        <f>IFERROR(VLOOKUP(A477,Internal_lists_bugs!$A$2:$G847,7,FALSE()),"please select a BUG ID")</f>
        <v>please select a BUG ID</v>
      </c>
      <c r="D477" s="51" t="str">
        <f>IFERROR(VLOOKUP(A477,Internal_lists_bugs!$A$2:$I847,9,FALSE()),"please select a BUG ID")</f>
        <v>please select a BUG ID</v>
      </c>
      <c r="E477" s="52"/>
      <c r="F477" s="52"/>
      <c r="G477" s="43"/>
      <c r="H477" s="52"/>
      <c r="J477" s="52"/>
      <c r="K477" s="52"/>
    </row>
    <row r="478">
      <c r="A478" s="43"/>
      <c r="B478" s="38" t="str">
        <f>IFERROR(HYPERLINK(VLOOKUP(A478,Internal_lists_bugs!$A$2:$C$73,3,FALSE()), VLOOKUP(A478,Internal_lists_bugs!$A$2:$C$73,3,FALSE())&amp;Char(10) &amp; Char(10) &amp; VLOOKUP(A478,Internal_lists_bugs!$A$2:$Z$73,26,FALSE())),"please select a BUG ID")</f>
        <v>please select a BUG ID</v>
      </c>
      <c r="C478" s="51" t="str">
        <f>IFERROR(VLOOKUP(A478,Internal_lists_bugs!$A$2:$G847,7,FALSE()),"please select a BUG ID")</f>
        <v>please select a BUG ID</v>
      </c>
      <c r="D478" s="51" t="str">
        <f>IFERROR(VLOOKUP(A478,Internal_lists_bugs!$A$2:$I847,9,FALSE()),"please select a BUG ID")</f>
        <v>please select a BUG ID</v>
      </c>
      <c r="E478" s="52"/>
      <c r="F478" s="52"/>
      <c r="G478" s="43"/>
      <c r="H478" s="52"/>
      <c r="J478" s="52"/>
      <c r="K478" s="52"/>
    </row>
    <row r="479">
      <c r="A479" s="43"/>
      <c r="B479" s="38" t="str">
        <f>IFERROR(HYPERLINK(VLOOKUP(A479,Internal_lists_bugs!$A$2:$C$73,3,FALSE()), VLOOKUP(A479,Internal_lists_bugs!$A$2:$C$73,3,FALSE())&amp;Char(10) &amp; Char(10) &amp; VLOOKUP(A479,Internal_lists_bugs!$A$2:$Z$73,26,FALSE())),"please select a BUG ID")</f>
        <v>please select a BUG ID</v>
      </c>
      <c r="C479" s="51" t="str">
        <f>IFERROR(VLOOKUP(A479,Internal_lists_bugs!$A$2:$G847,7,FALSE()),"please select a BUG ID")</f>
        <v>please select a BUG ID</v>
      </c>
      <c r="D479" s="51" t="str">
        <f>IFERROR(VLOOKUP(A479,Internal_lists_bugs!$A$2:$I847,9,FALSE()),"please select a BUG ID")</f>
        <v>please select a BUG ID</v>
      </c>
      <c r="E479" s="52"/>
      <c r="F479" s="52"/>
      <c r="G479" s="43"/>
      <c r="H479" s="52"/>
      <c r="J479" s="52"/>
      <c r="K479" s="52"/>
    </row>
    <row r="480">
      <c r="A480" s="43"/>
      <c r="B480" s="38" t="str">
        <f>IFERROR(HYPERLINK(VLOOKUP(A480,Internal_lists_bugs!$A$2:$C$73,3,FALSE()), VLOOKUP(A480,Internal_lists_bugs!$A$2:$C$73,3,FALSE())&amp;Char(10) &amp; Char(10) &amp; VLOOKUP(A480,Internal_lists_bugs!$A$2:$Z$73,26,FALSE())),"please select a BUG ID")</f>
        <v>please select a BUG ID</v>
      </c>
      <c r="C480" s="51" t="str">
        <f>IFERROR(VLOOKUP(A480,Internal_lists_bugs!$A$2:$G847,7,FALSE()),"please select a BUG ID")</f>
        <v>please select a BUG ID</v>
      </c>
      <c r="D480" s="51" t="str">
        <f>IFERROR(VLOOKUP(A480,Internal_lists_bugs!$A$2:$I847,9,FALSE()),"please select a BUG ID")</f>
        <v>please select a BUG ID</v>
      </c>
      <c r="E480" s="52"/>
      <c r="F480" s="52"/>
      <c r="G480" s="43"/>
      <c r="H480" s="52"/>
      <c r="J480" s="52"/>
      <c r="K480" s="52"/>
    </row>
    <row r="481">
      <c r="A481" s="43"/>
      <c r="B481" s="38" t="str">
        <f>IFERROR(HYPERLINK(VLOOKUP(A481,Internal_lists_bugs!$A$2:$C$73,3,FALSE()), VLOOKUP(A481,Internal_lists_bugs!$A$2:$C$73,3,FALSE())&amp;Char(10) &amp; Char(10) &amp; VLOOKUP(A481,Internal_lists_bugs!$A$2:$Z$73,26,FALSE())),"please select a BUG ID")</f>
        <v>please select a BUG ID</v>
      </c>
      <c r="C481" s="51" t="str">
        <f>IFERROR(VLOOKUP(A481,Internal_lists_bugs!$A$2:$G847,7,FALSE()),"please select a BUG ID")</f>
        <v>please select a BUG ID</v>
      </c>
      <c r="D481" s="51" t="str">
        <f>IFERROR(VLOOKUP(A481,Internal_lists_bugs!$A$2:$I847,9,FALSE()),"please select a BUG ID")</f>
        <v>please select a BUG ID</v>
      </c>
      <c r="E481" s="52"/>
      <c r="F481" s="52"/>
      <c r="G481" s="43"/>
      <c r="H481" s="52"/>
      <c r="J481" s="52"/>
      <c r="K481" s="52"/>
    </row>
    <row r="482">
      <c r="A482" s="43"/>
      <c r="B482" s="38" t="str">
        <f>IFERROR(HYPERLINK(VLOOKUP(A482,Internal_lists_bugs!$A$2:$C$73,3,FALSE()), VLOOKUP(A482,Internal_lists_bugs!$A$2:$C$73,3,FALSE())&amp;Char(10) &amp; Char(10) &amp; VLOOKUP(A482,Internal_lists_bugs!$A$2:$Z$73,26,FALSE())),"please select a BUG ID")</f>
        <v>please select a BUG ID</v>
      </c>
      <c r="C482" s="51" t="str">
        <f>IFERROR(VLOOKUP(A482,Internal_lists_bugs!$A$2:$G847,7,FALSE()),"please select a BUG ID")</f>
        <v>please select a BUG ID</v>
      </c>
      <c r="D482" s="51" t="str">
        <f>IFERROR(VLOOKUP(A482,Internal_lists_bugs!$A$2:$I847,9,FALSE()),"please select a BUG ID")</f>
        <v>please select a BUG ID</v>
      </c>
      <c r="E482" s="52"/>
      <c r="F482" s="52"/>
      <c r="G482" s="43"/>
      <c r="H482" s="52"/>
      <c r="J482" s="52"/>
      <c r="K482" s="52"/>
    </row>
    <row r="483">
      <c r="A483" s="43"/>
      <c r="B483" s="38" t="str">
        <f>IFERROR(HYPERLINK(VLOOKUP(A483,Internal_lists_bugs!$A$2:$C$73,3,FALSE()), VLOOKUP(A483,Internal_lists_bugs!$A$2:$C$73,3,FALSE())&amp;Char(10) &amp; Char(10) &amp; VLOOKUP(A483,Internal_lists_bugs!$A$2:$Z$73,26,FALSE())),"please select a BUG ID")</f>
        <v>please select a BUG ID</v>
      </c>
      <c r="C483" s="51" t="str">
        <f>IFERROR(VLOOKUP(A483,Internal_lists_bugs!$A$2:$G847,7,FALSE()),"please select a BUG ID")</f>
        <v>please select a BUG ID</v>
      </c>
      <c r="D483" s="51" t="str">
        <f>IFERROR(VLOOKUP(A483,Internal_lists_bugs!$A$2:$I847,9,FALSE()),"please select a BUG ID")</f>
        <v>please select a BUG ID</v>
      </c>
      <c r="E483" s="52"/>
      <c r="F483" s="52"/>
      <c r="G483" s="43"/>
      <c r="H483" s="52"/>
      <c r="J483" s="52"/>
      <c r="K483" s="52"/>
    </row>
    <row r="484">
      <c r="A484" s="43"/>
      <c r="B484" s="38" t="str">
        <f>IFERROR(HYPERLINK(VLOOKUP(A484,Internal_lists_bugs!$A$2:$C$73,3,FALSE()), VLOOKUP(A484,Internal_lists_bugs!$A$2:$C$73,3,FALSE())&amp;Char(10) &amp; Char(10) &amp; VLOOKUP(A484,Internal_lists_bugs!$A$2:$Z$73,26,FALSE())),"please select a BUG ID")</f>
        <v>please select a BUG ID</v>
      </c>
      <c r="C484" s="51" t="str">
        <f>IFERROR(VLOOKUP(A484,Internal_lists_bugs!$A$2:$G847,7,FALSE()),"please select a BUG ID")</f>
        <v>please select a BUG ID</v>
      </c>
      <c r="D484" s="51" t="str">
        <f>IFERROR(VLOOKUP(A484,Internal_lists_bugs!$A$2:$I847,9,FALSE()),"please select a BUG ID")</f>
        <v>please select a BUG ID</v>
      </c>
      <c r="E484" s="52"/>
      <c r="F484" s="52"/>
      <c r="G484" s="43"/>
      <c r="H484" s="52"/>
      <c r="J484" s="52"/>
      <c r="K484" s="52"/>
    </row>
    <row r="485">
      <c r="A485" s="43"/>
      <c r="B485" s="38" t="str">
        <f>IFERROR(HYPERLINK(VLOOKUP(A485,Internal_lists_bugs!$A$2:$C$73,3,FALSE()), VLOOKUP(A485,Internal_lists_bugs!$A$2:$C$73,3,FALSE())&amp;Char(10) &amp; Char(10) &amp; VLOOKUP(A485,Internal_lists_bugs!$A$2:$Z$73,26,FALSE())),"please select a BUG ID")</f>
        <v>please select a BUG ID</v>
      </c>
      <c r="C485" s="51" t="str">
        <f>IFERROR(VLOOKUP(A485,Internal_lists_bugs!$A$2:$G847,7,FALSE()),"please select a BUG ID")</f>
        <v>please select a BUG ID</v>
      </c>
      <c r="D485" s="51" t="str">
        <f>IFERROR(VLOOKUP(A485,Internal_lists_bugs!$A$2:$I847,9,FALSE()),"please select a BUG ID")</f>
        <v>please select a BUG ID</v>
      </c>
      <c r="E485" s="52"/>
      <c r="F485" s="52"/>
      <c r="G485" s="43"/>
      <c r="H485" s="52"/>
      <c r="J485" s="52"/>
      <c r="K485" s="52"/>
    </row>
    <row r="486">
      <c r="A486" s="43"/>
      <c r="B486" s="38" t="str">
        <f>IFERROR(HYPERLINK(VLOOKUP(A486,Internal_lists_bugs!$A$2:$C$73,3,FALSE()), VLOOKUP(A486,Internal_lists_bugs!$A$2:$C$73,3,FALSE())&amp;Char(10) &amp; Char(10) &amp; VLOOKUP(A486,Internal_lists_bugs!$A$2:$Z$73,26,FALSE())),"please select a BUG ID")</f>
        <v>please select a BUG ID</v>
      </c>
      <c r="C486" s="51" t="str">
        <f>IFERROR(VLOOKUP(A486,Internal_lists_bugs!$A$2:$G847,7,FALSE()),"please select a BUG ID")</f>
        <v>please select a BUG ID</v>
      </c>
      <c r="D486" s="51" t="str">
        <f>IFERROR(VLOOKUP(A486,Internal_lists_bugs!$A$2:$I847,9,FALSE()),"please select a BUG ID")</f>
        <v>please select a BUG ID</v>
      </c>
      <c r="E486" s="52"/>
      <c r="F486" s="52"/>
      <c r="G486" s="43"/>
      <c r="H486" s="52"/>
      <c r="J486" s="52"/>
      <c r="K486" s="52"/>
    </row>
    <row r="487">
      <c r="A487" s="43"/>
      <c r="B487" s="38" t="str">
        <f>IFERROR(HYPERLINK(VLOOKUP(A487,Internal_lists_bugs!$A$2:$C$73,3,FALSE()), VLOOKUP(A487,Internal_lists_bugs!$A$2:$C$73,3,FALSE())&amp;Char(10) &amp; Char(10) &amp; VLOOKUP(A487,Internal_lists_bugs!$A$2:$Z$73,26,FALSE())),"please select a BUG ID")</f>
        <v>please select a BUG ID</v>
      </c>
      <c r="C487" s="51" t="str">
        <f>IFERROR(VLOOKUP(A487,Internal_lists_bugs!$A$2:$G847,7,FALSE()),"please select a BUG ID")</f>
        <v>please select a BUG ID</v>
      </c>
      <c r="D487" s="51" t="str">
        <f>IFERROR(VLOOKUP(A487,Internal_lists_bugs!$A$2:$I847,9,FALSE()),"please select a BUG ID")</f>
        <v>please select a BUG ID</v>
      </c>
      <c r="E487" s="52"/>
      <c r="F487" s="52"/>
      <c r="G487" s="43"/>
      <c r="H487" s="52"/>
      <c r="J487" s="52"/>
      <c r="K487" s="52"/>
    </row>
    <row r="488">
      <c r="A488" s="43"/>
      <c r="B488" s="38" t="str">
        <f>IFERROR(HYPERLINK(VLOOKUP(A488,Internal_lists_bugs!$A$2:$C$73,3,FALSE()), VLOOKUP(A488,Internal_lists_bugs!$A$2:$C$73,3,FALSE())&amp;Char(10) &amp; Char(10) &amp; VLOOKUP(A488,Internal_lists_bugs!$A$2:$Z$73,26,FALSE())),"please select a BUG ID")</f>
        <v>please select a BUG ID</v>
      </c>
      <c r="C488" s="51" t="str">
        <f>IFERROR(VLOOKUP(A488,Internal_lists_bugs!$A$2:$G847,7,FALSE()),"please select a BUG ID")</f>
        <v>please select a BUG ID</v>
      </c>
      <c r="D488" s="51" t="str">
        <f>IFERROR(VLOOKUP(A488,Internal_lists_bugs!$A$2:$I847,9,FALSE()),"please select a BUG ID")</f>
        <v>please select a BUG ID</v>
      </c>
      <c r="E488" s="52"/>
      <c r="F488" s="52"/>
      <c r="G488" s="43"/>
      <c r="H488" s="52"/>
      <c r="J488" s="52"/>
      <c r="K488" s="52"/>
    </row>
    <row r="489">
      <c r="A489" s="43"/>
      <c r="B489" s="38" t="str">
        <f>IFERROR(HYPERLINK(VLOOKUP(A489,Internal_lists_bugs!$A$2:$C$73,3,FALSE()), VLOOKUP(A489,Internal_lists_bugs!$A$2:$C$73,3,FALSE())&amp;Char(10) &amp; Char(10) &amp; VLOOKUP(A489,Internal_lists_bugs!$A$2:$Z$73,26,FALSE())),"please select a BUG ID")</f>
        <v>please select a BUG ID</v>
      </c>
      <c r="C489" s="51" t="str">
        <f>IFERROR(VLOOKUP(A489,Internal_lists_bugs!$A$2:$G847,7,FALSE()),"please select a BUG ID")</f>
        <v>please select a BUG ID</v>
      </c>
      <c r="D489" s="51" t="str">
        <f>IFERROR(VLOOKUP(A489,Internal_lists_bugs!$A$2:$I847,9,FALSE()),"please select a BUG ID")</f>
        <v>please select a BUG ID</v>
      </c>
      <c r="E489" s="52"/>
      <c r="F489" s="52"/>
      <c r="G489" s="43"/>
      <c r="H489" s="52"/>
      <c r="J489" s="52"/>
      <c r="K489" s="52"/>
    </row>
    <row r="490">
      <c r="A490" s="43"/>
      <c r="B490" s="38" t="str">
        <f>IFERROR(HYPERLINK(VLOOKUP(A490,Internal_lists_bugs!$A$2:$C$73,3,FALSE()), VLOOKUP(A490,Internal_lists_bugs!$A$2:$C$73,3,FALSE())&amp;Char(10) &amp; Char(10) &amp; VLOOKUP(A490,Internal_lists_bugs!$A$2:$Z$73,26,FALSE())),"please select a BUG ID")</f>
        <v>please select a BUG ID</v>
      </c>
      <c r="C490" s="51" t="str">
        <f>IFERROR(VLOOKUP(A490,Internal_lists_bugs!$A$2:$G847,7,FALSE()),"please select a BUG ID")</f>
        <v>please select a BUG ID</v>
      </c>
      <c r="D490" s="51" t="str">
        <f>IFERROR(VLOOKUP(A490,Internal_lists_bugs!$A$2:$I847,9,FALSE()),"please select a BUG ID")</f>
        <v>please select a BUG ID</v>
      </c>
      <c r="E490" s="52"/>
      <c r="F490" s="52"/>
      <c r="G490" s="43"/>
      <c r="H490" s="52"/>
      <c r="J490" s="52"/>
      <c r="K490" s="52"/>
    </row>
    <row r="491">
      <c r="A491" s="43"/>
      <c r="B491" s="38" t="str">
        <f>IFERROR(HYPERLINK(VLOOKUP(A491,Internal_lists_bugs!$A$2:$C$73,3,FALSE()), VLOOKUP(A491,Internal_lists_bugs!$A$2:$C$73,3,FALSE())&amp;Char(10) &amp; Char(10) &amp; VLOOKUP(A491,Internal_lists_bugs!$A$2:$Z$73,26,FALSE())),"please select a BUG ID")</f>
        <v>please select a BUG ID</v>
      </c>
      <c r="C491" s="51" t="str">
        <f>IFERROR(VLOOKUP(A491,Internal_lists_bugs!$A$2:$G847,7,FALSE()),"please select a BUG ID")</f>
        <v>please select a BUG ID</v>
      </c>
      <c r="D491" s="51" t="str">
        <f>IFERROR(VLOOKUP(A491,Internal_lists_bugs!$A$2:$I847,9,FALSE()),"please select a BUG ID")</f>
        <v>please select a BUG ID</v>
      </c>
      <c r="E491" s="52"/>
      <c r="F491" s="52"/>
      <c r="G491" s="43"/>
      <c r="H491" s="52"/>
      <c r="J491" s="52"/>
      <c r="K491" s="52"/>
    </row>
    <row r="492">
      <c r="A492" s="43"/>
      <c r="B492" s="38" t="str">
        <f>IFERROR(HYPERLINK(VLOOKUP(A492,Internal_lists_bugs!$A$2:$C$73,3,FALSE()), VLOOKUP(A492,Internal_lists_bugs!$A$2:$C$73,3,FALSE())&amp;Char(10) &amp; Char(10) &amp; VLOOKUP(A492,Internal_lists_bugs!$A$2:$Z$73,26,FALSE())),"please select a BUG ID")</f>
        <v>please select a BUG ID</v>
      </c>
      <c r="C492" s="51" t="str">
        <f>IFERROR(VLOOKUP(A492,Internal_lists_bugs!$A$2:$G847,7,FALSE()),"please select a BUG ID")</f>
        <v>please select a BUG ID</v>
      </c>
      <c r="D492" s="51" t="str">
        <f>IFERROR(VLOOKUP(A492,Internal_lists_bugs!$A$2:$I847,9,FALSE()),"please select a BUG ID")</f>
        <v>please select a BUG ID</v>
      </c>
      <c r="E492" s="52"/>
      <c r="F492" s="52"/>
      <c r="G492" s="43"/>
      <c r="H492" s="52"/>
      <c r="J492" s="52"/>
      <c r="K492" s="52"/>
    </row>
    <row r="493">
      <c r="A493" s="43"/>
      <c r="B493" s="38" t="str">
        <f>IFERROR(HYPERLINK(VLOOKUP(A493,Internal_lists_bugs!$A$2:$C$73,3,FALSE()), VLOOKUP(A493,Internal_lists_bugs!$A$2:$C$73,3,FALSE())&amp;Char(10) &amp; Char(10) &amp; VLOOKUP(A493,Internal_lists_bugs!$A$2:$Z$73,26,FALSE())),"please select a BUG ID")</f>
        <v>please select a BUG ID</v>
      </c>
      <c r="C493" s="51" t="str">
        <f>IFERROR(VLOOKUP(A493,Internal_lists_bugs!$A$2:$G847,7,FALSE()),"please select a BUG ID")</f>
        <v>please select a BUG ID</v>
      </c>
      <c r="D493" s="51" t="str">
        <f>IFERROR(VLOOKUP(A493,Internal_lists_bugs!$A$2:$I847,9,FALSE()),"please select a BUG ID")</f>
        <v>please select a BUG ID</v>
      </c>
      <c r="E493" s="52"/>
      <c r="F493" s="52"/>
      <c r="G493" s="43"/>
      <c r="H493" s="52"/>
      <c r="J493" s="52"/>
      <c r="K493" s="52"/>
    </row>
    <row r="494">
      <c r="A494" s="43"/>
      <c r="B494" s="38" t="str">
        <f>IFERROR(HYPERLINK(VLOOKUP(A494,Internal_lists_bugs!$A$2:$C$73,3,FALSE()), VLOOKUP(A494,Internal_lists_bugs!$A$2:$C$73,3,FALSE())&amp;Char(10) &amp; Char(10) &amp; VLOOKUP(A494,Internal_lists_bugs!$A$2:$Z$73,26,FALSE())),"please select a BUG ID")</f>
        <v>please select a BUG ID</v>
      </c>
      <c r="C494" s="51" t="str">
        <f>IFERROR(VLOOKUP(A494,Internal_lists_bugs!$A$2:$G847,7,FALSE()),"please select a BUG ID")</f>
        <v>please select a BUG ID</v>
      </c>
      <c r="D494" s="51" t="str">
        <f>IFERROR(VLOOKUP(A494,Internal_lists_bugs!$A$2:$I847,9,FALSE()),"please select a BUG ID")</f>
        <v>please select a BUG ID</v>
      </c>
      <c r="E494" s="52"/>
      <c r="F494" s="52"/>
      <c r="G494" s="43"/>
      <c r="H494" s="52"/>
      <c r="J494" s="52"/>
      <c r="K494" s="52"/>
    </row>
    <row r="495">
      <c r="A495" s="43"/>
      <c r="B495" s="38" t="str">
        <f>IFERROR(HYPERLINK(VLOOKUP(A495,Internal_lists_bugs!$A$2:$C$73,3,FALSE()), VLOOKUP(A495,Internal_lists_bugs!$A$2:$C$73,3,FALSE())&amp;Char(10) &amp; Char(10) &amp; VLOOKUP(A495,Internal_lists_bugs!$A$2:$Z$73,26,FALSE())),"please select a BUG ID")</f>
        <v>please select a BUG ID</v>
      </c>
      <c r="C495" s="51" t="str">
        <f>IFERROR(VLOOKUP(A495,Internal_lists_bugs!$A$2:$G847,7,FALSE()),"please select a BUG ID")</f>
        <v>please select a BUG ID</v>
      </c>
      <c r="D495" s="51" t="str">
        <f>IFERROR(VLOOKUP(A495,Internal_lists_bugs!$A$2:$I847,9,FALSE()),"please select a BUG ID")</f>
        <v>please select a BUG ID</v>
      </c>
      <c r="E495" s="52"/>
      <c r="F495" s="52"/>
      <c r="G495" s="43"/>
      <c r="H495" s="52"/>
      <c r="J495" s="52"/>
      <c r="K495" s="52"/>
    </row>
    <row r="496">
      <c r="A496" s="43"/>
      <c r="B496" s="38" t="str">
        <f>IFERROR(HYPERLINK(VLOOKUP(A496,Internal_lists_bugs!$A$2:$C$73,3,FALSE()), VLOOKUP(A496,Internal_lists_bugs!$A$2:$C$73,3,FALSE())&amp;Char(10) &amp; Char(10) &amp; VLOOKUP(A496,Internal_lists_bugs!$A$2:$Z$73,26,FALSE())),"please select a BUG ID")</f>
        <v>please select a BUG ID</v>
      </c>
      <c r="C496" s="51" t="str">
        <f>IFERROR(VLOOKUP(A496,Internal_lists_bugs!$A$2:$G847,7,FALSE()),"please select a BUG ID")</f>
        <v>please select a BUG ID</v>
      </c>
      <c r="D496" s="51" t="str">
        <f>IFERROR(VLOOKUP(A496,Internal_lists_bugs!$A$2:$I847,9,FALSE()),"please select a BUG ID")</f>
        <v>please select a BUG ID</v>
      </c>
      <c r="E496" s="52"/>
      <c r="F496" s="52"/>
      <c r="G496" s="43"/>
      <c r="H496" s="52"/>
      <c r="J496" s="52"/>
      <c r="K496" s="52"/>
    </row>
    <row r="497">
      <c r="A497" s="43"/>
      <c r="B497" s="38" t="str">
        <f>IFERROR(HYPERLINK(VLOOKUP(A497,Internal_lists_bugs!$A$2:$C$73,3,FALSE()), VLOOKUP(A497,Internal_lists_bugs!$A$2:$C$73,3,FALSE())&amp;Char(10) &amp; Char(10) &amp; VLOOKUP(A497,Internal_lists_bugs!$A$2:$Z$73,26,FALSE())),"please select a BUG ID")</f>
        <v>please select a BUG ID</v>
      </c>
      <c r="C497" s="51" t="str">
        <f>IFERROR(VLOOKUP(A497,Internal_lists_bugs!$A$2:$G847,7,FALSE()),"please select a BUG ID")</f>
        <v>please select a BUG ID</v>
      </c>
      <c r="D497" s="51" t="str">
        <f>IFERROR(VLOOKUP(A497,Internal_lists_bugs!$A$2:$I847,9,FALSE()),"please select a BUG ID")</f>
        <v>please select a BUG ID</v>
      </c>
      <c r="E497" s="52"/>
      <c r="F497" s="52"/>
      <c r="G497" s="43"/>
      <c r="H497" s="52"/>
      <c r="J497" s="52"/>
      <c r="K497" s="52"/>
    </row>
    <row r="498">
      <c r="A498" s="43"/>
      <c r="B498" s="38" t="str">
        <f>IFERROR(HYPERLINK(VLOOKUP(A498,Internal_lists_bugs!$A$2:$C$73,3,FALSE()), VLOOKUP(A498,Internal_lists_bugs!$A$2:$C$73,3,FALSE())&amp;Char(10) &amp; Char(10) &amp; VLOOKUP(A498,Internal_lists_bugs!$A$2:$Z$73,26,FALSE())),"please select a BUG ID")</f>
        <v>please select a BUG ID</v>
      </c>
      <c r="C498" s="51" t="str">
        <f>IFERROR(VLOOKUP(A498,Internal_lists_bugs!$A$2:$G847,7,FALSE()),"please select a BUG ID")</f>
        <v>please select a BUG ID</v>
      </c>
      <c r="D498" s="51" t="str">
        <f>IFERROR(VLOOKUP(A498,Internal_lists_bugs!$A$2:$I847,9,FALSE()),"please select a BUG ID")</f>
        <v>please select a BUG ID</v>
      </c>
      <c r="E498" s="52"/>
      <c r="F498" s="52"/>
      <c r="G498" s="43"/>
      <c r="H498" s="52"/>
      <c r="J498" s="52"/>
      <c r="K498" s="52"/>
    </row>
    <row r="499">
      <c r="A499" s="43"/>
      <c r="B499" s="38" t="str">
        <f>IFERROR(HYPERLINK(VLOOKUP(A499,Internal_lists_bugs!$A$2:$C$73,3,FALSE()), VLOOKUP(A499,Internal_lists_bugs!$A$2:$C$73,3,FALSE())&amp;Char(10) &amp; Char(10) &amp; VLOOKUP(A499,Internal_lists_bugs!$A$2:$Z$73,26,FALSE())),"please select a BUG ID")</f>
        <v>please select a BUG ID</v>
      </c>
      <c r="C499" s="51" t="str">
        <f>IFERROR(VLOOKUP(A499,Internal_lists_bugs!$A$2:$G847,7,FALSE()),"please select a BUG ID")</f>
        <v>please select a BUG ID</v>
      </c>
      <c r="D499" s="51" t="str">
        <f>IFERROR(VLOOKUP(A499,Internal_lists_bugs!$A$2:$I847,9,FALSE()),"please select a BUG ID")</f>
        <v>please select a BUG ID</v>
      </c>
      <c r="E499" s="52"/>
      <c r="F499" s="52"/>
      <c r="G499" s="43"/>
      <c r="H499" s="52"/>
      <c r="J499" s="52"/>
      <c r="K499" s="52"/>
    </row>
    <row r="500">
      <c r="A500" s="43"/>
      <c r="B500" s="38" t="str">
        <f>IFERROR(HYPERLINK(VLOOKUP(A500,Internal_lists_bugs!$A$2:$C$73,3,FALSE()), VLOOKUP(A500,Internal_lists_bugs!$A$2:$C$73,3,FALSE())&amp;Char(10) &amp; Char(10) &amp; VLOOKUP(A500,Internal_lists_bugs!$A$2:$Z$73,26,FALSE())),"please select a BUG ID")</f>
        <v>please select a BUG ID</v>
      </c>
      <c r="C500" s="51" t="str">
        <f>IFERROR(VLOOKUP(A500,Internal_lists_bugs!$A$2:$G847,7,FALSE()),"please select a BUG ID")</f>
        <v>please select a BUG ID</v>
      </c>
      <c r="D500" s="51" t="str">
        <f>IFERROR(VLOOKUP(A500,Internal_lists_bugs!$A$2:$I847,9,FALSE()),"please select a BUG ID")</f>
        <v>please select a BUG ID</v>
      </c>
      <c r="E500" s="52"/>
      <c r="F500" s="52"/>
      <c r="G500" s="43"/>
      <c r="H500" s="52"/>
      <c r="J500" s="52"/>
      <c r="K500" s="52"/>
    </row>
    <row r="501">
      <c r="A501" s="43"/>
      <c r="B501" s="38" t="str">
        <f>IFERROR(HYPERLINK(VLOOKUP(A501,Internal_lists_bugs!$A$2:$C$73,3,FALSE()), VLOOKUP(A501,Internal_lists_bugs!$A$2:$C$73,3,FALSE())&amp;Char(10) &amp; Char(10) &amp; VLOOKUP(A501,Internal_lists_bugs!$A$2:$Z$73,26,FALSE())),"please select a BUG ID")</f>
        <v>please select a BUG ID</v>
      </c>
      <c r="C501" s="51" t="str">
        <f>IFERROR(VLOOKUP(A501,Internal_lists_bugs!$A$2:$G847,7,FALSE()),"please select a BUG ID")</f>
        <v>please select a BUG ID</v>
      </c>
      <c r="D501" s="51" t="str">
        <f>IFERROR(VLOOKUP(A501,Internal_lists_bugs!$A$2:$I847,9,FALSE()),"please select a BUG ID")</f>
        <v>please select a BUG ID</v>
      </c>
      <c r="E501" s="52"/>
      <c r="F501" s="52"/>
      <c r="G501" s="43"/>
      <c r="H501" s="52"/>
      <c r="J501" s="52"/>
      <c r="K501" s="52"/>
    </row>
    <row r="502">
      <c r="A502" s="43"/>
      <c r="B502" s="38" t="str">
        <f>IFERROR(HYPERLINK(VLOOKUP(A502,Internal_lists_bugs!$A$2:$C$73,3,FALSE()), VLOOKUP(A502,Internal_lists_bugs!$A$2:$C$73,3,FALSE())&amp;Char(10) &amp; Char(10) &amp; VLOOKUP(A502,Internal_lists_bugs!$A$2:$Z$73,26,FALSE())),"please select a BUG ID")</f>
        <v>please select a BUG ID</v>
      </c>
      <c r="C502" s="51" t="str">
        <f>IFERROR(VLOOKUP(A502,Internal_lists_bugs!$A$2:$G847,7,FALSE()),"please select a BUG ID")</f>
        <v>please select a BUG ID</v>
      </c>
      <c r="D502" s="51" t="str">
        <f>IFERROR(VLOOKUP(A502,Internal_lists_bugs!$A$2:$I847,9,FALSE()),"please select a BUG ID")</f>
        <v>please select a BUG ID</v>
      </c>
      <c r="E502" s="52"/>
      <c r="F502" s="52"/>
      <c r="G502" s="43"/>
      <c r="H502" s="52"/>
      <c r="J502" s="52"/>
      <c r="K502" s="52"/>
    </row>
    <row r="503">
      <c r="A503" s="43"/>
      <c r="B503" s="38" t="str">
        <f>IFERROR(HYPERLINK(VLOOKUP(A503,Internal_lists_bugs!$A$2:$C$73,3,FALSE()), VLOOKUP(A503,Internal_lists_bugs!$A$2:$C$73,3,FALSE())&amp;Char(10) &amp; Char(10) &amp; VLOOKUP(A503,Internal_lists_bugs!$A$2:$Z$73,26,FALSE())),"please select a BUG ID")</f>
        <v>please select a BUG ID</v>
      </c>
      <c r="C503" s="51" t="str">
        <f>IFERROR(VLOOKUP(A503,Internal_lists_bugs!$A$2:$G847,7,FALSE()),"please select a BUG ID")</f>
        <v>please select a BUG ID</v>
      </c>
      <c r="D503" s="51" t="str">
        <f>IFERROR(VLOOKUP(A503,Internal_lists_bugs!$A$2:$I847,9,FALSE()),"please select a BUG ID")</f>
        <v>please select a BUG ID</v>
      </c>
      <c r="E503" s="52"/>
      <c r="F503" s="52"/>
      <c r="G503" s="43"/>
      <c r="H503" s="52"/>
      <c r="J503" s="52"/>
      <c r="K503" s="52"/>
    </row>
    <row r="504">
      <c r="A504" s="43"/>
      <c r="B504" s="38" t="str">
        <f>IFERROR(HYPERLINK(VLOOKUP(A504,Internal_lists_bugs!$A$2:$C$73,3,FALSE()), VLOOKUP(A504,Internal_lists_bugs!$A$2:$C$73,3,FALSE())&amp;Char(10) &amp; Char(10) &amp; VLOOKUP(A504,Internal_lists_bugs!$A$2:$Z$73,26,FALSE())),"please select a BUG ID")</f>
        <v>please select a BUG ID</v>
      </c>
      <c r="C504" s="51" t="str">
        <f>IFERROR(VLOOKUP(A504,Internal_lists_bugs!$A$2:$G847,7,FALSE()),"please select a BUG ID")</f>
        <v>please select a BUG ID</v>
      </c>
      <c r="D504" s="51" t="str">
        <f>IFERROR(VLOOKUP(A504,Internal_lists_bugs!$A$2:$I847,9,FALSE()),"please select a BUG ID")</f>
        <v>please select a BUG ID</v>
      </c>
      <c r="E504" s="52"/>
      <c r="F504" s="52"/>
      <c r="G504" s="43"/>
      <c r="H504" s="52"/>
      <c r="J504" s="52"/>
      <c r="K504" s="52"/>
    </row>
    <row r="505">
      <c r="A505" s="43"/>
      <c r="B505" s="38" t="str">
        <f>IFERROR(HYPERLINK(VLOOKUP(A505,Internal_lists_bugs!$A$2:$C$73,3,FALSE()), VLOOKUP(A505,Internal_lists_bugs!$A$2:$C$73,3,FALSE())&amp;Char(10) &amp; Char(10) &amp; VLOOKUP(A505,Internal_lists_bugs!$A$2:$Z$73,26,FALSE())),"please select a BUG ID")</f>
        <v>please select a BUG ID</v>
      </c>
      <c r="C505" s="51" t="str">
        <f>IFERROR(VLOOKUP(A505,Internal_lists_bugs!$A$2:$G847,7,FALSE()),"please select a BUG ID")</f>
        <v>please select a BUG ID</v>
      </c>
      <c r="D505" s="51" t="str">
        <f>IFERROR(VLOOKUP(A505,Internal_lists_bugs!$A$2:$I847,9,FALSE()),"please select a BUG ID")</f>
        <v>please select a BUG ID</v>
      </c>
      <c r="E505" s="52"/>
      <c r="F505" s="52"/>
      <c r="G505" s="43"/>
      <c r="H505" s="52"/>
      <c r="J505" s="52"/>
      <c r="K505" s="52"/>
    </row>
    <row r="506">
      <c r="A506" s="43"/>
      <c r="B506" s="38" t="str">
        <f>IFERROR(HYPERLINK(VLOOKUP(A506,Internal_lists_bugs!$A$2:$C$73,3,FALSE()), VLOOKUP(A506,Internal_lists_bugs!$A$2:$C$73,3,FALSE())&amp;Char(10) &amp; Char(10) &amp; VLOOKUP(A506,Internal_lists_bugs!$A$2:$Z$73,26,FALSE())),"please select a BUG ID")</f>
        <v>please select a BUG ID</v>
      </c>
      <c r="C506" s="51" t="str">
        <f>IFERROR(VLOOKUP(A506,Internal_lists_bugs!$A$2:$G847,7,FALSE()),"please select a BUG ID")</f>
        <v>please select a BUG ID</v>
      </c>
      <c r="D506" s="51" t="str">
        <f>IFERROR(VLOOKUP(A506,Internal_lists_bugs!$A$2:$I847,9,FALSE()),"please select a BUG ID")</f>
        <v>please select a BUG ID</v>
      </c>
      <c r="E506" s="52"/>
      <c r="F506" s="52"/>
      <c r="G506" s="43"/>
      <c r="H506" s="52"/>
      <c r="J506" s="52"/>
      <c r="K506" s="52"/>
    </row>
    <row r="507">
      <c r="A507" s="43"/>
      <c r="B507" s="38" t="str">
        <f>IFERROR(HYPERLINK(VLOOKUP(A507,Internal_lists_bugs!$A$2:$C$73,3,FALSE()), VLOOKUP(A507,Internal_lists_bugs!$A$2:$C$73,3,FALSE())&amp;Char(10) &amp; Char(10) &amp; VLOOKUP(A507,Internal_lists_bugs!$A$2:$Z$73,26,FALSE())),"please select a BUG ID")</f>
        <v>please select a BUG ID</v>
      </c>
      <c r="C507" s="51" t="str">
        <f>IFERROR(VLOOKUP(A507,Internal_lists_bugs!$A$2:$G847,7,FALSE()),"please select a BUG ID")</f>
        <v>please select a BUG ID</v>
      </c>
      <c r="D507" s="51" t="str">
        <f>IFERROR(VLOOKUP(A507,Internal_lists_bugs!$A$2:$I847,9,FALSE()),"please select a BUG ID")</f>
        <v>please select a BUG ID</v>
      </c>
      <c r="E507" s="52"/>
      <c r="F507" s="52"/>
      <c r="G507" s="43"/>
      <c r="H507" s="52"/>
      <c r="J507" s="52"/>
      <c r="K507" s="52"/>
    </row>
    <row r="508">
      <c r="A508" s="43"/>
      <c r="B508" s="38" t="str">
        <f>IFERROR(HYPERLINK(VLOOKUP(A508,Internal_lists_bugs!$A$2:$C$73,3,FALSE()), VLOOKUP(A508,Internal_lists_bugs!$A$2:$C$73,3,FALSE())&amp;Char(10) &amp; Char(10) &amp; VLOOKUP(A508,Internal_lists_bugs!$A$2:$Z$73,26,FALSE())),"please select a BUG ID")</f>
        <v>please select a BUG ID</v>
      </c>
      <c r="C508" s="51" t="str">
        <f>IFERROR(VLOOKUP(A508,Internal_lists_bugs!$A$2:$G847,7,FALSE()),"please select a BUG ID")</f>
        <v>please select a BUG ID</v>
      </c>
      <c r="D508" s="51" t="str">
        <f>IFERROR(VLOOKUP(A508,Internal_lists_bugs!$A$2:$I847,9,FALSE()),"please select a BUG ID")</f>
        <v>please select a BUG ID</v>
      </c>
      <c r="E508" s="52"/>
      <c r="F508" s="52"/>
      <c r="G508" s="43"/>
      <c r="H508" s="52"/>
      <c r="J508" s="52"/>
      <c r="K508" s="52"/>
    </row>
    <row r="509">
      <c r="A509" s="43"/>
      <c r="B509" s="38" t="str">
        <f>IFERROR(HYPERLINK(VLOOKUP(A509,Internal_lists_bugs!$A$2:$C$73,3,FALSE()), VLOOKUP(A509,Internal_lists_bugs!$A$2:$C$73,3,FALSE())&amp;Char(10) &amp; Char(10) &amp; VLOOKUP(A509,Internal_lists_bugs!$A$2:$Z$73,26,FALSE())),"please select a BUG ID")</f>
        <v>please select a BUG ID</v>
      </c>
      <c r="C509" s="51" t="str">
        <f>IFERROR(VLOOKUP(A509,Internal_lists_bugs!$A$2:$G847,7,FALSE()),"please select a BUG ID")</f>
        <v>please select a BUG ID</v>
      </c>
      <c r="D509" s="51" t="str">
        <f>IFERROR(VLOOKUP(A509,Internal_lists_bugs!$A$2:$I847,9,FALSE()),"please select a BUG ID")</f>
        <v>please select a BUG ID</v>
      </c>
      <c r="E509" s="52"/>
      <c r="F509" s="52"/>
      <c r="G509" s="43"/>
      <c r="H509" s="52"/>
      <c r="J509" s="52"/>
      <c r="K509" s="52"/>
    </row>
    <row r="510">
      <c r="A510" s="43"/>
      <c r="B510" s="38" t="str">
        <f>IFERROR(HYPERLINK(VLOOKUP(A510,Internal_lists_bugs!$A$2:$C$73,3,FALSE()), VLOOKUP(A510,Internal_lists_bugs!$A$2:$C$73,3,FALSE())&amp;Char(10) &amp; Char(10) &amp; VLOOKUP(A510,Internal_lists_bugs!$A$2:$Z$73,26,FALSE())),"please select a BUG ID")</f>
        <v>please select a BUG ID</v>
      </c>
      <c r="C510" s="51" t="str">
        <f>IFERROR(VLOOKUP(A510,Internal_lists_bugs!$A$2:$G847,7,FALSE()),"please select a BUG ID")</f>
        <v>please select a BUG ID</v>
      </c>
      <c r="D510" s="51" t="str">
        <f>IFERROR(VLOOKUP(A510,Internal_lists_bugs!$A$2:$I847,9,FALSE()),"please select a BUG ID")</f>
        <v>please select a BUG ID</v>
      </c>
      <c r="E510" s="52"/>
      <c r="F510" s="52"/>
      <c r="G510" s="43"/>
      <c r="H510" s="52"/>
      <c r="J510" s="52"/>
      <c r="K510" s="52"/>
    </row>
    <row r="511">
      <c r="A511" s="43"/>
      <c r="B511" s="38" t="str">
        <f>IFERROR(HYPERLINK(VLOOKUP(A511,Internal_lists_bugs!$A$2:$C$73,3,FALSE()), VLOOKUP(A511,Internal_lists_bugs!$A$2:$C$73,3,FALSE())&amp;Char(10) &amp; Char(10) &amp; VLOOKUP(A511,Internal_lists_bugs!$A$2:$Z$73,26,FALSE())),"please select a BUG ID")</f>
        <v>please select a BUG ID</v>
      </c>
      <c r="C511" s="51" t="str">
        <f>IFERROR(VLOOKUP(A511,Internal_lists_bugs!$A$2:$G847,7,FALSE()),"please select a BUG ID")</f>
        <v>please select a BUG ID</v>
      </c>
      <c r="D511" s="51" t="str">
        <f>IFERROR(VLOOKUP(A511,Internal_lists_bugs!$A$2:$I847,9,FALSE()),"please select a BUG ID")</f>
        <v>please select a BUG ID</v>
      </c>
      <c r="E511" s="52"/>
      <c r="F511" s="52"/>
      <c r="G511" s="43"/>
      <c r="H511" s="52"/>
      <c r="J511" s="52"/>
      <c r="K511" s="52"/>
    </row>
    <row r="512">
      <c r="A512" s="43"/>
      <c r="B512" s="38" t="str">
        <f>IFERROR(HYPERLINK(VLOOKUP(A512,Internal_lists_bugs!$A$2:$C$73,3,FALSE()), VLOOKUP(A512,Internal_lists_bugs!$A$2:$C$73,3,FALSE())&amp;Char(10) &amp; Char(10) &amp; VLOOKUP(A512,Internal_lists_bugs!$A$2:$Z$73,26,FALSE())),"please select a BUG ID")</f>
        <v>please select a BUG ID</v>
      </c>
      <c r="C512" s="51" t="str">
        <f>IFERROR(VLOOKUP(A512,Internal_lists_bugs!$A$2:$G847,7,FALSE()),"please select a BUG ID")</f>
        <v>please select a BUG ID</v>
      </c>
      <c r="D512" s="51" t="str">
        <f>IFERROR(VLOOKUP(A512,Internal_lists_bugs!$A$2:$I847,9,FALSE()),"please select a BUG ID")</f>
        <v>please select a BUG ID</v>
      </c>
      <c r="E512" s="52"/>
      <c r="F512" s="52"/>
      <c r="G512" s="43"/>
      <c r="H512" s="52"/>
      <c r="J512" s="52"/>
      <c r="K512" s="52"/>
    </row>
    <row r="513">
      <c r="A513" s="43"/>
      <c r="B513" s="38" t="str">
        <f>IFERROR(HYPERLINK(VLOOKUP(A513,Internal_lists_bugs!$A$2:$C$73,3,FALSE()), VLOOKUP(A513,Internal_lists_bugs!$A$2:$C$73,3,FALSE())&amp;Char(10) &amp; Char(10) &amp; VLOOKUP(A513,Internal_lists_bugs!$A$2:$Z$73,26,FALSE())),"please select a BUG ID")</f>
        <v>please select a BUG ID</v>
      </c>
      <c r="C513" s="51" t="str">
        <f>IFERROR(VLOOKUP(A513,Internal_lists_bugs!$A$2:$G847,7,FALSE()),"please select a BUG ID")</f>
        <v>please select a BUG ID</v>
      </c>
      <c r="D513" s="51" t="str">
        <f>IFERROR(VLOOKUP(A513,Internal_lists_bugs!$A$2:$I847,9,FALSE()),"please select a BUG ID")</f>
        <v>please select a BUG ID</v>
      </c>
      <c r="E513" s="52"/>
      <c r="F513" s="52"/>
      <c r="G513" s="43"/>
      <c r="H513" s="52"/>
      <c r="J513" s="52"/>
      <c r="K513" s="52"/>
    </row>
    <row r="514">
      <c r="A514" s="43"/>
      <c r="B514" s="38" t="str">
        <f>IFERROR(HYPERLINK(VLOOKUP(A514,Internal_lists_bugs!$A$2:$C$73,3,FALSE()), VLOOKUP(A514,Internal_lists_bugs!$A$2:$C$73,3,FALSE())&amp;Char(10) &amp; Char(10) &amp; VLOOKUP(A514,Internal_lists_bugs!$A$2:$Z$73,26,FALSE())),"please select a BUG ID")</f>
        <v>please select a BUG ID</v>
      </c>
      <c r="C514" s="51" t="str">
        <f>IFERROR(VLOOKUP(A514,Internal_lists_bugs!$A$2:$G847,7,FALSE()),"please select a BUG ID")</f>
        <v>please select a BUG ID</v>
      </c>
      <c r="D514" s="51" t="str">
        <f>IFERROR(VLOOKUP(A514,Internal_lists_bugs!$A$2:$I847,9,FALSE()),"please select a BUG ID")</f>
        <v>please select a BUG ID</v>
      </c>
      <c r="E514" s="52"/>
      <c r="F514" s="52"/>
      <c r="G514" s="43"/>
      <c r="H514" s="52"/>
      <c r="J514" s="52"/>
      <c r="K514" s="52"/>
    </row>
    <row r="515">
      <c r="A515" s="43"/>
      <c r="B515" s="38" t="str">
        <f>IFERROR(HYPERLINK(VLOOKUP(A515,Internal_lists_bugs!$A$2:$C$73,3,FALSE()), VLOOKUP(A515,Internal_lists_bugs!$A$2:$C$73,3,FALSE())&amp;Char(10) &amp; Char(10) &amp; VLOOKUP(A515,Internal_lists_bugs!$A$2:$Z$73,26,FALSE())),"please select a BUG ID")</f>
        <v>please select a BUG ID</v>
      </c>
      <c r="C515" s="51" t="str">
        <f>IFERROR(VLOOKUP(A515,Internal_lists_bugs!$A$2:$G847,7,FALSE()),"please select a BUG ID")</f>
        <v>please select a BUG ID</v>
      </c>
      <c r="D515" s="51" t="str">
        <f>IFERROR(VLOOKUP(A515,Internal_lists_bugs!$A$2:$I847,9,FALSE()),"please select a BUG ID")</f>
        <v>please select a BUG ID</v>
      </c>
      <c r="E515" s="52"/>
      <c r="F515" s="52"/>
      <c r="G515" s="43"/>
      <c r="H515" s="52"/>
      <c r="J515" s="52"/>
      <c r="K515" s="52"/>
    </row>
    <row r="516">
      <c r="A516" s="43"/>
      <c r="B516" s="38" t="str">
        <f>IFERROR(HYPERLINK(VLOOKUP(A516,Internal_lists_bugs!$A$2:$C$73,3,FALSE()), VLOOKUP(A516,Internal_lists_bugs!$A$2:$C$73,3,FALSE())&amp;Char(10) &amp; Char(10) &amp; VLOOKUP(A516,Internal_lists_bugs!$A$2:$Z$73,26,FALSE())),"please select a BUG ID")</f>
        <v>please select a BUG ID</v>
      </c>
      <c r="C516" s="51" t="str">
        <f>IFERROR(VLOOKUP(A516,Internal_lists_bugs!$A$2:$G847,7,FALSE()),"please select a BUG ID")</f>
        <v>please select a BUG ID</v>
      </c>
      <c r="D516" s="51" t="str">
        <f>IFERROR(VLOOKUP(A516,Internal_lists_bugs!$A$2:$I847,9,FALSE()),"please select a BUG ID")</f>
        <v>please select a BUG ID</v>
      </c>
      <c r="E516" s="52"/>
      <c r="F516" s="52"/>
      <c r="G516" s="43"/>
      <c r="H516" s="52"/>
      <c r="J516" s="52"/>
      <c r="K516" s="52"/>
    </row>
    <row r="517">
      <c r="A517" s="43"/>
      <c r="B517" s="38" t="str">
        <f>IFERROR(HYPERLINK(VLOOKUP(A517,Internal_lists_bugs!$A$2:$C$73,3,FALSE()), VLOOKUP(A517,Internal_lists_bugs!$A$2:$C$73,3,FALSE())&amp;Char(10) &amp; Char(10) &amp; VLOOKUP(A517,Internal_lists_bugs!$A$2:$Z$73,26,FALSE())),"please select a BUG ID")</f>
        <v>please select a BUG ID</v>
      </c>
      <c r="C517" s="51" t="str">
        <f>IFERROR(VLOOKUP(A517,Internal_lists_bugs!$A$2:$G847,7,FALSE()),"please select a BUG ID")</f>
        <v>please select a BUG ID</v>
      </c>
      <c r="D517" s="51" t="str">
        <f>IFERROR(VLOOKUP(A517,Internal_lists_bugs!$A$2:$I847,9,FALSE()),"please select a BUG ID")</f>
        <v>please select a BUG ID</v>
      </c>
      <c r="E517" s="52"/>
      <c r="F517" s="52"/>
      <c r="G517" s="43"/>
      <c r="H517" s="52"/>
      <c r="J517" s="52"/>
      <c r="K517" s="52"/>
    </row>
    <row r="518">
      <c r="A518" s="43"/>
      <c r="B518" s="38" t="str">
        <f>IFERROR(HYPERLINK(VLOOKUP(A518,Internal_lists_bugs!$A$2:$C$73,3,FALSE()), VLOOKUP(A518,Internal_lists_bugs!$A$2:$C$73,3,FALSE())&amp;Char(10) &amp; Char(10) &amp; VLOOKUP(A518,Internal_lists_bugs!$A$2:$Z$73,26,FALSE())),"please select a BUG ID")</f>
        <v>please select a BUG ID</v>
      </c>
      <c r="C518" s="51" t="str">
        <f>IFERROR(VLOOKUP(A518,Internal_lists_bugs!$A$2:$G847,7,FALSE()),"please select a BUG ID")</f>
        <v>please select a BUG ID</v>
      </c>
      <c r="D518" s="51" t="str">
        <f>IFERROR(VLOOKUP(A518,Internal_lists_bugs!$A$2:$I847,9,FALSE()),"please select a BUG ID")</f>
        <v>please select a BUG ID</v>
      </c>
      <c r="E518" s="52"/>
      <c r="F518" s="52"/>
      <c r="G518" s="43"/>
      <c r="H518" s="52"/>
      <c r="J518" s="52"/>
      <c r="K518" s="52"/>
    </row>
    <row r="519">
      <c r="A519" s="43"/>
      <c r="B519" s="38" t="str">
        <f>IFERROR(HYPERLINK(VLOOKUP(A519,Internal_lists_bugs!$A$2:$C$73,3,FALSE()), VLOOKUP(A519,Internal_lists_bugs!$A$2:$C$73,3,FALSE())&amp;Char(10) &amp; Char(10) &amp; VLOOKUP(A519,Internal_lists_bugs!$A$2:$Z$73,26,FALSE())),"please select a BUG ID")</f>
        <v>please select a BUG ID</v>
      </c>
      <c r="C519" s="51" t="str">
        <f>IFERROR(VLOOKUP(A519,Internal_lists_bugs!$A$2:$G847,7,FALSE()),"please select a BUG ID")</f>
        <v>please select a BUG ID</v>
      </c>
      <c r="D519" s="51" t="str">
        <f>IFERROR(VLOOKUP(A519,Internal_lists_bugs!$A$2:$I847,9,FALSE()),"please select a BUG ID")</f>
        <v>please select a BUG ID</v>
      </c>
      <c r="E519" s="52"/>
      <c r="F519" s="52"/>
      <c r="G519" s="43"/>
      <c r="H519" s="52"/>
      <c r="J519" s="52"/>
      <c r="K519" s="52"/>
    </row>
    <row r="520">
      <c r="A520" s="43"/>
      <c r="B520" s="38" t="str">
        <f>IFERROR(HYPERLINK(VLOOKUP(A520,Internal_lists_bugs!$A$2:$C$73,3,FALSE()), VLOOKUP(A520,Internal_lists_bugs!$A$2:$C$73,3,FALSE())&amp;Char(10) &amp; Char(10) &amp; VLOOKUP(A520,Internal_lists_bugs!$A$2:$Z$73,26,FALSE())),"please select a BUG ID")</f>
        <v>please select a BUG ID</v>
      </c>
      <c r="C520" s="51" t="str">
        <f>IFERROR(VLOOKUP(A520,Internal_lists_bugs!$A$2:$G847,7,FALSE()),"please select a BUG ID")</f>
        <v>please select a BUG ID</v>
      </c>
      <c r="D520" s="51" t="str">
        <f>IFERROR(VLOOKUP(A520,Internal_lists_bugs!$A$2:$I847,9,FALSE()),"please select a BUG ID")</f>
        <v>please select a BUG ID</v>
      </c>
      <c r="E520" s="52"/>
      <c r="F520" s="52"/>
      <c r="G520" s="43"/>
      <c r="H520" s="52"/>
      <c r="J520" s="52"/>
      <c r="K520" s="52"/>
    </row>
    <row r="521">
      <c r="A521" s="43"/>
      <c r="B521" s="38" t="str">
        <f>IFERROR(HYPERLINK(VLOOKUP(A521,Internal_lists_bugs!$A$2:$C$73,3,FALSE()), VLOOKUP(A521,Internal_lists_bugs!$A$2:$C$73,3,FALSE())&amp;Char(10) &amp; Char(10) &amp; VLOOKUP(A521,Internal_lists_bugs!$A$2:$Z$73,26,FALSE())),"please select a BUG ID")</f>
        <v>please select a BUG ID</v>
      </c>
      <c r="C521" s="51" t="str">
        <f>IFERROR(VLOOKUP(A521,Internal_lists_bugs!$A$2:$G847,7,FALSE()),"please select a BUG ID")</f>
        <v>please select a BUG ID</v>
      </c>
      <c r="D521" s="51" t="str">
        <f>IFERROR(VLOOKUP(A521,Internal_lists_bugs!$A$2:$I847,9,FALSE()),"please select a BUG ID")</f>
        <v>please select a BUG ID</v>
      </c>
      <c r="E521" s="52"/>
      <c r="F521" s="52"/>
      <c r="G521" s="43"/>
      <c r="H521" s="52"/>
      <c r="J521" s="52"/>
      <c r="K521" s="52"/>
    </row>
    <row r="522">
      <c r="A522" s="43"/>
      <c r="B522" s="38" t="str">
        <f>IFERROR(HYPERLINK(VLOOKUP(A522,Internal_lists_bugs!$A$2:$C$73,3,FALSE()), VLOOKUP(A522,Internal_lists_bugs!$A$2:$C$73,3,FALSE())&amp;Char(10) &amp; Char(10) &amp; VLOOKUP(A522,Internal_lists_bugs!$A$2:$Z$73,26,FALSE())),"please select a BUG ID")</f>
        <v>please select a BUG ID</v>
      </c>
      <c r="C522" s="51" t="str">
        <f>IFERROR(VLOOKUP(A522,Internal_lists_bugs!$A$2:$G847,7,FALSE()),"please select a BUG ID")</f>
        <v>please select a BUG ID</v>
      </c>
      <c r="D522" s="51" t="str">
        <f>IFERROR(VLOOKUP(A522,Internal_lists_bugs!$A$2:$I847,9,FALSE()),"please select a BUG ID")</f>
        <v>please select a BUG ID</v>
      </c>
      <c r="E522" s="52"/>
      <c r="F522" s="52"/>
      <c r="G522" s="43"/>
      <c r="H522" s="52"/>
      <c r="J522" s="52"/>
      <c r="K522" s="52"/>
    </row>
    <row r="523">
      <c r="A523" s="43"/>
      <c r="B523" s="38" t="str">
        <f>IFERROR(HYPERLINK(VLOOKUP(A523,Internal_lists_bugs!$A$2:$C$73,3,FALSE()), VLOOKUP(A523,Internal_lists_bugs!$A$2:$C$73,3,FALSE())&amp;Char(10) &amp; Char(10) &amp; VLOOKUP(A523,Internal_lists_bugs!$A$2:$Z$73,26,FALSE())),"please select a BUG ID")</f>
        <v>please select a BUG ID</v>
      </c>
      <c r="C523" s="51" t="str">
        <f>IFERROR(VLOOKUP(A523,Internal_lists_bugs!$A$2:$G847,7,FALSE()),"please select a BUG ID")</f>
        <v>please select a BUG ID</v>
      </c>
      <c r="D523" s="51" t="str">
        <f>IFERROR(VLOOKUP(A523,Internal_lists_bugs!$A$2:$I847,9,FALSE()),"please select a BUG ID")</f>
        <v>please select a BUG ID</v>
      </c>
      <c r="E523" s="52"/>
      <c r="F523" s="52"/>
      <c r="G523" s="43"/>
      <c r="H523" s="52"/>
      <c r="J523" s="52"/>
      <c r="K523" s="52"/>
    </row>
    <row r="524">
      <c r="A524" s="43"/>
      <c r="B524" s="38" t="str">
        <f>IFERROR(HYPERLINK(VLOOKUP(A524,Internal_lists_bugs!$A$2:$C$73,3,FALSE()), VLOOKUP(A524,Internal_lists_bugs!$A$2:$C$73,3,FALSE())&amp;Char(10) &amp; Char(10) &amp; VLOOKUP(A524,Internal_lists_bugs!$A$2:$Z$73,26,FALSE())),"please select a BUG ID")</f>
        <v>please select a BUG ID</v>
      </c>
      <c r="C524" s="51" t="str">
        <f>IFERROR(VLOOKUP(A524,Internal_lists_bugs!$A$2:$G847,7,FALSE()),"please select a BUG ID")</f>
        <v>please select a BUG ID</v>
      </c>
      <c r="D524" s="51" t="str">
        <f>IFERROR(VLOOKUP(A524,Internal_lists_bugs!$A$2:$I847,9,FALSE()),"please select a BUG ID")</f>
        <v>please select a BUG ID</v>
      </c>
      <c r="E524" s="52"/>
      <c r="F524" s="52"/>
      <c r="G524" s="43"/>
      <c r="H524" s="52"/>
      <c r="J524" s="52"/>
      <c r="K524" s="52"/>
    </row>
    <row r="525">
      <c r="A525" s="43"/>
      <c r="B525" s="38" t="str">
        <f>IFERROR(HYPERLINK(VLOOKUP(A525,Internal_lists_bugs!$A$2:$C$73,3,FALSE()), VLOOKUP(A525,Internal_lists_bugs!$A$2:$C$73,3,FALSE())&amp;Char(10) &amp; Char(10) &amp; VLOOKUP(A525,Internal_lists_bugs!$A$2:$Z$73,26,FALSE())),"please select a BUG ID")</f>
        <v>please select a BUG ID</v>
      </c>
      <c r="C525" s="51" t="str">
        <f>IFERROR(VLOOKUP(A525,Internal_lists_bugs!$A$2:$G847,7,FALSE()),"please select a BUG ID")</f>
        <v>please select a BUG ID</v>
      </c>
      <c r="D525" s="51" t="str">
        <f>IFERROR(VLOOKUP(A525,Internal_lists_bugs!$A$2:$I847,9,FALSE()),"please select a BUG ID")</f>
        <v>please select a BUG ID</v>
      </c>
      <c r="E525" s="52"/>
      <c r="F525" s="52"/>
      <c r="G525" s="43"/>
      <c r="H525" s="52"/>
      <c r="J525" s="52"/>
      <c r="K525" s="52"/>
    </row>
    <row r="526">
      <c r="A526" s="43"/>
      <c r="B526" s="38" t="str">
        <f>IFERROR(HYPERLINK(VLOOKUP(A526,Internal_lists_bugs!$A$2:$C$73,3,FALSE()), VLOOKUP(A526,Internal_lists_bugs!$A$2:$C$73,3,FALSE())&amp;Char(10) &amp; Char(10) &amp; VLOOKUP(A526,Internal_lists_bugs!$A$2:$Z$73,26,FALSE())),"please select a BUG ID")</f>
        <v>please select a BUG ID</v>
      </c>
      <c r="C526" s="51" t="str">
        <f>IFERROR(VLOOKUP(A526,Internal_lists_bugs!$A$2:$G847,7,FALSE()),"please select a BUG ID")</f>
        <v>please select a BUG ID</v>
      </c>
      <c r="D526" s="51" t="str">
        <f>IFERROR(VLOOKUP(A526,Internal_lists_bugs!$A$2:$I847,9,FALSE()),"please select a BUG ID")</f>
        <v>please select a BUG ID</v>
      </c>
      <c r="E526" s="52"/>
      <c r="F526" s="52"/>
      <c r="G526" s="43"/>
      <c r="H526" s="52"/>
      <c r="J526" s="52"/>
      <c r="K526" s="52"/>
    </row>
    <row r="527">
      <c r="A527" s="43"/>
      <c r="B527" s="38" t="str">
        <f>IFERROR(HYPERLINK(VLOOKUP(A527,Internal_lists_bugs!$A$2:$C$73,3,FALSE()), VLOOKUP(A527,Internal_lists_bugs!$A$2:$C$73,3,FALSE())&amp;Char(10) &amp; Char(10) &amp; VLOOKUP(A527,Internal_lists_bugs!$A$2:$Z$73,26,FALSE())),"please select a BUG ID")</f>
        <v>please select a BUG ID</v>
      </c>
      <c r="C527" s="51" t="str">
        <f>IFERROR(VLOOKUP(A527,Internal_lists_bugs!$A$2:$G847,7,FALSE()),"please select a BUG ID")</f>
        <v>please select a BUG ID</v>
      </c>
      <c r="D527" s="51" t="str">
        <f>IFERROR(VLOOKUP(A527,Internal_lists_bugs!$A$2:$I847,9,FALSE()),"please select a BUG ID")</f>
        <v>please select a BUG ID</v>
      </c>
      <c r="E527" s="52"/>
      <c r="F527" s="52"/>
      <c r="G527" s="43"/>
      <c r="H527" s="52"/>
      <c r="J527" s="52"/>
      <c r="K527" s="52"/>
    </row>
    <row r="528">
      <c r="A528" s="43"/>
      <c r="B528" s="38" t="str">
        <f>IFERROR(HYPERLINK(VLOOKUP(A528,Internal_lists_bugs!$A$2:$C$73,3,FALSE()), VLOOKUP(A528,Internal_lists_bugs!$A$2:$C$73,3,FALSE())&amp;Char(10) &amp; Char(10) &amp; VLOOKUP(A528,Internal_lists_bugs!$A$2:$Z$73,26,FALSE())),"please select a BUG ID")</f>
        <v>please select a BUG ID</v>
      </c>
      <c r="C528" s="51" t="str">
        <f>IFERROR(VLOOKUP(A528,Internal_lists_bugs!$A$2:$G847,7,FALSE()),"please select a BUG ID")</f>
        <v>please select a BUG ID</v>
      </c>
      <c r="D528" s="51" t="str">
        <f>IFERROR(VLOOKUP(A528,Internal_lists_bugs!$A$2:$I847,9,FALSE()),"please select a BUG ID")</f>
        <v>please select a BUG ID</v>
      </c>
      <c r="E528" s="52"/>
      <c r="F528" s="52"/>
      <c r="G528" s="43"/>
      <c r="H528" s="52"/>
      <c r="J528" s="52"/>
      <c r="K528" s="52"/>
    </row>
    <row r="529">
      <c r="A529" s="43"/>
      <c r="B529" s="38" t="str">
        <f>IFERROR(HYPERLINK(VLOOKUP(A529,Internal_lists_bugs!$A$2:$C$73,3,FALSE()), VLOOKUP(A529,Internal_lists_bugs!$A$2:$C$73,3,FALSE())&amp;Char(10) &amp; Char(10) &amp; VLOOKUP(A529,Internal_lists_bugs!$A$2:$Z$73,26,FALSE())),"please select a BUG ID")</f>
        <v>please select a BUG ID</v>
      </c>
      <c r="C529" s="51" t="str">
        <f>IFERROR(VLOOKUP(A529,Internal_lists_bugs!$A$2:$G847,7,FALSE()),"please select a BUG ID")</f>
        <v>please select a BUG ID</v>
      </c>
      <c r="D529" s="51" t="str">
        <f>IFERROR(VLOOKUP(A529,Internal_lists_bugs!$A$2:$I847,9,FALSE()),"please select a BUG ID")</f>
        <v>please select a BUG ID</v>
      </c>
      <c r="E529" s="52"/>
      <c r="F529" s="52"/>
      <c r="G529" s="43"/>
      <c r="H529" s="52"/>
      <c r="J529" s="52"/>
      <c r="K529" s="52"/>
    </row>
    <row r="530">
      <c r="A530" s="43"/>
      <c r="B530" s="38" t="str">
        <f>IFERROR(HYPERLINK(VLOOKUP(A530,Internal_lists_bugs!$A$2:$C$73,3,FALSE()), VLOOKUP(A530,Internal_lists_bugs!$A$2:$C$73,3,FALSE())&amp;Char(10) &amp; Char(10) &amp; VLOOKUP(A530,Internal_lists_bugs!$A$2:$Z$73,26,FALSE())),"please select a BUG ID")</f>
        <v>please select a BUG ID</v>
      </c>
      <c r="C530" s="51" t="str">
        <f>IFERROR(VLOOKUP(A530,Internal_lists_bugs!$A$2:$G847,7,FALSE()),"please select a BUG ID")</f>
        <v>please select a BUG ID</v>
      </c>
      <c r="D530" s="51" t="str">
        <f>IFERROR(VLOOKUP(A530,Internal_lists_bugs!$A$2:$I847,9,FALSE()),"please select a BUG ID")</f>
        <v>please select a BUG ID</v>
      </c>
      <c r="E530" s="52"/>
      <c r="F530" s="52"/>
      <c r="G530" s="43"/>
      <c r="H530" s="52"/>
      <c r="J530" s="52"/>
      <c r="K530" s="52"/>
    </row>
    <row r="531">
      <c r="A531" s="43"/>
      <c r="B531" s="38" t="str">
        <f>IFERROR(HYPERLINK(VLOOKUP(A531,Internal_lists_bugs!$A$2:$C$73,3,FALSE()), VLOOKUP(A531,Internal_lists_bugs!$A$2:$C$73,3,FALSE())&amp;Char(10) &amp; Char(10) &amp; VLOOKUP(A531,Internal_lists_bugs!$A$2:$Z$73,26,FALSE())),"please select a BUG ID")</f>
        <v>please select a BUG ID</v>
      </c>
      <c r="C531" s="51" t="str">
        <f>IFERROR(VLOOKUP(A531,Internal_lists_bugs!$A$2:$G847,7,FALSE()),"please select a BUG ID")</f>
        <v>please select a BUG ID</v>
      </c>
      <c r="D531" s="51" t="str">
        <f>IFERROR(VLOOKUP(A531,Internal_lists_bugs!$A$2:$I847,9,FALSE()),"please select a BUG ID")</f>
        <v>please select a BUG ID</v>
      </c>
      <c r="E531" s="52"/>
      <c r="F531" s="52"/>
      <c r="G531" s="43"/>
      <c r="H531" s="52"/>
      <c r="J531" s="52"/>
      <c r="K531" s="52"/>
    </row>
    <row r="532">
      <c r="A532" s="43"/>
      <c r="B532" s="38" t="str">
        <f>IFERROR(HYPERLINK(VLOOKUP(A532,Internal_lists_bugs!$A$2:$C$73,3,FALSE()), VLOOKUP(A532,Internal_lists_bugs!$A$2:$C$73,3,FALSE())&amp;Char(10) &amp; Char(10) &amp; VLOOKUP(A532,Internal_lists_bugs!$A$2:$Z$73,26,FALSE())),"please select a BUG ID")</f>
        <v>please select a BUG ID</v>
      </c>
      <c r="C532" s="51" t="str">
        <f>IFERROR(VLOOKUP(A532,Internal_lists_bugs!$A$2:$G847,7,FALSE()),"please select a BUG ID")</f>
        <v>please select a BUG ID</v>
      </c>
      <c r="D532" s="51" t="str">
        <f>IFERROR(VLOOKUP(A532,Internal_lists_bugs!$A$2:$I847,9,FALSE()),"please select a BUG ID")</f>
        <v>please select a BUG ID</v>
      </c>
      <c r="E532" s="52"/>
      <c r="F532" s="52"/>
      <c r="G532" s="43"/>
      <c r="H532" s="52"/>
      <c r="J532" s="52"/>
      <c r="K532" s="52"/>
    </row>
    <row r="533">
      <c r="A533" s="43"/>
      <c r="B533" s="38" t="str">
        <f>IFERROR(HYPERLINK(VLOOKUP(A533,Internal_lists_bugs!$A$2:$C$73,3,FALSE()), VLOOKUP(A533,Internal_lists_bugs!$A$2:$C$73,3,FALSE())&amp;Char(10) &amp; Char(10) &amp; VLOOKUP(A533,Internal_lists_bugs!$A$2:$Z$73,26,FALSE())),"please select a BUG ID")</f>
        <v>please select a BUG ID</v>
      </c>
      <c r="C533" s="51" t="str">
        <f>IFERROR(VLOOKUP(A533,Internal_lists_bugs!$A$2:$G847,7,FALSE()),"please select a BUG ID")</f>
        <v>please select a BUG ID</v>
      </c>
      <c r="D533" s="51" t="str">
        <f>IFERROR(VLOOKUP(A533,Internal_lists_bugs!$A$2:$I847,9,FALSE()),"please select a BUG ID")</f>
        <v>please select a BUG ID</v>
      </c>
      <c r="E533" s="52"/>
      <c r="F533" s="52"/>
      <c r="G533" s="43"/>
      <c r="H533" s="52"/>
      <c r="J533" s="52"/>
      <c r="K533" s="52"/>
    </row>
    <row r="534">
      <c r="A534" s="43"/>
      <c r="B534" s="38" t="str">
        <f>IFERROR(HYPERLINK(VLOOKUP(A534,Internal_lists_bugs!$A$2:$C$73,3,FALSE()), VLOOKUP(A534,Internal_lists_bugs!$A$2:$C$73,3,FALSE())&amp;Char(10) &amp; Char(10) &amp; VLOOKUP(A534,Internal_lists_bugs!$A$2:$Z$73,26,FALSE())),"please select a BUG ID")</f>
        <v>please select a BUG ID</v>
      </c>
      <c r="C534" s="51" t="str">
        <f>IFERROR(VLOOKUP(A534,Internal_lists_bugs!$A$2:$G847,7,FALSE()),"please select a BUG ID")</f>
        <v>please select a BUG ID</v>
      </c>
      <c r="D534" s="51" t="str">
        <f>IFERROR(VLOOKUP(A534,Internal_lists_bugs!$A$2:$I847,9,FALSE()),"please select a BUG ID")</f>
        <v>please select a BUG ID</v>
      </c>
      <c r="E534" s="52"/>
      <c r="F534" s="52"/>
      <c r="G534" s="43"/>
      <c r="H534" s="52"/>
      <c r="J534" s="52"/>
      <c r="K534" s="52"/>
    </row>
    <row r="535">
      <c r="A535" s="43"/>
      <c r="B535" s="38" t="str">
        <f>IFERROR(HYPERLINK(VLOOKUP(A535,Internal_lists_bugs!$A$2:$C$73,3,FALSE()), VLOOKUP(A535,Internal_lists_bugs!$A$2:$C$73,3,FALSE())&amp;Char(10) &amp; Char(10) &amp; VLOOKUP(A535,Internal_lists_bugs!$A$2:$Z$73,26,FALSE())),"please select a BUG ID")</f>
        <v>please select a BUG ID</v>
      </c>
      <c r="C535" s="51" t="str">
        <f>IFERROR(VLOOKUP(A535,Internal_lists_bugs!$A$2:$G847,7,FALSE()),"please select a BUG ID")</f>
        <v>please select a BUG ID</v>
      </c>
      <c r="D535" s="51" t="str">
        <f>IFERROR(VLOOKUP(A535,Internal_lists_bugs!$A$2:$I847,9,FALSE()),"please select a BUG ID")</f>
        <v>please select a BUG ID</v>
      </c>
      <c r="E535" s="52"/>
      <c r="F535" s="52"/>
      <c r="G535" s="43"/>
      <c r="H535" s="52"/>
      <c r="J535" s="52"/>
      <c r="K535" s="52"/>
    </row>
    <row r="536">
      <c r="A536" s="43"/>
      <c r="B536" s="38" t="str">
        <f>IFERROR(HYPERLINK(VLOOKUP(A536,Internal_lists_bugs!$A$2:$C$73,3,FALSE()), VLOOKUP(A536,Internal_lists_bugs!$A$2:$C$73,3,FALSE())&amp;Char(10) &amp; Char(10) &amp; VLOOKUP(A536,Internal_lists_bugs!$A$2:$Z$73,26,FALSE())),"please select a BUG ID")</f>
        <v>please select a BUG ID</v>
      </c>
      <c r="C536" s="51" t="str">
        <f>IFERROR(VLOOKUP(A536,Internal_lists_bugs!$A$2:$G847,7,FALSE()),"please select a BUG ID")</f>
        <v>please select a BUG ID</v>
      </c>
      <c r="D536" s="51" t="str">
        <f>IFERROR(VLOOKUP(A536,Internal_lists_bugs!$A$2:$I847,9,FALSE()),"please select a BUG ID")</f>
        <v>please select a BUG ID</v>
      </c>
      <c r="E536" s="52"/>
      <c r="F536" s="52"/>
      <c r="G536" s="43"/>
      <c r="H536" s="52"/>
      <c r="J536" s="52"/>
      <c r="K536" s="52"/>
    </row>
    <row r="537">
      <c r="A537" s="43"/>
      <c r="B537" s="38" t="str">
        <f>IFERROR(HYPERLINK(VLOOKUP(A537,Internal_lists_bugs!$A$2:$C$73,3,FALSE()), VLOOKUP(A537,Internal_lists_bugs!$A$2:$C$73,3,FALSE())&amp;Char(10) &amp; Char(10) &amp; VLOOKUP(A537,Internal_lists_bugs!$A$2:$Z$73,26,FALSE())),"please select a BUG ID")</f>
        <v>please select a BUG ID</v>
      </c>
      <c r="C537" s="51" t="str">
        <f>IFERROR(VLOOKUP(A537,Internal_lists_bugs!$A$2:$G847,7,FALSE()),"please select a BUG ID")</f>
        <v>please select a BUG ID</v>
      </c>
      <c r="D537" s="51" t="str">
        <f>IFERROR(VLOOKUP(A537,Internal_lists_bugs!$A$2:$I847,9,FALSE()),"please select a BUG ID")</f>
        <v>please select a BUG ID</v>
      </c>
      <c r="E537" s="52"/>
      <c r="F537" s="52"/>
      <c r="G537" s="43"/>
      <c r="H537" s="52"/>
      <c r="J537" s="52"/>
      <c r="K537" s="52"/>
    </row>
    <row r="538">
      <c r="A538" s="43"/>
      <c r="B538" s="38" t="str">
        <f>IFERROR(HYPERLINK(VLOOKUP(A538,Internal_lists_bugs!$A$2:$C$73,3,FALSE()), VLOOKUP(A538,Internal_lists_bugs!$A$2:$C$73,3,FALSE())&amp;Char(10) &amp; Char(10) &amp; VLOOKUP(A538,Internal_lists_bugs!$A$2:$Z$73,26,FALSE())),"please select a BUG ID")</f>
        <v>please select a BUG ID</v>
      </c>
      <c r="C538" s="51" t="str">
        <f>IFERROR(VLOOKUP(A538,Internal_lists_bugs!$A$2:$G847,7,FALSE()),"please select a BUG ID")</f>
        <v>please select a BUG ID</v>
      </c>
      <c r="D538" s="51" t="str">
        <f>IFERROR(VLOOKUP(A538,Internal_lists_bugs!$A$2:$I847,9,FALSE()),"please select a BUG ID")</f>
        <v>please select a BUG ID</v>
      </c>
      <c r="E538" s="52"/>
      <c r="F538" s="52"/>
      <c r="G538" s="43"/>
      <c r="H538" s="52"/>
      <c r="J538" s="52"/>
      <c r="K538" s="52"/>
    </row>
    <row r="539">
      <c r="A539" s="43"/>
      <c r="B539" s="38" t="str">
        <f>IFERROR(HYPERLINK(VLOOKUP(A539,Internal_lists_bugs!$A$2:$C$73,3,FALSE()), VLOOKUP(A539,Internal_lists_bugs!$A$2:$C$73,3,FALSE())&amp;Char(10) &amp; Char(10) &amp; VLOOKUP(A539,Internal_lists_bugs!$A$2:$Z$73,26,FALSE())),"please select a BUG ID")</f>
        <v>please select a BUG ID</v>
      </c>
      <c r="C539" s="51" t="str">
        <f>IFERROR(VLOOKUP(A539,Internal_lists_bugs!$A$2:$G847,7,FALSE()),"please select a BUG ID")</f>
        <v>please select a BUG ID</v>
      </c>
      <c r="D539" s="51" t="str">
        <f>IFERROR(VLOOKUP(A539,Internal_lists_bugs!$A$2:$I847,9,FALSE()),"please select a BUG ID")</f>
        <v>please select a BUG ID</v>
      </c>
      <c r="E539" s="52"/>
      <c r="F539" s="52"/>
      <c r="G539" s="43"/>
      <c r="H539" s="52"/>
      <c r="J539" s="52"/>
      <c r="K539" s="52"/>
    </row>
    <row r="540">
      <c r="A540" s="43"/>
      <c r="B540" s="38" t="str">
        <f>IFERROR(HYPERLINK(VLOOKUP(A540,Internal_lists_bugs!$A$2:$C$73,3,FALSE()), VLOOKUP(A540,Internal_lists_bugs!$A$2:$C$73,3,FALSE())&amp;Char(10) &amp; Char(10) &amp; VLOOKUP(A540,Internal_lists_bugs!$A$2:$Z$73,26,FALSE())),"please select a BUG ID")</f>
        <v>please select a BUG ID</v>
      </c>
      <c r="C540" s="51" t="str">
        <f>IFERROR(VLOOKUP(A540,Internal_lists_bugs!$A$2:$G847,7,FALSE()),"please select a BUG ID")</f>
        <v>please select a BUG ID</v>
      </c>
      <c r="D540" s="51" t="str">
        <f>IFERROR(VLOOKUP(A540,Internal_lists_bugs!$A$2:$I847,9,FALSE()),"please select a BUG ID")</f>
        <v>please select a BUG ID</v>
      </c>
      <c r="E540" s="52"/>
      <c r="F540" s="52"/>
      <c r="G540" s="43"/>
      <c r="H540" s="52"/>
      <c r="J540" s="52"/>
      <c r="K540" s="52"/>
    </row>
    <row r="541">
      <c r="A541" s="43"/>
      <c r="B541" s="38" t="str">
        <f>IFERROR(HYPERLINK(VLOOKUP(A541,Internal_lists_bugs!$A$2:$C$73,3,FALSE()), VLOOKUP(A541,Internal_lists_bugs!$A$2:$C$73,3,FALSE())&amp;Char(10) &amp; Char(10) &amp; VLOOKUP(A541,Internal_lists_bugs!$A$2:$Z$73,26,FALSE())),"please select a BUG ID")</f>
        <v>please select a BUG ID</v>
      </c>
      <c r="C541" s="51" t="str">
        <f>IFERROR(VLOOKUP(A541,Internal_lists_bugs!$A$2:$G847,7,FALSE()),"please select a BUG ID")</f>
        <v>please select a BUG ID</v>
      </c>
      <c r="D541" s="51" t="str">
        <f>IFERROR(VLOOKUP(A541,Internal_lists_bugs!$A$2:$I847,9,FALSE()),"please select a BUG ID")</f>
        <v>please select a BUG ID</v>
      </c>
      <c r="E541" s="52"/>
      <c r="F541" s="52"/>
      <c r="G541" s="43"/>
      <c r="H541" s="52"/>
      <c r="J541" s="52"/>
      <c r="K541" s="52"/>
    </row>
    <row r="542">
      <c r="A542" s="43"/>
      <c r="B542" s="38" t="str">
        <f>IFERROR(HYPERLINK(VLOOKUP(A542,Internal_lists_bugs!$A$2:$C$73,3,FALSE()), VLOOKUP(A542,Internal_lists_bugs!$A$2:$C$73,3,FALSE())&amp;Char(10) &amp; Char(10) &amp; VLOOKUP(A542,Internal_lists_bugs!$A$2:$Z$73,26,FALSE())),"please select a BUG ID")</f>
        <v>please select a BUG ID</v>
      </c>
      <c r="C542" s="51" t="str">
        <f>IFERROR(VLOOKUP(A542,Internal_lists_bugs!$A$2:$G847,7,FALSE()),"please select a BUG ID")</f>
        <v>please select a BUG ID</v>
      </c>
      <c r="D542" s="51" t="str">
        <f>IFERROR(VLOOKUP(A542,Internal_lists_bugs!$A$2:$I847,9,FALSE()),"please select a BUG ID")</f>
        <v>please select a BUG ID</v>
      </c>
      <c r="E542" s="52"/>
      <c r="F542" s="52"/>
      <c r="G542" s="43"/>
      <c r="H542" s="52"/>
      <c r="J542" s="52"/>
      <c r="K542" s="52"/>
    </row>
    <row r="543">
      <c r="A543" s="43"/>
      <c r="B543" s="38" t="str">
        <f>IFERROR(HYPERLINK(VLOOKUP(A543,Internal_lists_bugs!$A$2:$C$73,3,FALSE()), VLOOKUP(A543,Internal_lists_bugs!$A$2:$C$73,3,FALSE())&amp;Char(10) &amp; Char(10) &amp; VLOOKUP(A543,Internal_lists_bugs!$A$2:$Z$73,26,FALSE())),"please select a BUG ID")</f>
        <v>please select a BUG ID</v>
      </c>
      <c r="C543" s="51" t="str">
        <f>IFERROR(VLOOKUP(A543,Internal_lists_bugs!$A$2:$G847,7,FALSE()),"please select a BUG ID")</f>
        <v>please select a BUG ID</v>
      </c>
      <c r="D543" s="51" t="str">
        <f>IFERROR(VLOOKUP(A543,Internal_lists_bugs!$A$2:$I847,9,FALSE()),"please select a BUG ID")</f>
        <v>please select a BUG ID</v>
      </c>
      <c r="E543" s="52"/>
      <c r="F543" s="52"/>
      <c r="G543" s="43"/>
      <c r="H543" s="52"/>
      <c r="J543" s="52"/>
      <c r="K543" s="52"/>
    </row>
    <row r="544">
      <c r="A544" s="43"/>
      <c r="B544" s="38" t="str">
        <f>IFERROR(HYPERLINK(VLOOKUP(A544,Internal_lists_bugs!$A$2:$C$73,3,FALSE()), VLOOKUP(A544,Internal_lists_bugs!$A$2:$C$73,3,FALSE())&amp;Char(10) &amp; Char(10) &amp; VLOOKUP(A544,Internal_lists_bugs!$A$2:$Z$73,26,FALSE())),"please select a BUG ID")</f>
        <v>please select a BUG ID</v>
      </c>
      <c r="C544" s="51" t="str">
        <f>IFERROR(VLOOKUP(A544,Internal_lists_bugs!$A$2:$G847,7,FALSE()),"please select a BUG ID")</f>
        <v>please select a BUG ID</v>
      </c>
      <c r="D544" s="51" t="str">
        <f>IFERROR(VLOOKUP(A544,Internal_lists_bugs!$A$2:$I847,9,FALSE()),"please select a BUG ID")</f>
        <v>please select a BUG ID</v>
      </c>
      <c r="E544" s="52"/>
      <c r="F544" s="52"/>
      <c r="G544" s="43"/>
      <c r="H544" s="52"/>
      <c r="J544" s="52"/>
      <c r="K544" s="52"/>
    </row>
    <row r="545">
      <c r="A545" s="43"/>
      <c r="B545" s="38" t="str">
        <f>IFERROR(HYPERLINK(VLOOKUP(A545,Internal_lists_bugs!$A$2:$C$73,3,FALSE()), VLOOKUP(A545,Internal_lists_bugs!$A$2:$C$73,3,FALSE())&amp;Char(10) &amp; Char(10) &amp; VLOOKUP(A545,Internal_lists_bugs!$A$2:$Z$73,26,FALSE())),"please select a BUG ID")</f>
        <v>please select a BUG ID</v>
      </c>
      <c r="C545" s="51" t="str">
        <f>IFERROR(VLOOKUP(A545,Internal_lists_bugs!$A$2:$G847,7,FALSE()),"please select a BUG ID")</f>
        <v>please select a BUG ID</v>
      </c>
      <c r="D545" s="51" t="str">
        <f>IFERROR(VLOOKUP(A545,Internal_lists_bugs!$A$2:$I847,9,FALSE()),"please select a BUG ID")</f>
        <v>please select a BUG ID</v>
      </c>
      <c r="E545" s="52"/>
      <c r="F545" s="52"/>
      <c r="G545" s="43"/>
      <c r="H545" s="52"/>
      <c r="J545" s="52"/>
      <c r="K545" s="52"/>
    </row>
    <row r="546">
      <c r="A546" s="43"/>
      <c r="B546" s="38" t="str">
        <f>IFERROR(HYPERLINK(VLOOKUP(A546,Internal_lists_bugs!$A$2:$C$73,3,FALSE()), VLOOKUP(A546,Internal_lists_bugs!$A$2:$C$73,3,FALSE())&amp;Char(10) &amp; Char(10) &amp; VLOOKUP(A546,Internal_lists_bugs!$A$2:$Z$73,26,FALSE())),"please select a BUG ID")</f>
        <v>please select a BUG ID</v>
      </c>
      <c r="C546" s="51" t="str">
        <f>IFERROR(VLOOKUP(A546,Internal_lists_bugs!$A$2:$G847,7,FALSE()),"please select a BUG ID")</f>
        <v>please select a BUG ID</v>
      </c>
      <c r="D546" s="51" t="str">
        <f>IFERROR(VLOOKUP(A546,Internal_lists_bugs!$A$2:$I847,9,FALSE()),"please select a BUG ID")</f>
        <v>please select a BUG ID</v>
      </c>
      <c r="E546" s="52"/>
      <c r="F546" s="52"/>
      <c r="G546" s="43"/>
      <c r="H546" s="52"/>
      <c r="J546" s="52"/>
      <c r="K546" s="52"/>
    </row>
    <row r="547">
      <c r="A547" s="43"/>
      <c r="B547" s="38" t="str">
        <f>IFERROR(HYPERLINK(VLOOKUP(A547,Internal_lists_bugs!$A$2:$C$73,3,FALSE()), VLOOKUP(A547,Internal_lists_bugs!$A$2:$C$73,3,FALSE())&amp;Char(10) &amp; Char(10) &amp; VLOOKUP(A547,Internal_lists_bugs!$A$2:$Z$73,26,FALSE())),"please select a BUG ID")</f>
        <v>please select a BUG ID</v>
      </c>
      <c r="C547" s="51" t="str">
        <f>IFERROR(VLOOKUP(A547,Internal_lists_bugs!$A$2:$G847,7,FALSE()),"please select a BUG ID")</f>
        <v>please select a BUG ID</v>
      </c>
      <c r="D547" s="51" t="str">
        <f>IFERROR(VLOOKUP(A547,Internal_lists_bugs!$A$2:$I847,9,FALSE()),"please select a BUG ID")</f>
        <v>please select a BUG ID</v>
      </c>
      <c r="E547" s="52"/>
      <c r="F547" s="52"/>
      <c r="G547" s="43"/>
      <c r="H547" s="52"/>
      <c r="J547" s="52"/>
      <c r="K547" s="52"/>
    </row>
    <row r="548">
      <c r="A548" s="43"/>
      <c r="B548" s="38" t="str">
        <f>IFERROR(HYPERLINK(VLOOKUP(A548,Internal_lists_bugs!$A$2:$C$73,3,FALSE()), VLOOKUP(A548,Internal_lists_bugs!$A$2:$C$73,3,FALSE())&amp;Char(10) &amp; Char(10) &amp; VLOOKUP(A548,Internal_lists_bugs!$A$2:$Z$73,26,FALSE())),"please select a BUG ID")</f>
        <v>please select a BUG ID</v>
      </c>
      <c r="C548" s="51" t="str">
        <f>IFERROR(VLOOKUP(A548,Internal_lists_bugs!$A$2:$G847,7,FALSE()),"please select a BUG ID")</f>
        <v>please select a BUG ID</v>
      </c>
      <c r="D548" s="51" t="str">
        <f>IFERROR(VLOOKUP(A548,Internal_lists_bugs!$A$2:$I847,9,FALSE()),"please select a BUG ID")</f>
        <v>please select a BUG ID</v>
      </c>
      <c r="E548" s="52"/>
      <c r="F548" s="52"/>
      <c r="G548" s="43"/>
      <c r="H548" s="52"/>
      <c r="J548" s="52"/>
      <c r="K548" s="52"/>
    </row>
    <row r="549">
      <c r="A549" s="43"/>
      <c r="B549" s="38" t="str">
        <f>IFERROR(HYPERLINK(VLOOKUP(A549,Internal_lists_bugs!$A$2:$C$73,3,FALSE()), VLOOKUP(A549,Internal_lists_bugs!$A$2:$C$73,3,FALSE())&amp;Char(10) &amp; Char(10) &amp; VLOOKUP(A549,Internal_lists_bugs!$A$2:$Z$73,26,FALSE())),"please select a BUG ID")</f>
        <v>please select a BUG ID</v>
      </c>
      <c r="C549" s="51" t="str">
        <f>IFERROR(VLOOKUP(A549,Internal_lists_bugs!$A$2:$G847,7,FALSE()),"please select a BUG ID")</f>
        <v>please select a BUG ID</v>
      </c>
      <c r="D549" s="51" t="str">
        <f>IFERROR(VLOOKUP(A549,Internal_lists_bugs!$A$2:$I847,9,FALSE()),"please select a BUG ID")</f>
        <v>please select a BUG ID</v>
      </c>
      <c r="E549" s="52"/>
      <c r="F549" s="52"/>
      <c r="G549" s="43"/>
      <c r="H549" s="52"/>
      <c r="J549" s="52"/>
      <c r="K549" s="52"/>
    </row>
    <row r="550">
      <c r="A550" s="43"/>
      <c r="B550" s="38" t="str">
        <f>IFERROR(HYPERLINK(VLOOKUP(A550,Internal_lists_bugs!$A$2:$C$73,3,FALSE()), VLOOKUP(A550,Internal_lists_bugs!$A$2:$C$73,3,FALSE())&amp;Char(10) &amp; Char(10) &amp; VLOOKUP(A550,Internal_lists_bugs!$A$2:$Z$73,26,FALSE())),"please select a BUG ID")</f>
        <v>please select a BUG ID</v>
      </c>
      <c r="C550" s="51" t="str">
        <f>IFERROR(VLOOKUP(A550,Internal_lists_bugs!$A$2:$G847,7,FALSE()),"please select a BUG ID")</f>
        <v>please select a BUG ID</v>
      </c>
      <c r="D550" s="51" t="str">
        <f>IFERROR(VLOOKUP(A550,Internal_lists_bugs!$A$2:$I847,9,FALSE()),"please select a BUG ID")</f>
        <v>please select a BUG ID</v>
      </c>
      <c r="E550" s="52"/>
      <c r="F550" s="52"/>
      <c r="G550" s="43"/>
      <c r="H550" s="52"/>
      <c r="J550" s="52"/>
      <c r="K550" s="52"/>
    </row>
    <row r="551">
      <c r="A551" s="43"/>
      <c r="B551" s="38" t="str">
        <f>IFERROR(HYPERLINK(VLOOKUP(A551,Internal_lists_bugs!$A$2:$C$73,3,FALSE()), VLOOKUP(A551,Internal_lists_bugs!$A$2:$C$73,3,FALSE())&amp;Char(10) &amp; Char(10) &amp; VLOOKUP(A551,Internal_lists_bugs!$A$2:$Z$73,26,FALSE())),"please select a BUG ID")</f>
        <v>please select a BUG ID</v>
      </c>
      <c r="C551" s="51" t="str">
        <f>IFERROR(VLOOKUP(A551,Internal_lists_bugs!$A$2:$G847,7,FALSE()),"please select a BUG ID")</f>
        <v>please select a BUG ID</v>
      </c>
      <c r="D551" s="51" t="str">
        <f>IFERROR(VLOOKUP(A551,Internal_lists_bugs!$A$2:$I847,9,FALSE()),"please select a BUG ID")</f>
        <v>please select a BUG ID</v>
      </c>
      <c r="E551" s="52"/>
      <c r="F551" s="52"/>
      <c r="G551" s="43"/>
      <c r="H551" s="52"/>
      <c r="J551" s="52"/>
      <c r="K551" s="52"/>
    </row>
    <row r="552">
      <c r="A552" s="43"/>
      <c r="B552" s="38" t="str">
        <f>IFERROR(HYPERLINK(VLOOKUP(A552,Internal_lists_bugs!$A$2:$C$73,3,FALSE()), VLOOKUP(A552,Internal_lists_bugs!$A$2:$C$73,3,FALSE())&amp;Char(10) &amp; Char(10) &amp; VLOOKUP(A552,Internal_lists_bugs!$A$2:$Z$73,26,FALSE())),"please select a BUG ID")</f>
        <v>please select a BUG ID</v>
      </c>
      <c r="C552" s="51" t="str">
        <f>IFERROR(VLOOKUP(A552,Internal_lists_bugs!$A$2:$G847,7,FALSE()),"please select a BUG ID")</f>
        <v>please select a BUG ID</v>
      </c>
      <c r="D552" s="51" t="str">
        <f>IFERROR(VLOOKUP(A552,Internal_lists_bugs!$A$2:$I847,9,FALSE()),"please select a BUG ID")</f>
        <v>please select a BUG ID</v>
      </c>
      <c r="E552" s="52"/>
      <c r="F552" s="52"/>
      <c r="G552" s="43"/>
      <c r="H552" s="52"/>
      <c r="J552" s="52"/>
      <c r="K552" s="52"/>
    </row>
    <row r="553">
      <c r="A553" s="43"/>
      <c r="B553" s="38" t="str">
        <f>IFERROR(HYPERLINK(VLOOKUP(A553,Internal_lists_bugs!$A$2:$C$73,3,FALSE()), VLOOKUP(A553,Internal_lists_bugs!$A$2:$C$73,3,FALSE())&amp;Char(10) &amp; Char(10) &amp; VLOOKUP(A553,Internal_lists_bugs!$A$2:$Z$73,26,FALSE())),"please select a BUG ID")</f>
        <v>please select a BUG ID</v>
      </c>
      <c r="C553" s="51" t="str">
        <f>IFERROR(VLOOKUP(A553,Internal_lists_bugs!$A$2:$G847,7,FALSE()),"please select a BUG ID")</f>
        <v>please select a BUG ID</v>
      </c>
      <c r="D553" s="51" t="str">
        <f>IFERROR(VLOOKUP(A553,Internal_lists_bugs!$A$2:$I847,9,FALSE()),"please select a BUG ID")</f>
        <v>please select a BUG ID</v>
      </c>
      <c r="E553" s="52"/>
      <c r="F553" s="52"/>
      <c r="G553" s="43"/>
      <c r="H553" s="52"/>
      <c r="J553" s="52"/>
      <c r="K553" s="52"/>
    </row>
    <row r="554">
      <c r="A554" s="43"/>
      <c r="B554" s="38" t="str">
        <f>IFERROR(HYPERLINK(VLOOKUP(A554,Internal_lists_bugs!$A$2:$C$73,3,FALSE()), VLOOKUP(A554,Internal_lists_bugs!$A$2:$C$73,3,FALSE())&amp;Char(10) &amp; Char(10) &amp; VLOOKUP(A554,Internal_lists_bugs!$A$2:$Z$73,26,FALSE())),"please select a BUG ID")</f>
        <v>please select a BUG ID</v>
      </c>
      <c r="C554" s="51" t="str">
        <f>IFERROR(VLOOKUP(A554,Internal_lists_bugs!$A$2:$G847,7,FALSE()),"please select a BUG ID")</f>
        <v>please select a BUG ID</v>
      </c>
      <c r="D554" s="51" t="str">
        <f>IFERROR(VLOOKUP(A554,Internal_lists_bugs!$A$2:$I847,9,FALSE()),"please select a BUG ID")</f>
        <v>please select a BUG ID</v>
      </c>
      <c r="E554" s="52"/>
      <c r="F554" s="52"/>
      <c r="G554" s="43"/>
      <c r="H554" s="52"/>
      <c r="J554" s="52"/>
      <c r="K554" s="52"/>
    </row>
    <row r="555">
      <c r="A555" s="43"/>
      <c r="B555" s="38" t="str">
        <f>IFERROR(HYPERLINK(VLOOKUP(A555,Internal_lists_bugs!$A$2:$C$73,3,FALSE()), VLOOKUP(A555,Internal_lists_bugs!$A$2:$C$73,3,FALSE())&amp;Char(10) &amp; Char(10) &amp; VLOOKUP(A555,Internal_lists_bugs!$A$2:$Z$73,26,FALSE())),"please select a BUG ID")</f>
        <v>please select a BUG ID</v>
      </c>
      <c r="C555" s="51" t="str">
        <f>IFERROR(VLOOKUP(A555,Internal_lists_bugs!$A$2:$G847,7,FALSE()),"please select a BUG ID")</f>
        <v>please select a BUG ID</v>
      </c>
      <c r="D555" s="51" t="str">
        <f>IFERROR(VLOOKUP(A555,Internal_lists_bugs!$A$2:$I847,9,FALSE()),"please select a BUG ID")</f>
        <v>please select a BUG ID</v>
      </c>
      <c r="E555" s="52"/>
      <c r="F555" s="52"/>
      <c r="G555" s="43"/>
      <c r="H555" s="52"/>
      <c r="J555" s="52"/>
      <c r="K555" s="52"/>
    </row>
    <row r="556">
      <c r="A556" s="43"/>
      <c r="B556" s="38" t="str">
        <f>IFERROR(HYPERLINK(VLOOKUP(A556,Internal_lists_bugs!$A$2:$C$73,3,FALSE()), VLOOKUP(A556,Internal_lists_bugs!$A$2:$C$73,3,FALSE())&amp;Char(10) &amp; Char(10) &amp; VLOOKUP(A556,Internal_lists_bugs!$A$2:$Z$73,26,FALSE())),"please select a BUG ID")</f>
        <v>please select a BUG ID</v>
      </c>
      <c r="C556" s="51" t="str">
        <f>IFERROR(VLOOKUP(A556,Internal_lists_bugs!$A$2:$G847,7,FALSE()),"please select a BUG ID")</f>
        <v>please select a BUG ID</v>
      </c>
      <c r="D556" s="51" t="str">
        <f>IFERROR(VLOOKUP(A556,Internal_lists_bugs!$A$2:$I847,9,FALSE()),"please select a BUG ID")</f>
        <v>please select a BUG ID</v>
      </c>
      <c r="E556" s="52"/>
      <c r="F556" s="52"/>
      <c r="G556" s="43"/>
      <c r="H556" s="52"/>
      <c r="J556" s="52"/>
      <c r="K556" s="52"/>
    </row>
    <row r="557">
      <c r="A557" s="43"/>
      <c r="B557" s="38" t="str">
        <f>IFERROR(HYPERLINK(VLOOKUP(A557,Internal_lists_bugs!$A$2:$C$73,3,FALSE()), VLOOKUP(A557,Internal_lists_bugs!$A$2:$C$73,3,FALSE())&amp;Char(10) &amp; Char(10) &amp; VLOOKUP(A557,Internal_lists_bugs!$A$2:$Z$73,26,FALSE())),"please select a BUG ID")</f>
        <v>please select a BUG ID</v>
      </c>
      <c r="C557" s="51" t="str">
        <f>IFERROR(VLOOKUP(A557,Internal_lists_bugs!$A$2:$G847,7,FALSE()),"please select a BUG ID")</f>
        <v>please select a BUG ID</v>
      </c>
      <c r="D557" s="51" t="str">
        <f>IFERROR(VLOOKUP(A557,Internal_lists_bugs!$A$2:$I847,9,FALSE()),"please select a BUG ID")</f>
        <v>please select a BUG ID</v>
      </c>
      <c r="E557" s="52"/>
      <c r="F557" s="52"/>
      <c r="G557" s="43"/>
      <c r="H557" s="52"/>
      <c r="J557" s="52"/>
      <c r="K557" s="52"/>
    </row>
    <row r="558">
      <c r="A558" s="43"/>
      <c r="B558" s="38" t="str">
        <f>IFERROR(HYPERLINK(VLOOKUP(A558,Internal_lists_bugs!$A$2:$C$73,3,FALSE()), VLOOKUP(A558,Internal_lists_bugs!$A$2:$C$73,3,FALSE())&amp;Char(10) &amp; Char(10) &amp; VLOOKUP(A558,Internal_lists_bugs!$A$2:$Z$73,26,FALSE())),"please select a BUG ID")</f>
        <v>please select a BUG ID</v>
      </c>
      <c r="C558" s="51" t="str">
        <f>IFERROR(VLOOKUP(A558,Internal_lists_bugs!$A$2:$G847,7,FALSE()),"please select a BUG ID")</f>
        <v>please select a BUG ID</v>
      </c>
      <c r="D558" s="51" t="str">
        <f>IFERROR(VLOOKUP(A558,Internal_lists_bugs!$A$2:$I847,9,FALSE()),"please select a BUG ID")</f>
        <v>please select a BUG ID</v>
      </c>
      <c r="E558" s="52"/>
      <c r="F558" s="52"/>
      <c r="G558" s="43"/>
      <c r="H558" s="52"/>
      <c r="J558" s="52"/>
      <c r="K558" s="52"/>
    </row>
    <row r="559">
      <c r="A559" s="43"/>
      <c r="B559" s="38" t="str">
        <f>IFERROR(HYPERLINK(VLOOKUP(A559,Internal_lists_bugs!$A$2:$C$73,3,FALSE()), VLOOKUP(A559,Internal_lists_bugs!$A$2:$C$73,3,FALSE())&amp;Char(10) &amp; Char(10) &amp; VLOOKUP(A559,Internal_lists_bugs!$A$2:$Z$73,26,FALSE())),"please select a BUG ID")</f>
        <v>please select a BUG ID</v>
      </c>
      <c r="C559" s="51" t="str">
        <f>IFERROR(VLOOKUP(A559,Internal_lists_bugs!$A$2:$G847,7,FALSE()),"please select a BUG ID")</f>
        <v>please select a BUG ID</v>
      </c>
      <c r="D559" s="51" t="str">
        <f>IFERROR(VLOOKUP(A559,Internal_lists_bugs!$A$2:$I847,9,FALSE()),"please select a BUG ID")</f>
        <v>please select a BUG ID</v>
      </c>
      <c r="E559" s="52"/>
      <c r="F559" s="52"/>
      <c r="G559" s="43"/>
      <c r="H559" s="52"/>
      <c r="J559" s="52"/>
      <c r="K559" s="52"/>
    </row>
    <row r="560">
      <c r="A560" s="43"/>
      <c r="B560" s="38" t="str">
        <f>IFERROR(HYPERLINK(VLOOKUP(A560,Internal_lists_bugs!$A$2:$C$73,3,FALSE()), VLOOKUP(A560,Internal_lists_bugs!$A$2:$C$73,3,FALSE())&amp;Char(10) &amp; Char(10) &amp; VLOOKUP(A560,Internal_lists_bugs!$A$2:$Z$73,26,FALSE())),"please select a BUG ID")</f>
        <v>please select a BUG ID</v>
      </c>
      <c r="C560" s="51" t="str">
        <f>IFERROR(VLOOKUP(A560,Internal_lists_bugs!$A$2:$G847,7,FALSE()),"please select a BUG ID")</f>
        <v>please select a BUG ID</v>
      </c>
      <c r="D560" s="51" t="str">
        <f>IFERROR(VLOOKUP(A560,Internal_lists_bugs!$A$2:$I847,9,FALSE()),"please select a BUG ID")</f>
        <v>please select a BUG ID</v>
      </c>
      <c r="E560" s="52"/>
      <c r="F560" s="52"/>
      <c r="G560" s="43"/>
      <c r="H560" s="52"/>
      <c r="J560" s="52"/>
      <c r="K560" s="52"/>
    </row>
    <row r="561">
      <c r="A561" s="43"/>
      <c r="B561" s="38" t="str">
        <f>IFERROR(HYPERLINK(VLOOKUP(A561,Internal_lists_bugs!$A$2:$C$73,3,FALSE()), VLOOKUP(A561,Internal_lists_bugs!$A$2:$C$73,3,FALSE())&amp;Char(10) &amp; Char(10) &amp; VLOOKUP(A561,Internal_lists_bugs!$A$2:$Z$73,26,FALSE())),"please select a BUG ID")</f>
        <v>please select a BUG ID</v>
      </c>
      <c r="C561" s="51" t="str">
        <f>IFERROR(VLOOKUP(A561,Internal_lists_bugs!$A$2:$G847,7,FALSE()),"please select a BUG ID")</f>
        <v>please select a BUG ID</v>
      </c>
      <c r="D561" s="51" t="str">
        <f>IFERROR(VLOOKUP(A561,Internal_lists_bugs!$A$2:$I847,9,FALSE()),"please select a BUG ID")</f>
        <v>please select a BUG ID</v>
      </c>
      <c r="E561" s="52"/>
      <c r="F561" s="52"/>
      <c r="G561" s="43"/>
      <c r="H561" s="52"/>
      <c r="J561" s="52"/>
      <c r="K561" s="52"/>
    </row>
    <row r="562">
      <c r="A562" s="43"/>
      <c r="B562" s="38" t="str">
        <f>IFERROR(HYPERLINK(VLOOKUP(A562,Internal_lists_bugs!$A$2:$C$73,3,FALSE()), VLOOKUP(A562,Internal_lists_bugs!$A$2:$C$73,3,FALSE())&amp;Char(10) &amp; Char(10) &amp; VLOOKUP(A562,Internal_lists_bugs!$A$2:$Z$73,26,FALSE())),"please select a BUG ID")</f>
        <v>please select a BUG ID</v>
      </c>
      <c r="C562" s="51" t="str">
        <f>IFERROR(VLOOKUP(A562,Internal_lists_bugs!$A$2:$G847,7,FALSE()),"please select a BUG ID")</f>
        <v>please select a BUG ID</v>
      </c>
      <c r="D562" s="51" t="str">
        <f>IFERROR(VLOOKUP(A562,Internal_lists_bugs!$A$2:$I847,9,FALSE()),"please select a BUG ID")</f>
        <v>please select a BUG ID</v>
      </c>
      <c r="E562" s="52"/>
      <c r="F562" s="52"/>
      <c r="G562" s="43"/>
      <c r="H562" s="52"/>
      <c r="J562" s="52"/>
      <c r="K562" s="52"/>
    </row>
    <row r="563">
      <c r="A563" s="43"/>
      <c r="B563" s="38" t="str">
        <f>IFERROR(HYPERLINK(VLOOKUP(A563,Internal_lists_bugs!$A$2:$C$73,3,FALSE()), VLOOKUP(A563,Internal_lists_bugs!$A$2:$C$73,3,FALSE())&amp;Char(10) &amp; Char(10) &amp; VLOOKUP(A563,Internal_lists_bugs!$A$2:$Z$73,26,FALSE())),"please select a BUG ID")</f>
        <v>please select a BUG ID</v>
      </c>
      <c r="C563" s="51" t="str">
        <f>IFERROR(VLOOKUP(A563,Internal_lists_bugs!$A$2:$G847,7,FALSE()),"please select a BUG ID")</f>
        <v>please select a BUG ID</v>
      </c>
      <c r="D563" s="51" t="str">
        <f>IFERROR(VLOOKUP(A563,Internal_lists_bugs!$A$2:$I847,9,FALSE()),"please select a BUG ID")</f>
        <v>please select a BUG ID</v>
      </c>
      <c r="E563" s="52"/>
      <c r="F563" s="52"/>
      <c r="G563" s="43"/>
      <c r="H563" s="52"/>
      <c r="J563" s="52"/>
      <c r="K563" s="52"/>
    </row>
    <row r="564">
      <c r="A564" s="43"/>
      <c r="B564" s="38" t="str">
        <f>IFERROR(HYPERLINK(VLOOKUP(A564,Internal_lists_bugs!$A$2:$C$73,3,FALSE()), VLOOKUP(A564,Internal_lists_bugs!$A$2:$C$73,3,FALSE())&amp;Char(10) &amp; Char(10) &amp; VLOOKUP(A564,Internal_lists_bugs!$A$2:$Z$73,26,FALSE())),"please select a BUG ID")</f>
        <v>please select a BUG ID</v>
      </c>
      <c r="C564" s="51" t="str">
        <f>IFERROR(VLOOKUP(A564,Internal_lists_bugs!$A$2:$G847,7,FALSE()),"please select a BUG ID")</f>
        <v>please select a BUG ID</v>
      </c>
      <c r="D564" s="51" t="str">
        <f>IFERROR(VLOOKUP(A564,Internal_lists_bugs!$A$2:$I847,9,FALSE()),"please select a BUG ID")</f>
        <v>please select a BUG ID</v>
      </c>
      <c r="E564" s="52"/>
      <c r="F564" s="52"/>
      <c r="G564" s="43"/>
      <c r="H564" s="52"/>
      <c r="J564" s="52"/>
      <c r="K564" s="52"/>
    </row>
    <row r="565">
      <c r="A565" s="43"/>
      <c r="B565" s="38" t="str">
        <f>IFERROR(HYPERLINK(VLOOKUP(A565,Internal_lists_bugs!$A$2:$C$73,3,FALSE()), VLOOKUP(A565,Internal_lists_bugs!$A$2:$C$73,3,FALSE())&amp;Char(10) &amp; Char(10) &amp; VLOOKUP(A565,Internal_lists_bugs!$A$2:$Z$73,26,FALSE())),"please select a BUG ID")</f>
        <v>please select a BUG ID</v>
      </c>
      <c r="C565" s="51" t="str">
        <f>IFERROR(VLOOKUP(A565,Internal_lists_bugs!$A$2:$G847,7,FALSE()),"please select a BUG ID")</f>
        <v>please select a BUG ID</v>
      </c>
      <c r="D565" s="51" t="str">
        <f>IFERROR(VLOOKUP(A565,Internal_lists_bugs!$A$2:$I847,9,FALSE()),"please select a BUG ID")</f>
        <v>please select a BUG ID</v>
      </c>
      <c r="E565" s="52"/>
      <c r="F565" s="52"/>
      <c r="G565" s="43"/>
      <c r="H565" s="52"/>
      <c r="J565" s="52"/>
      <c r="K565" s="52"/>
    </row>
    <row r="566">
      <c r="A566" s="43"/>
      <c r="B566" s="38" t="str">
        <f>IFERROR(HYPERLINK(VLOOKUP(A566,Internal_lists_bugs!$A$2:$C$73,3,FALSE()), VLOOKUP(A566,Internal_lists_bugs!$A$2:$C$73,3,FALSE())&amp;Char(10) &amp; Char(10) &amp; VLOOKUP(A566,Internal_lists_bugs!$A$2:$Z$73,26,FALSE())),"please select a BUG ID")</f>
        <v>please select a BUG ID</v>
      </c>
      <c r="C566" s="51" t="str">
        <f>IFERROR(VLOOKUP(A566,Internal_lists_bugs!$A$2:$G847,7,FALSE()),"please select a BUG ID")</f>
        <v>please select a BUG ID</v>
      </c>
      <c r="D566" s="51" t="str">
        <f>IFERROR(VLOOKUP(A566,Internal_lists_bugs!$A$2:$I847,9,FALSE()),"please select a BUG ID")</f>
        <v>please select a BUG ID</v>
      </c>
      <c r="E566" s="52"/>
      <c r="F566" s="52"/>
      <c r="G566" s="43"/>
      <c r="H566" s="52"/>
      <c r="J566" s="52"/>
      <c r="K566" s="52"/>
    </row>
    <row r="567">
      <c r="A567" s="43"/>
      <c r="B567" s="38" t="str">
        <f>IFERROR(HYPERLINK(VLOOKUP(A567,Internal_lists_bugs!$A$2:$C$73,3,FALSE()), VLOOKUP(A567,Internal_lists_bugs!$A$2:$C$73,3,FALSE())&amp;Char(10) &amp; Char(10) &amp; VLOOKUP(A567,Internal_lists_bugs!$A$2:$Z$73,26,FALSE())),"please select a BUG ID")</f>
        <v>please select a BUG ID</v>
      </c>
      <c r="C567" s="51" t="str">
        <f>IFERROR(VLOOKUP(A567,Internal_lists_bugs!$A$2:$G847,7,FALSE()),"please select a BUG ID")</f>
        <v>please select a BUG ID</v>
      </c>
      <c r="D567" s="51" t="str">
        <f>IFERROR(VLOOKUP(A567,Internal_lists_bugs!$A$2:$I847,9,FALSE()),"please select a BUG ID")</f>
        <v>please select a BUG ID</v>
      </c>
      <c r="E567" s="52"/>
      <c r="F567" s="52"/>
      <c r="G567" s="43"/>
      <c r="H567" s="52"/>
      <c r="J567" s="52"/>
      <c r="K567" s="52"/>
    </row>
    <row r="568">
      <c r="A568" s="43"/>
      <c r="B568" s="38" t="str">
        <f>IFERROR(HYPERLINK(VLOOKUP(A568,Internal_lists_bugs!$A$2:$C$73,3,FALSE()), VLOOKUP(A568,Internal_lists_bugs!$A$2:$C$73,3,FALSE())&amp;Char(10) &amp; Char(10) &amp; VLOOKUP(A568,Internal_lists_bugs!$A$2:$Z$73,26,FALSE())),"please select a BUG ID")</f>
        <v>please select a BUG ID</v>
      </c>
      <c r="C568" s="51" t="str">
        <f>IFERROR(VLOOKUP(A568,Internal_lists_bugs!$A$2:$G847,7,FALSE()),"please select a BUG ID")</f>
        <v>please select a BUG ID</v>
      </c>
      <c r="D568" s="51" t="str">
        <f>IFERROR(VLOOKUP(A568,Internal_lists_bugs!$A$2:$I847,9,FALSE()),"please select a BUG ID")</f>
        <v>please select a BUG ID</v>
      </c>
      <c r="E568" s="52"/>
      <c r="F568" s="52"/>
      <c r="G568" s="43"/>
      <c r="H568" s="52"/>
      <c r="J568" s="52"/>
      <c r="K568" s="52"/>
    </row>
    <row r="569">
      <c r="A569" s="43"/>
      <c r="B569" s="38" t="str">
        <f>IFERROR(HYPERLINK(VLOOKUP(A569,Internal_lists_bugs!$A$2:$C$73,3,FALSE()), VLOOKUP(A569,Internal_lists_bugs!$A$2:$C$73,3,FALSE())&amp;Char(10) &amp; Char(10) &amp; VLOOKUP(A569,Internal_lists_bugs!$A$2:$Z$73,26,FALSE())),"please select a BUG ID")</f>
        <v>please select a BUG ID</v>
      </c>
      <c r="C569" s="51" t="str">
        <f>IFERROR(VLOOKUP(A569,Internal_lists_bugs!$A$2:$G847,7,FALSE()),"please select a BUG ID")</f>
        <v>please select a BUG ID</v>
      </c>
      <c r="D569" s="51" t="str">
        <f>IFERROR(VLOOKUP(A569,Internal_lists_bugs!$A$2:$I847,9,FALSE()),"please select a BUG ID")</f>
        <v>please select a BUG ID</v>
      </c>
      <c r="E569" s="52"/>
      <c r="F569" s="52"/>
      <c r="G569" s="43"/>
      <c r="H569" s="52"/>
      <c r="J569" s="52"/>
      <c r="K569" s="52"/>
    </row>
    <row r="570">
      <c r="A570" s="43"/>
      <c r="B570" s="38" t="str">
        <f>IFERROR(HYPERLINK(VLOOKUP(A570,Internal_lists_bugs!$A$2:$C$73,3,FALSE()), VLOOKUP(A570,Internal_lists_bugs!$A$2:$C$73,3,FALSE())&amp;Char(10) &amp; Char(10) &amp; VLOOKUP(A570,Internal_lists_bugs!$A$2:$Z$73,26,FALSE())),"please select a BUG ID")</f>
        <v>please select a BUG ID</v>
      </c>
      <c r="C570" s="51" t="str">
        <f>IFERROR(VLOOKUP(A570,Internal_lists_bugs!$A$2:$G847,7,FALSE()),"please select a BUG ID")</f>
        <v>please select a BUG ID</v>
      </c>
      <c r="D570" s="51" t="str">
        <f>IFERROR(VLOOKUP(A570,Internal_lists_bugs!$A$2:$I847,9,FALSE()),"please select a BUG ID")</f>
        <v>please select a BUG ID</v>
      </c>
      <c r="E570" s="52"/>
      <c r="F570" s="52"/>
      <c r="G570" s="43"/>
      <c r="H570" s="52"/>
      <c r="J570" s="52"/>
      <c r="K570" s="52"/>
    </row>
    <row r="571">
      <c r="A571" s="43"/>
      <c r="B571" s="38" t="str">
        <f>IFERROR(HYPERLINK(VLOOKUP(A571,Internal_lists_bugs!$A$2:$C$73,3,FALSE()), VLOOKUP(A571,Internal_lists_bugs!$A$2:$C$73,3,FALSE())&amp;Char(10) &amp; Char(10) &amp; VLOOKUP(A571,Internal_lists_bugs!$A$2:$Z$73,26,FALSE())),"please select a BUG ID")</f>
        <v>please select a BUG ID</v>
      </c>
      <c r="C571" s="51" t="str">
        <f>IFERROR(VLOOKUP(A571,Internal_lists_bugs!$A$2:$G847,7,FALSE()),"please select a BUG ID")</f>
        <v>please select a BUG ID</v>
      </c>
      <c r="D571" s="51" t="str">
        <f>IFERROR(VLOOKUP(A571,Internal_lists_bugs!$A$2:$I847,9,FALSE()),"please select a BUG ID")</f>
        <v>please select a BUG ID</v>
      </c>
      <c r="E571" s="52"/>
      <c r="F571" s="52"/>
      <c r="G571" s="43"/>
      <c r="H571" s="52"/>
      <c r="J571" s="52"/>
      <c r="K571" s="52"/>
    </row>
    <row r="572">
      <c r="A572" s="43"/>
      <c r="B572" s="38" t="str">
        <f>IFERROR(HYPERLINK(VLOOKUP(A572,Internal_lists_bugs!$A$2:$C$73,3,FALSE()), VLOOKUP(A572,Internal_lists_bugs!$A$2:$C$73,3,FALSE())&amp;Char(10) &amp; Char(10) &amp; VLOOKUP(A572,Internal_lists_bugs!$A$2:$Z$73,26,FALSE())),"please select a BUG ID")</f>
        <v>please select a BUG ID</v>
      </c>
      <c r="C572" s="51" t="str">
        <f>IFERROR(VLOOKUP(A572,Internal_lists_bugs!$A$2:$G847,7,FALSE()),"please select a BUG ID")</f>
        <v>please select a BUG ID</v>
      </c>
      <c r="D572" s="51" t="str">
        <f>IFERROR(VLOOKUP(A572,Internal_lists_bugs!$A$2:$I847,9,FALSE()),"please select a BUG ID")</f>
        <v>please select a BUG ID</v>
      </c>
      <c r="E572" s="52"/>
      <c r="F572" s="52"/>
      <c r="G572" s="43"/>
      <c r="H572" s="52"/>
      <c r="J572" s="52"/>
      <c r="K572" s="52"/>
    </row>
    <row r="573">
      <c r="A573" s="43"/>
      <c r="B573" s="38" t="str">
        <f>IFERROR(HYPERLINK(VLOOKUP(A573,Internal_lists_bugs!$A$2:$C$73,3,FALSE()), VLOOKUP(A573,Internal_lists_bugs!$A$2:$C$73,3,FALSE())&amp;Char(10) &amp; Char(10) &amp; VLOOKUP(A573,Internal_lists_bugs!$A$2:$Z$73,26,FALSE())),"please select a BUG ID")</f>
        <v>please select a BUG ID</v>
      </c>
      <c r="C573" s="51" t="str">
        <f>IFERROR(VLOOKUP(A573,Internal_lists_bugs!$A$2:$G847,7,FALSE()),"please select a BUG ID")</f>
        <v>please select a BUG ID</v>
      </c>
      <c r="D573" s="51" t="str">
        <f>IFERROR(VLOOKUP(A573,Internal_lists_bugs!$A$2:$I847,9,FALSE()),"please select a BUG ID")</f>
        <v>please select a BUG ID</v>
      </c>
      <c r="E573" s="52"/>
      <c r="F573" s="52"/>
      <c r="G573" s="43"/>
      <c r="H573" s="52"/>
      <c r="J573" s="52"/>
      <c r="K573" s="52"/>
    </row>
    <row r="574">
      <c r="A574" s="43"/>
      <c r="B574" s="38" t="str">
        <f>IFERROR(HYPERLINK(VLOOKUP(A574,Internal_lists_bugs!$A$2:$C$73,3,FALSE()), VLOOKUP(A574,Internal_lists_bugs!$A$2:$C$73,3,FALSE())&amp;Char(10) &amp; Char(10) &amp; VLOOKUP(A574,Internal_lists_bugs!$A$2:$Z$73,26,FALSE())),"please select a BUG ID")</f>
        <v>please select a BUG ID</v>
      </c>
      <c r="C574" s="51" t="str">
        <f>IFERROR(VLOOKUP(A574,Internal_lists_bugs!$A$2:$G847,7,FALSE()),"please select a BUG ID")</f>
        <v>please select a BUG ID</v>
      </c>
      <c r="D574" s="51" t="str">
        <f>IFERROR(VLOOKUP(A574,Internal_lists_bugs!$A$2:$I847,9,FALSE()),"please select a BUG ID")</f>
        <v>please select a BUG ID</v>
      </c>
      <c r="E574" s="52"/>
      <c r="F574" s="52"/>
      <c r="G574" s="43"/>
      <c r="H574" s="52"/>
      <c r="J574" s="52"/>
      <c r="K574" s="52"/>
    </row>
    <row r="575">
      <c r="A575" s="43"/>
      <c r="B575" s="38" t="str">
        <f>IFERROR(HYPERLINK(VLOOKUP(A575,Internal_lists_bugs!$A$2:$C$73,3,FALSE()), VLOOKUP(A575,Internal_lists_bugs!$A$2:$C$73,3,FALSE())&amp;Char(10) &amp; Char(10) &amp; VLOOKUP(A575,Internal_lists_bugs!$A$2:$Z$73,26,FALSE())),"please select a BUG ID")</f>
        <v>please select a BUG ID</v>
      </c>
      <c r="C575" s="51" t="str">
        <f>IFERROR(VLOOKUP(A575,Internal_lists_bugs!$A$2:$G847,7,FALSE()),"please select a BUG ID")</f>
        <v>please select a BUG ID</v>
      </c>
      <c r="D575" s="51" t="str">
        <f>IFERROR(VLOOKUP(A575,Internal_lists_bugs!$A$2:$I847,9,FALSE()),"please select a BUG ID")</f>
        <v>please select a BUG ID</v>
      </c>
      <c r="E575" s="52"/>
      <c r="F575" s="52"/>
      <c r="G575" s="43"/>
      <c r="H575" s="52"/>
      <c r="J575" s="52"/>
      <c r="K575" s="52"/>
    </row>
    <row r="576">
      <c r="A576" s="43"/>
      <c r="B576" s="38" t="str">
        <f>IFERROR(HYPERLINK(VLOOKUP(A576,Internal_lists_bugs!$A$2:$C$73,3,FALSE()), VLOOKUP(A576,Internal_lists_bugs!$A$2:$C$73,3,FALSE())&amp;Char(10) &amp; Char(10) &amp; VLOOKUP(A576,Internal_lists_bugs!$A$2:$Z$73,26,FALSE())),"please select a BUG ID")</f>
        <v>please select a BUG ID</v>
      </c>
      <c r="C576" s="51" t="str">
        <f>IFERROR(VLOOKUP(A576,Internal_lists_bugs!$A$2:$G847,7,FALSE()),"please select a BUG ID")</f>
        <v>please select a BUG ID</v>
      </c>
      <c r="D576" s="51" t="str">
        <f>IFERROR(VLOOKUP(A576,Internal_lists_bugs!$A$2:$I847,9,FALSE()),"please select a BUG ID")</f>
        <v>please select a BUG ID</v>
      </c>
      <c r="E576" s="52"/>
      <c r="F576" s="52"/>
      <c r="G576" s="43"/>
      <c r="H576" s="52"/>
      <c r="J576" s="52"/>
      <c r="K576" s="52"/>
    </row>
    <row r="577">
      <c r="A577" s="43"/>
      <c r="B577" s="38" t="str">
        <f>IFERROR(HYPERLINK(VLOOKUP(A577,Internal_lists_bugs!$A$2:$C$73,3,FALSE()), VLOOKUP(A577,Internal_lists_bugs!$A$2:$C$73,3,FALSE())&amp;Char(10) &amp; Char(10) &amp; VLOOKUP(A577,Internal_lists_bugs!$A$2:$Z$73,26,FALSE())),"please select a BUG ID")</f>
        <v>please select a BUG ID</v>
      </c>
      <c r="C577" s="51" t="str">
        <f>IFERROR(VLOOKUP(A577,Internal_lists_bugs!$A$2:$G847,7,FALSE()),"please select a BUG ID")</f>
        <v>please select a BUG ID</v>
      </c>
      <c r="D577" s="51" t="str">
        <f>IFERROR(VLOOKUP(A577,Internal_lists_bugs!$A$2:$I847,9,FALSE()),"please select a BUG ID")</f>
        <v>please select a BUG ID</v>
      </c>
      <c r="E577" s="52"/>
      <c r="F577" s="52"/>
      <c r="G577" s="43"/>
      <c r="H577" s="52"/>
      <c r="J577" s="52"/>
      <c r="K577" s="52"/>
    </row>
    <row r="578">
      <c r="A578" s="43"/>
      <c r="B578" s="38" t="str">
        <f>IFERROR(HYPERLINK(VLOOKUP(A578,Internal_lists_bugs!$A$2:$C$73,3,FALSE()), VLOOKUP(A578,Internal_lists_bugs!$A$2:$C$73,3,FALSE())&amp;Char(10) &amp; Char(10) &amp; VLOOKUP(A578,Internal_lists_bugs!$A$2:$Z$73,26,FALSE())),"please select a BUG ID")</f>
        <v>please select a BUG ID</v>
      </c>
      <c r="C578" s="51" t="str">
        <f>IFERROR(VLOOKUP(A578,Internal_lists_bugs!$A$2:$G847,7,FALSE()),"please select a BUG ID")</f>
        <v>please select a BUG ID</v>
      </c>
      <c r="D578" s="51" t="str">
        <f>IFERROR(VLOOKUP(A578,Internal_lists_bugs!$A$2:$I847,9,FALSE()),"please select a BUG ID")</f>
        <v>please select a BUG ID</v>
      </c>
      <c r="E578" s="52"/>
      <c r="F578" s="52"/>
      <c r="G578" s="43"/>
      <c r="H578" s="52"/>
      <c r="J578" s="52"/>
      <c r="K578" s="52"/>
    </row>
    <row r="579">
      <c r="A579" s="43"/>
      <c r="B579" s="38" t="str">
        <f>IFERROR(HYPERLINK(VLOOKUP(A579,Internal_lists_bugs!$A$2:$C$73,3,FALSE()), VLOOKUP(A579,Internal_lists_bugs!$A$2:$C$73,3,FALSE())&amp;Char(10) &amp; Char(10) &amp; VLOOKUP(A579,Internal_lists_bugs!$A$2:$Z$73,26,FALSE())),"please select a BUG ID")</f>
        <v>please select a BUG ID</v>
      </c>
      <c r="C579" s="51" t="str">
        <f>IFERROR(VLOOKUP(A579,Internal_lists_bugs!$A$2:$G847,7,FALSE()),"please select a BUG ID")</f>
        <v>please select a BUG ID</v>
      </c>
      <c r="D579" s="51" t="str">
        <f>IFERROR(VLOOKUP(A579,Internal_lists_bugs!$A$2:$I847,9,FALSE()),"please select a BUG ID")</f>
        <v>please select a BUG ID</v>
      </c>
      <c r="E579" s="52"/>
      <c r="F579" s="52"/>
      <c r="G579" s="43"/>
      <c r="H579" s="52"/>
      <c r="J579" s="52"/>
      <c r="K579" s="52"/>
    </row>
    <row r="580">
      <c r="A580" s="43"/>
      <c r="B580" s="38" t="str">
        <f>IFERROR(HYPERLINK(VLOOKUP(A580,Internal_lists_bugs!$A$2:$C$73,3,FALSE()), VLOOKUP(A580,Internal_lists_bugs!$A$2:$C$73,3,FALSE())&amp;Char(10) &amp; Char(10) &amp; VLOOKUP(A580,Internal_lists_bugs!$A$2:$Z$73,26,FALSE())),"please select a BUG ID")</f>
        <v>please select a BUG ID</v>
      </c>
      <c r="C580" s="51" t="str">
        <f>IFERROR(VLOOKUP(A580,Internal_lists_bugs!$A$2:$G847,7,FALSE()),"please select a BUG ID")</f>
        <v>please select a BUG ID</v>
      </c>
      <c r="D580" s="51" t="str">
        <f>IFERROR(VLOOKUP(A580,Internal_lists_bugs!$A$2:$I847,9,FALSE()),"please select a BUG ID")</f>
        <v>please select a BUG ID</v>
      </c>
      <c r="E580" s="52"/>
      <c r="F580" s="52"/>
      <c r="G580" s="43"/>
      <c r="H580" s="52"/>
      <c r="J580" s="52"/>
      <c r="K580" s="52"/>
    </row>
    <row r="581">
      <c r="A581" s="43"/>
      <c r="B581" s="38" t="str">
        <f>IFERROR(HYPERLINK(VLOOKUP(A581,Internal_lists_bugs!$A$2:$C$73,3,FALSE()), VLOOKUP(A581,Internal_lists_bugs!$A$2:$C$73,3,FALSE())&amp;Char(10) &amp; Char(10) &amp; VLOOKUP(A581,Internal_lists_bugs!$A$2:$Z$73,26,FALSE())),"please select a BUG ID")</f>
        <v>please select a BUG ID</v>
      </c>
      <c r="C581" s="51" t="str">
        <f>IFERROR(VLOOKUP(A581,Internal_lists_bugs!$A$2:$G847,7,FALSE()),"please select a BUG ID")</f>
        <v>please select a BUG ID</v>
      </c>
      <c r="D581" s="51" t="str">
        <f>IFERROR(VLOOKUP(A581,Internal_lists_bugs!$A$2:$I847,9,FALSE()),"please select a BUG ID")</f>
        <v>please select a BUG ID</v>
      </c>
      <c r="E581" s="52"/>
      <c r="F581" s="52"/>
      <c r="G581" s="43"/>
      <c r="H581" s="52"/>
      <c r="J581" s="52"/>
      <c r="K581" s="52"/>
    </row>
    <row r="582">
      <c r="A582" s="43"/>
      <c r="B582" s="38" t="str">
        <f>IFERROR(HYPERLINK(VLOOKUP(A582,Internal_lists_bugs!$A$2:$C$73,3,FALSE()), VLOOKUP(A582,Internal_lists_bugs!$A$2:$C$73,3,FALSE())&amp;Char(10) &amp; Char(10) &amp; VLOOKUP(A582,Internal_lists_bugs!$A$2:$Z$73,26,FALSE())),"please select a BUG ID")</f>
        <v>please select a BUG ID</v>
      </c>
      <c r="C582" s="51" t="str">
        <f>IFERROR(VLOOKUP(A582,Internal_lists_bugs!$A$2:$G847,7,FALSE()),"please select a BUG ID")</f>
        <v>please select a BUG ID</v>
      </c>
      <c r="D582" s="51" t="str">
        <f>IFERROR(VLOOKUP(A582,Internal_lists_bugs!$A$2:$I847,9,FALSE()),"please select a BUG ID")</f>
        <v>please select a BUG ID</v>
      </c>
      <c r="E582" s="52"/>
      <c r="F582" s="52"/>
      <c r="G582" s="43"/>
      <c r="H582" s="52"/>
      <c r="J582" s="52"/>
      <c r="K582" s="52"/>
    </row>
    <row r="583">
      <c r="A583" s="43"/>
      <c r="B583" s="38" t="str">
        <f>IFERROR(HYPERLINK(VLOOKUP(A583,Internal_lists_bugs!$A$2:$C$73,3,FALSE()), VLOOKUP(A583,Internal_lists_bugs!$A$2:$C$73,3,FALSE())&amp;Char(10) &amp; Char(10) &amp; VLOOKUP(A583,Internal_lists_bugs!$A$2:$Z$73,26,FALSE())),"please select a BUG ID")</f>
        <v>please select a BUG ID</v>
      </c>
      <c r="C583" s="51" t="str">
        <f>IFERROR(VLOOKUP(A583,Internal_lists_bugs!$A$2:$G847,7,FALSE()),"please select a BUG ID")</f>
        <v>please select a BUG ID</v>
      </c>
      <c r="D583" s="51" t="str">
        <f>IFERROR(VLOOKUP(A583,Internal_lists_bugs!$A$2:$I847,9,FALSE()),"please select a BUG ID")</f>
        <v>please select a BUG ID</v>
      </c>
      <c r="E583" s="52"/>
      <c r="F583" s="52"/>
      <c r="G583" s="43"/>
      <c r="H583" s="52"/>
      <c r="J583" s="52"/>
      <c r="K583" s="52"/>
    </row>
    <row r="584">
      <c r="A584" s="43"/>
      <c r="B584" s="38" t="str">
        <f>IFERROR(HYPERLINK(VLOOKUP(A584,Internal_lists_bugs!$A$2:$C$73,3,FALSE()), VLOOKUP(A584,Internal_lists_bugs!$A$2:$C$73,3,FALSE())&amp;Char(10) &amp; Char(10) &amp; VLOOKUP(A584,Internal_lists_bugs!$A$2:$Z$73,26,FALSE())),"please select a BUG ID")</f>
        <v>please select a BUG ID</v>
      </c>
      <c r="C584" s="51" t="str">
        <f>IFERROR(VLOOKUP(A584,Internal_lists_bugs!$A$2:$G847,7,FALSE()),"please select a BUG ID")</f>
        <v>please select a BUG ID</v>
      </c>
      <c r="D584" s="51" t="str">
        <f>IFERROR(VLOOKUP(A584,Internal_lists_bugs!$A$2:$I847,9,FALSE()),"please select a BUG ID")</f>
        <v>please select a BUG ID</v>
      </c>
      <c r="E584" s="52"/>
      <c r="F584" s="52"/>
      <c r="G584" s="43"/>
      <c r="H584" s="52"/>
      <c r="J584" s="52"/>
      <c r="K584" s="52"/>
    </row>
    <row r="585">
      <c r="A585" s="43"/>
      <c r="B585" s="38" t="str">
        <f>IFERROR(HYPERLINK(VLOOKUP(A585,Internal_lists_bugs!$A$2:$C$73,3,FALSE()), VLOOKUP(A585,Internal_lists_bugs!$A$2:$C$73,3,FALSE())&amp;Char(10) &amp; Char(10) &amp; VLOOKUP(A585,Internal_lists_bugs!$A$2:$Z$73,26,FALSE())),"please select a BUG ID")</f>
        <v>please select a BUG ID</v>
      </c>
      <c r="C585" s="51" t="str">
        <f>IFERROR(VLOOKUP(A585,Internal_lists_bugs!$A$2:$G847,7,FALSE()),"please select a BUG ID")</f>
        <v>please select a BUG ID</v>
      </c>
      <c r="D585" s="51" t="str">
        <f>IFERROR(VLOOKUP(A585,Internal_lists_bugs!$A$2:$I847,9,FALSE()),"please select a BUG ID")</f>
        <v>please select a BUG ID</v>
      </c>
      <c r="E585" s="52"/>
      <c r="F585" s="52"/>
      <c r="G585" s="43"/>
      <c r="H585" s="52"/>
      <c r="J585" s="52"/>
      <c r="K585" s="52"/>
    </row>
    <row r="586">
      <c r="A586" s="43"/>
      <c r="B586" s="38" t="str">
        <f>IFERROR(HYPERLINK(VLOOKUP(A586,Internal_lists_bugs!$A$2:$C$73,3,FALSE()), VLOOKUP(A586,Internal_lists_bugs!$A$2:$C$73,3,FALSE())&amp;Char(10) &amp; Char(10) &amp; VLOOKUP(A586,Internal_lists_bugs!$A$2:$Z$73,26,FALSE())),"please select a BUG ID")</f>
        <v>please select a BUG ID</v>
      </c>
      <c r="C586" s="51" t="str">
        <f>IFERROR(VLOOKUP(A586,Internal_lists_bugs!$A$2:$G847,7,FALSE()),"please select a BUG ID")</f>
        <v>please select a BUG ID</v>
      </c>
      <c r="D586" s="51" t="str">
        <f>IFERROR(VLOOKUP(A586,Internal_lists_bugs!$A$2:$I847,9,FALSE()),"please select a BUG ID")</f>
        <v>please select a BUG ID</v>
      </c>
      <c r="E586" s="52"/>
      <c r="F586" s="52"/>
      <c r="G586" s="43"/>
      <c r="H586" s="52"/>
      <c r="J586" s="52"/>
      <c r="K586" s="52"/>
    </row>
    <row r="587">
      <c r="A587" s="43"/>
      <c r="B587" s="38" t="str">
        <f>IFERROR(HYPERLINK(VLOOKUP(A587,Internal_lists_bugs!$A$2:$C$73,3,FALSE()), VLOOKUP(A587,Internal_lists_bugs!$A$2:$C$73,3,FALSE())&amp;Char(10) &amp; Char(10) &amp; VLOOKUP(A587,Internal_lists_bugs!$A$2:$Z$73,26,FALSE())),"please select a BUG ID")</f>
        <v>please select a BUG ID</v>
      </c>
      <c r="C587" s="51" t="str">
        <f>IFERROR(VLOOKUP(A587,Internal_lists_bugs!$A$2:$G847,7,FALSE()),"please select a BUG ID")</f>
        <v>please select a BUG ID</v>
      </c>
      <c r="D587" s="51" t="str">
        <f>IFERROR(VLOOKUP(A587,Internal_lists_bugs!$A$2:$I847,9,FALSE()),"please select a BUG ID")</f>
        <v>please select a BUG ID</v>
      </c>
      <c r="E587" s="52"/>
      <c r="F587" s="52"/>
      <c r="G587" s="43"/>
      <c r="H587" s="52"/>
      <c r="J587" s="52"/>
      <c r="K587" s="52"/>
    </row>
    <row r="588">
      <c r="A588" s="43"/>
      <c r="B588" s="38" t="str">
        <f>IFERROR(HYPERLINK(VLOOKUP(A588,Internal_lists_bugs!$A$2:$C$73,3,FALSE()), VLOOKUP(A588,Internal_lists_bugs!$A$2:$C$73,3,FALSE())&amp;Char(10) &amp; Char(10) &amp; VLOOKUP(A588,Internal_lists_bugs!$A$2:$Z$73,26,FALSE())),"please select a BUG ID")</f>
        <v>please select a BUG ID</v>
      </c>
      <c r="C588" s="51" t="str">
        <f>IFERROR(VLOOKUP(A588,Internal_lists_bugs!$A$2:$G847,7,FALSE()),"please select a BUG ID")</f>
        <v>please select a BUG ID</v>
      </c>
      <c r="D588" s="51" t="str">
        <f>IFERROR(VLOOKUP(A588,Internal_lists_bugs!$A$2:$I847,9,FALSE()),"please select a BUG ID")</f>
        <v>please select a BUG ID</v>
      </c>
      <c r="E588" s="52"/>
      <c r="F588" s="52"/>
      <c r="G588" s="43"/>
      <c r="H588" s="52"/>
      <c r="J588" s="52"/>
      <c r="K588" s="52"/>
    </row>
    <row r="589">
      <c r="A589" s="43"/>
      <c r="B589" s="38" t="str">
        <f>IFERROR(HYPERLINK(VLOOKUP(A589,Internal_lists_bugs!$A$2:$C$73,3,FALSE()), VLOOKUP(A589,Internal_lists_bugs!$A$2:$C$73,3,FALSE())&amp;Char(10) &amp; Char(10) &amp; VLOOKUP(A589,Internal_lists_bugs!$A$2:$Z$73,26,FALSE())),"please select a BUG ID")</f>
        <v>please select a BUG ID</v>
      </c>
      <c r="C589" s="51" t="str">
        <f>IFERROR(VLOOKUP(A589,Internal_lists_bugs!$A$2:$G847,7,FALSE()),"please select a BUG ID")</f>
        <v>please select a BUG ID</v>
      </c>
      <c r="D589" s="51" t="str">
        <f>IFERROR(VLOOKUP(A589,Internal_lists_bugs!$A$2:$I847,9,FALSE()),"please select a BUG ID")</f>
        <v>please select a BUG ID</v>
      </c>
      <c r="E589" s="52"/>
      <c r="F589" s="52"/>
      <c r="G589" s="43"/>
      <c r="H589" s="52"/>
      <c r="J589" s="52"/>
      <c r="K589" s="52"/>
    </row>
    <row r="590">
      <c r="A590" s="43"/>
      <c r="B590" s="38" t="str">
        <f>IFERROR(HYPERLINK(VLOOKUP(A590,Internal_lists_bugs!$A$2:$C$73,3,FALSE()), VLOOKUP(A590,Internal_lists_bugs!$A$2:$C$73,3,FALSE())&amp;Char(10) &amp; Char(10) &amp; VLOOKUP(A590,Internal_lists_bugs!$A$2:$Z$73,26,FALSE())),"please select a BUG ID")</f>
        <v>please select a BUG ID</v>
      </c>
      <c r="C590" s="51" t="str">
        <f>IFERROR(VLOOKUP(A590,Internal_lists_bugs!$A$2:$G847,7,FALSE()),"please select a BUG ID")</f>
        <v>please select a BUG ID</v>
      </c>
      <c r="D590" s="51" t="str">
        <f>IFERROR(VLOOKUP(A590,Internal_lists_bugs!$A$2:$I847,9,FALSE()),"please select a BUG ID")</f>
        <v>please select a BUG ID</v>
      </c>
      <c r="E590" s="52"/>
      <c r="F590" s="52"/>
      <c r="G590" s="43"/>
      <c r="H590" s="52"/>
      <c r="J590" s="52"/>
      <c r="K590" s="52"/>
    </row>
    <row r="591">
      <c r="A591" s="43"/>
      <c r="B591" s="38" t="str">
        <f>IFERROR(HYPERLINK(VLOOKUP(A591,Internal_lists_bugs!$A$2:$C$73,3,FALSE()), VLOOKUP(A591,Internal_lists_bugs!$A$2:$C$73,3,FALSE())&amp;Char(10) &amp; Char(10) &amp; VLOOKUP(A591,Internal_lists_bugs!$A$2:$Z$73,26,FALSE())),"please select a BUG ID")</f>
        <v>please select a BUG ID</v>
      </c>
      <c r="C591" s="51" t="str">
        <f>IFERROR(VLOOKUP(A591,Internal_lists_bugs!$A$2:$G847,7,FALSE()),"please select a BUG ID")</f>
        <v>please select a BUG ID</v>
      </c>
      <c r="D591" s="51" t="str">
        <f>IFERROR(VLOOKUP(A591,Internal_lists_bugs!$A$2:$I847,9,FALSE()),"please select a BUG ID")</f>
        <v>please select a BUG ID</v>
      </c>
      <c r="E591" s="52"/>
      <c r="F591" s="52"/>
      <c r="G591" s="43"/>
      <c r="H591" s="52"/>
      <c r="J591" s="52"/>
      <c r="K591" s="52"/>
    </row>
    <row r="592">
      <c r="A592" s="43"/>
      <c r="B592" s="38" t="str">
        <f>IFERROR(HYPERLINK(VLOOKUP(A592,Internal_lists_bugs!$A$2:$C$73,3,FALSE()), VLOOKUP(A592,Internal_lists_bugs!$A$2:$C$73,3,FALSE())&amp;Char(10) &amp; Char(10) &amp; VLOOKUP(A592,Internal_lists_bugs!$A$2:$Z$73,26,FALSE())),"please select a BUG ID")</f>
        <v>please select a BUG ID</v>
      </c>
      <c r="C592" s="51" t="str">
        <f>IFERROR(VLOOKUP(A592,Internal_lists_bugs!$A$2:$G847,7,FALSE()),"please select a BUG ID")</f>
        <v>please select a BUG ID</v>
      </c>
      <c r="D592" s="51" t="str">
        <f>IFERROR(VLOOKUP(A592,Internal_lists_bugs!$A$2:$I847,9,FALSE()),"please select a BUG ID")</f>
        <v>please select a BUG ID</v>
      </c>
      <c r="E592" s="52"/>
      <c r="F592" s="52"/>
      <c r="G592" s="43"/>
      <c r="H592" s="52"/>
      <c r="J592" s="52"/>
      <c r="K592" s="52"/>
    </row>
    <row r="593">
      <c r="A593" s="43"/>
      <c r="B593" s="38" t="str">
        <f>IFERROR(HYPERLINK(VLOOKUP(A593,Internal_lists_bugs!$A$2:$C$73,3,FALSE()), VLOOKUP(A593,Internal_lists_bugs!$A$2:$C$73,3,FALSE())&amp;Char(10) &amp; Char(10) &amp; VLOOKUP(A593,Internal_lists_bugs!$A$2:$Z$73,26,FALSE())),"please select a BUG ID")</f>
        <v>please select a BUG ID</v>
      </c>
      <c r="C593" s="51" t="str">
        <f>IFERROR(VLOOKUP(A593,Internal_lists_bugs!$A$2:$G847,7,FALSE()),"please select a BUG ID")</f>
        <v>please select a BUG ID</v>
      </c>
      <c r="D593" s="51" t="str">
        <f>IFERROR(VLOOKUP(A593,Internal_lists_bugs!$A$2:$I847,9,FALSE()),"please select a BUG ID")</f>
        <v>please select a BUG ID</v>
      </c>
      <c r="E593" s="52"/>
      <c r="F593" s="52"/>
      <c r="G593" s="43"/>
      <c r="H593" s="52"/>
      <c r="J593" s="52"/>
      <c r="K593" s="52"/>
    </row>
    <row r="594">
      <c r="A594" s="43"/>
      <c r="B594" s="38" t="str">
        <f>IFERROR(HYPERLINK(VLOOKUP(A594,Internal_lists_bugs!$A$2:$C$73,3,FALSE()), VLOOKUP(A594,Internal_lists_bugs!$A$2:$C$73,3,FALSE())&amp;Char(10) &amp; Char(10) &amp; VLOOKUP(A594,Internal_lists_bugs!$A$2:$Z$73,26,FALSE())),"please select a BUG ID")</f>
        <v>please select a BUG ID</v>
      </c>
      <c r="C594" s="51" t="str">
        <f>IFERROR(VLOOKUP(A594,Internal_lists_bugs!$A$2:$G847,7,FALSE()),"please select a BUG ID")</f>
        <v>please select a BUG ID</v>
      </c>
      <c r="D594" s="51" t="str">
        <f>IFERROR(VLOOKUP(A594,Internal_lists_bugs!$A$2:$I847,9,FALSE()),"please select a BUG ID")</f>
        <v>please select a BUG ID</v>
      </c>
      <c r="E594" s="52"/>
      <c r="F594" s="52"/>
      <c r="G594" s="43"/>
      <c r="H594" s="52"/>
      <c r="J594" s="52"/>
      <c r="K594" s="52"/>
    </row>
    <row r="595">
      <c r="A595" s="43"/>
      <c r="B595" s="38" t="str">
        <f>IFERROR(HYPERLINK(VLOOKUP(A595,Internal_lists_bugs!$A$2:$C$73,3,FALSE()), VLOOKUP(A595,Internal_lists_bugs!$A$2:$C$73,3,FALSE())&amp;Char(10) &amp; Char(10) &amp; VLOOKUP(A595,Internal_lists_bugs!$A$2:$Z$73,26,FALSE())),"please select a BUG ID")</f>
        <v>please select a BUG ID</v>
      </c>
      <c r="C595" s="51" t="str">
        <f>IFERROR(VLOOKUP(A595,Internal_lists_bugs!$A$2:$G847,7,FALSE()),"please select a BUG ID")</f>
        <v>please select a BUG ID</v>
      </c>
      <c r="D595" s="51" t="str">
        <f>IFERROR(VLOOKUP(A595,Internal_lists_bugs!$A$2:$I847,9,FALSE()),"please select a BUG ID")</f>
        <v>please select a BUG ID</v>
      </c>
      <c r="E595" s="52"/>
      <c r="F595" s="52"/>
      <c r="G595" s="43"/>
      <c r="H595" s="52"/>
      <c r="J595" s="52"/>
      <c r="K595" s="52"/>
    </row>
    <row r="596">
      <c r="A596" s="43"/>
      <c r="B596" s="38" t="str">
        <f>IFERROR(HYPERLINK(VLOOKUP(A596,Internal_lists_bugs!$A$2:$C$73,3,FALSE()), VLOOKUP(A596,Internal_lists_bugs!$A$2:$C$73,3,FALSE())&amp;Char(10) &amp; Char(10) &amp; VLOOKUP(A596,Internal_lists_bugs!$A$2:$Z$73,26,FALSE())),"please select a BUG ID")</f>
        <v>please select a BUG ID</v>
      </c>
      <c r="C596" s="51" t="str">
        <f>IFERROR(VLOOKUP(A596,Internal_lists_bugs!$A$2:$G847,7,FALSE()),"please select a BUG ID")</f>
        <v>please select a BUG ID</v>
      </c>
      <c r="D596" s="51" t="str">
        <f>IFERROR(VLOOKUP(A596,Internal_lists_bugs!$A$2:$I847,9,FALSE()),"please select a BUG ID")</f>
        <v>please select a BUG ID</v>
      </c>
      <c r="E596" s="52"/>
      <c r="F596" s="52"/>
      <c r="G596" s="43"/>
      <c r="H596" s="52"/>
      <c r="J596" s="52"/>
      <c r="K596" s="52"/>
    </row>
    <row r="597">
      <c r="A597" s="43"/>
      <c r="B597" s="38" t="str">
        <f>IFERROR(HYPERLINK(VLOOKUP(A597,Internal_lists_bugs!$A$2:$C$73,3,FALSE()), VLOOKUP(A597,Internal_lists_bugs!$A$2:$C$73,3,FALSE())&amp;Char(10) &amp; Char(10) &amp; VLOOKUP(A597,Internal_lists_bugs!$A$2:$Z$73,26,FALSE())),"please select a BUG ID")</f>
        <v>please select a BUG ID</v>
      </c>
      <c r="C597" s="51" t="str">
        <f>IFERROR(VLOOKUP(A597,Internal_lists_bugs!$A$2:$G847,7,FALSE()),"please select a BUG ID")</f>
        <v>please select a BUG ID</v>
      </c>
      <c r="D597" s="51" t="str">
        <f>IFERROR(VLOOKUP(A597,Internal_lists_bugs!$A$2:$I847,9,FALSE()),"please select a BUG ID")</f>
        <v>please select a BUG ID</v>
      </c>
      <c r="E597" s="52"/>
      <c r="F597" s="52"/>
      <c r="G597" s="43"/>
      <c r="H597" s="52"/>
      <c r="J597" s="52"/>
      <c r="K597" s="52"/>
    </row>
    <row r="598">
      <c r="A598" s="43"/>
      <c r="B598" s="38" t="str">
        <f>IFERROR(HYPERLINK(VLOOKUP(A598,Internal_lists_bugs!$A$2:$C$73,3,FALSE()), VLOOKUP(A598,Internal_lists_bugs!$A$2:$C$73,3,FALSE())&amp;Char(10) &amp; Char(10) &amp; VLOOKUP(A598,Internal_lists_bugs!$A$2:$Z$73,26,FALSE())),"please select a BUG ID")</f>
        <v>please select a BUG ID</v>
      </c>
      <c r="C598" s="51" t="str">
        <f>IFERROR(VLOOKUP(A598,Internal_lists_bugs!$A$2:$G847,7,FALSE()),"please select a BUG ID")</f>
        <v>please select a BUG ID</v>
      </c>
      <c r="D598" s="51" t="str">
        <f>IFERROR(VLOOKUP(A598,Internal_lists_bugs!$A$2:$I847,9,FALSE()),"please select a BUG ID")</f>
        <v>please select a BUG ID</v>
      </c>
      <c r="E598" s="52"/>
      <c r="F598" s="52"/>
      <c r="G598" s="43"/>
      <c r="H598" s="52"/>
      <c r="J598" s="52"/>
      <c r="K598" s="52"/>
    </row>
    <row r="599">
      <c r="A599" s="43"/>
      <c r="B599" s="38" t="str">
        <f>IFERROR(HYPERLINK(VLOOKUP(A599,Internal_lists_bugs!$A$2:$C$73,3,FALSE()), VLOOKUP(A599,Internal_lists_bugs!$A$2:$C$73,3,FALSE())&amp;Char(10) &amp; Char(10) &amp; VLOOKUP(A599,Internal_lists_bugs!$A$2:$Z$73,26,FALSE())),"please select a BUG ID")</f>
        <v>please select a BUG ID</v>
      </c>
      <c r="C599" s="51" t="str">
        <f>IFERROR(VLOOKUP(A599,Internal_lists_bugs!$A$2:$G847,7,FALSE()),"please select a BUG ID")</f>
        <v>please select a BUG ID</v>
      </c>
      <c r="D599" s="51" t="str">
        <f>IFERROR(VLOOKUP(A599,Internal_lists_bugs!$A$2:$I847,9,FALSE()),"please select a BUG ID")</f>
        <v>please select a BUG ID</v>
      </c>
      <c r="E599" s="52"/>
      <c r="F599" s="52"/>
      <c r="G599" s="43"/>
      <c r="H599" s="52"/>
      <c r="J599" s="52"/>
      <c r="K599" s="52"/>
    </row>
    <row r="600">
      <c r="A600" s="43"/>
      <c r="B600" s="38" t="str">
        <f>IFERROR(HYPERLINK(VLOOKUP(A600,Internal_lists_bugs!$A$2:$C$73,3,FALSE()), VLOOKUP(A600,Internal_lists_bugs!$A$2:$C$73,3,FALSE())&amp;Char(10) &amp; Char(10) &amp; VLOOKUP(A600,Internal_lists_bugs!$A$2:$Z$73,26,FALSE())),"please select a BUG ID")</f>
        <v>please select a BUG ID</v>
      </c>
      <c r="C600" s="51" t="str">
        <f>IFERROR(VLOOKUP(A600,Internal_lists_bugs!$A$2:$G847,7,FALSE()),"please select a BUG ID")</f>
        <v>please select a BUG ID</v>
      </c>
      <c r="D600" s="51" t="str">
        <f>IFERROR(VLOOKUP(A600,Internal_lists_bugs!$A$2:$I847,9,FALSE()),"please select a BUG ID")</f>
        <v>please select a BUG ID</v>
      </c>
      <c r="E600" s="52"/>
      <c r="F600" s="52"/>
      <c r="G600" s="43"/>
      <c r="H600" s="52"/>
      <c r="J600" s="52"/>
      <c r="K600" s="52"/>
    </row>
    <row r="601">
      <c r="A601" s="43"/>
      <c r="B601" s="38" t="str">
        <f>IFERROR(HYPERLINK(VLOOKUP(A601,Internal_lists_bugs!$A$2:$C$73,3,FALSE()), VLOOKUP(A601,Internal_lists_bugs!$A$2:$C$73,3,FALSE())&amp;Char(10) &amp; Char(10) &amp; VLOOKUP(A601,Internal_lists_bugs!$A$2:$Z$73,26,FALSE())),"please select a BUG ID")</f>
        <v>please select a BUG ID</v>
      </c>
      <c r="C601" s="51" t="str">
        <f>IFERROR(VLOOKUP(A601,Internal_lists_bugs!$A$2:$G847,7,FALSE()),"please select a BUG ID")</f>
        <v>please select a BUG ID</v>
      </c>
      <c r="D601" s="51" t="str">
        <f>IFERROR(VLOOKUP(A601,Internal_lists_bugs!$A$2:$I847,9,FALSE()),"please select a BUG ID")</f>
        <v>please select a BUG ID</v>
      </c>
      <c r="E601" s="52"/>
      <c r="F601" s="52"/>
      <c r="G601" s="43"/>
      <c r="H601" s="52"/>
      <c r="J601" s="52"/>
      <c r="K601" s="52"/>
    </row>
    <row r="602">
      <c r="A602" s="43"/>
      <c r="B602" s="38" t="str">
        <f>IFERROR(HYPERLINK(VLOOKUP(A602,Internal_lists_bugs!$A$2:$C$73,3,FALSE()), VLOOKUP(A602,Internal_lists_bugs!$A$2:$C$73,3,FALSE())&amp;Char(10) &amp; Char(10) &amp; VLOOKUP(A602,Internal_lists_bugs!$A$2:$Z$73,26,FALSE())),"please select a BUG ID")</f>
        <v>please select a BUG ID</v>
      </c>
      <c r="C602" s="51" t="str">
        <f>IFERROR(VLOOKUP(A602,Internal_lists_bugs!$A$2:$G847,7,FALSE()),"please select a BUG ID")</f>
        <v>please select a BUG ID</v>
      </c>
      <c r="D602" s="51" t="str">
        <f>IFERROR(VLOOKUP(A602,Internal_lists_bugs!$A$2:$I847,9,FALSE()),"please select a BUG ID")</f>
        <v>please select a BUG ID</v>
      </c>
      <c r="E602" s="52"/>
      <c r="F602" s="52"/>
      <c r="G602" s="43"/>
      <c r="H602" s="52"/>
      <c r="J602" s="52"/>
      <c r="K602" s="52"/>
    </row>
    <row r="603">
      <c r="A603" s="43"/>
      <c r="B603" s="38" t="str">
        <f>IFERROR(HYPERLINK(VLOOKUP(A603,Internal_lists_bugs!$A$2:$C$73,3,FALSE()), VLOOKUP(A603,Internal_lists_bugs!$A$2:$C$73,3,FALSE())&amp;Char(10) &amp; Char(10) &amp; VLOOKUP(A603,Internal_lists_bugs!$A$2:$Z$73,26,FALSE())),"please select a BUG ID")</f>
        <v>please select a BUG ID</v>
      </c>
      <c r="C603" s="51" t="str">
        <f>IFERROR(VLOOKUP(A603,Internal_lists_bugs!$A$2:$G847,7,FALSE()),"please select a BUG ID")</f>
        <v>please select a BUG ID</v>
      </c>
      <c r="D603" s="51" t="str">
        <f>IFERROR(VLOOKUP(A603,Internal_lists_bugs!$A$2:$I847,9,FALSE()),"please select a BUG ID")</f>
        <v>please select a BUG ID</v>
      </c>
      <c r="E603" s="52"/>
      <c r="F603" s="52"/>
      <c r="G603" s="43"/>
      <c r="H603" s="52"/>
      <c r="J603" s="52"/>
      <c r="K603" s="52"/>
    </row>
    <row r="604">
      <c r="A604" s="43"/>
      <c r="B604" s="38" t="str">
        <f>IFERROR(HYPERLINK(VLOOKUP(A604,Internal_lists_bugs!$A$2:$C$73,3,FALSE()), VLOOKUP(A604,Internal_lists_bugs!$A$2:$C$73,3,FALSE())&amp;Char(10) &amp; Char(10) &amp; VLOOKUP(A604,Internal_lists_bugs!$A$2:$Z$73,26,FALSE())),"please select a BUG ID")</f>
        <v>please select a BUG ID</v>
      </c>
      <c r="C604" s="51" t="str">
        <f>IFERROR(VLOOKUP(A604,Internal_lists_bugs!$A$2:$G847,7,FALSE()),"please select a BUG ID")</f>
        <v>please select a BUG ID</v>
      </c>
      <c r="D604" s="51" t="str">
        <f>IFERROR(VLOOKUP(A604,Internal_lists_bugs!$A$2:$I847,9,FALSE()),"please select a BUG ID")</f>
        <v>please select a BUG ID</v>
      </c>
      <c r="E604" s="52"/>
      <c r="F604" s="52"/>
      <c r="G604" s="43"/>
      <c r="H604" s="52"/>
      <c r="J604" s="52"/>
      <c r="K604" s="52"/>
    </row>
    <row r="605">
      <c r="A605" s="43"/>
      <c r="B605" s="38" t="str">
        <f>IFERROR(HYPERLINK(VLOOKUP(A605,Internal_lists_bugs!$A$2:$C$73,3,FALSE()), VLOOKUP(A605,Internal_lists_bugs!$A$2:$C$73,3,FALSE())&amp;Char(10) &amp; Char(10) &amp; VLOOKUP(A605,Internal_lists_bugs!$A$2:$Z$73,26,FALSE())),"please select a BUG ID")</f>
        <v>please select a BUG ID</v>
      </c>
      <c r="C605" s="51" t="str">
        <f>IFERROR(VLOOKUP(A605,Internal_lists_bugs!$A$2:$G847,7,FALSE()),"please select a BUG ID")</f>
        <v>please select a BUG ID</v>
      </c>
      <c r="D605" s="51" t="str">
        <f>IFERROR(VLOOKUP(A605,Internal_lists_bugs!$A$2:$I847,9,FALSE()),"please select a BUG ID")</f>
        <v>please select a BUG ID</v>
      </c>
      <c r="E605" s="52"/>
      <c r="F605" s="52"/>
      <c r="G605" s="43"/>
      <c r="H605" s="52"/>
      <c r="J605" s="52"/>
      <c r="K605" s="52"/>
    </row>
    <row r="606">
      <c r="A606" s="43"/>
      <c r="B606" s="38" t="str">
        <f>IFERROR(HYPERLINK(VLOOKUP(A606,Internal_lists_bugs!$A$2:$C$73,3,FALSE()), VLOOKUP(A606,Internal_lists_bugs!$A$2:$C$73,3,FALSE())&amp;Char(10) &amp; Char(10) &amp; VLOOKUP(A606,Internal_lists_bugs!$A$2:$Z$73,26,FALSE())),"please select a BUG ID")</f>
        <v>please select a BUG ID</v>
      </c>
      <c r="C606" s="51" t="str">
        <f>IFERROR(VLOOKUP(A606,Internal_lists_bugs!$A$2:$G847,7,FALSE()),"please select a BUG ID")</f>
        <v>please select a BUG ID</v>
      </c>
      <c r="D606" s="51" t="str">
        <f>IFERROR(VLOOKUP(A606,Internal_lists_bugs!$A$2:$I847,9,FALSE()),"please select a BUG ID")</f>
        <v>please select a BUG ID</v>
      </c>
      <c r="E606" s="52"/>
      <c r="F606" s="52"/>
      <c r="G606" s="43"/>
      <c r="H606" s="52"/>
      <c r="J606" s="52"/>
      <c r="K606" s="52"/>
    </row>
    <row r="607">
      <c r="A607" s="43"/>
      <c r="B607" s="38" t="str">
        <f>IFERROR(HYPERLINK(VLOOKUP(A607,Internal_lists_bugs!$A$2:$C$73,3,FALSE()), VLOOKUP(A607,Internal_lists_bugs!$A$2:$C$73,3,FALSE())&amp;Char(10) &amp; Char(10) &amp; VLOOKUP(A607,Internal_lists_bugs!$A$2:$Z$73,26,FALSE())),"please select a BUG ID")</f>
        <v>please select a BUG ID</v>
      </c>
      <c r="C607" s="51" t="str">
        <f>IFERROR(VLOOKUP(A607,Internal_lists_bugs!$A$2:$G847,7,FALSE()),"please select a BUG ID")</f>
        <v>please select a BUG ID</v>
      </c>
      <c r="D607" s="51" t="str">
        <f>IFERROR(VLOOKUP(A607,Internal_lists_bugs!$A$2:$I847,9,FALSE()),"please select a BUG ID")</f>
        <v>please select a BUG ID</v>
      </c>
      <c r="E607" s="52"/>
      <c r="F607" s="52"/>
      <c r="G607" s="43"/>
      <c r="H607" s="52"/>
      <c r="J607" s="52"/>
      <c r="K607" s="52"/>
    </row>
    <row r="608">
      <c r="A608" s="43"/>
      <c r="B608" s="38" t="str">
        <f>IFERROR(HYPERLINK(VLOOKUP(A608,Internal_lists_bugs!$A$2:$C$73,3,FALSE()), VLOOKUP(A608,Internal_lists_bugs!$A$2:$C$73,3,FALSE())&amp;Char(10) &amp; Char(10) &amp; VLOOKUP(A608,Internal_lists_bugs!$A$2:$Z$73,26,FALSE())),"please select a BUG ID")</f>
        <v>please select a BUG ID</v>
      </c>
      <c r="C608" s="51" t="str">
        <f>IFERROR(VLOOKUP(A608,Internal_lists_bugs!$A$2:$G847,7,FALSE()),"please select a BUG ID")</f>
        <v>please select a BUG ID</v>
      </c>
      <c r="D608" s="51" t="str">
        <f>IFERROR(VLOOKUP(A608,Internal_lists_bugs!$A$2:$I847,9,FALSE()),"please select a BUG ID")</f>
        <v>please select a BUG ID</v>
      </c>
      <c r="E608" s="52"/>
      <c r="F608" s="52"/>
      <c r="G608" s="43"/>
      <c r="H608" s="52"/>
      <c r="J608" s="52"/>
      <c r="K608" s="52"/>
    </row>
    <row r="609">
      <c r="A609" s="43"/>
      <c r="B609" s="38" t="str">
        <f>IFERROR(HYPERLINK(VLOOKUP(A609,Internal_lists_bugs!$A$2:$C$73,3,FALSE()), VLOOKUP(A609,Internal_lists_bugs!$A$2:$C$73,3,FALSE())&amp;Char(10) &amp; Char(10) &amp; VLOOKUP(A609,Internal_lists_bugs!$A$2:$Z$73,26,FALSE())),"please select a BUG ID")</f>
        <v>please select a BUG ID</v>
      </c>
      <c r="C609" s="51" t="str">
        <f>IFERROR(VLOOKUP(A609,Internal_lists_bugs!$A$2:$G847,7,FALSE()),"please select a BUG ID")</f>
        <v>please select a BUG ID</v>
      </c>
      <c r="D609" s="51" t="str">
        <f>IFERROR(VLOOKUP(A609,Internal_lists_bugs!$A$2:$I847,9,FALSE()),"please select a BUG ID")</f>
        <v>please select a BUG ID</v>
      </c>
      <c r="E609" s="52"/>
      <c r="F609" s="52"/>
      <c r="G609" s="43"/>
      <c r="H609" s="52"/>
      <c r="J609" s="52"/>
      <c r="K609" s="52"/>
    </row>
    <row r="610">
      <c r="A610" s="43"/>
      <c r="B610" s="38" t="str">
        <f>IFERROR(HYPERLINK(VLOOKUP(A610,Internal_lists_bugs!$A$2:$C$73,3,FALSE()), VLOOKUP(A610,Internal_lists_bugs!$A$2:$C$73,3,FALSE())&amp;Char(10) &amp; Char(10) &amp; VLOOKUP(A610,Internal_lists_bugs!$A$2:$Z$73,26,FALSE())),"please select a BUG ID")</f>
        <v>please select a BUG ID</v>
      </c>
      <c r="C610" s="51" t="str">
        <f>IFERROR(VLOOKUP(A610,Internal_lists_bugs!$A$2:$G847,7,FALSE()),"please select a BUG ID")</f>
        <v>please select a BUG ID</v>
      </c>
      <c r="D610" s="51" t="str">
        <f>IFERROR(VLOOKUP(A610,Internal_lists_bugs!$A$2:$I847,9,FALSE()),"please select a BUG ID")</f>
        <v>please select a BUG ID</v>
      </c>
      <c r="E610" s="52"/>
      <c r="F610" s="52"/>
      <c r="G610" s="43"/>
      <c r="H610" s="52"/>
      <c r="J610" s="52"/>
      <c r="K610" s="52"/>
    </row>
    <row r="611">
      <c r="A611" s="43"/>
      <c r="B611" s="38" t="str">
        <f>IFERROR(HYPERLINK(VLOOKUP(A611,Internal_lists_bugs!$A$2:$C$73,3,FALSE()), VLOOKUP(A611,Internal_lists_bugs!$A$2:$C$73,3,FALSE())&amp;Char(10) &amp; Char(10) &amp; VLOOKUP(A611,Internal_lists_bugs!$A$2:$Z$73,26,FALSE())),"please select a BUG ID")</f>
        <v>please select a BUG ID</v>
      </c>
      <c r="C611" s="51" t="str">
        <f>IFERROR(VLOOKUP(A611,Internal_lists_bugs!$A$2:$G847,7,FALSE()),"please select a BUG ID")</f>
        <v>please select a BUG ID</v>
      </c>
      <c r="D611" s="51" t="str">
        <f>IFERROR(VLOOKUP(A611,Internal_lists_bugs!$A$2:$I847,9,FALSE()),"please select a BUG ID")</f>
        <v>please select a BUG ID</v>
      </c>
      <c r="E611" s="52"/>
      <c r="F611" s="52"/>
      <c r="G611" s="43"/>
      <c r="H611" s="52"/>
      <c r="J611" s="52"/>
      <c r="K611" s="52"/>
    </row>
    <row r="612">
      <c r="A612" s="43"/>
      <c r="B612" s="38" t="str">
        <f>IFERROR(HYPERLINK(VLOOKUP(A612,Internal_lists_bugs!$A$2:$C$73,3,FALSE()), VLOOKUP(A612,Internal_lists_bugs!$A$2:$C$73,3,FALSE())&amp;Char(10) &amp; Char(10) &amp; VLOOKUP(A612,Internal_lists_bugs!$A$2:$Z$73,26,FALSE())),"please select a BUG ID")</f>
        <v>please select a BUG ID</v>
      </c>
      <c r="C612" s="51" t="str">
        <f>IFERROR(VLOOKUP(A612,Internal_lists_bugs!$A$2:$G847,7,FALSE()),"please select a BUG ID")</f>
        <v>please select a BUG ID</v>
      </c>
      <c r="D612" s="51" t="str">
        <f>IFERROR(VLOOKUP(A612,Internal_lists_bugs!$A$2:$I847,9,FALSE()),"please select a BUG ID")</f>
        <v>please select a BUG ID</v>
      </c>
      <c r="E612" s="52"/>
      <c r="F612" s="52"/>
      <c r="G612" s="43"/>
      <c r="H612" s="52"/>
      <c r="J612" s="52"/>
      <c r="K612" s="52"/>
    </row>
    <row r="613">
      <c r="A613" s="43"/>
      <c r="B613" s="38" t="str">
        <f>IFERROR(HYPERLINK(VLOOKUP(A613,Internal_lists_bugs!$A$2:$C$73,3,FALSE()), VLOOKUP(A613,Internal_lists_bugs!$A$2:$C$73,3,FALSE())&amp;Char(10) &amp; Char(10) &amp; VLOOKUP(A613,Internal_lists_bugs!$A$2:$Z$73,26,FALSE())),"please select a BUG ID")</f>
        <v>please select a BUG ID</v>
      </c>
      <c r="C613" s="51" t="str">
        <f>IFERROR(VLOOKUP(A613,Internal_lists_bugs!$A$2:$G847,7,FALSE()),"please select a BUG ID")</f>
        <v>please select a BUG ID</v>
      </c>
      <c r="D613" s="51" t="str">
        <f>IFERROR(VLOOKUP(A613,Internal_lists_bugs!$A$2:$I847,9,FALSE()),"please select a BUG ID")</f>
        <v>please select a BUG ID</v>
      </c>
      <c r="E613" s="52"/>
      <c r="F613" s="52"/>
      <c r="G613" s="43"/>
      <c r="H613" s="52"/>
      <c r="J613" s="52"/>
      <c r="K613" s="52"/>
    </row>
    <row r="614">
      <c r="A614" s="43"/>
      <c r="B614" s="38" t="str">
        <f>IFERROR(HYPERLINK(VLOOKUP(A614,Internal_lists_bugs!$A$2:$C$73,3,FALSE()), VLOOKUP(A614,Internal_lists_bugs!$A$2:$C$73,3,FALSE())&amp;Char(10) &amp; Char(10) &amp; VLOOKUP(A614,Internal_lists_bugs!$A$2:$Z$73,26,FALSE())),"please select a BUG ID")</f>
        <v>please select a BUG ID</v>
      </c>
      <c r="C614" s="51" t="str">
        <f>IFERROR(VLOOKUP(A614,Internal_lists_bugs!$A$2:$G847,7,FALSE()),"please select a BUG ID")</f>
        <v>please select a BUG ID</v>
      </c>
      <c r="D614" s="51" t="str">
        <f>IFERROR(VLOOKUP(A614,Internal_lists_bugs!$A$2:$I847,9,FALSE()),"please select a BUG ID")</f>
        <v>please select a BUG ID</v>
      </c>
      <c r="E614" s="52"/>
      <c r="F614" s="52"/>
      <c r="G614" s="43"/>
      <c r="H614" s="52"/>
      <c r="J614" s="52"/>
      <c r="K614" s="52"/>
    </row>
    <row r="615">
      <c r="A615" s="43"/>
      <c r="B615" s="38" t="str">
        <f>IFERROR(HYPERLINK(VLOOKUP(A615,Internal_lists_bugs!$A$2:$C$73,3,FALSE()), VLOOKUP(A615,Internal_lists_bugs!$A$2:$C$73,3,FALSE())&amp;Char(10) &amp; Char(10) &amp; VLOOKUP(A615,Internal_lists_bugs!$A$2:$Z$73,26,FALSE())),"please select a BUG ID")</f>
        <v>please select a BUG ID</v>
      </c>
      <c r="C615" s="51" t="str">
        <f>IFERROR(VLOOKUP(A615,Internal_lists_bugs!$A$2:$G847,7,FALSE()),"please select a BUG ID")</f>
        <v>please select a BUG ID</v>
      </c>
      <c r="D615" s="51" t="str">
        <f>IFERROR(VLOOKUP(A615,Internal_lists_bugs!$A$2:$I847,9,FALSE()),"please select a BUG ID")</f>
        <v>please select a BUG ID</v>
      </c>
      <c r="E615" s="52"/>
      <c r="F615" s="52"/>
      <c r="G615" s="43"/>
      <c r="H615" s="52"/>
      <c r="J615" s="52"/>
      <c r="K615" s="52"/>
    </row>
    <row r="616">
      <c r="A616" s="43"/>
      <c r="B616" s="38" t="str">
        <f>IFERROR(HYPERLINK(VLOOKUP(A616,Internal_lists_bugs!$A$2:$C$73,3,FALSE()), VLOOKUP(A616,Internal_lists_bugs!$A$2:$C$73,3,FALSE())&amp;Char(10) &amp; Char(10) &amp; VLOOKUP(A616,Internal_lists_bugs!$A$2:$Z$73,26,FALSE())),"please select a BUG ID")</f>
        <v>please select a BUG ID</v>
      </c>
      <c r="C616" s="51" t="str">
        <f>IFERROR(VLOOKUP(A616,Internal_lists_bugs!$A$2:$G847,7,FALSE()),"please select a BUG ID")</f>
        <v>please select a BUG ID</v>
      </c>
      <c r="D616" s="51" t="str">
        <f>IFERROR(VLOOKUP(A616,Internal_lists_bugs!$A$2:$I847,9,FALSE()),"please select a BUG ID")</f>
        <v>please select a BUG ID</v>
      </c>
      <c r="E616" s="52"/>
      <c r="F616" s="52"/>
      <c r="G616" s="43"/>
      <c r="H616" s="52"/>
      <c r="J616" s="52"/>
      <c r="K616" s="52"/>
    </row>
    <row r="617">
      <c r="A617" s="43"/>
      <c r="B617" s="38" t="str">
        <f>IFERROR(HYPERLINK(VLOOKUP(A617,Internal_lists_bugs!$A$2:$C$73,3,FALSE()), VLOOKUP(A617,Internal_lists_bugs!$A$2:$C$73,3,FALSE())&amp;Char(10) &amp; Char(10) &amp; VLOOKUP(A617,Internal_lists_bugs!$A$2:$Z$73,26,FALSE())),"please select a BUG ID")</f>
        <v>please select a BUG ID</v>
      </c>
      <c r="C617" s="51" t="str">
        <f>IFERROR(VLOOKUP(A617,Internal_lists_bugs!$A$2:$G847,7,FALSE()),"please select a BUG ID")</f>
        <v>please select a BUG ID</v>
      </c>
      <c r="D617" s="51" t="str">
        <f>IFERROR(VLOOKUP(A617,Internal_lists_bugs!$A$2:$I847,9,FALSE()),"please select a BUG ID")</f>
        <v>please select a BUG ID</v>
      </c>
      <c r="E617" s="52"/>
      <c r="F617" s="52"/>
      <c r="G617" s="43"/>
      <c r="H617" s="52"/>
      <c r="J617" s="52"/>
      <c r="K617" s="52"/>
    </row>
    <row r="618">
      <c r="A618" s="43"/>
      <c r="B618" s="38" t="str">
        <f>IFERROR(HYPERLINK(VLOOKUP(A618,Internal_lists_bugs!$A$2:$C$73,3,FALSE()), VLOOKUP(A618,Internal_lists_bugs!$A$2:$C$73,3,FALSE())&amp;Char(10) &amp; Char(10) &amp; VLOOKUP(A618,Internal_lists_bugs!$A$2:$Z$73,26,FALSE())),"please select a BUG ID")</f>
        <v>please select a BUG ID</v>
      </c>
      <c r="C618" s="51" t="str">
        <f>IFERROR(VLOOKUP(A618,Internal_lists_bugs!$A$2:$G847,7,FALSE()),"please select a BUG ID")</f>
        <v>please select a BUG ID</v>
      </c>
      <c r="D618" s="51" t="str">
        <f>IFERROR(VLOOKUP(A618,Internal_lists_bugs!$A$2:$I847,9,FALSE()),"please select a BUG ID")</f>
        <v>please select a BUG ID</v>
      </c>
      <c r="E618" s="52"/>
      <c r="F618" s="52"/>
      <c r="G618" s="43"/>
      <c r="H618" s="52"/>
      <c r="J618" s="52"/>
      <c r="K618" s="52"/>
    </row>
    <row r="619">
      <c r="A619" s="43"/>
      <c r="B619" s="38" t="str">
        <f>IFERROR(HYPERLINK(VLOOKUP(A619,Internal_lists_bugs!$A$2:$C$73,3,FALSE()), VLOOKUP(A619,Internal_lists_bugs!$A$2:$C$73,3,FALSE())&amp;Char(10) &amp; Char(10) &amp; VLOOKUP(A619,Internal_lists_bugs!$A$2:$Z$73,26,FALSE())),"please select a BUG ID")</f>
        <v>please select a BUG ID</v>
      </c>
      <c r="C619" s="51" t="str">
        <f>IFERROR(VLOOKUP(A619,Internal_lists_bugs!$A$2:$G847,7,FALSE()),"please select a BUG ID")</f>
        <v>please select a BUG ID</v>
      </c>
      <c r="D619" s="51" t="str">
        <f>IFERROR(VLOOKUP(A619,Internal_lists_bugs!$A$2:$I847,9,FALSE()),"please select a BUG ID")</f>
        <v>please select a BUG ID</v>
      </c>
      <c r="E619" s="52"/>
      <c r="F619" s="52"/>
      <c r="G619" s="43"/>
      <c r="H619" s="52"/>
      <c r="J619" s="52"/>
      <c r="K619" s="52"/>
    </row>
    <row r="620">
      <c r="A620" s="43"/>
      <c r="B620" s="38" t="str">
        <f>IFERROR(HYPERLINK(VLOOKUP(A620,Internal_lists_bugs!$A$2:$C$73,3,FALSE()), VLOOKUP(A620,Internal_lists_bugs!$A$2:$C$73,3,FALSE())&amp;Char(10) &amp; Char(10) &amp; VLOOKUP(A620,Internal_lists_bugs!$A$2:$Z$73,26,FALSE())),"please select a BUG ID")</f>
        <v>please select a BUG ID</v>
      </c>
      <c r="C620" s="51" t="str">
        <f>IFERROR(VLOOKUP(A620,Internal_lists_bugs!$A$2:$G847,7,FALSE()),"please select a BUG ID")</f>
        <v>please select a BUG ID</v>
      </c>
      <c r="D620" s="51" t="str">
        <f>IFERROR(VLOOKUP(A620,Internal_lists_bugs!$A$2:$I847,9,FALSE()),"please select a BUG ID")</f>
        <v>please select a BUG ID</v>
      </c>
      <c r="E620" s="52"/>
      <c r="F620" s="52"/>
      <c r="G620" s="43"/>
      <c r="H620" s="52"/>
      <c r="J620" s="52"/>
      <c r="K620" s="52"/>
    </row>
    <row r="621">
      <c r="A621" s="43"/>
      <c r="B621" s="38" t="str">
        <f>IFERROR(HYPERLINK(VLOOKUP(A621,Internal_lists_bugs!$A$2:$C$73,3,FALSE()), VLOOKUP(A621,Internal_lists_bugs!$A$2:$C$73,3,FALSE())&amp;Char(10) &amp; Char(10) &amp; VLOOKUP(A621,Internal_lists_bugs!$A$2:$Z$73,26,FALSE())),"please select a BUG ID")</f>
        <v>please select a BUG ID</v>
      </c>
      <c r="C621" s="51" t="str">
        <f>IFERROR(VLOOKUP(A621,Internal_lists_bugs!$A$2:$G847,7,FALSE()),"please select a BUG ID")</f>
        <v>please select a BUG ID</v>
      </c>
      <c r="D621" s="51" t="str">
        <f>IFERROR(VLOOKUP(A621,Internal_lists_bugs!$A$2:$I847,9,FALSE()),"please select a BUG ID")</f>
        <v>please select a BUG ID</v>
      </c>
      <c r="E621" s="52"/>
      <c r="F621" s="52"/>
      <c r="G621" s="43"/>
      <c r="H621" s="52"/>
      <c r="J621" s="52"/>
      <c r="K621" s="52"/>
    </row>
    <row r="622">
      <c r="A622" s="43"/>
      <c r="B622" s="38" t="str">
        <f>IFERROR(HYPERLINK(VLOOKUP(A622,Internal_lists_bugs!$A$2:$C$73,3,FALSE()), VLOOKUP(A622,Internal_lists_bugs!$A$2:$C$73,3,FALSE())&amp;Char(10) &amp; Char(10) &amp; VLOOKUP(A622,Internal_lists_bugs!$A$2:$Z$73,26,FALSE())),"please select a BUG ID")</f>
        <v>please select a BUG ID</v>
      </c>
      <c r="C622" s="51" t="str">
        <f>IFERROR(VLOOKUP(A622,Internal_lists_bugs!$A$2:$G847,7,FALSE()),"please select a BUG ID")</f>
        <v>please select a BUG ID</v>
      </c>
      <c r="D622" s="51" t="str">
        <f>IFERROR(VLOOKUP(A622,Internal_lists_bugs!$A$2:$I847,9,FALSE()),"please select a BUG ID")</f>
        <v>please select a BUG ID</v>
      </c>
      <c r="E622" s="52"/>
      <c r="F622" s="52"/>
      <c r="G622" s="43"/>
      <c r="H622" s="52"/>
      <c r="J622" s="52"/>
      <c r="K622" s="52"/>
    </row>
    <row r="623">
      <c r="A623" s="43"/>
      <c r="B623" s="38" t="str">
        <f>IFERROR(HYPERLINK(VLOOKUP(A623,Internal_lists_bugs!$A$2:$C$73,3,FALSE()), VLOOKUP(A623,Internal_lists_bugs!$A$2:$C$73,3,FALSE())&amp;Char(10) &amp; Char(10) &amp; VLOOKUP(A623,Internal_lists_bugs!$A$2:$Z$73,26,FALSE())),"please select a BUG ID")</f>
        <v>please select a BUG ID</v>
      </c>
      <c r="C623" s="51" t="str">
        <f>IFERROR(VLOOKUP(A623,Internal_lists_bugs!$A$2:$G847,7,FALSE()),"please select a BUG ID")</f>
        <v>please select a BUG ID</v>
      </c>
      <c r="D623" s="51" t="str">
        <f>IFERROR(VLOOKUP(A623,Internal_lists_bugs!$A$2:$I847,9,FALSE()),"please select a BUG ID")</f>
        <v>please select a BUG ID</v>
      </c>
      <c r="E623" s="52"/>
      <c r="F623" s="52"/>
      <c r="G623" s="43"/>
      <c r="H623" s="52"/>
      <c r="J623" s="52"/>
      <c r="K623" s="52"/>
    </row>
    <row r="624">
      <c r="A624" s="43"/>
      <c r="B624" s="38" t="str">
        <f>IFERROR(HYPERLINK(VLOOKUP(A624,Internal_lists_bugs!$A$2:$C$73,3,FALSE()), VLOOKUP(A624,Internal_lists_bugs!$A$2:$C$73,3,FALSE())&amp;Char(10) &amp; Char(10) &amp; VLOOKUP(A624,Internal_lists_bugs!$A$2:$Z$73,26,FALSE())),"please select a BUG ID")</f>
        <v>please select a BUG ID</v>
      </c>
      <c r="C624" s="51" t="str">
        <f>IFERROR(VLOOKUP(A624,Internal_lists_bugs!$A$2:$G847,7,FALSE()),"please select a BUG ID")</f>
        <v>please select a BUG ID</v>
      </c>
      <c r="D624" s="51" t="str">
        <f>IFERROR(VLOOKUP(A624,Internal_lists_bugs!$A$2:$I847,9,FALSE()),"please select a BUG ID")</f>
        <v>please select a BUG ID</v>
      </c>
      <c r="E624" s="52"/>
      <c r="F624" s="52"/>
      <c r="G624" s="43"/>
      <c r="H624" s="52"/>
      <c r="J624" s="52"/>
      <c r="K624" s="52"/>
    </row>
    <row r="625">
      <c r="A625" s="43"/>
      <c r="B625" s="38" t="str">
        <f>IFERROR(HYPERLINK(VLOOKUP(A625,Internal_lists_bugs!$A$2:$C$73,3,FALSE()), VLOOKUP(A625,Internal_lists_bugs!$A$2:$C$73,3,FALSE())&amp;Char(10) &amp; Char(10) &amp; VLOOKUP(A625,Internal_lists_bugs!$A$2:$Z$73,26,FALSE())),"please select a BUG ID")</f>
        <v>please select a BUG ID</v>
      </c>
      <c r="C625" s="51" t="str">
        <f>IFERROR(VLOOKUP(A625,Internal_lists_bugs!$A$2:$G847,7,FALSE()),"please select a BUG ID")</f>
        <v>please select a BUG ID</v>
      </c>
      <c r="D625" s="51" t="str">
        <f>IFERROR(VLOOKUP(A625,Internal_lists_bugs!$A$2:$I847,9,FALSE()),"please select a BUG ID")</f>
        <v>please select a BUG ID</v>
      </c>
      <c r="E625" s="52"/>
      <c r="F625" s="52"/>
      <c r="G625" s="43"/>
      <c r="H625" s="52"/>
      <c r="J625" s="52"/>
      <c r="K625" s="52"/>
    </row>
    <row r="626">
      <c r="A626" s="43"/>
      <c r="B626" s="38" t="str">
        <f>IFERROR(HYPERLINK(VLOOKUP(A626,Internal_lists_bugs!$A$2:$C$73,3,FALSE()), VLOOKUP(A626,Internal_lists_bugs!$A$2:$C$73,3,FALSE())&amp;Char(10) &amp; Char(10) &amp; VLOOKUP(A626,Internal_lists_bugs!$A$2:$Z$73,26,FALSE())),"please select a BUG ID")</f>
        <v>please select a BUG ID</v>
      </c>
      <c r="C626" s="51" t="str">
        <f>IFERROR(VLOOKUP(A626,Internal_lists_bugs!$A$2:$G847,7,FALSE()),"please select a BUG ID")</f>
        <v>please select a BUG ID</v>
      </c>
      <c r="D626" s="51" t="str">
        <f>IFERROR(VLOOKUP(A626,Internal_lists_bugs!$A$2:$I847,9,FALSE()),"please select a BUG ID")</f>
        <v>please select a BUG ID</v>
      </c>
      <c r="E626" s="52"/>
      <c r="F626" s="52"/>
      <c r="G626" s="43"/>
      <c r="H626" s="52"/>
      <c r="J626" s="52"/>
      <c r="K626" s="52"/>
    </row>
    <row r="627">
      <c r="A627" s="43"/>
      <c r="B627" s="38" t="str">
        <f>IFERROR(HYPERLINK(VLOOKUP(A627,Internal_lists_bugs!$A$2:$C$73,3,FALSE()), VLOOKUP(A627,Internal_lists_bugs!$A$2:$C$73,3,FALSE())&amp;Char(10) &amp; Char(10) &amp; VLOOKUP(A627,Internal_lists_bugs!$A$2:$Z$73,26,FALSE())),"please select a BUG ID")</f>
        <v>please select a BUG ID</v>
      </c>
      <c r="C627" s="51" t="str">
        <f>IFERROR(VLOOKUP(A627,Internal_lists_bugs!$A$2:$G847,7,FALSE()),"please select a BUG ID")</f>
        <v>please select a BUG ID</v>
      </c>
      <c r="D627" s="51" t="str">
        <f>IFERROR(VLOOKUP(A627,Internal_lists_bugs!$A$2:$I847,9,FALSE()),"please select a BUG ID")</f>
        <v>please select a BUG ID</v>
      </c>
      <c r="E627" s="52"/>
      <c r="F627" s="52"/>
      <c r="G627" s="43"/>
      <c r="H627" s="52"/>
      <c r="J627" s="52"/>
      <c r="K627" s="52"/>
    </row>
    <row r="628">
      <c r="A628" s="43"/>
      <c r="B628" s="38" t="str">
        <f>IFERROR(HYPERLINK(VLOOKUP(A628,Internal_lists_bugs!$A$2:$C$73,3,FALSE()), VLOOKUP(A628,Internal_lists_bugs!$A$2:$C$73,3,FALSE())&amp;Char(10) &amp; Char(10) &amp; VLOOKUP(A628,Internal_lists_bugs!$A$2:$Z$73,26,FALSE())),"please select a BUG ID")</f>
        <v>please select a BUG ID</v>
      </c>
      <c r="C628" s="51" t="str">
        <f>IFERROR(VLOOKUP(A628,Internal_lists_bugs!$A$2:$G847,7,FALSE()),"please select a BUG ID")</f>
        <v>please select a BUG ID</v>
      </c>
      <c r="D628" s="51" t="str">
        <f>IFERROR(VLOOKUP(A628,Internal_lists_bugs!$A$2:$I847,9,FALSE()),"please select a BUG ID")</f>
        <v>please select a BUG ID</v>
      </c>
      <c r="E628" s="52"/>
      <c r="F628" s="52"/>
      <c r="G628" s="43"/>
      <c r="H628" s="52"/>
      <c r="J628" s="52"/>
      <c r="K628" s="52"/>
    </row>
    <row r="629">
      <c r="A629" s="43"/>
      <c r="B629" s="38" t="str">
        <f>IFERROR(HYPERLINK(VLOOKUP(A629,Internal_lists_bugs!$A$2:$C$73,3,FALSE()), VLOOKUP(A629,Internal_lists_bugs!$A$2:$C$73,3,FALSE())&amp;Char(10) &amp; Char(10) &amp; VLOOKUP(A629,Internal_lists_bugs!$A$2:$Z$73,26,FALSE())),"please select a BUG ID")</f>
        <v>please select a BUG ID</v>
      </c>
      <c r="C629" s="51" t="str">
        <f>IFERROR(VLOOKUP(A629,Internal_lists_bugs!$A$2:$G847,7,FALSE()),"please select a BUG ID")</f>
        <v>please select a BUG ID</v>
      </c>
      <c r="D629" s="51" t="str">
        <f>IFERROR(VLOOKUP(A629,Internal_lists_bugs!$A$2:$I847,9,FALSE()),"please select a BUG ID")</f>
        <v>please select a BUG ID</v>
      </c>
      <c r="E629" s="52"/>
      <c r="F629" s="52"/>
      <c r="G629" s="43"/>
      <c r="H629" s="52"/>
      <c r="J629" s="52"/>
      <c r="K629" s="52"/>
    </row>
    <row r="630">
      <c r="A630" s="43"/>
      <c r="B630" s="38" t="str">
        <f>IFERROR(HYPERLINK(VLOOKUP(A630,Internal_lists_bugs!$A$2:$C$73,3,FALSE()), VLOOKUP(A630,Internal_lists_bugs!$A$2:$C$73,3,FALSE())&amp;Char(10) &amp; Char(10) &amp; VLOOKUP(A630,Internal_lists_bugs!$A$2:$Z$73,26,FALSE())),"please select a BUG ID")</f>
        <v>please select a BUG ID</v>
      </c>
      <c r="C630" s="51" t="str">
        <f>IFERROR(VLOOKUP(A630,Internal_lists_bugs!$A$2:$G847,7,FALSE()),"please select a BUG ID")</f>
        <v>please select a BUG ID</v>
      </c>
      <c r="D630" s="51" t="str">
        <f>IFERROR(VLOOKUP(A630,Internal_lists_bugs!$A$2:$I847,9,FALSE()),"please select a BUG ID")</f>
        <v>please select a BUG ID</v>
      </c>
      <c r="E630" s="52"/>
      <c r="F630" s="52"/>
      <c r="G630" s="43"/>
      <c r="H630" s="52"/>
      <c r="J630" s="52"/>
      <c r="K630" s="52"/>
    </row>
    <row r="631">
      <c r="A631" s="43"/>
      <c r="B631" s="38" t="str">
        <f>IFERROR(HYPERLINK(VLOOKUP(A631,Internal_lists_bugs!$A$2:$C$73,3,FALSE()), VLOOKUP(A631,Internal_lists_bugs!$A$2:$C$73,3,FALSE())&amp;Char(10) &amp; Char(10) &amp; VLOOKUP(A631,Internal_lists_bugs!$A$2:$Z$73,26,FALSE())),"please select a BUG ID")</f>
        <v>please select a BUG ID</v>
      </c>
      <c r="C631" s="51" t="str">
        <f>IFERROR(VLOOKUP(A631,Internal_lists_bugs!$A$2:$G847,7,FALSE()),"please select a BUG ID")</f>
        <v>please select a BUG ID</v>
      </c>
      <c r="D631" s="51" t="str">
        <f>IFERROR(VLOOKUP(A631,Internal_lists_bugs!$A$2:$I847,9,FALSE()),"please select a BUG ID")</f>
        <v>please select a BUG ID</v>
      </c>
      <c r="E631" s="52"/>
      <c r="F631" s="52"/>
      <c r="G631" s="43"/>
      <c r="H631" s="52"/>
      <c r="J631" s="52"/>
      <c r="K631" s="52"/>
    </row>
    <row r="632">
      <c r="A632" s="43"/>
      <c r="B632" s="38" t="str">
        <f>IFERROR(HYPERLINK(VLOOKUP(A632,Internal_lists_bugs!$A$2:$C$73,3,FALSE()), VLOOKUP(A632,Internal_lists_bugs!$A$2:$C$73,3,FALSE())&amp;Char(10) &amp; Char(10) &amp; VLOOKUP(A632,Internal_lists_bugs!$A$2:$Z$73,26,FALSE())),"please select a BUG ID")</f>
        <v>please select a BUG ID</v>
      </c>
      <c r="C632" s="51" t="str">
        <f>IFERROR(VLOOKUP(A632,Internal_lists_bugs!$A$2:$G847,7,FALSE()),"please select a BUG ID")</f>
        <v>please select a BUG ID</v>
      </c>
      <c r="D632" s="51" t="str">
        <f>IFERROR(VLOOKUP(A632,Internal_lists_bugs!$A$2:$I847,9,FALSE()),"please select a BUG ID")</f>
        <v>please select a BUG ID</v>
      </c>
      <c r="E632" s="52"/>
      <c r="F632" s="52"/>
      <c r="G632" s="43"/>
      <c r="H632" s="52"/>
      <c r="J632" s="52"/>
      <c r="K632" s="52"/>
    </row>
    <row r="633">
      <c r="A633" s="43"/>
      <c r="B633" s="38" t="str">
        <f>IFERROR(HYPERLINK(VLOOKUP(A633,Internal_lists_bugs!$A$2:$C$73,3,FALSE()), VLOOKUP(A633,Internal_lists_bugs!$A$2:$C$73,3,FALSE())&amp;Char(10) &amp; Char(10) &amp; VLOOKUP(A633,Internal_lists_bugs!$A$2:$Z$73,26,FALSE())),"please select a BUG ID")</f>
        <v>please select a BUG ID</v>
      </c>
      <c r="C633" s="51" t="str">
        <f>IFERROR(VLOOKUP(A633,Internal_lists_bugs!$A$2:$G847,7,FALSE()),"please select a BUG ID")</f>
        <v>please select a BUG ID</v>
      </c>
      <c r="D633" s="51" t="str">
        <f>IFERROR(VLOOKUP(A633,Internal_lists_bugs!$A$2:$I847,9,FALSE()),"please select a BUG ID")</f>
        <v>please select a BUG ID</v>
      </c>
      <c r="E633" s="52"/>
      <c r="F633" s="52"/>
      <c r="G633" s="43"/>
      <c r="H633" s="52"/>
      <c r="J633" s="52"/>
      <c r="K633" s="52"/>
    </row>
    <row r="634">
      <c r="A634" s="43"/>
      <c r="B634" s="38" t="str">
        <f>IFERROR(HYPERLINK(VLOOKUP(A634,Internal_lists_bugs!$A$2:$C$73,3,FALSE()), VLOOKUP(A634,Internal_lists_bugs!$A$2:$C$73,3,FALSE())&amp;Char(10) &amp; Char(10) &amp; VLOOKUP(A634,Internal_lists_bugs!$A$2:$Z$73,26,FALSE())),"please select a BUG ID")</f>
        <v>please select a BUG ID</v>
      </c>
      <c r="C634" s="51" t="str">
        <f>IFERROR(VLOOKUP(A634,Internal_lists_bugs!$A$2:$G847,7,FALSE()),"please select a BUG ID")</f>
        <v>please select a BUG ID</v>
      </c>
      <c r="D634" s="51" t="str">
        <f>IFERROR(VLOOKUP(A634,Internal_lists_bugs!$A$2:$I847,9,FALSE()),"please select a BUG ID")</f>
        <v>please select a BUG ID</v>
      </c>
      <c r="E634" s="52"/>
      <c r="F634" s="52"/>
      <c r="G634" s="43"/>
      <c r="H634" s="52"/>
      <c r="J634" s="52"/>
      <c r="K634" s="52"/>
    </row>
    <row r="635">
      <c r="A635" s="43"/>
      <c r="B635" s="38" t="str">
        <f>IFERROR(HYPERLINK(VLOOKUP(A635,Internal_lists_bugs!$A$2:$C$73,3,FALSE()), VLOOKUP(A635,Internal_lists_bugs!$A$2:$C$73,3,FALSE())&amp;Char(10) &amp; Char(10) &amp; VLOOKUP(A635,Internal_lists_bugs!$A$2:$Z$73,26,FALSE())),"please select a BUG ID")</f>
        <v>please select a BUG ID</v>
      </c>
      <c r="C635" s="51" t="str">
        <f>IFERROR(VLOOKUP(A635,Internal_lists_bugs!$A$2:$G847,7,FALSE()),"please select a BUG ID")</f>
        <v>please select a BUG ID</v>
      </c>
      <c r="D635" s="51" t="str">
        <f>IFERROR(VLOOKUP(A635,Internal_lists_bugs!$A$2:$I847,9,FALSE()),"please select a BUG ID")</f>
        <v>please select a BUG ID</v>
      </c>
      <c r="E635" s="52"/>
      <c r="F635" s="52"/>
      <c r="G635" s="43"/>
      <c r="H635" s="52"/>
      <c r="J635" s="52"/>
      <c r="K635" s="52"/>
    </row>
    <row r="636">
      <c r="A636" s="43"/>
      <c r="B636" s="38" t="str">
        <f>IFERROR(HYPERLINK(VLOOKUP(A636,Internal_lists_bugs!$A$2:$C$73,3,FALSE()), VLOOKUP(A636,Internal_lists_bugs!$A$2:$C$73,3,FALSE())&amp;Char(10) &amp; Char(10) &amp; VLOOKUP(A636,Internal_lists_bugs!$A$2:$Z$73,26,FALSE())),"please select a BUG ID")</f>
        <v>please select a BUG ID</v>
      </c>
      <c r="C636" s="51" t="str">
        <f>IFERROR(VLOOKUP(A636,Internal_lists_bugs!$A$2:$G847,7,FALSE()),"please select a BUG ID")</f>
        <v>please select a BUG ID</v>
      </c>
      <c r="D636" s="51" t="str">
        <f>IFERROR(VLOOKUP(A636,Internal_lists_bugs!$A$2:$I847,9,FALSE()),"please select a BUG ID")</f>
        <v>please select a BUG ID</v>
      </c>
      <c r="E636" s="52"/>
      <c r="F636" s="52"/>
      <c r="G636" s="43"/>
      <c r="H636" s="52"/>
      <c r="J636" s="52"/>
      <c r="K636" s="52"/>
    </row>
    <row r="637">
      <c r="A637" s="43"/>
      <c r="B637" s="38" t="str">
        <f>IFERROR(HYPERLINK(VLOOKUP(A637,Internal_lists_bugs!$A$2:$C$73,3,FALSE()), VLOOKUP(A637,Internal_lists_bugs!$A$2:$C$73,3,FALSE())&amp;Char(10) &amp; Char(10) &amp; VLOOKUP(A637,Internal_lists_bugs!$A$2:$Z$73,26,FALSE())),"please select a BUG ID")</f>
        <v>please select a BUG ID</v>
      </c>
      <c r="C637" s="51" t="str">
        <f>IFERROR(VLOOKUP(A637,Internal_lists_bugs!$A$2:$G847,7,FALSE()),"please select a BUG ID")</f>
        <v>please select a BUG ID</v>
      </c>
      <c r="D637" s="51" t="str">
        <f>IFERROR(VLOOKUP(A637,Internal_lists_bugs!$A$2:$I847,9,FALSE()),"please select a BUG ID")</f>
        <v>please select a BUG ID</v>
      </c>
      <c r="E637" s="52"/>
      <c r="F637" s="52"/>
      <c r="G637" s="43"/>
      <c r="H637" s="52"/>
      <c r="J637" s="52"/>
      <c r="K637" s="52"/>
    </row>
    <row r="638">
      <c r="A638" s="43"/>
      <c r="B638" s="38" t="str">
        <f>IFERROR(HYPERLINK(VLOOKUP(A638,Internal_lists_bugs!$A$2:$C$73,3,FALSE()), VLOOKUP(A638,Internal_lists_bugs!$A$2:$C$73,3,FALSE())&amp;Char(10) &amp; Char(10) &amp; VLOOKUP(A638,Internal_lists_bugs!$A$2:$Z$73,26,FALSE())),"please select a BUG ID")</f>
        <v>please select a BUG ID</v>
      </c>
      <c r="C638" s="51" t="str">
        <f>IFERROR(VLOOKUP(A638,Internal_lists_bugs!$A$2:$G847,7,FALSE()),"please select a BUG ID")</f>
        <v>please select a BUG ID</v>
      </c>
      <c r="D638" s="51" t="str">
        <f>IFERROR(VLOOKUP(A638,Internal_lists_bugs!$A$2:$I847,9,FALSE()),"please select a BUG ID")</f>
        <v>please select a BUG ID</v>
      </c>
      <c r="E638" s="52"/>
      <c r="F638" s="52"/>
      <c r="G638" s="43"/>
      <c r="H638" s="52"/>
      <c r="J638" s="52"/>
      <c r="K638" s="52"/>
    </row>
    <row r="639">
      <c r="A639" s="43"/>
      <c r="B639" s="38" t="str">
        <f>IFERROR(HYPERLINK(VLOOKUP(A639,Internal_lists_bugs!$A$2:$C$73,3,FALSE()), VLOOKUP(A639,Internal_lists_bugs!$A$2:$C$73,3,FALSE())&amp;Char(10) &amp; Char(10) &amp; VLOOKUP(A639,Internal_lists_bugs!$A$2:$Z$73,26,FALSE())),"please select a BUG ID")</f>
        <v>please select a BUG ID</v>
      </c>
      <c r="C639" s="51" t="str">
        <f>IFERROR(VLOOKUP(A639,Internal_lists_bugs!$A$2:$G847,7,FALSE()),"please select a BUG ID")</f>
        <v>please select a BUG ID</v>
      </c>
      <c r="D639" s="51" t="str">
        <f>IFERROR(VLOOKUP(A639,Internal_lists_bugs!$A$2:$I847,9,FALSE()),"please select a BUG ID")</f>
        <v>please select a BUG ID</v>
      </c>
      <c r="E639" s="52"/>
      <c r="F639" s="52"/>
      <c r="G639" s="43"/>
      <c r="H639" s="52"/>
      <c r="J639" s="52"/>
      <c r="K639" s="52"/>
    </row>
    <row r="640">
      <c r="A640" s="43"/>
      <c r="B640" s="38" t="str">
        <f>IFERROR(HYPERLINK(VLOOKUP(A640,Internal_lists_bugs!$A$2:$C$73,3,FALSE()), VLOOKUP(A640,Internal_lists_bugs!$A$2:$C$73,3,FALSE())&amp;Char(10) &amp; Char(10) &amp; VLOOKUP(A640,Internal_lists_bugs!$A$2:$Z$73,26,FALSE())),"please select a BUG ID")</f>
        <v>please select a BUG ID</v>
      </c>
      <c r="C640" s="51" t="str">
        <f>IFERROR(VLOOKUP(A640,Internal_lists_bugs!$A$2:$G847,7,FALSE()),"please select a BUG ID")</f>
        <v>please select a BUG ID</v>
      </c>
      <c r="D640" s="51" t="str">
        <f>IFERROR(VLOOKUP(A640,Internal_lists_bugs!$A$2:$I847,9,FALSE()),"please select a BUG ID")</f>
        <v>please select a BUG ID</v>
      </c>
      <c r="E640" s="52"/>
      <c r="F640" s="52"/>
      <c r="G640" s="43"/>
      <c r="H640" s="52"/>
      <c r="J640" s="52"/>
      <c r="K640" s="52"/>
    </row>
    <row r="641">
      <c r="A641" s="43"/>
      <c r="B641" s="38" t="str">
        <f>IFERROR(HYPERLINK(VLOOKUP(A641,Internal_lists_bugs!$A$2:$C$73,3,FALSE()), VLOOKUP(A641,Internal_lists_bugs!$A$2:$C$73,3,FALSE())&amp;Char(10) &amp; Char(10) &amp; VLOOKUP(A641,Internal_lists_bugs!$A$2:$Z$73,26,FALSE())),"please select a BUG ID")</f>
        <v>please select a BUG ID</v>
      </c>
      <c r="C641" s="51" t="str">
        <f>IFERROR(VLOOKUP(A641,Internal_lists_bugs!$A$2:$G847,7,FALSE()),"please select a BUG ID")</f>
        <v>please select a BUG ID</v>
      </c>
      <c r="D641" s="51" t="str">
        <f>IFERROR(VLOOKUP(A641,Internal_lists_bugs!$A$2:$I847,9,FALSE()),"please select a BUG ID")</f>
        <v>please select a BUG ID</v>
      </c>
      <c r="E641" s="52"/>
      <c r="F641" s="52"/>
      <c r="G641" s="43"/>
      <c r="H641" s="52"/>
      <c r="J641" s="52"/>
      <c r="K641" s="52"/>
    </row>
    <row r="642">
      <c r="A642" s="43"/>
      <c r="B642" s="38" t="str">
        <f>IFERROR(HYPERLINK(VLOOKUP(A642,Internal_lists_bugs!$A$2:$C$73,3,FALSE()), VLOOKUP(A642,Internal_lists_bugs!$A$2:$C$73,3,FALSE())&amp;Char(10) &amp; Char(10) &amp; VLOOKUP(A642,Internal_lists_bugs!$A$2:$Z$73,26,FALSE())),"please select a BUG ID")</f>
        <v>please select a BUG ID</v>
      </c>
      <c r="C642" s="51" t="str">
        <f>IFERROR(VLOOKUP(A642,Internal_lists_bugs!$A$2:$G847,7,FALSE()),"please select a BUG ID")</f>
        <v>please select a BUG ID</v>
      </c>
      <c r="D642" s="51" t="str">
        <f>IFERROR(VLOOKUP(A642,Internal_lists_bugs!$A$2:$I847,9,FALSE()),"please select a BUG ID")</f>
        <v>please select a BUG ID</v>
      </c>
      <c r="E642" s="52"/>
      <c r="F642" s="52"/>
      <c r="G642" s="43"/>
      <c r="H642" s="52"/>
      <c r="J642" s="52"/>
      <c r="K642" s="52"/>
    </row>
    <row r="643">
      <c r="A643" s="43"/>
      <c r="B643" s="38" t="str">
        <f>IFERROR(HYPERLINK(VLOOKUP(A643,Internal_lists_bugs!$A$2:$C$73,3,FALSE()), VLOOKUP(A643,Internal_lists_bugs!$A$2:$C$73,3,FALSE())&amp;Char(10) &amp; Char(10) &amp; VLOOKUP(A643,Internal_lists_bugs!$A$2:$Z$73,26,FALSE())),"please select a BUG ID")</f>
        <v>please select a BUG ID</v>
      </c>
      <c r="C643" s="51" t="str">
        <f>IFERROR(VLOOKUP(A643,Internal_lists_bugs!$A$2:$G847,7,FALSE()),"please select a BUG ID")</f>
        <v>please select a BUG ID</v>
      </c>
      <c r="D643" s="51" t="str">
        <f>IFERROR(VLOOKUP(A643,Internal_lists_bugs!$A$2:$I847,9,FALSE()),"please select a BUG ID")</f>
        <v>please select a BUG ID</v>
      </c>
      <c r="E643" s="52"/>
      <c r="F643" s="52"/>
      <c r="G643" s="43"/>
      <c r="H643" s="52"/>
      <c r="J643" s="52"/>
      <c r="K643" s="52"/>
    </row>
    <row r="644">
      <c r="A644" s="43"/>
      <c r="B644" s="38" t="str">
        <f>IFERROR(HYPERLINK(VLOOKUP(A644,Internal_lists_bugs!$A$2:$C$73,3,FALSE()), VLOOKUP(A644,Internal_lists_bugs!$A$2:$C$73,3,FALSE())&amp;Char(10) &amp; Char(10) &amp; VLOOKUP(A644,Internal_lists_bugs!$A$2:$Z$73,26,FALSE())),"please select a BUG ID")</f>
        <v>please select a BUG ID</v>
      </c>
      <c r="C644" s="51" t="str">
        <f>IFERROR(VLOOKUP(A644,Internal_lists_bugs!$A$2:$G847,7,FALSE()),"please select a BUG ID")</f>
        <v>please select a BUG ID</v>
      </c>
      <c r="D644" s="51" t="str">
        <f>IFERROR(VLOOKUP(A644,Internal_lists_bugs!$A$2:$I847,9,FALSE()),"please select a BUG ID")</f>
        <v>please select a BUG ID</v>
      </c>
      <c r="E644" s="52"/>
      <c r="F644" s="52"/>
      <c r="G644" s="43"/>
      <c r="H644" s="52"/>
      <c r="J644" s="52"/>
      <c r="K644" s="52"/>
    </row>
    <row r="645">
      <c r="A645" s="43"/>
      <c r="B645" s="38" t="str">
        <f>IFERROR(HYPERLINK(VLOOKUP(A645,Internal_lists_bugs!$A$2:$C$73,3,FALSE()), VLOOKUP(A645,Internal_lists_bugs!$A$2:$C$73,3,FALSE())&amp;Char(10) &amp; Char(10) &amp; VLOOKUP(A645,Internal_lists_bugs!$A$2:$Z$73,26,FALSE())),"please select a BUG ID")</f>
        <v>please select a BUG ID</v>
      </c>
      <c r="C645" s="51" t="str">
        <f>IFERROR(VLOOKUP(A645,Internal_lists_bugs!$A$2:$G847,7,FALSE()),"please select a BUG ID")</f>
        <v>please select a BUG ID</v>
      </c>
      <c r="D645" s="51" t="str">
        <f>IFERROR(VLOOKUP(A645,Internal_lists_bugs!$A$2:$I847,9,FALSE()),"please select a BUG ID")</f>
        <v>please select a BUG ID</v>
      </c>
      <c r="E645" s="52"/>
      <c r="F645" s="52"/>
      <c r="G645" s="43"/>
      <c r="H645" s="52"/>
      <c r="J645" s="52"/>
      <c r="K645" s="52"/>
    </row>
    <row r="646">
      <c r="A646" s="43"/>
      <c r="B646" s="38" t="str">
        <f>IFERROR(HYPERLINK(VLOOKUP(A646,Internal_lists_bugs!$A$2:$C$73,3,FALSE()), VLOOKUP(A646,Internal_lists_bugs!$A$2:$C$73,3,FALSE())&amp;Char(10) &amp; Char(10) &amp; VLOOKUP(A646,Internal_lists_bugs!$A$2:$Z$73,26,FALSE())),"please select a BUG ID")</f>
        <v>please select a BUG ID</v>
      </c>
      <c r="C646" s="51" t="str">
        <f>IFERROR(VLOOKUP(A646,Internal_lists_bugs!$A$2:$G847,7,FALSE()),"please select a BUG ID")</f>
        <v>please select a BUG ID</v>
      </c>
      <c r="D646" s="51" t="str">
        <f>IFERROR(VLOOKUP(A646,Internal_lists_bugs!$A$2:$I847,9,FALSE()),"please select a BUG ID")</f>
        <v>please select a BUG ID</v>
      </c>
      <c r="E646" s="52"/>
      <c r="F646" s="52"/>
      <c r="G646" s="43"/>
      <c r="H646" s="52"/>
      <c r="J646" s="52"/>
      <c r="K646" s="52"/>
    </row>
    <row r="647">
      <c r="A647" s="43"/>
      <c r="B647" s="38" t="str">
        <f>IFERROR(HYPERLINK(VLOOKUP(A647,Internal_lists_bugs!$A$2:$C$73,3,FALSE()), VLOOKUP(A647,Internal_lists_bugs!$A$2:$C$73,3,FALSE())&amp;Char(10) &amp; Char(10) &amp; VLOOKUP(A647,Internal_lists_bugs!$A$2:$Z$73,26,FALSE())),"please select a BUG ID")</f>
        <v>please select a BUG ID</v>
      </c>
      <c r="C647" s="51" t="str">
        <f>IFERROR(VLOOKUP(A647,Internal_lists_bugs!$A$2:$G847,7,FALSE()),"please select a BUG ID")</f>
        <v>please select a BUG ID</v>
      </c>
      <c r="D647" s="51" t="str">
        <f>IFERROR(VLOOKUP(A647,Internal_lists_bugs!$A$2:$I847,9,FALSE()),"please select a BUG ID")</f>
        <v>please select a BUG ID</v>
      </c>
      <c r="E647" s="52"/>
      <c r="F647" s="52"/>
      <c r="G647" s="43"/>
      <c r="H647" s="52"/>
      <c r="J647" s="52"/>
      <c r="K647" s="52"/>
    </row>
    <row r="648">
      <c r="A648" s="43"/>
      <c r="B648" s="38" t="str">
        <f>IFERROR(HYPERLINK(VLOOKUP(A648,Internal_lists_bugs!$A$2:$C$73,3,FALSE()), VLOOKUP(A648,Internal_lists_bugs!$A$2:$C$73,3,FALSE())&amp;Char(10) &amp; Char(10) &amp; VLOOKUP(A648,Internal_lists_bugs!$A$2:$Z$73,26,FALSE())),"please select a BUG ID")</f>
        <v>please select a BUG ID</v>
      </c>
      <c r="C648" s="51" t="str">
        <f>IFERROR(VLOOKUP(A648,Internal_lists_bugs!$A$2:$G847,7,FALSE()),"please select a BUG ID")</f>
        <v>please select a BUG ID</v>
      </c>
      <c r="D648" s="51" t="str">
        <f>IFERROR(VLOOKUP(A648,Internal_lists_bugs!$A$2:$I847,9,FALSE()),"please select a BUG ID")</f>
        <v>please select a BUG ID</v>
      </c>
      <c r="E648" s="52"/>
      <c r="F648" s="52"/>
      <c r="G648" s="43"/>
      <c r="H648" s="52"/>
      <c r="J648" s="52"/>
      <c r="K648" s="52"/>
    </row>
    <row r="649">
      <c r="A649" s="43"/>
      <c r="B649" s="38" t="str">
        <f>IFERROR(HYPERLINK(VLOOKUP(A649,Internal_lists_bugs!$A$2:$C$73,3,FALSE()), VLOOKUP(A649,Internal_lists_bugs!$A$2:$C$73,3,FALSE())&amp;Char(10) &amp; Char(10) &amp; VLOOKUP(A649,Internal_lists_bugs!$A$2:$Z$73,26,FALSE())),"please select a BUG ID")</f>
        <v>please select a BUG ID</v>
      </c>
      <c r="C649" s="51" t="str">
        <f>IFERROR(VLOOKUP(A649,Internal_lists_bugs!$A$2:$G847,7,FALSE()),"please select a BUG ID")</f>
        <v>please select a BUG ID</v>
      </c>
      <c r="D649" s="51" t="str">
        <f>IFERROR(VLOOKUP(A649,Internal_lists_bugs!$A$2:$I847,9,FALSE()),"please select a BUG ID")</f>
        <v>please select a BUG ID</v>
      </c>
      <c r="E649" s="52"/>
      <c r="F649" s="52"/>
      <c r="G649" s="43"/>
      <c r="H649" s="52"/>
      <c r="J649" s="52"/>
      <c r="K649" s="52"/>
    </row>
    <row r="650">
      <c r="A650" s="43"/>
      <c r="B650" s="38" t="str">
        <f>IFERROR(HYPERLINK(VLOOKUP(A650,Internal_lists_bugs!$A$2:$C$73,3,FALSE()), VLOOKUP(A650,Internal_lists_bugs!$A$2:$C$73,3,FALSE())&amp;Char(10) &amp; Char(10) &amp; VLOOKUP(A650,Internal_lists_bugs!$A$2:$Z$73,26,FALSE())),"please select a BUG ID")</f>
        <v>please select a BUG ID</v>
      </c>
      <c r="C650" s="51" t="str">
        <f>IFERROR(VLOOKUP(A650,Internal_lists_bugs!$A$2:$G847,7,FALSE()),"please select a BUG ID")</f>
        <v>please select a BUG ID</v>
      </c>
      <c r="D650" s="51" t="str">
        <f>IFERROR(VLOOKUP(A650,Internal_lists_bugs!$A$2:$I847,9,FALSE()),"please select a BUG ID")</f>
        <v>please select a BUG ID</v>
      </c>
      <c r="E650" s="52"/>
      <c r="F650" s="52"/>
      <c r="G650" s="43"/>
      <c r="H650" s="52"/>
      <c r="J650" s="52"/>
      <c r="K650" s="52"/>
    </row>
    <row r="651">
      <c r="A651" s="43"/>
      <c r="B651" s="38" t="str">
        <f>IFERROR(HYPERLINK(VLOOKUP(A651,Internal_lists_bugs!$A$2:$C$73,3,FALSE()), VLOOKUP(A651,Internal_lists_bugs!$A$2:$C$73,3,FALSE())&amp;Char(10) &amp; Char(10) &amp; VLOOKUP(A651,Internal_lists_bugs!$A$2:$Z$73,26,FALSE())),"please select a BUG ID")</f>
        <v>please select a BUG ID</v>
      </c>
      <c r="C651" s="51" t="str">
        <f>IFERROR(VLOOKUP(A651,Internal_lists_bugs!$A$2:$G847,7,FALSE()),"please select a BUG ID")</f>
        <v>please select a BUG ID</v>
      </c>
      <c r="D651" s="51" t="str">
        <f>IFERROR(VLOOKUP(A651,Internal_lists_bugs!$A$2:$I847,9,FALSE()),"please select a BUG ID")</f>
        <v>please select a BUG ID</v>
      </c>
      <c r="E651" s="52"/>
      <c r="F651" s="52"/>
      <c r="G651" s="43"/>
      <c r="H651" s="52"/>
      <c r="J651" s="52"/>
      <c r="K651" s="52"/>
    </row>
    <row r="652">
      <c r="A652" s="43"/>
      <c r="B652" s="38" t="str">
        <f>IFERROR(HYPERLINK(VLOOKUP(A652,Internal_lists_bugs!$A$2:$C$73,3,FALSE()), VLOOKUP(A652,Internal_lists_bugs!$A$2:$C$73,3,FALSE())&amp;Char(10) &amp; Char(10) &amp; VLOOKUP(A652,Internal_lists_bugs!$A$2:$Z$73,26,FALSE())),"please select a BUG ID")</f>
        <v>please select a BUG ID</v>
      </c>
      <c r="C652" s="51" t="str">
        <f>IFERROR(VLOOKUP(A652,Internal_lists_bugs!$A$2:$G847,7,FALSE()),"please select a BUG ID")</f>
        <v>please select a BUG ID</v>
      </c>
      <c r="D652" s="51" t="str">
        <f>IFERROR(VLOOKUP(A652,Internal_lists_bugs!$A$2:$I847,9,FALSE()),"please select a BUG ID")</f>
        <v>please select a BUG ID</v>
      </c>
      <c r="E652" s="52"/>
      <c r="F652" s="52"/>
      <c r="G652" s="43"/>
      <c r="H652" s="52"/>
      <c r="J652" s="52"/>
      <c r="K652" s="52"/>
    </row>
    <row r="653">
      <c r="A653" s="43"/>
      <c r="B653" s="38" t="str">
        <f>IFERROR(HYPERLINK(VLOOKUP(A653,Internal_lists_bugs!$A$2:$C$73,3,FALSE()), VLOOKUP(A653,Internal_lists_bugs!$A$2:$C$73,3,FALSE())&amp;Char(10) &amp; Char(10) &amp; VLOOKUP(A653,Internal_lists_bugs!$A$2:$Z$73,26,FALSE())),"please select a BUG ID")</f>
        <v>please select a BUG ID</v>
      </c>
      <c r="C653" s="51" t="str">
        <f>IFERROR(VLOOKUP(A653,Internal_lists_bugs!$A$2:$G847,7,FALSE()),"please select a BUG ID")</f>
        <v>please select a BUG ID</v>
      </c>
      <c r="D653" s="51" t="str">
        <f>IFERROR(VLOOKUP(A653,Internal_lists_bugs!$A$2:$I847,9,FALSE()),"please select a BUG ID")</f>
        <v>please select a BUG ID</v>
      </c>
      <c r="E653" s="52"/>
      <c r="F653" s="52"/>
      <c r="G653" s="43"/>
      <c r="H653" s="52"/>
      <c r="J653" s="52"/>
      <c r="K653" s="52"/>
    </row>
    <row r="654">
      <c r="A654" s="43"/>
      <c r="B654" s="38" t="str">
        <f>IFERROR(HYPERLINK(VLOOKUP(A654,Internal_lists_bugs!$A$2:$C$73,3,FALSE()), VLOOKUP(A654,Internal_lists_bugs!$A$2:$C$73,3,FALSE())&amp;Char(10) &amp; Char(10) &amp; VLOOKUP(A654,Internal_lists_bugs!$A$2:$Z$73,26,FALSE())),"please select a BUG ID")</f>
        <v>please select a BUG ID</v>
      </c>
      <c r="C654" s="51" t="str">
        <f>IFERROR(VLOOKUP(A654,Internal_lists_bugs!$A$2:$G847,7,FALSE()),"please select a BUG ID")</f>
        <v>please select a BUG ID</v>
      </c>
      <c r="D654" s="51" t="str">
        <f>IFERROR(VLOOKUP(A654,Internal_lists_bugs!$A$2:$I847,9,FALSE()),"please select a BUG ID")</f>
        <v>please select a BUG ID</v>
      </c>
      <c r="E654" s="52"/>
      <c r="F654" s="52"/>
      <c r="G654" s="43"/>
      <c r="H654" s="52"/>
      <c r="J654" s="52"/>
      <c r="K654" s="52"/>
    </row>
    <row r="655">
      <c r="A655" s="43"/>
      <c r="B655" s="38" t="str">
        <f>IFERROR(HYPERLINK(VLOOKUP(A655,Internal_lists_bugs!$A$2:$C$73,3,FALSE()), VLOOKUP(A655,Internal_lists_bugs!$A$2:$C$73,3,FALSE())&amp;Char(10) &amp; Char(10) &amp; VLOOKUP(A655,Internal_lists_bugs!$A$2:$Z$73,26,FALSE())),"please select a BUG ID")</f>
        <v>please select a BUG ID</v>
      </c>
      <c r="C655" s="51" t="str">
        <f>IFERROR(VLOOKUP(A655,Internal_lists_bugs!$A$2:$G847,7,FALSE()),"please select a BUG ID")</f>
        <v>please select a BUG ID</v>
      </c>
      <c r="D655" s="51" t="str">
        <f>IFERROR(VLOOKUP(A655,Internal_lists_bugs!$A$2:$I847,9,FALSE()),"please select a BUG ID")</f>
        <v>please select a BUG ID</v>
      </c>
      <c r="E655" s="52"/>
      <c r="F655" s="52"/>
      <c r="G655" s="43"/>
      <c r="H655" s="52"/>
      <c r="J655" s="52"/>
      <c r="K655" s="52"/>
    </row>
    <row r="656">
      <c r="A656" s="43"/>
      <c r="B656" s="38" t="str">
        <f>IFERROR(HYPERLINK(VLOOKUP(A656,Internal_lists_bugs!$A$2:$C$73,3,FALSE()), VLOOKUP(A656,Internal_lists_bugs!$A$2:$C$73,3,FALSE())&amp;Char(10) &amp; Char(10) &amp; VLOOKUP(A656,Internal_lists_bugs!$A$2:$Z$73,26,FALSE())),"please select a BUG ID")</f>
        <v>please select a BUG ID</v>
      </c>
      <c r="C656" s="51" t="str">
        <f>IFERROR(VLOOKUP(A656,Internal_lists_bugs!$A$2:$G847,7,FALSE()),"please select a BUG ID")</f>
        <v>please select a BUG ID</v>
      </c>
      <c r="D656" s="51" t="str">
        <f>IFERROR(VLOOKUP(A656,Internal_lists_bugs!$A$2:$I847,9,FALSE()),"please select a BUG ID")</f>
        <v>please select a BUG ID</v>
      </c>
      <c r="E656" s="52"/>
      <c r="F656" s="52"/>
      <c r="G656" s="43"/>
      <c r="H656" s="52"/>
      <c r="J656" s="52"/>
      <c r="K656" s="52"/>
    </row>
    <row r="657">
      <c r="A657" s="43"/>
      <c r="B657" s="38" t="str">
        <f>IFERROR(HYPERLINK(VLOOKUP(A657,Internal_lists_bugs!$A$2:$C$73,3,FALSE()), VLOOKUP(A657,Internal_lists_bugs!$A$2:$C$73,3,FALSE())&amp;Char(10) &amp; Char(10) &amp; VLOOKUP(A657,Internal_lists_bugs!$A$2:$Z$73,26,FALSE())),"please select a BUG ID")</f>
        <v>please select a BUG ID</v>
      </c>
      <c r="C657" s="51" t="str">
        <f>IFERROR(VLOOKUP(A657,Internal_lists_bugs!$A$2:$G847,7,FALSE()),"please select a BUG ID")</f>
        <v>please select a BUG ID</v>
      </c>
      <c r="D657" s="51" t="str">
        <f>IFERROR(VLOOKUP(A657,Internal_lists_bugs!$A$2:$I847,9,FALSE()),"please select a BUG ID")</f>
        <v>please select a BUG ID</v>
      </c>
      <c r="E657" s="52"/>
      <c r="F657" s="52"/>
      <c r="G657" s="43"/>
      <c r="H657" s="52"/>
      <c r="J657" s="52"/>
      <c r="K657" s="52"/>
    </row>
    <row r="658">
      <c r="A658" s="43"/>
      <c r="B658" s="38" t="str">
        <f>IFERROR(HYPERLINK(VLOOKUP(A658,Internal_lists_bugs!$A$2:$C$73,3,FALSE()), VLOOKUP(A658,Internal_lists_bugs!$A$2:$C$73,3,FALSE())&amp;Char(10) &amp; Char(10) &amp; VLOOKUP(A658,Internal_lists_bugs!$A$2:$Z$73,26,FALSE())),"please select a BUG ID")</f>
        <v>please select a BUG ID</v>
      </c>
      <c r="C658" s="51" t="str">
        <f>IFERROR(VLOOKUP(A658,Internal_lists_bugs!$A$2:$G847,7,FALSE()),"please select a BUG ID")</f>
        <v>please select a BUG ID</v>
      </c>
      <c r="D658" s="51" t="str">
        <f>IFERROR(VLOOKUP(A658,Internal_lists_bugs!$A$2:$I847,9,FALSE()),"please select a BUG ID")</f>
        <v>please select a BUG ID</v>
      </c>
      <c r="E658" s="52"/>
      <c r="F658" s="52"/>
      <c r="G658" s="43"/>
      <c r="H658" s="52"/>
      <c r="J658" s="52"/>
      <c r="K658" s="52"/>
    </row>
    <row r="659">
      <c r="A659" s="43"/>
      <c r="B659" s="38" t="str">
        <f>IFERROR(HYPERLINK(VLOOKUP(A659,Internal_lists_bugs!$A$2:$C$73,3,FALSE()), VLOOKUP(A659,Internal_lists_bugs!$A$2:$C$73,3,FALSE())&amp;Char(10) &amp; Char(10) &amp; VLOOKUP(A659,Internal_lists_bugs!$A$2:$Z$73,26,FALSE())),"please select a BUG ID")</f>
        <v>please select a BUG ID</v>
      </c>
      <c r="C659" s="51" t="str">
        <f>IFERROR(VLOOKUP(A659,Internal_lists_bugs!$A$2:$G847,7,FALSE()),"please select a BUG ID")</f>
        <v>please select a BUG ID</v>
      </c>
      <c r="D659" s="51" t="str">
        <f>IFERROR(VLOOKUP(A659,Internal_lists_bugs!$A$2:$I847,9,FALSE()),"please select a BUG ID")</f>
        <v>please select a BUG ID</v>
      </c>
      <c r="E659" s="52"/>
      <c r="F659" s="52"/>
      <c r="G659" s="43"/>
      <c r="H659" s="52"/>
      <c r="J659" s="52"/>
      <c r="K659" s="52"/>
    </row>
    <row r="660">
      <c r="A660" s="43"/>
      <c r="B660" s="38" t="str">
        <f>IFERROR(HYPERLINK(VLOOKUP(A660,Internal_lists_bugs!$A$2:$C$73,3,FALSE()), VLOOKUP(A660,Internal_lists_bugs!$A$2:$C$73,3,FALSE())&amp;Char(10) &amp; Char(10) &amp; VLOOKUP(A660,Internal_lists_bugs!$A$2:$Z$73,26,FALSE())),"please select a BUG ID")</f>
        <v>please select a BUG ID</v>
      </c>
      <c r="C660" s="51" t="str">
        <f>IFERROR(VLOOKUP(A660,Internal_lists_bugs!$A$2:$G847,7,FALSE()),"please select a BUG ID")</f>
        <v>please select a BUG ID</v>
      </c>
      <c r="D660" s="51" t="str">
        <f>IFERROR(VLOOKUP(A660,Internal_lists_bugs!$A$2:$I847,9,FALSE()),"please select a BUG ID")</f>
        <v>please select a BUG ID</v>
      </c>
      <c r="E660" s="52"/>
      <c r="F660" s="52"/>
      <c r="G660" s="43"/>
      <c r="H660" s="52"/>
      <c r="J660" s="52"/>
      <c r="K660" s="52"/>
    </row>
    <row r="661">
      <c r="A661" s="43"/>
      <c r="B661" s="38" t="str">
        <f>IFERROR(HYPERLINK(VLOOKUP(A661,Internal_lists_bugs!$A$2:$C$73,3,FALSE()), VLOOKUP(A661,Internal_lists_bugs!$A$2:$C$73,3,FALSE())&amp;Char(10) &amp; Char(10) &amp; VLOOKUP(A661,Internal_lists_bugs!$A$2:$Z$73,26,FALSE())),"please select a BUG ID")</f>
        <v>please select a BUG ID</v>
      </c>
      <c r="C661" s="51" t="str">
        <f>IFERROR(VLOOKUP(A661,Internal_lists_bugs!$A$2:$G847,7,FALSE()),"please select a BUG ID")</f>
        <v>please select a BUG ID</v>
      </c>
      <c r="D661" s="51" t="str">
        <f>IFERROR(VLOOKUP(A661,Internal_lists_bugs!$A$2:$I847,9,FALSE()),"please select a BUG ID")</f>
        <v>please select a BUG ID</v>
      </c>
      <c r="E661" s="52"/>
      <c r="F661" s="52"/>
      <c r="G661" s="43"/>
      <c r="H661" s="52"/>
      <c r="J661" s="52"/>
      <c r="K661" s="52"/>
    </row>
    <row r="662">
      <c r="A662" s="43"/>
      <c r="B662" s="38" t="str">
        <f>IFERROR(HYPERLINK(VLOOKUP(A662,Internal_lists_bugs!$A$2:$C$73,3,FALSE()), VLOOKUP(A662,Internal_lists_bugs!$A$2:$C$73,3,FALSE())&amp;Char(10) &amp; Char(10) &amp; VLOOKUP(A662,Internal_lists_bugs!$A$2:$Z$73,26,FALSE())),"please select a BUG ID")</f>
        <v>please select a BUG ID</v>
      </c>
      <c r="C662" s="51" t="str">
        <f>IFERROR(VLOOKUP(A662,Internal_lists_bugs!$A$2:$G847,7,FALSE()),"please select a BUG ID")</f>
        <v>please select a BUG ID</v>
      </c>
      <c r="D662" s="51" t="str">
        <f>IFERROR(VLOOKUP(A662,Internal_lists_bugs!$A$2:$I847,9,FALSE()),"please select a BUG ID")</f>
        <v>please select a BUG ID</v>
      </c>
      <c r="E662" s="52"/>
      <c r="F662" s="52"/>
      <c r="G662" s="43"/>
      <c r="H662" s="52"/>
      <c r="J662" s="52"/>
      <c r="K662" s="52"/>
    </row>
    <row r="663">
      <c r="A663" s="43"/>
      <c r="B663" s="38" t="str">
        <f>IFERROR(HYPERLINK(VLOOKUP(A663,Internal_lists_bugs!$A$2:$C$73,3,FALSE()), VLOOKUP(A663,Internal_lists_bugs!$A$2:$C$73,3,FALSE())&amp;Char(10) &amp; Char(10) &amp; VLOOKUP(A663,Internal_lists_bugs!$A$2:$Z$73,26,FALSE())),"please select a BUG ID")</f>
        <v>please select a BUG ID</v>
      </c>
      <c r="C663" s="51" t="str">
        <f>IFERROR(VLOOKUP(A663,Internal_lists_bugs!$A$2:$G847,7,FALSE()),"please select a BUG ID")</f>
        <v>please select a BUG ID</v>
      </c>
      <c r="D663" s="51" t="str">
        <f>IFERROR(VLOOKUP(A663,Internal_lists_bugs!$A$2:$I847,9,FALSE()),"please select a BUG ID")</f>
        <v>please select a BUG ID</v>
      </c>
      <c r="E663" s="52"/>
      <c r="F663" s="52"/>
      <c r="G663" s="43"/>
      <c r="H663" s="52"/>
      <c r="J663" s="52"/>
      <c r="K663" s="52"/>
    </row>
    <row r="664">
      <c r="A664" s="43"/>
      <c r="B664" s="38" t="str">
        <f>IFERROR(HYPERLINK(VLOOKUP(A664,Internal_lists_bugs!$A$2:$C$73,3,FALSE()), VLOOKUP(A664,Internal_lists_bugs!$A$2:$C$73,3,FALSE())&amp;Char(10) &amp; Char(10) &amp; VLOOKUP(A664,Internal_lists_bugs!$A$2:$Z$73,26,FALSE())),"please select a BUG ID")</f>
        <v>please select a BUG ID</v>
      </c>
      <c r="C664" s="51" t="str">
        <f>IFERROR(VLOOKUP(A664,Internal_lists_bugs!$A$2:$G847,7,FALSE()),"please select a BUG ID")</f>
        <v>please select a BUG ID</v>
      </c>
      <c r="D664" s="51" t="str">
        <f>IFERROR(VLOOKUP(A664,Internal_lists_bugs!$A$2:$I847,9,FALSE()),"please select a BUG ID")</f>
        <v>please select a BUG ID</v>
      </c>
      <c r="E664" s="52"/>
      <c r="F664" s="52"/>
      <c r="G664" s="43"/>
      <c r="H664" s="52"/>
      <c r="J664" s="52"/>
      <c r="K664" s="52"/>
    </row>
    <row r="665">
      <c r="A665" s="43"/>
      <c r="B665" s="38" t="str">
        <f>IFERROR(HYPERLINK(VLOOKUP(A665,Internal_lists_bugs!$A$2:$C$73,3,FALSE()), VLOOKUP(A665,Internal_lists_bugs!$A$2:$C$73,3,FALSE())&amp;Char(10) &amp; Char(10) &amp; VLOOKUP(A665,Internal_lists_bugs!$A$2:$Z$73,26,FALSE())),"please select a BUG ID")</f>
        <v>please select a BUG ID</v>
      </c>
      <c r="C665" s="51" t="str">
        <f>IFERROR(VLOOKUP(A665,Internal_lists_bugs!$A$2:$G847,7,FALSE()),"please select a BUG ID")</f>
        <v>please select a BUG ID</v>
      </c>
      <c r="D665" s="51" t="str">
        <f>IFERROR(VLOOKUP(A665,Internal_lists_bugs!$A$2:$I847,9,FALSE()),"please select a BUG ID")</f>
        <v>please select a BUG ID</v>
      </c>
      <c r="E665" s="52"/>
      <c r="F665" s="52"/>
      <c r="G665" s="43"/>
      <c r="H665" s="52"/>
      <c r="J665" s="52"/>
      <c r="K665" s="52"/>
    </row>
    <row r="666">
      <c r="A666" s="43"/>
      <c r="B666" s="38" t="str">
        <f>IFERROR(HYPERLINK(VLOOKUP(A666,Internal_lists_bugs!$A$2:$C$73,3,FALSE()), VLOOKUP(A666,Internal_lists_bugs!$A$2:$C$73,3,FALSE())&amp;Char(10) &amp; Char(10) &amp; VLOOKUP(A666,Internal_lists_bugs!$A$2:$Z$73,26,FALSE())),"please select a BUG ID")</f>
        <v>please select a BUG ID</v>
      </c>
      <c r="C666" s="51" t="str">
        <f>IFERROR(VLOOKUP(A666,Internal_lists_bugs!$A$2:$G847,7,FALSE()),"please select a BUG ID")</f>
        <v>please select a BUG ID</v>
      </c>
      <c r="D666" s="51" t="str">
        <f>IFERROR(VLOOKUP(A666,Internal_lists_bugs!$A$2:$I847,9,FALSE()),"please select a BUG ID")</f>
        <v>please select a BUG ID</v>
      </c>
      <c r="E666" s="52"/>
      <c r="F666" s="52"/>
      <c r="G666" s="43"/>
      <c r="H666" s="52"/>
      <c r="J666" s="52"/>
      <c r="K666" s="52"/>
    </row>
    <row r="667">
      <c r="A667" s="43"/>
      <c r="B667" s="38" t="str">
        <f>IFERROR(HYPERLINK(VLOOKUP(A667,Internal_lists_bugs!$A$2:$C$73,3,FALSE()), VLOOKUP(A667,Internal_lists_bugs!$A$2:$C$73,3,FALSE())&amp;Char(10) &amp; Char(10) &amp; VLOOKUP(A667,Internal_lists_bugs!$A$2:$Z$73,26,FALSE())),"please select a BUG ID")</f>
        <v>please select a BUG ID</v>
      </c>
      <c r="C667" s="51" t="str">
        <f>IFERROR(VLOOKUP(A667,Internal_lists_bugs!$A$2:$G847,7,FALSE()),"please select a BUG ID")</f>
        <v>please select a BUG ID</v>
      </c>
      <c r="D667" s="51" t="str">
        <f>IFERROR(VLOOKUP(A667,Internal_lists_bugs!$A$2:$I847,9,FALSE()),"please select a BUG ID")</f>
        <v>please select a BUG ID</v>
      </c>
      <c r="E667" s="52"/>
      <c r="F667" s="52"/>
      <c r="G667" s="43"/>
      <c r="H667" s="52"/>
      <c r="J667" s="52"/>
      <c r="K667" s="52"/>
    </row>
    <row r="668">
      <c r="A668" s="43"/>
      <c r="B668" s="38" t="str">
        <f>IFERROR(HYPERLINK(VLOOKUP(A668,Internal_lists_bugs!$A$2:$C$73,3,FALSE()), VLOOKUP(A668,Internal_lists_bugs!$A$2:$C$73,3,FALSE())&amp;Char(10) &amp; Char(10) &amp; VLOOKUP(A668,Internal_lists_bugs!$A$2:$Z$73,26,FALSE())),"please select a BUG ID")</f>
        <v>please select a BUG ID</v>
      </c>
      <c r="C668" s="51" t="str">
        <f>IFERROR(VLOOKUP(A668,Internal_lists_bugs!$A$2:$G847,7,FALSE()),"please select a BUG ID")</f>
        <v>please select a BUG ID</v>
      </c>
      <c r="D668" s="51" t="str">
        <f>IFERROR(VLOOKUP(A668,Internal_lists_bugs!$A$2:$I847,9,FALSE()),"please select a BUG ID")</f>
        <v>please select a BUG ID</v>
      </c>
      <c r="E668" s="52"/>
      <c r="F668" s="52"/>
      <c r="G668" s="43"/>
      <c r="H668" s="52"/>
      <c r="J668" s="52"/>
      <c r="K668" s="52"/>
    </row>
    <row r="669">
      <c r="A669" s="43"/>
      <c r="B669" s="38" t="str">
        <f>IFERROR(HYPERLINK(VLOOKUP(A669,Internal_lists_bugs!$A$2:$C$73,3,FALSE()), VLOOKUP(A669,Internal_lists_bugs!$A$2:$C$73,3,FALSE())&amp;Char(10) &amp; Char(10) &amp; VLOOKUP(A669,Internal_lists_bugs!$A$2:$Z$73,26,FALSE())),"please select a BUG ID")</f>
        <v>please select a BUG ID</v>
      </c>
      <c r="C669" s="51" t="str">
        <f>IFERROR(VLOOKUP(A669,Internal_lists_bugs!$A$2:$G847,7,FALSE()),"please select a BUG ID")</f>
        <v>please select a BUG ID</v>
      </c>
      <c r="D669" s="51" t="str">
        <f>IFERROR(VLOOKUP(A669,Internal_lists_bugs!$A$2:$I847,9,FALSE()),"please select a BUG ID")</f>
        <v>please select a BUG ID</v>
      </c>
      <c r="E669" s="52"/>
      <c r="F669" s="52"/>
      <c r="G669" s="43"/>
      <c r="H669" s="52"/>
      <c r="J669" s="52"/>
      <c r="K669" s="52"/>
    </row>
    <row r="670">
      <c r="A670" s="43"/>
      <c r="B670" s="38" t="str">
        <f>IFERROR(HYPERLINK(VLOOKUP(A670,Internal_lists_bugs!$A$2:$C$73,3,FALSE()), VLOOKUP(A670,Internal_lists_bugs!$A$2:$C$73,3,FALSE())&amp;Char(10) &amp; Char(10) &amp; VLOOKUP(A670,Internal_lists_bugs!$A$2:$Z$73,26,FALSE())),"please select a BUG ID")</f>
        <v>please select a BUG ID</v>
      </c>
      <c r="C670" s="51" t="str">
        <f>IFERROR(VLOOKUP(A670,Internal_lists_bugs!$A$2:$G847,7,FALSE()),"please select a BUG ID")</f>
        <v>please select a BUG ID</v>
      </c>
      <c r="D670" s="51" t="str">
        <f>IFERROR(VLOOKUP(A670,Internal_lists_bugs!$A$2:$I847,9,FALSE()),"please select a BUG ID")</f>
        <v>please select a BUG ID</v>
      </c>
      <c r="E670" s="52"/>
      <c r="F670" s="52"/>
      <c r="G670" s="43"/>
      <c r="H670" s="52"/>
      <c r="J670" s="52"/>
      <c r="K670" s="52"/>
    </row>
    <row r="671">
      <c r="A671" s="43"/>
      <c r="B671" s="38" t="str">
        <f>IFERROR(HYPERLINK(VLOOKUP(A671,Internal_lists_bugs!$A$2:$C$73,3,FALSE()), VLOOKUP(A671,Internal_lists_bugs!$A$2:$C$73,3,FALSE())&amp;Char(10) &amp; Char(10) &amp; VLOOKUP(A671,Internal_lists_bugs!$A$2:$Z$73,26,FALSE())),"please select a BUG ID")</f>
        <v>please select a BUG ID</v>
      </c>
      <c r="C671" s="51" t="str">
        <f>IFERROR(VLOOKUP(A671,Internal_lists_bugs!$A$2:$G847,7,FALSE()),"please select a BUG ID")</f>
        <v>please select a BUG ID</v>
      </c>
      <c r="D671" s="51" t="str">
        <f>IFERROR(VLOOKUP(A671,Internal_lists_bugs!$A$2:$I847,9,FALSE()),"please select a BUG ID")</f>
        <v>please select a BUG ID</v>
      </c>
      <c r="E671" s="52"/>
      <c r="F671" s="52"/>
      <c r="G671" s="43"/>
      <c r="H671" s="52"/>
      <c r="J671" s="52"/>
      <c r="K671" s="52"/>
    </row>
    <row r="672">
      <c r="A672" s="43"/>
      <c r="B672" s="38" t="str">
        <f>IFERROR(HYPERLINK(VLOOKUP(A672,Internal_lists_bugs!$A$2:$C$73,3,FALSE()), VLOOKUP(A672,Internal_lists_bugs!$A$2:$C$73,3,FALSE())&amp;Char(10) &amp; Char(10) &amp; VLOOKUP(A672,Internal_lists_bugs!$A$2:$Z$73,26,FALSE())),"please select a BUG ID")</f>
        <v>please select a BUG ID</v>
      </c>
      <c r="C672" s="51" t="str">
        <f>IFERROR(VLOOKUP(A672,Internal_lists_bugs!$A$2:$G847,7,FALSE()),"please select a BUG ID")</f>
        <v>please select a BUG ID</v>
      </c>
      <c r="D672" s="51" t="str">
        <f>IFERROR(VLOOKUP(A672,Internal_lists_bugs!$A$2:$I847,9,FALSE()),"please select a BUG ID")</f>
        <v>please select a BUG ID</v>
      </c>
      <c r="E672" s="52"/>
      <c r="F672" s="52"/>
      <c r="G672" s="43"/>
      <c r="H672" s="52"/>
      <c r="J672" s="52"/>
      <c r="K672" s="52"/>
    </row>
    <row r="673">
      <c r="A673" s="43"/>
      <c r="B673" s="38" t="str">
        <f>IFERROR(HYPERLINK(VLOOKUP(A673,Internal_lists_bugs!$A$2:$C$73,3,FALSE()), VLOOKUP(A673,Internal_lists_bugs!$A$2:$C$73,3,FALSE())&amp;Char(10) &amp; Char(10) &amp; VLOOKUP(A673,Internal_lists_bugs!$A$2:$Z$73,26,FALSE())),"please select a BUG ID")</f>
        <v>please select a BUG ID</v>
      </c>
      <c r="C673" s="51" t="str">
        <f>IFERROR(VLOOKUP(A673,Internal_lists_bugs!$A$2:$G847,7,FALSE()),"please select a BUG ID")</f>
        <v>please select a BUG ID</v>
      </c>
      <c r="D673" s="51" t="str">
        <f>IFERROR(VLOOKUP(A673,Internal_lists_bugs!$A$2:$I847,9,FALSE()),"please select a BUG ID")</f>
        <v>please select a BUG ID</v>
      </c>
      <c r="E673" s="52"/>
      <c r="F673" s="52"/>
      <c r="G673" s="43"/>
      <c r="H673" s="52"/>
      <c r="J673" s="52"/>
      <c r="K673" s="52"/>
    </row>
    <row r="674">
      <c r="A674" s="43"/>
      <c r="B674" s="38" t="str">
        <f>IFERROR(HYPERLINK(VLOOKUP(A674,Internal_lists_bugs!$A$2:$C$73,3,FALSE()), VLOOKUP(A674,Internal_lists_bugs!$A$2:$C$73,3,FALSE())&amp;Char(10) &amp; Char(10) &amp; VLOOKUP(A674,Internal_lists_bugs!$A$2:$Z$73,26,FALSE())),"please select a BUG ID")</f>
        <v>please select a BUG ID</v>
      </c>
      <c r="C674" s="51" t="str">
        <f>IFERROR(VLOOKUP(A674,Internal_lists_bugs!$A$2:$G847,7,FALSE()),"please select a BUG ID")</f>
        <v>please select a BUG ID</v>
      </c>
      <c r="D674" s="51" t="str">
        <f>IFERROR(VLOOKUP(A674,Internal_lists_bugs!$A$2:$I847,9,FALSE()),"please select a BUG ID")</f>
        <v>please select a BUG ID</v>
      </c>
      <c r="E674" s="52"/>
      <c r="F674" s="52"/>
      <c r="G674" s="43"/>
      <c r="H674" s="52"/>
      <c r="J674" s="52"/>
      <c r="K674" s="52"/>
    </row>
    <row r="675">
      <c r="A675" s="43"/>
      <c r="B675" s="38" t="str">
        <f>IFERROR(HYPERLINK(VLOOKUP(A675,Internal_lists_bugs!$A$2:$C$73,3,FALSE()), VLOOKUP(A675,Internal_lists_bugs!$A$2:$C$73,3,FALSE())&amp;Char(10) &amp; Char(10) &amp; VLOOKUP(A675,Internal_lists_bugs!$A$2:$Z$73,26,FALSE())),"please select a BUG ID")</f>
        <v>please select a BUG ID</v>
      </c>
      <c r="C675" s="51" t="str">
        <f>IFERROR(VLOOKUP(A675,Internal_lists_bugs!$A$2:$G847,7,FALSE()),"please select a BUG ID")</f>
        <v>please select a BUG ID</v>
      </c>
      <c r="D675" s="51" t="str">
        <f>IFERROR(VLOOKUP(A675,Internal_lists_bugs!$A$2:$I847,9,FALSE()),"please select a BUG ID")</f>
        <v>please select a BUG ID</v>
      </c>
      <c r="E675" s="52"/>
      <c r="F675" s="52"/>
      <c r="G675" s="43"/>
      <c r="H675" s="52"/>
      <c r="J675" s="52"/>
      <c r="K675" s="52"/>
    </row>
    <row r="676">
      <c r="A676" s="43"/>
      <c r="B676" s="38" t="str">
        <f>IFERROR(HYPERLINK(VLOOKUP(A676,Internal_lists_bugs!$A$2:$C$73,3,FALSE()), VLOOKUP(A676,Internal_lists_bugs!$A$2:$C$73,3,FALSE())&amp;Char(10) &amp; Char(10) &amp; VLOOKUP(A676,Internal_lists_bugs!$A$2:$Z$73,26,FALSE())),"please select a BUG ID")</f>
        <v>please select a BUG ID</v>
      </c>
      <c r="C676" s="51" t="str">
        <f>IFERROR(VLOOKUP(A676,Internal_lists_bugs!$A$2:$G847,7,FALSE()),"please select a BUG ID")</f>
        <v>please select a BUG ID</v>
      </c>
      <c r="D676" s="51" t="str">
        <f>IFERROR(VLOOKUP(A676,Internal_lists_bugs!$A$2:$I847,9,FALSE()),"please select a BUG ID")</f>
        <v>please select a BUG ID</v>
      </c>
      <c r="E676" s="52"/>
      <c r="F676" s="52"/>
      <c r="G676" s="43"/>
      <c r="H676" s="52"/>
      <c r="J676" s="52"/>
      <c r="K676" s="52"/>
    </row>
    <row r="677">
      <c r="A677" s="43"/>
      <c r="B677" s="38" t="str">
        <f>IFERROR(HYPERLINK(VLOOKUP(A677,Internal_lists_bugs!$A$2:$C$73,3,FALSE()), VLOOKUP(A677,Internal_lists_bugs!$A$2:$C$73,3,FALSE())&amp;Char(10) &amp; Char(10) &amp; VLOOKUP(A677,Internal_lists_bugs!$A$2:$Z$73,26,FALSE())),"please select a BUG ID")</f>
        <v>please select a BUG ID</v>
      </c>
      <c r="C677" s="51" t="str">
        <f>IFERROR(VLOOKUP(A677,Internal_lists_bugs!$A$2:$G847,7,FALSE()),"please select a BUG ID")</f>
        <v>please select a BUG ID</v>
      </c>
      <c r="D677" s="51" t="str">
        <f>IFERROR(VLOOKUP(A677,Internal_lists_bugs!$A$2:$I847,9,FALSE()),"please select a BUG ID")</f>
        <v>please select a BUG ID</v>
      </c>
      <c r="E677" s="52"/>
      <c r="F677" s="52"/>
      <c r="G677" s="43"/>
      <c r="H677" s="52"/>
      <c r="J677" s="52"/>
      <c r="K677" s="52"/>
    </row>
    <row r="678">
      <c r="A678" s="43"/>
      <c r="B678" s="38" t="str">
        <f>IFERROR(HYPERLINK(VLOOKUP(A678,Internal_lists_bugs!$A$2:$C$73,3,FALSE()), VLOOKUP(A678,Internal_lists_bugs!$A$2:$C$73,3,FALSE())&amp;Char(10) &amp; Char(10) &amp; VLOOKUP(A678,Internal_lists_bugs!$A$2:$Z$73,26,FALSE())),"please select a BUG ID")</f>
        <v>please select a BUG ID</v>
      </c>
      <c r="C678" s="51" t="str">
        <f>IFERROR(VLOOKUP(A678,Internal_lists_bugs!$A$2:$G847,7,FALSE()),"please select a BUG ID")</f>
        <v>please select a BUG ID</v>
      </c>
      <c r="D678" s="51" t="str">
        <f>IFERROR(VLOOKUP(A678,Internal_lists_bugs!$A$2:$I847,9,FALSE()),"please select a BUG ID")</f>
        <v>please select a BUG ID</v>
      </c>
      <c r="E678" s="52"/>
      <c r="F678" s="52"/>
      <c r="G678" s="43"/>
      <c r="H678" s="52"/>
      <c r="J678" s="52"/>
      <c r="K678" s="52"/>
    </row>
    <row r="679">
      <c r="A679" s="43"/>
      <c r="B679" s="38" t="str">
        <f>IFERROR(HYPERLINK(VLOOKUP(A679,Internal_lists_bugs!$A$2:$C$73,3,FALSE()), VLOOKUP(A679,Internal_lists_bugs!$A$2:$C$73,3,FALSE())&amp;Char(10) &amp; Char(10) &amp; VLOOKUP(A679,Internal_lists_bugs!$A$2:$Z$73,26,FALSE())),"please select a BUG ID")</f>
        <v>please select a BUG ID</v>
      </c>
      <c r="C679" s="51" t="str">
        <f>IFERROR(VLOOKUP(A679,Internal_lists_bugs!$A$2:$G847,7,FALSE()),"please select a BUG ID")</f>
        <v>please select a BUG ID</v>
      </c>
      <c r="D679" s="51" t="str">
        <f>IFERROR(VLOOKUP(A679,Internal_lists_bugs!$A$2:$I847,9,FALSE()),"please select a BUG ID")</f>
        <v>please select a BUG ID</v>
      </c>
      <c r="E679" s="52"/>
      <c r="F679" s="52"/>
      <c r="G679" s="43"/>
      <c r="H679" s="52"/>
      <c r="J679" s="52"/>
      <c r="K679" s="52"/>
    </row>
    <row r="680">
      <c r="A680" s="43"/>
      <c r="B680" s="38" t="str">
        <f>IFERROR(HYPERLINK(VLOOKUP(A680,Internal_lists_bugs!$A$2:$C$73,3,FALSE()), VLOOKUP(A680,Internal_lists_bugs!$A$2:$C$73,3,FALSE())&amp;Char(10) &amp; Char(10) &amp; VLOOKUP(A680,Internal_lists_bugs!$A$2:$Z$73,26,FALSE())),"please select a BUG ID")</f>
        <v>please select a BUG ID</v>
      </c>
      <c r="C680" s="51" t="str">
        <f>IFERROR(VLOOKUP(A680,Internal_lists_bugs!$A$2:$G847,7,FALSE()),"please select a BUG ID")</f>
        <v>please select a BUG ID</v>
      </c>
      <c r="D680" s="51" t="str">
        <f>IFERROR(VLOOKUP(A680,Internal_lists_bugs!$A$2:$I847,9,FALSE()),"please select a BUG ID")</f>
        <v>please select a BUG ID</v>
      </c>
      <c r="E680" s="52"/>
      <c r="F680" s="52"/>
      <c r="G680" s="43"/>
      <c r="H680" s="52"/>
      <c r="J680" s="52"/>
      <c r="K680" s="52"/>
    </row>
    <row r="681">
      <c r="A681" s="43"/>
      <c r="B681" s="38" t="str">
        <f>IFERROR(HYPERLINK(VLOOKUP(A681,Internal_lists_bugs!$A$2:$C$73,3,FALSE()), VLOOKUP(A681,Internal_lists_bugs!$A$2:$C$73,3,FALSE())&amp;Char(10) &amp; Char(10) &amp; VLOOKUP(A681,Internal_lists_bugs!$A$2:$Z$73,26,FALSE())),"please select a BUG ID")</f>
        <v>please select a BUG ID</v>
      </c>
      <c r="C681" s="51" t="str">
        <f>IFERROR(VLOOKUP(A681,Internal_lists_bugs!$A$2:$G847,7,FALSE()),"please select a BUG ID")</f>
        <v>please select a BUG ID</v>
      </c>
      <c r="D681" s="51" t="str">
        <f>IFERROR(VLOOKUP(A681,Internal_lists_bugs!$A$2:$I847,9,FALSE()),"please select a BUG ID")</f>
        <v>please select a BUG ID</v>
      </c>
      <c r="E681" s="52"/>
      <c r="F681" s="52"/>
      <c r="G681" s="43"/>
      <c r="H681" s="52"/>
      <c r="J681" s="52"/>
      <c r="K681" s="52"/>
    </row>
    <row r="682">
      <c r="A682" s="43"/>
      <c r="B682" s="38" t="str">
        <f>IFERROR(HYPERLINK(VLOOKUP(A682,Internal_lists_bugs!$A$2:$C$73,3,FALSE()), VLOOKUP(A682,Internal_lists_bugs!$A$2:$C$73,3,FALSE())&amp;Char(10) &amp; Char(10) &amp; VLOOKUP(A682,Internal_lists_bugs!$A$2:$Z$73,26,FALSE())),"please select a BUG ID")</f>
        <v>please select a BUG ID</v>
      </c>
      <c r="C682" s="51" t="str">
        <f>IFERROR(VLOOKUP(A682,Internal_lists_bugs!$A$2:$G847,7,FALSE()),"please select a BUG ID")</f>
        <v>please select a BUG ID</v>
      </c>
      <c r="D682" s="51" t="str">
        <f>IFERROR(VLOOKUP(A682,Internal_lists_bugs!$A$2:$I847,9,FALSE()),"please select a BUG ID")</f>
        <v>please select a BUG ID</v>
      </c>
      <c r="E682" s="52"/>
      <c r="F682" s="52"/>
      <c r="G682" s="43"/>
      <c r="H682" s="52"/>
      <c r="J682" s="52"/>
      <c r="K682" s="52"/>
    </row>
    <row r="683">
      <c r="A683" s="43"/>
      <c r="B683" s="38" t="str">
        <f>IFERROR(HYPERLINK(VLOOKUP(A683,Internal_lists_bugs!$A$2:$C$73,3,FALSE()), VLOOKUP(A683,Internal_lists_bugs!$A$2:$C$73,3,FALSE())&amp;Char(10) &amp; Char(10) &amp; VLOOKUP(A683,Internal_lists_bugs!$A$2:$Z$73,26,FALSE())),"please select a BUG ID")</f>
        <v>please select a BUG ID</v>
      </c>
      <c r="C683" s="51" t="str">
        <f>IFERROR(VLOOKUP(A683,Internal_lists_bugs!$A$2:$G847,7,FALSE()),"please select a BUG ID")</f>
        <v>please select a BUG ID</v>
      </c>
      <c r="D683" s="51" t="str">
        <f>IFERROR(VLOOKUP(A683,Internal_lists_bugs!$A$2:$I847,9,FALSE()),"please select a BUG ID")</f>
        <v>please select a BUG ID</v>
      </c>
      <c r="E683" s="52"/>
      <c r="F683" s="52"/>
      <c r="G683" s="43"/>
      <c r="H683" s="52"/>
      <c r="J683" s="52"/>
      <c r="K683" s="52"/>
    </row>
    <row r="684">
      <c r="A684" s="43"/>
      <c r="B684" s="38" t="str">
        <f>IFERROR(HYPERLINK(VLOOKUP(A684,Internal_lists_bugs!$A$2:$C$73,3,FALSE()), VLOOKUP(A684,Internal_lists_bugs!$A$2:$C$73,3,FALSE())&amp;Char(10) &amp; Char(10) &amp; VLOOKUP(A684,Internal_lists_bugs!$A$2:$Z$73,26,FALSE())),"please select a BUG ID")</f>
        <v>please select a BUG ID</v>
      </c>
      <c r="C684" s="51" t="str">
        <f>IFERROR(VLOOKUP(A684,Internal_lists_bugs!$A$2:$G847,7,FALSE()),"please select a BUG ID")</f>
        <v>please select a BUG ID</v>
      </c>
      <c r="D684" s="51" t="str">
        <f>IFERROR(VLOOKUP(A684,Internal_lists_bugs!$A$2:$I847,9,FALSE()),"please select a BUG ID")</f>
        <v>please select a BUG ID</v>
      </c>
      <c r="E684" s="52"/>
      <c r="F684" s="52"/>
      <c r="G684" s="43"/>
      <c r="H684" s="52"/>
      <c r="J684" s="52"/>
      <c r="K684" s="52"/>
    </row>
    <row r="685">
      <c r="A685" s="43"/>
      <c r="B685" s="38" t="str">
        <f>IFERROR(HYPERLINK(VLOOKUP(A685,Internal_lists_bugs!$A$2:$C$73,3,FALSE()), VLOOKUP(A685,Internal_lists_bugs!$A$2:$C$73,3,FALSE())&amp;Char(10) &amp; Char(10) &amp; VLOOKUP(A685,Internal_lists_bugs!$A$2:$Z$73,26,FALSE())),"please select a BUG ID")</f>
        <v>please select a BUG ID</v>
      </c>
      <c r="C685" s="51" t="str">
        <f>IFERROR(VLOOKUP(A685,Internal_lists_bugs!$A$2:$G847,7,FALSE()),"please select a BUG ID")</f>
        <v>please select a BUG ID</v>
      </c>
      <c r="D685" s="51" t="str">
        <f>IFERROR(VLOOKUP(A685,Internal_lists_bugs!$A$2:$I847,9,FALSE()),"please select a BUG ID")</f>
        <v>please select a BUG ID</v>
      </c>
      <c r="E685" s="52"/>
      <c r="F685" s="52"/>
      <c r="G685" s="43"/>
      <c r="H685" s="52"/>
      <c r="J685" s="52"/>
      <c r="K685" s="52"/>
    </row>
    <row r="686">
      <c r="A686" s="43"/>
      <c r="B686" s="38" t="str">
        <f>IFERROR(HYPERLINK(VLOOKUP(A686,Internal_lists_bugs!$A$2:$C$73,3,FALSE()), VLOOKUP(A686,Internal_lists_bugs!$A$2:$C$73,3,FALSE())&amp;Char(10) &amp; Char(10) &amp; VLOOKUP(A686,Internal_lists_bugs!$A$2:$Z$73,26,FALSE())),"please select a BUG ID")</f>
        <v>please select a BUG ID</v>
      </c>
      <c r="C686" s="51" t="str">
        <f>IFERROR(VLOOKUP(A686,Internal_lists_bugs!$A$2:$G847,7,FALSE()),"please select a BUG ID")</f>
        <v>please select a BUG ID</v>
      </c>
      <c r="D686" s="51" t="str">
        <f>IFERROR(VLOOKUP(A686,Internal_lists_bugs!$A$2:$I847,9,FALSE()),"please select a BUG ID")</f>
        <v>please select a BUG ID</v>
      </c>
      <c r="E686" s="52"/>
      <c r="F686" s="52"/>
      <c r="G686" s="43"/>
      <c r="H686" s="52"/>
      <c r="J686" s="52"/>
      <c r="K686" s="52"/>
    </row>
    <row r="687">
      <c r="A687" s="43"/>
      <c r="B687" s="38" t="str">
        <f>IFERROR(HYPERLINK(VLOOKUP(A687,Internal_lists_bugs!$A$2:$C$73,3,FALSE()), VLOOKUP(A687,Internal_lists_bugs!$A$2:$C$73,3,FALSE())&amp;Char(10) &amp; Char(10) &amp; VLOOKUP(A687,Internal_lists_bugs!$A$2:$Z$73,26,FALSE())),"please select a BUG ID")</f>
        <v>please select a BUG ID</v>
      </c>
      <c r="C687" s="51" t="str">
        <f>IFERROR(VLOOKUP(A687,Internal_lists_bugs!$A$2:$G847,7,FALSE()),"please select a BUG ID")</f>
        <v>please select a BUG ID</v>
      </c>
      <c r="D687" s="51" t="str">
        <f>IFERROR(VLOOKUP(A687,Internal_lists_bugs!$A$2:$I847,9,FALSE()),"please select a BUG ID")</f>
        <v>please select a BUG ID</v>
      </c>
      <c r="E687" s="52"/>
      <c r="F687" s="52"/>
      <c r="G687" s="43"/>
      <c r="H687" s="52"/>
      <c r="J687" s="52"/>
      <c r="K687" s="52"/>
    </row>
    <row r="688">
      <c r="A688" s="43"/>
      <c r="B688" s="38" t="str">
        <f>IFERROR(HYPERLINK(VLOOKUP(A688,Internal_lists_bugs!$A$2:$C$73,3,FALSE()), VLOOKUP(A688,Internal_lists_bugs!$A$2:$C$73,3,FALSE())&amp;Char(10) &amp; Char(10) &amp; VLOOKUP(A688,Internal_lists_bugs!$A$2:$Z$73,26,FALSE())),"please select a BUG ID")</f>
        <v>please select a BUG ID</v>
      </c>
      <c r="C688" s="51" t="str">
        <f>IFERROR(VLOOKUP(A688,Internal_lists_bugs!$A$2:$G847,7,FALSE()),"please select a BUG ID")</f>
        <v>please select a BUG ID</v>
      </c>
      <c r="D688" s="51" t="str">
        <f>IFERROR(VLOOKUP(A688,Internal_lists_bugs!$A$2:$I847,9,FALSE()),"please select a BUG ID")</f>
        <v>please select a BUG ID</v>
      </c>
      <c r="E688" s="52"/>
      <c r="F688" s="52"/>
      <c r="G688" s="43"/>
      <c r="H688" s="52"/>
      <c r="J688" s="52"/>
      <c r="K688" s="52"/>
    </row>
    <row r="689">
      <c r="A689" s="43"/>
      <c r="B689" s="38" t="str">
        <f>IFERROR(HYPERLINK(VLOOKUP(A689,Internal_lists_bugs!$A$2:$C$73,3,FALSE()), VLOOKUP(A689,Internal_lists_bugs!$A$2:$C$73,3,FALSE())&amp;Char(10) &amp; Char(10) &amp; VLOOKUP(A689,Internal_lists_bugs!$A$2:$Z$73,26,FALSE())),"please select a BUG ID")</f>
        <v>please select a BUG ID</v>
      </c>
      <c r="C689" s="51" t="str">
        <f>IFERROR(VLOOKUP(A689,Internal_lists_bugs!$A$2:$G847,7,FALSE()),"please select a BUG ID")</f>
        <v>please select a BUG ID</v>
      </c>
      <c r="D689" s="51" t="str">
        <f>IFERROR(VLOOKUP(A689,Internal_lists_bugs!$A$2:$I847,9,FALSE()),"please select a BUG ID")</f>
        <v>please select a BUG ID</v>
      </c>
      <c r="E689" s="52"/>
      <c r="F689" s="52"/>
      <c r="G689" s="43"/>
      <c r="H689" s="52"/>
      <c r="J689" s="52"/>
      <c r="K689" s="52"/>
    </row>
    <row r="690">
      <c r="A690" s="43"/>
      <c r="B690" s="38" t="str">
        <f>IFERROR(HYPERLINK(VLOOKUP(A690,Internal_lists_bugs!$A$2:$C$73,3,FALSE()), VLOOKUP(A690,Internal_lists_bugs!$A$2:$C$73,3,FALSE())&amp;Char(10) &amp; Char(10) &amp; VLOOKUP(A690,Internal_lists_bugs!$A$2:$Z$73,26,FALSE())),"please select a BUG ID")</f>
        <v>please select a BUG ID</v>
      </c>
      <c r="C690" s="51" t="str">
        <f>IFERROR(VLOOKUP(A690,Internal_lists_bugs!$A$2:$G847,7,FALSE()),"please select a BUG ID")</f>
        <v>please select a BUG ID</v>
      </c>
      <c r="D690" s="51" t="str">
        <f>IFERROR(VLOOKUP(A690,Internal_lists_bugs!$A$2:$I847,9,FALSE()),"please select a BUG ID")</f>
        <v>please select a BUG ID</v>
      </c>
      <c r="E690" s="52"/>
      <c r="F690" s="52"/>
      <c r="G690" s="43"/>
      <c r="H690" s="52"/>
      <c r="J690" s="52"/>
      <c r="K690" s="52"/>
    </row>
    <row r="691">
      <c r="A691" s="43"/>
      <c r="B691" s="38" t="str">
        <f>IFERROR(HYPERLINK(VLOOKUP(A691,Internal_lists_bugs!$A$2:$C$73,3,FALSE()), VLOOKUP(A691,Internal_lists_bugs!$A$2:$C$73,3,FALSE())&amp;Char(10) &amp; Char(10) &amp; VLOOKUP(A691,Internal_lists_bugs!$A$2:$Z$73,26,FALSE())),"please select a BUG ID")</f>
        <v>please select a BUG ID</v>
      </c>
      <c r="C691" s="51" t="str">
        <f>IFERROR(VLOOKUP(A691,Internal_lists_bugs!$A$2:$G847,7,FALSE()),"please select a BUG ID")</f>
        <v>please select a BUG ID</v>
      </c>
      <c r="D691" s="51" t="str">
        <f>IFERROR(VLOOKUP(A691,Internal_lists_bugs!$A$2:$I847,9,FALSE()),"please select a BUG ID")</f>
        <v>please select a BUG ID</v>
      </c>
      <c r="E691" s="52"/>
      <c r="F691" s="52"/>
      <c r="G691" s="43"/>
      <c r="H691" s="52"/>
      <c r="J691" s="52"/>
      <c r="K691" s="52"/>
    </row>
    <row r="692">
      <c r="A692" s="43"/>
      <c r="B692" s="38" t="str">
        <f>IFERROR(HYPERLINK(VLOOKUP(A692,Internal_lists_bugs!$A$2:$C$73,3,FALSE()), VLOOKUP(A692,Internal_lists_bugs!$A$2:$C$73,3,FALSE())&amp;Char(10) &amp; Char(10) &amp; VLOOKUP(A692,Internal_lists_bugs!$A$2:$Z$73,26,FALSE())),"please select a BUG ID")</f>
        <v>please select a BUG ID</v>
      </c>
      <c r="C692" s="51" t="str">
        <f>IFERROR(VLOOKUP(A692,Internal_lists_bugs!$A$2:$G847,7,FALSE()),"please select a BUG ID")</f>
        <v>please select a BUG ID</v>
      </c>
      <c r="D692" s="51" t="str">
        <f>IFERROR(VLOOKUP(A692,Internal_lists_bugs!$A$2:$I847,9,FALSE()),"please select a BUG ID")</f>
        <v>please select a BUG ID</v>
      </c>
      <c r="E692" s="52"/>
      <c r="F692" s="52"/>
      <c r="G692" s="43"/>
      <c r="H692" s="52"/>
      <c r="J692" s="52"/>
      <c r="K692" s="52"/>
    </row>
    <row r="693">
      <c r="A693" s="43"/>
      <c r="B693" s="38" t="str">
        <f>IFERROR(HYPERLINK(VLOOKUP(A693,Internal_lists_bugs!$A$2:$C$73,3,FALSE()), VLOOKUP(A693,Internal_lists_bugs!$A$2:$C$73,3,FALSE())&amp;Char(10) &amp; Char(10) &amp; VLOOKUP(A693,Internal_lists_bugs!$A$2:$Z$73,26,FALSE())),"please select a BUG ID")</f>
        <v>please select a BUG ID</v>
      </c>
      <c r="C693" s="51" t="str">
        <f>IFERROR(VLOOKUP(A693,Internal_lists_bugs!$A$2:$G847,7,FALSE()),"please select a BUG ID")</f>
        <v>please select a BUG ID</v>
      </c>
      <c r="D693" s="51" t="str">
        <f>IFERROR(VLOOKUP(A693,Internal_lists_bugs!$A$2:$I847,9,FALSE()),"please select a BUG ID")</f>
        <v>please select a BUG ID</v>
      </c>
      <c r="E693" s="52"/>
      <c r="F693" s="52"/>
      <c r="G693" s="43"/>
      <c r="H693" s="52"/>
      <c r="J693" s="52"/>
      <c r="K693" s="52"/>
    </row>
    <row r="694">
      <c r="A694" s="43"/>
      <c r="B694" s="38" t="str">
        <f>IFERROR(HYPERLINK(VLOOKUP(A694,Internal_lists_bugs!$A$2:$C$73,3,FALSE()), VLOOKUP(A694,Internal_lists_bugs!$A$2:$C$73,3,FALSE())&amp;Char(10) &amp; Char(10) &amp; VLOOKUP(A694,Internal_lists_bugs!$A$2:$Z$73,26,FALSE())),"please select a BUG ID")</f>
        <v>please select a BUG ID</v>
      </c>
      <c r="C694" s="51" t="str">
        <f>IFERROR(VLOOKUP(A694,Internal_lists_bugs!$A$2:$G847,7,FALSE()),"please select a BUG ID")</f>
        <v>please select a BUG ID</v>
      </c>
      <c r="D694" s="51" t="str">
        <f>IFERROR(VLOOKUP(A694,Internal_lists_bugs!$A$2:$I847,9,FALSE()),"please select a BUG ID")</f>
        <v>please select a BUG ID</v>
      </c>
      <c r="E694" s="52"/>
      <c r="F694" s="52"/>
      <c r="G694" s="43"/>
      <c r="H694" s="52"/>
      <c r="J694" s="52"/>
      <c r="K694" s="52"/>
    </row>
    <row r="695">
      <c r="A695" s="43"/>
      <c r="B695" s="38" t="str">
        <f>IFERROR(HYPERLINK(VLOOKUP(A695,Internal_lists_bugs!$A$2:$C$73,3,FALSE()), VLOOKUP(A695,Internal_lists_bugs!$A$2:$C$73,3,FALSE())&amp;Char(10) &amp; Char(10) &amp; VLOOKUP(A695,Internal_lists_bugs!$A$2:$Z$73,26,FALSE())),"please select a BUG ID")</f>
        <v>please select a BUG ID</v>
      </c>
      <c r="C695" s="51" t="str">
        <f>IFERROR(VLOOKUP(A695,Internal_lists_bugs!$A$2:$G847,7,FALSE()),"please select a BUG ID")</f>
        <v>please select a BUG ID</v>
      </c>
      <c r="D695" s="51" t="str">
        <f>IFERROR(VLOOKUP(A695,Internal_lists_bugs!$A$2:$I847,9,FALSE()),"please select a BUG ID")</f>
        <v>please select a BUG ID</v>
      </c>
      <c r="E695" s="52"/>
      <c r="F695" s="52"/>
      <c r="G695" s="43"/>
      <c r="H695" s="52"/>
      <c r="J695" s="52"/>
      <c r="K695" s="52"/>
    </row>
    <row r="696">
      <c r="A696" s="43"/>
      <c r="B696" s="38" t="str">
        <f>IFERROR(HYPERLINK(VLOOKUP(A696,Internal_lists_bugs!$A$2:$C$73,3,FALSE()), VLOOKUP(A696,Internal_lists_bugs!$A$2:$C$73,3,FALSE())&amp;Char(10) &amp; Char(10) &amp; VLOOKUP(A696,Internal_lists_bugs!$A$2:$Z$73,26,FALSE())),"please select a BUG ID")</f>
        <v>please select a BUG ID</v>
      </c>
      <c r="C696" s="51" t="str">
        <f>IFERROR(VLOOKUP(A696,Internal_lists_bugs!$A$2:$G847,7,FALSE()),"please select a BUG ID")</f>
        <v>please select a BUG ID</v>
      </c>
      <c r="D696" s="51" t="str">
        <f>IFERROR(VLOOKUP(A696,Internal_lists_bugs!$A$2:$I847,9,FALSE()),"please select a BUG ID")</f>
        <v>please select a BUG ID</v>
      </c>
      <c r="E696" s="52"/>
      <c r="F696" s="52"/>
      <c r="G696" s="43"/>
      <c r="H696" s="52"/>
      <c r="J696" s="52"/>
      <c r="K696" s="52"/>
    </row>
    <row r="697">
      <c r="A697" s="43"/>
      <c r="B697" s="38" t="str">
        <f>IFERROR(HYPERLINK(VLOOKUP(A697,Internal_lists_bugs!$A$2:$C$73,3,FALSE()), VLOOKUP(A697,Internal_lists_bugs!$A$2:$C$73,3,FALSE())&amp;Char(10) &amp; Char(10) &amp; VLOOKUP(A697,Internal_lists_bugs!$A$2:$Z$73,26,FALSE())),"please select a BUG ID")</f>
        <v>please select a BUG ID</v>
      </c>
      <c r="C697" s="51" t="str">
        <f>IFERROR(VLOOKUP(A697,Internal_lists_bugs!$A$2:$G847,7,FALSE()),"please select a BUG ID")</f>
        <v>please select a BUG ID</v>
      </c>
      <c r="D697" s="51" t="str">
        <f>IFERROR(VLOOKUP(A697,Internal_lists_bugs!$A$2:$I847,9,FALSE()),"please select a BUG ID")</f>
        <v>please select a BUG ID</v>
      </c>
      <c r="E697" s="52"/>
      <c r="F697" s="52"/>
      <c r="G697" s="43"/>
      <c r="H697" s="52"/>
      <c r="J697" s="52"/>
      <c r="K697" s="52"/>
    </row>
    <row r="698">
      <c r="A698" s="43"/>
      <c r="B698" s="38" t="str">
        <f>IFERROR(HYPERLINK(VLOOKUP(A698,Internal_lists_bugs!$A$2:$C$73,3,FALSE()), VLOOKUP(A698,Internal_lists_bugs!$A$2:$C$73,3,FALSE())&amp;Char(10) &amp; Char(10) &amp; VLOOKUP(A698,Internal_lists_bugs!$A$2:$Z$73,26,FALSE())),"please select a BUG ID")</f>
        <v>please select a BUG ID</v>
      </c>
      <c r="C698" s="51" t="str">
        <f>IFERROR(VLOOKUP(A698,Internal_lists_bugs!$A$2:$G847,7,FALSE()),"please select a BUG ID")</f>
        <v>please select a BUG ID</v>
      </c>
      <c r="D698" s="51" t="str">
        <f>IFERROR(VLOOKUP(A698,Internal_lists_bugs!$A$2:$I847,9,FALSE()),"please select a BUG ID")</f>
        <v>please select a BUG ID</v>
      </c>
      <c r="E698" s="52"/>
      <c r="F698" s="52"/>
      <c r="G698" s="43"/>
      <c r="H698" s="52"/>
      <c r="J698" s="52"/>
      <c r="K698" s="52"/>
    </row>
    <row r="699">
      <c r="A699" s="43"/>
      <c r="B699" s="38" t="str">
        <f>IFERROR(HYPERLINK(VLOOKUP(A699,Internal_lists_bugs!$A$2:$C$73,3,FALSE()), VLOOKUP(A699,Internal_lists_bugs!$A$2:$C$73,3,FALSE())&amp;Char(10) &amp; Char(10) &amp; VLOOKUP(A699,Internal_lists_bugs!$A$2:$Z$73,26,FALSE())),"please select a BUG ID")</f>
        <v>please select a BUG ID</v>
      </c>
      <c r="C699" s="51" t="str">
        <f>IFERROR(VLOOKUP(A699,Internal_lists_bugs!$A$2:$G847,7,FALSE()),"please select a BUG ID")</f>
        <v>please select a BUG ID</v>
      </c>
      <c r="D699" s="51" t="str">
        <f>IFERROR(VLOOKUP(A699,Internal_lists_bugs!$A$2:$I847,9,FALSE()),"please select a BUG ID")</f>
        <v>please select a BUG ID</v>
      </c>
      <c r="E699" s="52"/>
      <c r="F699" s="52"/>
      <c r="G699" s="43"/>
      <c r="H699" s="52"/>
      <c r="J699" s="52"/>
      <c r="K699" s="52"/>
    </row>
    <row r="700">
      <c r="A700" s="43"/>
      <c r="B700" s="38" t="str">
        <f>IFERROR(HYPERLINK(VLOOKUP(A700,Internal_lists_bugs!$A$2:$C$73,3,FALSE()), VLOOKUP(A700,Internal_lists_bugs!$A$2:$C$73,3,FALSE())&amp;Char(10) &amp; Char(10) &amp; VLOOKUP(A700,Internal_lists_bugs!$A$2:$Z$73,26,FALSE())),"please select a BUG ID")</f>
        <v>please select a BUG ID</v>
      </c>
      <c r="C700" s="51" t="str">
        <f>IFERROR(VLOOKUP(A700,Internal_lists_bugs!$A$2:$G847,7,FALSE()),"please select a BUG ID")</f>
        <v>please select a BUG ID</v>
      </c>
      <c r="D700" s="51" t="str">
        <f>IFERROR(VLOOKUP(A700,Internal_lists_bugs!$A$2:$I847,9,FALSE()),"please select a BUG ID")</f>
        <v>please select a BUG ID</v>
      </c>
      <c r="E700" s="52"/>
      <c r="F700" s="52"/>
      <c r="G700" s="43"/>
      <c r="H700" s="52"/>
      <c r="J700" s="52"/>
      <c r="K700" s="52"/>
    </row>
    <row r="701">
      <c r="A701" s="43"/>
      <c r="B701" s="38" t="str">
        <f>IFERROR(HYPERLINK(VLOOKUP(A701,Internal_lists_bugs!$A$2:$C$73,3,FALSE()), VLOOKUP(A701,Internal_lists_bugs!$A$2:$C$73,3,FALSE())&amp;Char(10) &amp; Char(10) &amp; VLOOKUP(A701,Internal_lists_bugs!$A$2:$Z$73,26,FALSE())),"please select a BUG ID")</f>
        <v>please select a BUG ID</v>
      </c>
      <c r="C701" s="51" t="str">
        <f>IFERROR(VLOOKUP(A701,Internal_lists_bugs!$A$2:$G847,7,FALSE()),"please select a BUG ID")</f>
        <v>please select a BUG ID</v>
      </c>
      <c r="D701" s="51" t="str">
        <f>IFERROR(VLOOKUP(A701,Internal_lists_bugs!$A$2:$I847,9,FALSE()),"please select a BUG ID")</f>
        <v>please select a BUG ID</v>
      </c>
      <c r="E701" s="52"/>
      <c r="F701" s="52"/>
      <c r="G701" s="43"/>
      <c r="H701" s="52"/>
      <c r="J701" s="52"/>
      <c r="K701" s="52"/>
    </row>
    <row r="702">
      <c r="A702" s="43"/>
      <c r="B702" s="38" t="str">
        <f>IFERROR(HYPERLINK(VLOOKUP(A702,Internal_lists_bugs!$A$2:$C$73,3,FALSE()), VLOOKUP(A702,Internal_lists_bugs!$A$2:$C$73,3,FALSE())&amp;Char(10) &amp; Char(10) &amp; VLOOKUP(A702,Internal_lists_bugs!$A$2:$Z$73,26,FALSE())),"please select a BUG ID")</f>
        <v>please select a BUG ID</v>
      </c>
      <c r="C702" s="51" t="str">
        <f>IFERROR(VLOOKUP(A702,Internal_lists_bugs!$A$2:$G847,7,FALSE()),"please select a BUG ID")</f>
        <v>please select a BUG ID</v>
      </c>
      <c r="D702" s="51" t="str">
        <f>IFERROR(VLOOKUP(A702,Internal_lists_bugs!$A$2:$I847,9,FALSE()),"please select a BUG ID")</f>
        <v>please select a BUG ID</v>
      </c>
      <c r="E702" s="52"/>
      <c r="F702" s="52"/>
      <c r="G702" s="43"/>
      <c r="H702" s="52"/>
      <c r="J702" s="52"/>
      <c r="K702" s="52"/>
    </row>
    <row r="703">
      <c r="A703" s="43"/>
      <c r="B703" s="38" t="str">
        <f>IFERROR(HYPERLINK(VLOOKUP(A703,Internal_lists_bugs!$A$2:$C$73,3,FALSE()), VLOOKUP(A703,Internal_lists_bugs!$A$2:$C$73,3,FALSE())&amp;Char(10) &amp; Char(10) &amp; VLOOKUP(A703,Internal_lists_bugs!$A$2:$Z$73,26,FALSE())),"please select a BUG ID")</f>
        <v>please select a BUG ID</v>
      </c>
      <c r="C703" s="51" t="str">
        <f>IFERROR(VLOOKUP(A703,Internal_lists_bugs!$A$2:$G847,7,FALSE()),"please select a BUG ID")</f>
        <v>please select a BUG ID</v>
      </c>
      <c r="D703" s="51" t="str">
        <f>IFERROR(VLOOKUP(A703,Internal_lists_bugs!$A$2:$I847,9,FALSE()),"please select a BUG ID")</f>
        <v>please select a BUG ID</v>
      </c>
      <c r="E703" s="52"/>
      <c r="F703" s="52"/>
      <c r="G703" s="43"/>
      <c r="H703" s="52"/>
      <c r="J703" s="52"/>
      <c r="K703" s="52"/>
    </row>
    <row r="704">
      <c r="A704" s="43"/>
      <c r="B704" s="38" t="str">
        <f>IFERROR(HYPERLINK(VLOOKUP(A704,Internal_lists_bugs!$A$2:$C$73,3,FALSE()), VLOOKUP(A704,Internal_lists_bugs!$A$2:$C$73,3,FALSE())&amp;Char(10) &amp; Char(10) &amp; VLOOKUP(A704,Internal_lists_bugs!$A$2:$Z$73,26,FALSE())),"please select a BUG ID")</f>
        <v>please select a BUG ID</v>
      </c>
      <c r="C704" s="51" t="str">
        <f>IFERROR(VLOOKUP(A704,Internal_lists_bugs!$A$2:$G847,7,FALSE()),"please select a BUG ID")</f>
        <v>please select a BUG ID</v>
      </c>
      <c r="D704" s="51" t="str">
        <f>IFERROR(VLOOKUP(A704,Internal_lists_bugs!$A$2:$I847,9,FALSE()),"please select a BUG ID")</f>
        <v>please select a BUG ID</v>
      </c>
      <c r="E704" s="52"/>
      <c r="F704" s="52"/>
      <c r="G704" s="43"/>
      <c r="H704" s="52"/>
      <c r="J704" s="52"/>
      <c r="K704" s="52"/>
    </row>
    <row r="705">
      <c r="A705" s="43"/>
      <c r="B705" s="38" t="str">
        <f>IFERROR(HYPERLINK(VLOOKUP(A705,Internal_lists_bugs!$A$2:$C$73,3,FALSE()), VLOOKUP(A705,Internal_lists_bugs!$A$2:$C$73,3,FALSE())&amp;Char(10) &amp; Char(10) &amp; VLOOKUP(A705,Internal_lists_bugs!$A$2:$Z$73,26,FALSE())),"please select a BUG ID")</f>
        <v>please select a BUG ID</v>
      </c>
      <c r="C705" s="51" t="str">
        <f>IFERROR(VLOOKUP(A705,Internal_lists_bugs!$A$2:$G847,7,FALSE()),"please select a BUG ID")</f>
        <v>please select a BUG ID</v>
      </c>
      <c r="D705" s="51" t="str">
        <f>IFERROR(VLOOKUP(A705,Internal_lists_bugs!$A$2:$I847,9,FALSE()),"please select a BUG ID")</f>
        <v>please select a BUG ID</v>
      </c>
      <c r="E705" s="52"/>
      <c r="F705" s="52"/>
      <c r="G705" s="43"/>
      <c r="H705" s="52"/>
      <c r="J705" s="52"/>
      <c r="K705" s="52"/>
    </row>
    <row r="706">
      <c r="A706" s="43"/>
      <c r="B706" s="38" t="str">
        <f>IFERROR(HYPERLINK(VLOOKUP(A706,Internal_lists_bugs!$A$2:$C$73,3,FALSE()), VLOOKUP(A706,Internal_lists_bugs!$A$2:$C$73,3,FALSE())&amp;Char(10) &amp; Char(10) &amp; VLOOKUP(A706,Internal_lists_bugs!$A$2:$Z$73,26,FALSE())),"please select a BUG ID")</f>
        <v>please select a BUG ID</v>
      </c>
      <c r="C706" s="51" t="str">
        <f>IFERROR(VLOOKUP(A706,Internal_lists_bugs!$A$2:$G847,7,FALSE()),"please select a BUG ID")</f>
        <v>please select a BUG ID</v>
      </c>
      <c r="D706" s="51" t="str">
        <f>IFERROR(VLOOKUP(A706,Internal_lists_bugs!$A$2:$I847,9,FALSE()),"please select a BUG ID")</f>
        <v>please select a BUG ID</v>
      </c>
      <c r="E706" s="52"/>
      <c r="F706" s="52"/>
      <c r="G706" s="43"/>
      <c r="H706" s="52"/>
      <c r="J706" s="52"/>
      <c r="K706" s="52"/>
    </row>
    <row r="707">
      <c r="A707" s="43"/>
      <c r="B707" s="38" t="str">
        <f>IFERROR(HYPERLINK(VLOOKUP(A707,Internal_lists_bugs!$A$2:$C$73,3,FALSE()), VLOOKUP(A707,Internal_lists_bugs!$A$2:$C$73,3,FALSE())&amp;Char(10) &amp; Char(10) &amp; VLOOKUP(A707,Internal_lists_bugs!$A$2:$Z$73,26,FALSE())),"please select a BUG ID")</f>
        <v>please select a BUG ID</v>
      </c>
      <c r="C707" s="51" t="str">
        <f>IFERROR(VLOOKUP(A707,Internal_lists_bugs!$A$2:$G847,7,FALSE()),"please select a BUG ID")</f>
        <v>please select a BUG ID</v>
      </c>
      <c r="D707" s="51" t="str">
        <f>IFERROR(VLOOKUP(A707,Internal_lists_bugs!$A$2:$I847,9,FALSE()),"please select a BUG ID")</f>
        <v>please select a BUG ID</v>
      </c>
      <c r="E707" s="52"/>
      <c r="F707" s="52"/>
      <c r="G707" s="43"/>
      <c r="H707" s="52"/>
      <c r="J707" s="52"/>
      <c r="K707" s="52"/>
    </row>
    <row r="708">
      <c r="A708" s="43"/>
      <c r="B708" s="38" t="str">
        <f>IFERROR(HYPERLINK(VLOOKUP(A708,Internal_lists_bugs!$A$2:$C$73,3,FALSE()), VLOOKUP(A708,Internal_lists_bugs!$A$2:$C$73,3,FALSE())&amp;Char(10) &amp; Char(10) &amp; VLOOKUP(A708,Internal_lists_bugs!$A$2:$Z$73,26,FALSE())),"please select a BUG ID")</f>
        <v>please select a BUG ID</v>
      </c>
      <c r="C708" s="51" t="str">
        <f>IFERROR(VLOOKUP(A708,Internal_lists_bugs!$A$2:$G847,7,FALSE()),"please select a BUG ID")</f>
        <v>please select a BUG ID</v>
      </c>
      <c r="D708" s="51" t="str">
        <f>IFERROR(VLOOKUP(A708,Internal_lists_bugs!$A$2:$I847,9,FALSE()),"please select a BUG ID")</f>
        <v>please select a BUG ID</v>
      </c>
      <c r="E708" s="52"/>
      <c r="F708" s="52"/>
      <c r="G708" s="43"/>
      <c r="H708" s="52"/>
      <c r="J708" s="52"/>
      <c r="K708" s="52"/>
    </row>
    <row r="709">
      <c r="A709" s="43"/>
      <c r="B709" s="38" t="str">
        <f>IFERROR(HYPERLINK(VLOOKUP(A709,Internal_lists_bugs!$A$2:$C$73,3,FALSE()), VLOOKUP(A709,Internal_lists_bugs!$A$2:$C$73,3,FALSE())&amp;Char(10) &amp; Char(10) &amp; VLOOKUP(A709,Internal_lists_bugs!$A$2:$Z$73,26,FALSE())),"please select a BUG ID")</f>
        <v>please select a BUG ID</v>
      </c>
      <c r="C709" s="51" t="str">
        <f>IFERROR(VLOOKUP(A709,Internal_lists_bugs!$A$2:$G847,7,FALSE()),"please select a BUG ID")</f>
        <v>please select a BUG ID</v>
      </c>
      <c r="D709" s="51" t="str">
        <f>IFERROR(VLOOKUP(A709,Internal_lists_bugs!$A$2:$I847,9,FALSE()),"please select a BUG ID")</f>
        <v>please select a BUG ID</v>
      </c>
      <c r="E709" s="52"/>
      <c r="F709" s="52"/>
      <c r="G709" s="43"/>
      <c r="H709" s="52"/>
      <c r="J709" s="52"/>
      <c r="K709" s="52"/>
    </row>
    <row r="710">
      <c r="A710" s="43"/>
      <c r="B710" s="38" t="str">
        <f>IFERROR(HYPERLINK(VLOOKUP(A710,Internal_lists_bugs!$A$2:$C$73,3,FALSE()), VLOOKUP(A710,Internal_lists_bugs!$A$2:$C$73,3,FALSE())&amp;Char(10) &amp; Char(10) &amp; VLOOKUP(A710,Internal_lists_bugs!$A$2:$Z$73,26,FALSE())),"please select a BUG ID")</f>
        <v>please select a BUG ID</v>
      </c>
      <c r="C710" s="51" t="str">
        <f>IFERROR(VLOOKUP(A710,Internal_lists_bugs!$A$2:$G847,7,FALSE()),"please select a BUG ID")</f>
        <v>please select a BUG ID</v>
      </c>
      <c r="D710" s="51" t="str">
        <f>IFERROR(VLOOKUP(A710,Internal_lists_bugs!$A$2:$I847,9,FALSE()),"please select a BUG ID")</f>
        <v>please select a BUG ID</v>
      </c>
      <c r="E710" s="52"/>
      <c r="F710" s="52"/>
      <c r="G710" s="43"/>
      <c r="H710" s="52"/>
      <c r="J710" s="52"/>
      <c r="K710" s="52"/>
    </row>
    <row r="711">
      <c r="A711" s="43"/>
      <c r="B711" s="38" t="str">
        <f>IFERROR(HYPERLINK(VLOOKUP(A711,Internal_lists_bugs!$A$2:$C$73,3,FALSE()), VLOOKUP(A711,Internal_lists_bugs!$A$2:$C$73,3,FALSE())&amp;Char(10) &amp; Char(10) &amp; VLOOKUP(A711,Internal_lists_bugs!$A$2:$Z$73,26,FALSE())),"please select a BUG ID")</f>
        <v>please select a BUG ID</v>
      </c>
      <c r="C711" s="51" t="str">
        <f>IFERROR(VLOOKUP(A711,Internal_lists_bugs!$A$2:$G847,7,FALSE()),"please select a BUG ID")</f>
        <v>please select a BUG ID</v>
      </c>
      <c r="D711" s="51" t="str">
        <f>IFERROR(VLOOKUP(A711,Internal_lists_bugs!$A$2:$I847,9,FALSE()),"please select a BUG ID")</f>
        <v>please select a BUG ID</v>
      </c>
      <c r="E711" s="52"/>
      <c r="F711" s="52"/>
      <c r="G711" s="43"/>
      <c r="H711" s="52"/>
      <c r="J711" s="52"/>
      <c r="K711" s="52"/>
    </row>
    <row r="712">
      <c r="A712" s="43"/>
      <c r="B712" s="38" t="str">
        <f>IFERROR(HYPERLINK(VLOOKUP(A712,Internal_lists_bugs!$A$2:$C$73,3,FALSE()), VLOOKUP(A712,Internal_lists_bugs!$A$2:$C$73,3,FALSE())&amp;Char(10) &amp; Char(10) &amp; VLOOKUP(A712,Internal_lists_bugs!$A$2:$Z$73,26,FALSE())),"please select a BUG ID")</f>
        <v>please select a BUG ID</v>
      </c>
      <c r="C712" s="51" t="str">
        <f>IFERROR(VLOOKUP(A712,Internal_lists_bugs!$A$2:$G847,7,FALSE()),"please select a BUG ID")</f>
        <v>please select a BUG ID</v>
      </c>
      <c r="D712" s="51" t="str">
        <f>IFERROR(VLOOKUP(A712,Internal_lists_bugs!$A$2:$I847,9,FALSE()),"please select a BUG ID")</f>
        <v>please select a BUG ID</v>
      </c>
      <c r="E712" s="52"/>
      <c r="F712" s="52"/>
      <c r="G712" s="43"/>
      <c r="H712" s="52"/>
      <c r="J712" s="52"/>
      <c r="K712" s="52"/>
    </row>
    <row r="713">
      <c r="A713" s="43"/>
      <c r="B713" s="38" t="str">
        <f>IFERROR(HYPERLINK(VLOOKUP(A713,Internal_lists_bugs!$A$2:$C$73,3,FALSE()), VLOOKUP(A713,Internal_lists_bugs!$A$2:$C$73,3,FALSE())&amp;Char(10) &amp; Char(10) &amp; VLOOKUP(A713,Internal_lists_bugs!$A$2:$Z$73,26,FALSE())),"please select a BUG ID")</f>
        <v>please select a BUG ID</v>
      </c>
      <c r="C713" s="51" t="str">
        <f>IFERROR(VLOOKUP(A713,Internal_lists_bugs!$A$2:$G847,7,FALSE()),"please select a BUG ID")</f>
        <v>please select a BUG ID</v>
      </c>
      <c r="D713" s="51" t="str">
        <f>IFERROR(VLOOKUP(A713,Internal_lists_bugs!$A$2:$I847,9,FALSE()),"please select a BUG ID")</f>
        <v>please select a BUG ID</v>
      </c>
      <c r="E713" s="52"/>
      <c r="F713" s="52"/>
      <c r="G713" s="43"/>
      <c r="H713" s="52"/>
      <c r="J713" s="52"/>
      <c r="K713" s="52"/>
    </row>
    <row r="714">
      <c r="A714" s="43"/>
      <c r="B714" s="38" t="str">
        <f>IFERROR(HYPERLINK(VLOOKUP(A714,Internal_lists_bugs!$A$2:$C$73,3,FALSE()), VLOOKUP(A714,Internal_lists_bugs!$A$2:$C$73,3,FALSE())&amp;Char(10) &amp; Char(10) &amp; VLOOKUP(A714,Internal_lists_bugs!$A$2:$Z$73,26,FALSE())),"please select a BUG ID")</f>
        <v>please select a BUG ID</v>
      </c>
      <c r="C714" s="51" t="str">
        <f>IFERROR(VLOOKUP(A714,Internal_lists_bugs!$A$2:$G847,7,FALSE()),"please select a BUG ID")</f>
        <v>please select a BUG ID</v>
      </c>
      <c r="D714" s="51" t="str">
        <f>IFERROR(VLOOKUP(A714,Internal_lists_bugs!$A$2:$I847,9,FALSE()),"please select a BUG ID")</f>
        <v>please select a BUG ID</v>
      </c>
      <c r="E714" s="52"/>
      <c r="F714" s="52"/>
      <c r="G714" s="43"/>
      <c r="H714" s="52"/>
      <c r="J714" s="52"/>
      <c r="K714" s="52"/>
    </row>
    <row r="715">
      <c r="A715" s="43"/>
      <c r="B715" s="38" t="str">
        <f>IFERROR(HYPERLINK(VLOOKUP(A715,Internal_lists_bugs!$A$2:$C$73,3,FALSE()), VLOOKUP(A715,Internal_lists_bugs!$A$2:$C$73,3,FALSE())&amp;Char(10) &amp; Char(10) &amp; VLOOKUP(A715,Internal_lists_bugs!$A$2:$Z$73,26,FALSE())),"please select a BUG ID")</f>
        <v>please select a BUG ID</v>
      </c>
      <c r="C715" s="51" t="str">
        <f>IFERROR(VLOOKUP(A715,Internal_lists_bugs!$A$2:$G847,7,FALSE()),"please select a BUG ID")</f>
        <v>please select a BUG ID</v>
      </c>
      <c r="D715" s="51" t="str">
        <f>IFERROR(VLOOKUP(A715,Internal_lists_bugs!$A$2:$I847,9,FALSE()),"please select a BUG ID")</f>
        <v>please select a BUG ID</v>
      </c>
      <c r="E715" s="52"/>
      <c r="F715" s="52"/>
      <c r="G715" s="43"/>
      <c r="H715" s="52"/>
      <c r="J715" s="52"/>
      <c r="K715" s="52"/>
    </row>
    <row r="716">
      <c r="A716" s="43"/>
      <c r="B716" s="38" t="str">
        <f>IFERROR(HYPERLINK(VLOOKUP(A716,Internal_lists_bugs!$A$2:$C$73,3,FALSE()), VLOOKUP(A716,Internal_lists_bugs!$A$2:$C$73,3,FALSE())&amp;Char(10) &amp; Char(10) &amp; VLOOKUP(A716,Internal_lists_bugs!$A$2:$Z$73,26,FALSE())),"please select a BUG ID")</f>
        <v>please select a BUG ID</v>
      </c>
      <c r="C716" s="51" t="str">
        <f>IFERROR(VLOOKUP(A716,Internal_lists_bugs!$A$2:$G847,7,FALSE()),"please select a BUG ID")</f>
        <v>please select a BUG ID</v>
      </c>
      <c r="D716" s="51" t="str">
        <f>IFERROR(VLOOKUP(A716,Internal_lists_bugs!$A$2:$I847,9,FALSE()),"please select a BUG ID")</f>
        <v>please select a BUG ID</v>
      </c>
      <c r="E716" s="52"/>
      <c r="F716" s="52"/>
      <c r="G716" s="43"/>
      <c r="H716" s="52"/>
      <c r="J716" s="52"/>
      <c r="K716" s="52"/>
    </row>
    <row r="717">
      <c r="A717" s="43"/>
      <c r="B717" s="38" t="str">
        <f>IFERROR(HYPERLINK(VLOOKUP(A717,Internal_lists_bugs!$A$2:$C$73,3,FALSE()), VLOOKUP(A717,Internal_lists_bugs!$A$2:$C$73,3,FALSE())&amp;Char(10) &amp; Char(10) &amp; VLOOKUP(A717,Internal_lists_bugs!$A$2:$Z$73,26,FALSE())),"please select a BUG ID")</f>
        <v>please select a BUG ID</v>
      </c>
      <c r="C717" s="51" t="str">
        <f>IFERROR(VLOOKUP(A717,Internal_lists_bugs!$A$2:$G847,7,FALSE()),"please select a BUG ID")</f>
        <v>please select a BUG ID</v>
      </c>
      <c r="D717" s="51" t="str">
        <f>IFERROR(VLOOKUP(A717,Internal_lists_bugs!$A$2:$I847,9,FALSE()),"please select a BUG ID")</f>
        <v>please select a BUG ID</v>
      </c>
      <c r="E717" s="52"/>
      <c r="F717" s="52"/>
      <c r="G717" s="43"/>
      <c r="H717" s="52"/>
      <c r="J717" s="52"/>
      <c r="K717" s="52"/>
    </row>
    <row r="718">
      <c r="A718" s="43"/>
      <c r="B718" s="38" t="str">
        <f>IFERROR(HYPERLINK(VLOOKUP(A718,Internal_lists_bugs!$A$2:$C$73,3,FALSE()), VLOOKUP(A718,Internal_lists_bugs!$A$2:$C$73,3,FALSE())&amp;Char(10) &amp; Char(10) &amp; VLOOKUP(A718,Internal_lists_bugs!$A$2:$Z$73,26,FALSE())),"please select a BUG ID")</f>
        <v>please select a BUG ID</v>
      </c>
      <c r="C718" s="51" t="str">
        <f>IFERROR(VLOOKUP(A718,Internal_lists_bugs!$A$2:$G847,7,FALSE()),"please select a BUG ID")</f>
        <v>please select a BUG ID</v>
      </c>
      <c r="D718" s="51" t="str">
        <f>IFERROR(VLOOKUP(A718,Internal_lists_bugs!$A$2:$I847,9,FALSE()),"please select a BUG ID")</f>
        <v>please select a BUG ID</v>
      </c>
      <c r="E718" s="52"/>
      <c r="F718" s="52"/>
      <c r="G718" s="43"/>
      <c r="H718" s="52"/>
      <c r="J718" s="52"/>
      <c r="K718" s="52"/>
    </row>
    <row r="719">
      <c r="A719" s="43"/>
      <c r="B719" s="38" t="str">
        <f>IFERROR(HYPERLINK(VLOOKUP(A719,Internal_lists_bugs!$A$2:$C$73,3,FALSE()), VLOOKUP(A719,Internal_lists_bugs!$A$2:$C$73,3,FALSE())&amp;Char(10) &amp; Char(10) &amp; VLOOKUP(A719,Internal_lists_bugs!$A$2:$Z$73,26,FALSE())),"please select a BUG ID")</f>
        <v>please select a BUG ID</v>
      </c>
      <c r="C719" s="51" t="str">
        <f>IFERROR(VLOOKUP(A719,Internal_lists_bugs!$A$2:$G847,7,FALSE()),"please select a BUG ID")</f>
        <v>please select a BUG ID</v>
      </c>
      <c r="D719" s="51" t="str">
        <f>IFERROR(VLOOKUP(A719,Internal_lists_bugs!$A$2:$I847,9,FALSE()),"please select a BUG ID")</f>
        <v>please select a BUG ID</v>
      </c>
      <c r="E719" s="52"/>
      <c r="F719" s="52"/>
      <c r="G719" s="43"/>
      <c r="H719" s="52"/>
      <c r="J719" s="52"/>
      <c r="K719" s="52"/>
    </row>
    <row r="720">
      <c r="A720" s="43"/>
      <c r="B720" s="38" t="str">
        <f>IFERROR(HYPERLINK(VLOOKUP(A720,Internal_lists_bugs!$A$2:$C$73,3,FALSE()), VLOOKUP(A720,Internal_lists_bugs!$A$2:$C$73,3,FALSE())&amp;Char(10) &amp; Char(10) &amp; VLOOKUP(A720,Internal_lists_bugs!$A$2:$Z$73,26,FALSE())),"please select a BUG ID")</f>
        <v>please select a BUG ID</v>
      </c>
      <c r="C720" s="51" t="str">
        <f>IFERROR(VLOOKUP(A720,Internal_lists_bugs!$A$2:$G847,7,FALSE()),"please select a BUG ID")</f>
        <v>please select a BUG ID</v>
      </c>
      <c r="D720" s="51" t="str">
        <f>IFERROR(VLOOKUP(A720,Internal_lists_bugs!$A$2:$I847,9,FALSE()),"please select a BUG ID")</f>
        <v>please select a BUG ID</v>
      </c>
      <c r="E720" s="52"/>
      <c r="F720" s="52"/>
      <c r="G720" s="43"/>
      <c r="H720" s="52"/>
      <c r="J720" s="52"/>
      <c r="K720" s="52"/>
    </row>
    <row r="721">
      <c r="A721" s="43"/>
      <c r="B721" s="38" t="str">
        <f>IFERROR(HYPERLINK(VLOOKUP(A721,Internal_lists_bugs!$A$2:$C$73,3,FALSE()), VLOOKUP(A721,Internal_lists_bugs!$A$2:$C$73,3,FALSE())&amp;Char(10) &amp; Char(10) &amp; VLOOKUP(A721,Internal_lists_bugs!$A$2:$Z$73,26,FALSE())),"please select a BUG ID")</f>
        <v>please select a BUG ID</v>
      </c>
      <c r="C721" s="51" t="str">
        <f>IFERROR(VLOOKUP(A721,Internal_lists_bugs!$A$2:$G847,7,FALSE()),"please select a BUG ID")</f>
        <v>please select a BUG ID</v>
      </c>
      <c r="D721" s="51" t="str">
        <f>IFERROR(VLOOKUP(A721,Internal_lists_bugs!$A$2:$I847,9,FALSE()),"please select a BUG ID")</f>
        <v>please select a BUG ID</v>
      </c>
      <c r="E721" s="52"/>
      <c r="F721" s="52"/>
      <c r="G721" s="43"/>
      <c r="H721" s="52"/>
      <c r="J721" s="52"/>
      <c r="K721" s="52"/>
    </row>
    <row r="722">
      <c r="A722" s="43"/>
      <c r="B722" s="38" t="str">
        <f>IFERROR(HYPERLINK(VLOOKUP(A722,Internal_lists_bugs!$A$2:$C$73,3,FALSE()), VLOOKUP(A722,Internal_lists_bugs!$A$2:$C$73,3,FALSE())&amp;Char(10) &amp; Char(10) &amp; VLOOKUP(A722,Internal_lists_bugs!$A$2:$Z$73,26,FALSE())),"please select a BUG ID")</f>
        <v>please select a BUG ID</v>
      </c>
      <c r="C722" s="51" t="str">
        <f>IFERROR(VLOOKUP(A722,Internal_lists_bugs!$A$2:$G847,7,FALSE()),"please select a BUG ID")</f>
        <v>please select a BUG ID</v>
      </c>
      <c r="D722" s="51" t="str">
        <f>IFERROR(VLOOKUP(A722,Internal_lists_bugs!$A$2:$I847,9,FALSE()),"please select a BUG ID")</f>
        <v>please select a BUG ID</v>
      </c>
      <c r="E722" s="52"/>
      <c r="F722" s="52"/>
      <c r="G722" s="43"/>
      <c r="H722" s="52"/>
      <c r="J722" s="52"/>
      <c r="K722" s="52"/>
    </row>
    <row r="723">
      <c r="A723" s="43"/>
      <c r="B723" s="38" t="str">
        <f>IFERROR(HYPERLINK(VLOOKUP(A723,Internal_lists_bugs!$A$2:$C$73,3,FALSE()), VLOOKUP(A723,Internal_lists_bugs!$A$2:$C$73,3,FALSE())&amp;Char(10) &amp; Char(10) &amp; VLOOKUP(A723,Internal_lists_bugs!$A$2:$Z$73,26,FALSE())),"please select a BUG ID")</f>
        <v>please select a BUG ID</v>
      </c>
      <c r="C723" s="51" t="str">
        <f>IFERROR(VLOOKUP(A723,Internal_lists_bugs!$A$2:$G847,7,FALSE()),"please select a BUG ID")</f>
        <v>please select a BUG ID</v>
      </c>
      <c r="D723" s="51" t="str">
        <f>IFERROR(VLOOKUP(A723,Internal_lists_bugs!$A$2:$I847,9,FALSE()),"please select a BUG ID")</f>
        <v>please select a BUG ID</v>
      </c>
      <c r="E723" s="52"/>
      <c r="F723" s="52"/>
      <c r="G723" s="43"/>
      <c r="H723" s="52"/>
      <c r="J723" s="52"/>
      <c r="K723" s="52"/>
    </row>
    <row r="724">
      <c r="A724" s="43"/>
      <c r="B724" s="38" t="str">
        <f>IFERROR(HYPERLINK(VLOOKUP(A724,Internal_lists_bugs!$A$2:$C$73,3,FALSE()), VLOOKUP(A724,Internal_lists_bugs!$A$2:$C$73,3,FALSE())&amp;Char(10) &amp; Char(10) &amp; VLOOKUP(A724,Internal_lists_bugs!$A$2:$Z$73,26,FALSE())),"please select a BUG ID")</f>
        <v>please select a BUG ID</v>
      </c>
      <c r="C724" s="51" t="str">
        <f>IFERROR(VLOOKUP(A724,Internal_lists_bugs!$A$2:$G847,7,FALSE()),"please select a BUG ID")</f>
        <v>please select a BUG ID</v>
      </c>
      <c r="D724" s="51" t="str">
        <f>IFERROR(VLOOKUP(A724,Internal_lists_bugs!$A$2:$I847,9,FALSE()),"please select a BUG ID")</f>
        <v>please select a BUG ID</v>
      </c>
      <c r="E724" s="52"/>
      <c r="F724" s="52"/>
      <c r="G724" s="43"/>
      <c r="H724" s="52"/>
      <c r="J724" s="52"/>
      <c r="K724" s="52"/>
    </row>
    <row r="725">
      <c r="A725" s="43"/>
      <c r="B725" s="38" t="str">
        <f>IFERROR(HYPERLINK(VLOOKUP(A725,Internal_lists_bugs!$A$2:$C$73,3,FALSE()), VLOOKUP(A725,Internal_lists_bugs!$A$2:$C$73,3,FALSE())&amp;Char(10) &amp; Char(10) &amp; VLOOKUP(A725,Internal_lists_bugs!$A$2:$Z$73,26,FALSE())),"please select a BUG ID")</f>
        <v>please select a BUG ID</v>
      </c>
      <c r="C725" s="51" t="str">
        <f>IFERROR(VLOOKUP(A725,Internal_lists_bugs!$A$2:$G847,7,FALSE()),"please select a BUG ID")</f>
        <v>please select a BUG ID</v>
      </c>
      <c r="D725" s="51" t="str">
        <f>IFERROR(VLOOKUP(A725,Internal_lists_bugs!$A$2:$I847,9,FALSE()),"please select a BUG ID")</f>
        <v>please select a BUG ID</v>
      </c>
      <c r="E725" s="52"/>
      <c r="F725" s="52"/>
      <c r="G725" s="43"/>
      <c r="H725" s="52"/>
      <c r="J725" s="52"/>
      <c r="K725" s="52"/>
    </row>
    <row r="726">
      <c r="A726" s="43"/>
      <c r="B726" s="38" t="str">
        <f>IFERROR(HYPERLINK(VLOOKUP(A726,Internal_lists_bugs!$A$2:$C$73,3,FALSE()), VLOOKUP(A726,Internal_lists_bugs!$A$2:$C$73,3,FALSE())&amp;Char(10) &amp; Char(10) &amp; VLOOKUP(A726,Internal_lists_bugs!$A$2:$Z$73,26,FALSE())),"please select a BUG ID")</f>
        <v>please select a BUG ID</v>
      </c>
      <c r="C726" s="51" t="str">
        <f>IFERROR(VLOOKUP(A726,Internal_lists_bugs!$A$2:$G847,7,FALSE()),"please select a BUG ID")</f>
        <v>please select a BUG ID</v>
      </c>
      <c r="D726" s="51" t="str">
        <f>IFERROR(VLOOKUP(A726,Internal_lists_bugs!$A$2:$I847,9,FALSE()),"please select a BUG ID")</f>
        <v>please select a BUG ID</v>
      </c>
      <c r="E726" s="52"/>
      <c r="F726" s="52"/>
      <c r="G726" s="43"/>
      <c r="H726" s="52"/>
      <c r="J726" s="52"/>
      <c r="K726" s="52"/>
    </row>
    <row r="727">
      <c r="A727" s="43"/>
      <c r="B727" s="38" t="str">
        <f>IFERROR(HYPERLINK(VLOOKUP(A727,Internal_lists_bugs!$A$2:$C$73,3,FALSE()), VLOOKUP(A727,Internal_lists_bugs!$A$2:$C$73,3,FALSE())&amp;Char(10) &amp; Char(10) &amp; VLOOKUP(A727,Internal_lists_bugs!$A$2:$Z$73,26,FALSE())),"please select a BUG ID")</f>
        <v>please select a BUG ID</v>
      </c>
      <c r="C727" s="51" t="str">
        <f>IFERROR(VLOOKUP(A727,Internal_lists_bugs!$A$2:$G847,7,FALSE()),"please select a BUG ID")</f>
        <v>please select a BUG ID</v>
      </c>
      <c r="D727" s="51" t="str">
        <f>IFERROR(VLOOKUP(A727,Internal_lists_bugs!$A$2:$I847,9,FALSE()),"please select a BUG ID")</f>
        <v>please select a BUG ID</v>
      </c>
      <c r="E727" s="52"/>
      <c r="F727" s="52"/>
      <c r="G727" s="43"/>
      <c r="H727" s="52"/>
      <c r="J727" s="52"/>
      <c r="K727" s="52"/>
    </row>
    <row r="728">
      <c r="A728" s="43"/>
      <c r="B728" s="38" t="str">
        <f>IFERROR(HYPERLINK(VLOOKUP(A728,Internal_lists_bugs!$A$2:$C$73,3,FALSE()), VLOOKUP(A728,Internal_lists_bugs!$A$2:$C$73,3,FALSE())&amp;Char(10) &amp; Char(10) &amp; VLOOKUP(A728,Internal_lists_bugs!$A$2:$Z$73,26,FALSE())),"please select a BUG ID")</f>
        <v>please select a BUG ID</v>
      </c>
      <c r="C728" s="51" t="str">
        <f>IFERROR(VLOOKUP(A728,Internal_lists_bugs!$A$2:$G847,7,FALSE()),"please select a BUG ID")</f>
        <v>please select a BUG ID</v>
      </c>
      <c r="D728" s="51" t="str">
        <f>IFERROR(VLOOKUP(A728,Internal_lists_bugs!$A$2:$I847,9,FALSE()),"please select a BUG ID")</f>
        <v>please select a BUG ID</v>
      </c>
      <c r="E728" s="52"/>
      <c r="F728" s="52"/>
      <c r="G728" s="43"/>
      <c r="H728" s="52"/>
      <c r="J728" s="52"/>
      <c r="K728" s="52"/>
    </row>
    <row r="729">
      <c r="A729" s="43"/>
      <c r="B729" s="38" t="str">
        <f>IFERROR(HYPERLINK(VLOOKUP(A729,Internal_lists_bugs!$A$2:$C$73,3,FALSE()), VLOOKUP(A729,Internal_lists_bugs!$A$2:$C$73,3,FALSE())&amp;Char(10) &amp; Char(10) &amp; VLOOKUP(A729,Internal_lists_bugs!$A$2:$Z$73,26,FALSE())),"please select a BUG ID")</f>
        <v>please select a BUG ID</v>
      </c>
      <c r="C729" s="51" t="str">
        <f>IFERROR(VLOOKUP(A729,Internal_lists_bugs!$A$2:$G847,7,FALSE()),"please select a BUG ID")</f>
        <v>please select a BUG ID</v>
      </c>
      <c r="D729" s="51" t="str">
        <f>IFERROR(VLOOKUP(A729,Internal_lists_bugs!$A$2:$I847,9,FALSE()),"please select a BUG ID")</f>
        <v>please select a BUG ID</v>
      </c>
      <c r="E729" s="52"/>
      <c r="F729" s="52"/>
      <c r="G729" s="43"/>
      <c r="H729" s="52"/>
      <c r="J729" s="52"/>
      <c r="K729" s="52"/>
    </row>
    <row r="730">
      <c r="A730" s="43"/>
      <c r="B730" s="38" t="str">
        <f>IFERROR(HYPERLINK(VLOOKUP(A730,Internal_lists_bugs!$A$2:$C$73,3,FALSE()), VLOOKUP(A730,Internal_lists_bugs!$A$2:$C$73,3,FALSE())&amp;Char(10) &amp; Char(10) &amp; VLOOKUP(A730,Internal_lists_bugs!$A$2:$Z$73,26,FALSE())),"please select a BUG ID")</f>
        <v>please select a BUG ID</v>
      </c>
      <c r="C730" s="51" t="str">
        <f>IFERROR(VLOOKUP(A730,Internal_lists_bugs!$A$2:$G847,7,FALSE()),"please select a BUG ID")</f>
        <v>please select a BUG ID</v>
      </c>
      <c r="D730" s="51" t="str">
        <f>IFERROR(VLOOKUP(A730,Internal_lists_bugs!$A$2:$I847,9,FALSE()),"please select a BUG ID")</f>
        <v>please select a BUG ID</v>
      </c>
      <c r="E730" s="52"/>
      <c r="F730" s="52"/>
      <c r="G730" s="43"/>
      <c r="H730" s="52"/>
      <c r="J730" s="52"/>
      <c r="K730" s="52"/>
    </row>
    <row r="731">
      <c r="A731" s="43"/>
      <c r="B731" s="38" t="str">
        <f>IFERROR(HYPERLINK(VLOOKUP(A731,Internal_lists_bugs!$A$2:$C$73,3,FALSE()), VLOOKUP(A731,Internal_lists_bugs!$A$2:$C$73,3,FALSE())&amp;Char(10) &amp; Char(10) &amp; VLOOKUP(A731,Internal_lists_bugs!$A$2:$Z$73,26,FALSE())),"please select a BUG ID")</f>
        <v>please select a BUG ID</v>
      </c>
      <c r="C731" s="51" t="str">
        <f>IFERROR(VLOOKUP(A731,Internal_lists_bugs!$A$2:$G847,7,FALSE()),"please select a BUG ID")</f>
        <v>please select a BUG ID</v>
      </c>
      <c r="D731" s="51" t="str">
        <f>IFERROR(VLOOKUP(A731,Internal_lists_bugs!$A$2:$I847,9,FALSE()),"please select a BUG ID")</f>
        <v>please select a BUG ID</v>
      </c>
      <c r="E731" s="52"/>
      <c r="F731" s="52"/>
      <c r="G731" s="43"/>
      <c r="H731" s="52"/>
      <c r="J731" s="52"/>
      <c r="K731" s="52"/>
    </row>
    <row r="732">
      <c r="A732" s="43"/>
      <c r="B732" s="38" t="str">
        <f>IFERROR(HYPERLINK(VLOOKUP(A732,Internal_lists_bugs!$A$2:$C$73,3,FALSE()), VLOOKUP(A732,Internal_lists_bugs!$A$2:$C$73,3,FALSE())&amp;Char(10) &amp; Char(10) &amp; VLOOKUP(A732,Internal_lists_bugs!$A$2:$Z$73,26,FALSE())),"please select a BUG ID")</f>
        <v>please select a BUG ID</v>
      </c>
      <c r="C732" s="51" t="str">
        <f>IFERROR(VLOOKUP(A732,Internal_lists_bugs!$A$2:$G847,7,FALSE()),"please select a BUG ID")</f>
        <v>please select a BUG ID</v>
      </c>
      <c r="D732" s="51" t="str">
        <f>IFERROR(VLOOKUP(A732,Internal_lists_bugs!$A$2:$I847,9,FALSE()),"please select a BUG ID")</f>
        <v>please select a BUG ID</v>
      </c>
      <c r="E732" s="52"/>
      <c r="F732" s="52"/>
      <c r="G732" s="43"/>
      <c r="H732" s="52"/>
      <c r="J732" s="52"/>
      <c r="K732" s="52"/>
    </row>
    <row r="733">
      <c r="A733" s="43"/>
      <c r="B733" s="38" t="str">
        <f>IFERROR(HYPERLINK(VLOOKUP(A733,Internal_lists_bugs!$A$2:$C$73,3,FALSE()), VLOOKUP(A733,Internal_lists_bugs!$A$2:$C$73,3,FALSE())&amp;Char(10) &amp; Char(10) &amp; VLOOKUP(A733,Internal_lists_bugs!$A$2:$Z$73,26,FALSE())),"please select a BUG ID")</f>
        <v>please select a BUG ID</v>
      </c>
      <c r="C733" s="51" t="str">
        <f>IFERROR(VLOOKUP(A733,Internal_lists_bugs!$A$2:$G847,7,FALSE()),"please select a BUG ID")</f>
        <v>please select a BUG ID</v>
      </c>
      <c r="D733" s="51" t="str">
        <f>IFERROR(VLOOKUP(A733,Internal_lists_bugs!$A$2:$I847,9,FALSE()),"please select a BUG ID")</f>
        <v>please select a BUG ID</v>
      </c>
      <c r="E733" s="52"/>
      <c r="F733" s="52"/>
      <c r="G733" s="43"/>
      <c r="H733" s="52"/>
      <c r="J733" s="52"/>
      <c r="K733" s="52"/>
    </row>
    <row r="734">
      <c r="A734" s="43"/>
      <c r="B734" s="38" t="str">
        <f>IFERROR(HYPERLINK(VLOOKUP(A734,Internal_lists_bugs!$A$2:$C$73,3,FALSE()), VLOOKUP(A734,Internal_lists_bugs!$A$2:$C$73,3,FALSE())&amp;Char(10) &amp; Char(10) &amp; VLOOKUP(A734,Internal_lists_bugs!$A$2:$Z$73,26,FALSE())),"please select a BUG ID")</f>
        <v>please select a BUG ID</v>
      </c>
      <c r="C734" s="51" t="str">
        <f>IFERROR(VLOOKUP(A734,Internal_lists_bugs!$A$2:$G847,7,FALSE()),"please select a BUG ID")</f>
        <v>please select a BUG ID</v>
      </c>
      <c r="D734" s="51" t="str">
        <f>IFERROR(VLOOKUP(A734,Internal_lists_bugs!$A$2:$I847,9,FALSE()),"please select a BUG ID")</f>
        <v>please select a BUG ID</v>
      </c>
      <c r="E734" s="52"/>
      <c r="F734" s="52"/>
      <c r="G734" s="43"/>
      <c r="H734" s="52"/>
      <c r="J734" s="52"/>
      <c r="K734" s="52"/>
    </row>
    <row r="735">
      <c r="A735" s="43"/>
      <c r="B735" s="38" t="str">
        <f>IFERROR(HYPERLINK(VLOOKUP(A735,Internal_lists_bugs!$A$2:$C$73,3,FALSE()), VLOOKUP(A735,Internal_lists_bugs!$A$2:$C$73,3,FALSE())&amp;Char(10) &amp; Char(10) &amp; VLOOKUP(A735,Internal_lists_bugs!$A$2:$Z$73,26,FALSE())),"please select a BUG ID")</f>
        <v>please select a BUG ID</v>
      </c>
      <c r="C735" s="51" t="str">
        <f>IFERROR(VLOOKUP(A735,Internal_lists_bugs!$A$2:$G847,7,FALSE()),"please select a BUG ID")</f>
        <v>please select a BUG ID</v>
      </c>
      <c r="D735" s="51" t="str">
        <f>IFERROR(VLOOKUP(A735,Internal_lists_bugs!$A$2:$I847,9,FALSE()),"please select a BUG ID")</f>
        <v>please select a BUG ID</v>
      </c>
      <c r="E735" s="52"/>
      <c r="F735" s="52"/>
      <c r="G735" s="43"/>
      <c r="H735" s="52"/>
      <c r="J735" s="52"/>
      <c r="K735" s="52"/>
    </row>
    <row r="736">
      <c r="A736" s="43"/>
      <c r="B736" s="38" t="str">
        <f>IFERROR(HYPERLINK(VLOOKUP(A736,Internal_lists_bugs!$A$2:$C$73,3,FALSE()), VLOOKUP(A736,Internal_lists_bugs!$A$2:$C$73,3,FALSE())&amp;Char(10) &amp; Char(10) &amp; VLOOKUP(A736,Internal_lists_bugs!$A$2:$Z$73,26,FALSE())),"please select a BUG ID")</f>
        <v>please select a BUG ID</v>
      </c>
      <c r="C736" s="51" t="str">
        <f>IFERROR(VLOOKUP(A736,Internal_lists_bugs!$A$2:$G847,7,FALSE()),"please select a BUG ID")</f>
        <v>please select a BUG ID</v>
      </c>
      <c r="D736" s="51" t="str">
        <f>IFERROR(VLOOKUP(A736,Internal_lists_bugs!$A$2:$I847,9,FALSE()),"please select a BUG ID")</f>
        <v>please select a BUG ID</v>
      </c>
      <c r="E736" s="52"/>
      <c r="F736" s="52"/>
      <c r="G736" s="43"/>
      <c r="H736" s="52"/>
      <c r="J736" s="52"/>
      <c r="K736" s="52"/>
    </row>
    <row r="737">
      <c r="A737" s="43"/>
      <c r="B737" s="38" t="str">
        <f>IFERROR(HYPERLINK(VLOOKUP(A737,Internal_lists_bugs!$A$2:$C$73,3,FALSE()), VLOOKUP(A737,Internal_lists_bugs!$A$2:$C$73,3,FALSE())&amp;Char(10) &amp; Char(10) &amp; VLOOKUP(A737,Internal_lists_bugs!$A$2:$Z$73,26,FALSE())),"please select a BUG ID")</f>
        <v>please select a BUG ID</v>
      </c>
      <c r="C737" s="51" t="str">
        <f>IFERROR(VLOOKUP(A737,Internal_lists_bugs!$A$2:$G847,7,FALSE()),"please select a BUG ID")</f>
        <v>please select a BUG ID</v>
      </c>
      <c r="D737" s="51" t="str">
        <f>IFERROR(VLOOKUP(A737,Internal_lists_bugs!$A$2:$I847,9,FALSE()),"please select a BUG ID")</f>
        <v>please select a BUG ID</v>
      </c>
      <c r="E737" s="52"/>
      <c r="F737" s="52"/>
      <c r="G737" s="43"/>
      <c r="H737" s="52"/>
      <c r="J737" s="52"/>
      <c r="K737" s="52"/>
    </row>
    <row r="738">
      <c r="A738" s="43"/>
      <c r="B738" s="38" t="str">
        <f>IFERROR(HYPERLINK(VLOOKUP(A738,Internal_lists_bugs!$A$2:$C$73,3,FALSE()), VLOOKUP(A738,Internal_lists_bugs!$A$2:$C$73,3,FALSE())&amp;Char(10) &amp; Char(10) &amp; VLOOKUP(A738,Internal_lists_bugs!$A$2:$Z$73,26,FALSE())),"please select a BUG ID")</f>
        <v>please select a BUG ID</v>
      </c>
      <c r="C738" s="51" t="str">
        <f>IFERROR(VLOOKUP(A738,Internal_lists_bugs!$A$2:$G847,7,FALSE()),"please select a BUG ID")</f>
        <v>please select a BUG ID</v>
      </c>
      <c r="D738" s="51" t="str">
        <f>IFERROR(VLOOKUP(A738,Internal_lists_bugs!$A$2:$I847,9,FALSE()),"please select a BUG ID")</f>
        <v>please select a BUG ID</v>
      </c>
      <c r="E738" s="52"/>
      <c r="F738" s="52"/>
      <c r="G738" s="43"/>
      <c r="H738" s="52"/>
      <c r="J738" s="52"/>
      <c r="K738" s="52"/>
    </row>
    <row r="739">
      <c r="A739" s="43"/>
      <c r="B739" s="38" t="str">
        <f>IFERROR(HYPERLINK(VLOOKUP(A739,Internal_lists_bugs!$A$2:$C$73,3,FALSE()), VLOOKUP(A739,Internal_lists_bugs!$A$2:$C$73,3,FALSE())&amp;Char(10) &amp; Char(10) &amp; VLOOKUP(A739,Internal_lists_bugs!$A$2:$Z$73,26,FALSE())),"please select a BUG ID")</f>
        <v>please select a BUG ID</v>
      </c>
      <c r="C739" s="51" t="str">
        <f>IFERROR(VLOOKUP(A739,Internal_lists_bugs!$A$2:$G847,7,FALSE()),"please select a BUG ID")</f>
        <v>please select a BUG ID</v>
      </c>
      <c r="D739" s="51" t="str">
        <f>IFERROR(VLOOKUP(A739,Internal_lists_bugs!$A$2:$I847,9,FALSE()),"please select a BUG ID")</f>
        <v>please select a BUG ID</v>
      </c>
      <c r="E739" s="52"/>
      <c r="F739" s="52"/>
      <c r="G739" s="43"/>
      <c r="H739" s="52"/>
      <c r="J739" s="52"/>
      <c r="K739" s="52"/>
    </row>
    <row r="740">
      <c r="A740" s="43"/>
      <c r="B740" s="38" t="str">
        <f>IFERROR(HYPERLINK(VLOOKUP(A740,Internal_lists_bugs!$A$2:$C$73,3,FALSE()), VLOOKUP(A740,Internal_lists_bugs!$A$2:$C$73,3,FALSE())&amp;Char(10) &amp; Char(10) &amp; VLOOKUP(A740,Internal_lists_bugs!$A$2:$Z$73,26,FALSE())),"please select a BUG ID")</f>
        <v>please select a BUG ID</v>
      </c>
      <c r="C740" s="51" t="str">
        <f>IFERROR(VLOOKUP(A740,Internal_lists_bugs!$A$2:$G847,7,FALSE()),"please select a BUG ID")</f>
        <v>please select a BUG ID</v>
      </c>
      <c r="D740" s="51" t="str">
        <f>IFERROR(VLOOKUP(A740,Internal_lists_bugs!$A$2:$I847,9,FALSE()),"please select a BUG ID")</f>
        <v>please select a BUG ID</v>
      </c>
      <c r="E740" s="52"/>
      <c r="F740" s="52"/>
      <c r="G740" s="43"/>
      <c r="H740" s="52"/>
      <c r="J740" s="52"/>
      <c r="K740" s="52"/>
    </row>
    <row r="741">
      <c r="A741" s="43"/>
      <c r="B741" s="38" t="str">
        <f>IFERROR(HYPERLINK(VLOOKUP(A741,Internal_lists_bugs!$A$2:$C$73,3,FALSE()), VLOOKUP(A741,Internal_lists_bugs!$A$2:$C$73,3,FALSE())&amp;Char(10) &amp; Char(10) &amp; VLOOKUP(A741,Internal_lists_bugs!$A$2:$Z$73,26,FALSE())),"please select a BUG ID")</f>
        <v>please select a BUG ID</v>
      </c>
      <c r="C741" s="51" t="str">
        <f>IFERROR(VLOOKUP(A741,Internal_lists_bugs!$A$2:$G847,7,FALSE()),"please select a BUG ID")</f>
        <v>please select a BUG ID</v>
      </c>
      <c r="D741" s="51" t="str">
        <f>IFERROR(VLOOKUP(A741,Internal_lists_bugs!$A$2:$I847,9,FALSE()),"please select a BUG ID")</f>
        <v>please select a BUG ID</v>
      </c>
      <c r="E741" s="52"/>
      <c r="F741" s="52"/>
      <c r="G741" s="43"/>
      <c r="H741" s="52"/>
      <c r="J741" s="52"/>
      <c r="K741" s="52"/>
    </row>
    <row r="742">
      <c r="A742" s="43"/>
      <c r="B742" s="38" t="str">
        <f>IFERROR(HYPERLINK(VLOOKUP(A742,Internal_lists_bugs!$A$2:$C$73,3,FALSE()), VLOOKUP(A742,Internal_lists_bugs!$A$2:$C$73,3,FALSE())&amp;Char(10) &amp; Char(10) &amp; VLOOKUP(A742,Internal_lists_bugs!$A$2:$Z$73,26,FALSE())),"please select a BUG ID")</f>
        <v>please select a BUG ID</v>
      </c>
      <c r="C742" s="51" t="str">
        <f>IFERROR(VLOOKUP(A742,Internal_lists_bugs!$A$2:$G847,7,FALSE()),"please select a BUG ID")</f>
        <v>please select a BUG ID</v>
      </c>
      <c r="D742" s="51" t="str">
        <f>IFERROR(VLOOKUP(A742,Internal_lists_bugs!$A$2:$I847,9,FALSE()),"please select a BUG ID")</f>
        <v>please select a BUG ID</v>
      </c>
      <c r="E742" s="52"/>
      <c r="F742" s="52"/>
      <c r="G742" s="43"/>
      <c r="H742" s="52"/>
      <c r="J742" s="52"/>
      <c r="K742" s="52"/>
    </row>
    <row r="743">
      <c r="A743" s="43"/>
      <c r="B743" s="38" t="str">
        <f>IFERROR(HYPERLINK(VLOOKUP(A743,Internal_lists_bugs!$A$2:$C$73,3,FALSE()), VLOOKUP(A743,Internal_lists_bugs!$A$2:$C$73,3,FALSE())&amp;Char(10) &amp; Char(10) &amp; VLOOKUP(A743,Internal_lists_bugs!$A$2:$Z$73,26,FALSE())),"please select a BUG ID")</f>
        <v>please select a BUG ID</v>
      </c>
      <c r="C743" s="51" t="str">
        <f>IFERROR(VLOOKUP(A743,Internal_lists_bugs!$A$2:$G847,7,FALSE()),"please select a BUG ID")</f>
        <v>please select a BUG ID</v>
      </c>
      <c r="D743" s="51" t="str">
        <f>IFERROR(VLOOKUP(A743,Internal_lists_bugs!$A$2:$I847,9,FALSE()),"please select a BUG ID")</f>
        <v>please select a BUG ID</v>
      </c>
      <c r="E743" s="52"/>
      <c r="F743" s="52"/>
      <c r="G743" s="43"/>
      <c r="H743" s="52"/>
      <c r="J743" s="52"/>
      <c r="K743" s="52"/>
    </row>
    <row r="744">
      <c r="A744" s="43"/>
      <c r="B744" s="38" t="str">
        <f>IFERROR(HYPERLINK(VLOOKUP(A744,Internal_lists_bugs!$A$2:$C$73,3,FALSE()), VLOOKUP(A744,Internal_lists_bugs!$A$2:$C$73,3,FALSE())&amp;Char(10) &amp; Char(10) &amp; VLOOKUP(A744,Internal_lists_bugs!$A$2:$Z$73,26,FALSE())),"please select a BUG ID")</f>
        <v>please select a BUG ID</v>
      </c>
      <c r="C744" s="51" t="str">
        <f>IFERROR(VLOOKUP(A744,Internal_lists_bugs!$A$2:$G847,7,FALSE()),"please select a BUG ID")</f>
        <v>please select a BUG ID</v>
      </c>
      <c r="D744" s="51" t="str">
        <f>IFERROR(VLOOKUP(A744,Internal_lists_bugs!$A$2:$I847,9,FALSE()),"please select a BUG ID")</f>
        <v>please select a BUG ID</v>
      </c>
      <c r="E744" s="52"/>
      <c r="F744" s="52"/>
      <c r="G744" s="43"/>
      <c r="H744" s="52"/>
      <c r="J744" s="52"/>
      <c r="K744" s="52"/>
    </row>
    <row r="745">
      <c r="A745" s="43"/>
      <c r="B745" s="38" t="str">
        <f>IFERROR(HYPERLINK(VLOOKUP(A745,Internal_lists_bugs!$A$2:$C$73,3,FALSE()), VLOOKUP(A745,Internal_lists_bugs!$A$2:$C$73,3,FALSE())&amp;Char(10) &amp; Char(10) &amp; VLOOKUP(A745,Internal_lists_bugs!$A$2:$Z$73,26,FALSE())),"please select a BUG ID")</f>
        <v>please select a BUG ID</v>
      </c>
      <c r="C745" s="51" t="str">
        <f>IFERROR(VLOOKUP(A745,Internal_lists_bugs!$A$2:$G847,7,FALSE()),"please select a BUG ID")</f>
        <v>please select a BUG ID</v>
      </c>
      <c r="D745" s="51" t="str">
        <f>IFERROR(VLOOKUP(A745,Internal_lists_bugs!$A$2:$I847,9,FALSE()),"please select a BUG ID")</f>
        <v>please select a BUG ID</v>
      </c>
      <c r="E745" s="52"/>
      <c r="F745" s="52"/>
      <c r="G745" s="43"/>
      <c r="H745" s="52"/>
      <c r="J745" s="52"/>
      <c r="K745" s="52"/>
    </row>
    <row r="746">
      <c r="A746" s="43"/>
      <c r="B746" s="38" t="str">
        <f>IFERROR(HYPERLINK(VLOOKUP(A746,Internal_lists_bugs!$A$2:$C$73,3,FALSE()), VLOOKUP(A746,Internal_lists_bugs!$A$2:$C$73,3,FALSE())&amp;Char(10) &amp; Char(10) &amp; VLOOKUP(A746,Internal_lists_bugs!$A$2:$Z$73,26,FALSE())),"please select a BUG ID")</f>
        <v>please select a BUG ID</v>
      </c>
      <c r="C746" s="51" t="str">
        <f>IFERROR(VLOOKUP(A746,Internal_lists_bugs!$A$2:$G847,7,FALSE()),"please select a BUG ID")</f>
        <v>please select a BUG ID</v>
      </c>
      <c r="D746" s="51" t="str">
        <f>IFERROR(VLOOKUP(A746,Internal_lists_bugs!$A$2:$I847,9,FALSE()),"please select a BUG ID")</f>
        <v>please select a BUG ID</v>
      </c>
      <c r="E746" s="52"/>
      <c r="F746" s="52"/>
      <c r="G746" s="43"/>
      <c r="H746" s="52"/>
      <c r="J746" s="52"/>
      <c r="K746" s="52"/>
    </row>
    <row r="747">
      <c r="A747" s="43"/>
      <c r="B747" s="38" t="str">
        <f>IFERROR(HYPERLINK(VLOOKUP(A747,Internal_lists_bugs!$A$2:$C$73,3,FALSE()), VLOOKUP(A747,Internal_lists_bugs!$A$2:$C$73,3,FALSE())&amp;Char(10) &amp; Char(10) &amp; VLOOKUP(A747,Internal_lists_bugs!$A$2:$Z$73,26,FALSE())),"please select a BUG ID")</f>
        <v>please select a BUG ID</v>
      </c>
      <c r="C747" s="51" t="str">
        <f>IFERROR(VLOOKUP(A747,Internal_lists_bugs!$A$2:$G847,7,FALSE()),"please select a BUG ID")</f>
        <v>please select a BUG ID</v>
      </c>
      <c r="D747" s="51" t="str">
        <f>IFERROR(VLOOKUP(A747,Internal_lists_bugs!$A$2:$I847,9,FALSE()),"please select a BUG ID")</f>
        <v>please select a BUG ID</v>
      </c>
      <c r="E747" s="52"/>
      <c r="F747" s="52"/>
      <c r="G747" s="43"/>
      <c r="H747" s="52"/>
      <c r="J747" s="52"/>
      <c r="K747" s="52"/>
    </row>
    <row r="748">
      <c r="A748" s="43"/>
      <c r="B748" s="38" t="str">
        <f>IFERROR(HYPERLINK(VLOOKUP(A748,Internal_lists_bugs!$A$2:$C$73,3,FALSE()), VLOOKUP(A748,Internal_lists_bugs!$A$2:$C$73,3,FALSE())&amp;Char(10) &amp; Char(10) &amp; VLOOKUP(A748,Internal_lists_bugs!$A$2:$Z$73,26,FALSE())),"please select a BUG ID")</f>
        <v>please select a BUG ID</v>
      </c>
      <c r="C748" s="51" t="str">
        <f>IFERROR(VLOOKUP(A748,Internal_lists_bugs!$A$2:$G847,7,FALSE()),"please select a BUG ID")</f>
        <v>please select a BUG ID</v>
      </c>
      <c r="D748" s="51" t="str">
        <f>IFERROR(VLOOKUP(A748,Internal_lists_bugs!$A$2:$I847,9,FALSE()),"please select a BUG ID")</f>
        <v>please select a BUG ID</v>
      </c>
      <c r="E748" s="52"/>
      <c r="F748" s="52"/>
      <c r="G748" s="43"/>
      <c r="H748" s="52"/>
      <c r="J748" s="52"/>
      <c r="K748" s="52"/>
    </row>
    <row r="749">
      <c r="A749" s="43"/>
      <c r="B749" s="38" t="str">
        <f>IFERROR(HYPERLINK(VLOOKUP(A749,Internal_lists_bugs!$A$2:$C$73,3,FALSE()), VLOOKUP(A749,Internal_lists_bugs!$A$2:$C$73,3,FALSE())&amp;Char(10) &amp; Char(10) &amp; VLOOKUP(A749,Internal_lists_bugs!$A$2:$Z$73,26,FALSE())),"please select a BUG ID")</f>
        <v>please select a BUG ID</v>
      </c>
      <c r="C749" s="51" t="str">
        <f>IFERROR(VLOOKUP(A749,Internal_lists_bugs!$A$2:$G847,7,FALSE()),"please select a BUG ID")</f>
        <v>please select a BUG ID</v>
      </c>
      <c r="D749" s="51" t="str">
        <f>IFERROR(VLOOKUP(A749,Internal_lists_bugs!$A$2:$I847,9,FALSE()),"please select a BUG ID")</f>
        <v>please select a BUG ID</v>
      </c>
      <c r="E749" s="52"/>
      <c r="F749" s="52"/>
      <c r="G749" s="43"/>
      <c r="H749" s="52"/>
      <c r="J749" s="52"/>
      <c r="K749" s="52"/>
    </row>
    <row r="750">
      <c r="A750" s="43"/>
      <c r="B750" s="38" t="str">
        <f>IFERROR(HYPERLINK(VLOOKUP(A750,Internal_lists_bugs!$A$2:$C$73,3,FALSE()), VLOOKUP(A750,Internal_lists_bugs!$A$2:$C$73,3,FALSE())&amp;Char(10) &amp; Char(10) &amp; VLOOKUP(A750,Internal_lists_bugs!$A$2:$Z$73,26,FALSE())),"please select a BUG ID")</f>
        <v>please select a BUG ID</v>
      </c>
      <c r="C750" s="51" t="str">
        <f>IFERROR(VLOOKUP(A750,Internal_lists_bugs!$A$2:$G847,7,FALSE()),"please select a BUG ID")</f>
        <v>please select a BUG ID</v>
      </c>
      <c r="D750" s="51" t="str">
        <f>IFERROR(VLOOKUP(A750,Internal_lists_bugs!$A$2:$I847,9,FALSE()),"please select a BUG ID")</f>
        <v>please select a BUG ID</v>
      </c>
      <c r="E750" s="52"/>
      <c r="F750" s="52"/>
      <c r="G750" s="43"/>
      <c r="H750" s="52"/>
      <c r="J750" s="52"/>
      <c r="K750" s="52"/>
    </row>
    <row r="751">
      <c r="A751" s="43"/>
      <c r="B751" s="38" t="str">
        <f>IFERROR(HYPERLINK(VLOOKUP(A751,Internal_lists_bugs!$A$2:$C$73,3,FALSE()), VLOOKUP(A751,Internal_lists_bugs!$A$2:$C$73,3,FALSE())&amp;Char(10) &amp; Char(10) &amp; VLOOKUP(A751,Internal_lists_bugs!$A$2:$Z$73,26,FALSE())),"please select a BUG ID")</f>
        <v>please select a BUG ID</v>
      </c>
      <c r="C751" s="51" t="str">
        <f>IFERROR(VLOOKUP(A751,Internal_lists_bugs!$A$2:$G847,7,FALSE()),"please select a BUG ID")</f>
        <v>please select a BUG ID</v>
      </c>
      <c r="D751" s="51" t="str">
        <f>IFERROR(VLOOKUP(A751,Internal_lists_bugs!$A$2:$I847,9,FALSE()),"please select a BUG ID")</f>
        <v>please select a BUG ID</v>
      </c>
      <c r="E751" s="52"/>
      <c r="F751" s="52"/>
      <c r="G751" s="43"/>
      <c r="H751" s="52"/>
      <c r="J751" s="52"/>
      <c r="K751" s="52"/>
    </row>
    <row r="752">
      <c r="A752" s="43"/>
      <c r="B752" s="38" t="str">
        <f>IFERROR(HYPERLINK(VLOOKUP(A752,Internal_lists_bugs!$A$2:$C$73,3,FALSE()), VLOOKUP(A752,Internal_lists_bugs!$A$2:$C$73,3,FALSE())&amp;Char(10) &amp; Char(10) &amp; VLOOKUP(A752,Internal_lists_bugs!$A$2:$Z$73,26,FALSE())),"please select a BUG ID")</f>
        <v>please select a BUG ID</v>
      </c>
      <c r="C752" s="51" t="str">
        <f>IFERROR(VLOOKUP(A752,Internal_lists_bugs!$A$2:$G847,7,FALSE()),"please select a BUG ID")</f>
        <v>please select a BUG ID</v>
      </c>
      <c r="D752" s="51" t="str">
        <f>IFERROR(VLOOKUP(A752,Internal_lists_bugs!$A$2:$I847,9,FALSE()),"please select a BUG ID")</f>
        <v>please select a BUG ID</v>
      </c>
      <c r="E752" s="52"/>
      <c r="F752" s="52"/>
      <c r="G752" s="43"/>
      <c r="H752" s="52"/>
      <c r="J752" s="52"/>
      <c r="K752" s="52"/>
    </row>
    <row r="753">
      <c r="A753" s="43"/>
      <c r="B753" s="38" t="str">
        <f>IFERROR(HYPERLINK(VLOOKUP(A753,Internal_lists_bugs!$A$2:$C$73,3,FALSE()), VLOOKUP(A753,Internal_lists_bugs!$A$2:$C$73,3,FALSE())&amp;Char(10) &amp; Char(10) &amp; VLOOKUP(A753,Internal_lists_bugs!$A$2:$Z$73,26,FALSE())),"please select a BUG ID")</f>
        <v>please select a BUG ID</v>
      </c>
      <c r="C753" s="51" t="str">
        <f>IFERROR(VLOOKUP(A753,Internal_lists_bugs!$A$2:$G847,7,FALSE()),"please select a BUG ID")</f>
        <v>please select a BUG ID</v>
      </c>
      <c r="D753" s="51" t="str">
        <f>IFERROR(VLOOKUP(A753,Internal_lists_bugs!$A$2:$I847,9,FALSE()),"please select a BUG ID")</f>
        <v>please select a BUG ID</v>
      </c>
      <c r="E753" s="52"/>
      <c r="F753" s="52"/>
      <c r="G753" s="43"/>
      <c r="H753" s="52"/>
      <c r="J753" s="52"/>
      <c r="K753" s="52"/>
    </row>
    <row r="754">
      <c r="A754" s="43"/>
      <c r="B754" s="38" t="str">
        <f>IFERROR(HYPERLINK(VLOOKUP(A754,Internal_lists_bugs!$A$2:$C$73,3,FALSE()), VLOOKUP(A754,Internal_lists_bugs!$A$2:$C$73,3,FALSE())&amp;Char(10) &amp; Char(10) &amp; VLOOKUP(A754,Internal_lists_bugs!$A$2:$Z$73,26,FALSE())),"please select a BUG ID")</f>
        <v>please select a BUG ID</v>
      </c>
      <c r="C754" s="51" t="str">
        <f>IFERROR(VLOOKUP(A754,Internal_lists_bugs!$A$2:$G847,7,FALSE()),"please select a BUG ID")</f>
        <v>please select a BUG ID</v>
      </c>
      <c r="D754" s="51" t="str">
        <f>IFERROR(VLOOKUP(A754,Internal_lists_bugs!$A$2:$I847,9,FALSE()),"please select a BUG ID")</f>
        <v>please select a BUG ID</v>
      </c>
      <c r="E754" s="52"/>
      <c r="F754" s="52"/>
      <c r="G754" s="43"/>
      <c r="H754" s="52"/>
      <c r="J754" s="52"/>
      <c r="K754" s="52"/>
    </row>
    <row r="755">
      <c r="A755" s="43"/>
      <c r="B755" s="38" t="str">
        <f>IFERROR(HYPERLINK(VLOOKUP(A755,Internal_lists_bugs!$A$2:$C$73,3,FALSE()), VLOOKUP(A755,Internal_lists_bugs!$A$2:$C$73,3,FALSE())&amp;Char(10) &amp; Char(10) &amp; VLOOKUP(A755,Internal_lists_bugs!$A$2:$Z$73,26,FALSE())),"please select a BUG ID")</f>
        <v>please select a BUG ID</v>
      </c>
      <c r="C755" s="51" t="str">
        <f>IFERROR(VLOOKUP(A755,Internal_lists_bugs!$A$2:$G847,7,FALSE()),"please select a BUG ID")</f>
        <v>please select a BUG ID</v>
      </c>
      <c r="D755" s="51" t="str">
        <f>IFERROR(VLOOKUP(A755,Internal_lists_bugs!$A$2:$I847,9,FALSE()),"please select a BUG ID")</f>
        <v>please select a BUG ID</v>
      </c>
      <c r="E755" s="52"/>
      <c r="F755" s="52"/>
      <c r="G755" s="43"/>
      <c r="H755" s="52"/>
      <c r="J755" s="52"/>
      <c r="K755" s="52"/>
    </row>
    <row r="756">
      <c r="A756" s="43"/>
      <c r="B756" s="38" t="str">
        <f>IFERROR(HYPERLINK(VLOOKUP(A756,Internal_lists_bugs!$A$2:$C$73,3,FALSE()), VLOOKUP(A756,Internal_lists_bugs!$A$2:$C$73,3,FALSE())&amp;Char(10) &amp; Char(10) &amp; VLOOKUP(A756,Internal_lists_bugs!$A$2:$Z$73,26,FALSE())),"please select a BUG ID")</f>
        <v>please select a BUG ID</v>
      </c>
      <c r="C756" s="51" t="str">
        <f>IFERROR(VLOOKUP(A756,Internal_lists_bugs!$A$2:$G847,7,FALSE()),"please select a BUG ID")</f>
        <v>please select a BUG ID</v>
      </c>
      <c r="D756" s="51" t="str">
        <f>IFERROR(VLOOKUP(A756,Internal_lists_bugs!$A$2:$I847,9,FALSE()),"please select a BUG ID")</f>
        <v>please select a BUG ID</v>
      </c>
      <c r="E756" s="52"/>
      <c r="F756" s="52"/>
      <c r="G756" s="43"/>
      <c r="H756" s="52"/>
      <c r="J756" s="52"/>
      <c r="K756" s="52"/>
    </row>
    <row r="757">
      <c r="A757" s="43"/>
      <c r="B757" s="38" t="str">
        <f>IFERROR(HYPERLINK(VLOOKUP(A757,Internal_lists_bugs!$A$2:$C$73,3,FALSE()), VLOOKUP(A757,Internal_lists_bugs!$A$2:$C$73,3,FALSE())&amp;Char(10) &amp; Char(10) &amp; VLOOKUP(A757,Internal_lists_bugs!$A$2:$Z$73,26,FALSE())),"please select a BUG ID")</f>
        <v>please select a BUG ID</v>
      </c>
      <c r="C757" s="51" t="str">
        <f>IFERROR(VLOOKUP(A757,Internal_lists_bugs!$A$2:$G847,7,FALSE()),"please select a BUG ID")</f>
        <v>please select a BUG ID</v>
      </c>
      <c r="D757" s="51" t="str">
        <f>IFERROR(VLOOKUP(A757,Internal_lists_bugs!$A$2:$I847,9,FALSE()),"please select a BUG ID")</f>
        <v>please select a BUG ID</v>
      </c>
      <c r="E757" s="52"/>
      <c r="F757" s="52"/>
      <c r="G757" s="43"/>
      <c r="H757" s="52"/>
      <c r="J757" s="52"/>
      <c r="K757" s="52"/>
    </row>
    <row r="758">
      <c r="A758" s="43"/>
      <c r="B758" s="38" t="str">
        <f>IFERROR(HYPERLINK(VLOOKUP(A758,Internal_lists_bugs!$A$2:$C$73,3,FALSE()), VLOOKUP(A758,Internal_lists_bugs!$A$2:$C$73,3,FALSE())&amp;Char(10) &amp; Char(10) &amp; VLOOKUP(A758,Internal_lists_bugs!$A$2:$Z$73,26,FALSE())),"please select a BUG ID")</f>
        <v>please select a BUG ID</v>
      </c>
      <c r="C758" s="51" t="str">
        <f>IFERROR(VLOOKUP(A758,Internal_lists_bugs!$A$2:$G847,7,FALSE()),"please select a BUG ID")</f>
        <v>please select a BUG ID</v>
      </c>
      <c r="D758" s="51" t="str">
        <f>IFERROR(VLOOKUP(A758,Internal_lists_bugs!$A$2:$I847,9,FALSE()),"please select a BUG ID")</f>
        <v>please select a BUG ID</v>
      </c>
      <c r="E758" s="52"/>
      <c r="F758" s="52"/>
      <c r="G758" s="43"/>
      <c r="H758" s="52"/>
      <c r="J758" s="52"/>
      <c r="K758" s="52"/>
    </row>
    <row r="759">
      <c r="A759" s="43"/>
      <c r="B759" s="38" t="str">
        <f>IFERROR(HYPERLINK(VLOOKUP(A759,Internal_lists_bugs!$A$2:$C$73,3,FALSE()), VLOOKUP(A759,Internal_lists_bugs!$A$2:$C$73,3,FALSE())&amp;Char(10) &amp; Char(10) &amp; VLOOKUP(A759,Internal_lists_bugs!$A$2:$Z$73,26,FALSE())),"please select a BUG ID")</f>
        <v>please select a BUG ID</v>
      </c>
      <c r="C759" s="51" t="str">
        <f>IFERROR(VLOOKUP(A759,Internal_lists_bugs!$A$2:$G847,7,FALSE()),"please select a BUG ID")</f>
        <v>please select a BUG ID</v>
      </c>
      <c r="D759" s="51" t="str">
        <f>IFERROR(VLOOKUP(A759,Internal_lists_bugs!$A$2:$I847,9,FALSE()),"please select a BUG ID")</f>
        <v>please select a BUG ID</v>
      </c>
      <c r="E759" s="52"/>
      <c r="F759" s="52"/>
      <c r="G759" s="43"/>
      <c r="H759" s="52"/>
      <c r="J759" s="52"/>
      <c r="K759" s="52"/>
    </row>
    <row r="760">
      <c r="A760" s="43"/>
      <c r="B760" s="38" t="str">
        <f>IFERROR(HYPERLINK(VLOOKUP(A760,Internal_lists_bugs!$A$2:$C$73,3,FALSE()), VLOOKUP(A760,Internal_lists_bugs!$A$2:$C$73,3,FALSE())&amp;Char(10) &amp; Char(10) &amp; VLOOKUP(A760,Internal_lists_bugs!$A$2:$Z$73,26,FALSE())),"please select a BUG ID")</f>
        <v>please select a BUG ID</v>
      </c>
      <c r="C760" s="51" t="str">
        <f>IFERROR(VLOOKUP(A760,Internal_lists_bugs!$A$2:$G847,7,FALSE()),"please select a BUG ID")</f>
        <v>please select a BUG ID</v>
      </c>
      <c r="D760" s="51" t="str">
        <f>IFERROR(VLOOKUP(A760,Internal_lists_bugs!$A$2:$I847,9,FALSE()),"please select a BUG ID")</f>
        <v>please select a BUG ID</v>
      </c>
      <c r="E760" s="52"/>
      <c r="F760" s="52"/>
      <c r="G760" s="43"/>
      <c r="H760" s="52"/>
      <c r="J760" s="52"/>
      <c r="K760" s="52"/>
    </row>
    <row r="761">
      <c r="A761" s="43"/>
      <c r="B761" s="38" t="str">
        <f>IFERROR(HYPERLINK(VLOOKUP(A761,Internal_lists_bugs!$A$2:$C$73,3,FALSE()), VLOOKUP(A761,Internal_lists_bugs!$A$2:$C$73,3,FALSE())&amp;Char(10) &amp; Char(10) &amp; VLOOKUP(A761,Internal_lists_bugs!$A$2:$Z$73,26,FALSE())),"please select a BUG ID")</f>
        <v>please select a BUG ID</v>
      </c>
      <c r="C761" s="51" t="str">
        <f>IFERROR(VLOOKUP(A761,Internal_lists_bugs!$A$2:$G847,7,FALSE()),"please select a BUG ID")</f>
        <v>please select a BUG ID</v>
      </c>
      <c r="D761" s="51" t="str">
        <f>IFERROR(VLOOKUP(A761,Internal_lists_bugs!$A$2:$I847,9,FALSE()),"please select a BUG ID")</f>
        <v>please select a BUG ID</v>
      </c>
      <c r="E761" s="52"/>
      <c r="F761" s="52"/>
      <c r="G761" s="43"/>
      <c r="H761" s="52"/>
      <c r="J761" s="52"/>
      <c r="K761" s="52"/>
    </row>
    <row r="762">
      <c r="A762" s="43"/>
      <c r="B762" s="38" t="str">
        <f>IFERROR(HYPERLINK(VLOOKUP(A762,Internal_lists_bugs!$A$2:$C$73,3,FALSE()), VLOOKUP(A762,Internal_lists_bugs!$A$2:$C$73,3,FALSE())&amp;Char(10) &amp; Char(10) &amp; VLOOKUP(A762,Internal_lists_bugs!$A$2:$Z$73,26,FALSE())),"please select a BUG ID")</f>
        <v>please select a BUG ID</v>
      </c>
      <c r="C762" s="51" t="str">
        <f>IFERROR(VLOOKUP(A762,Internal_lists_bugs!$A$2:$G847,7,FALSE()),"please select a BUG ID")</f>
        <v>please select a BUG ID</v>
      </c>
      <c r="D762" s="51" t="str">
        <f>IFERROR(VLOOKUP(A762,Internal_lists_bugs!$A$2:$I847,9,FALSE()),"please select a BUG ID")</f>
        <v>please select a BUG ID</v>
      </c>
      <c r="E762" s="52"/>
      <c r="F762" s="52"/>
      <c r="G762" s="43"/>
      <c r="H762" s="52"/>
      <c r="J762" s="52"/>
      <c r="K762" s="52"/>
    </row>
    <row r="763">
      <c r="A763" s="43"/>
      <c r="B763" s="38" t="str">
        <f>IFERROR(HYPERLINK(VLOOKUP(A763,Internal_lists_bugs!$A$2:$C$73,3,FALSE()), VLOOKUP(A763,Internal_lists_bugs!$A$2:$C$73,3,FALSE())&amp;Char(10) &amp; Char(10) &amp; VLOOKUP(A763,Internal_lists_bugs!$A$2:$Z$73,26,FALSE())),"please select a BUG ID")</f>
        <v>please select a BUG ID</v>
      </c>
      <c r="C763" s="51" t="str">
        <f>IFERROR(VLOOKUP(A763,Internal_lists_bugs!$A$2:$G847,7,FALSE()),"please select a BUG ID")</f>
        <v>please select a BUG ID</v>
      </c>
      <c r="D763" s="51" t="str">
        <f>IFERROR(VLOOKUP(A763,Internal_lists_bugs!$A$2:$I847,9,FALSE()),"please select a BUG ID")</f>
        <v>please select a BUG ID</v>
      </c>
      <c r="E763" s="52"/>
      <c r="F763" s="52"/>
      <c r="G763" s="43"/>
      <c r="H763" s="52"/>
      <c r="J763" s="52"/>
      <c r="K763" s="52"/>
    </row>
    <row r="764">
      <c r="A764" s="43"/>
      <c r="B764" s="38" t="str">
        <f>IFERROR(HYPERLINK(VLOOKUP(A764,Internal_lists_bugs!$A$2:$C$73,3,FALSE()), VLOOKUP(A764,Internal_lists_bugs!$A$2:$C$73,3,FALSE())&amp;Char(10) &amp; Char(10) &amp; VLOOKUP(A764,Internal_lists_bugs!$A$2:$Z$73,26,FALSE())),"please select a BUG ID")</f>
        <v>please select a BUG ID</v>
      </c>
      <c r="C764" s="51" t="str">
        <f>IFERROR(VLOOKUP(A764,Internal_lists_bugs!$A$2:$G847,7,FALSE()),"please select a BUG ID")</f>
        <v>please select a BUG ID</v>
      </c>
      <c r="D764" s="51" t="str">
        <f>IFERROR(VLOOKUP(A764,Internal_lists_bugs!$A$2:$I847,9,FALSE()),"please select a BUG ID")</f>
        <v>please select a BUG ID</v>
      </c>
      <c r="E764" s="52"/>
      <c r="F764" s="52"/>
      <c r="G764" s="43"/>
      <c r="H764" s="52"/>
      <c r="J764" s="52"/>
      <c r="K764" s="52"/>
    </row>
    <row r="765">
      <c r="A765" s="43"/>
      <c r="B765" s="38" t="str">
        <f>IFERROR(HYPERLINK(VLOOKUP(A765,Internal_lists_bugs!$A$2:$C$73,3,FALSE()), VLOOKUP(A765,Internal_lists_bugs!$A$2:$C$73,3,FALSE())&amp;Char(10) &amp; Char(10) &amp; VLOOKUP(A765,Internal_lists_bugs!$A$2:$Z$73,26,FALSE())),"please select a BUG ID")</f>
        <v>please select a BUG ID</v>
      </c>
      <c r="C765" s="51" t="str">
        <f>IFERROR(VLOOKUP(A765,Internal_lists_bugs!$A$2:$G847,7,FALSE()),"please select a BUG ID")</f>
        <v>please select a BUG ID</v>
      </c>
      <c r="D765" s="51" t="str">
        <f>IFERROR(VLOOKUP(A765,Internal_lists_bugs!$A$2:$I847,9,FALSE()),"please select a BUG ID")</f>
        <v>please select a BUG ID</v>
      </c>
      <c r="E765" s="52"/>
      <c r="F765" s="52"/>
      <c r="G765" s="43"/>
      <c r="H765" s="52"/>
      <c r="J765" s="52"/>
      <c r="K765" s="52"/>
    </row>
    <row r="766">
      <c r="A766" s="43"/>
      <c r="B766" s="38" t="str">
        <f>IFERROR(HYPERLINK(VLOOKUP(A766,Internal_lists_bugs!$A$2:$C$73,3,FALSE()), VLOOKUP(A766,Internal_lists_bugs!$A$2:$C$73,3,FALSE())&amp;Char(10) &amp; Char(10) &amp; VLOOKUP(A766,Internal_lists_bugs!$A$2:$Z$73,26,FALSE())),"please select a BUG ID")</f>
        <v>please select a BUG ID</v>
      </c>
      <c r="C766" s="51" t="str">
        <f>IFERROR(VLOOKUP(A766,Internal_lists_bugs!$A$2:$G847,7,FALSE()),"please select a BUG ID")</f>
        <v>please select a BUG ID</v>
      </c>
      <c r="D766" s="51" t="str">
        <f>IFERROR(VLOOKUP(A766,Internal_lists_bugs!$A$2:$I847,9,FALSE()),"please select a BUG ID")</f>
        <v>please select a BUG ID</v>
      </c>
      <c r="E766" s="52"/>
      <c r="F766" s="52"/>
      <c r="G766" s="43"/>
      <c r="H766" s="52"/>
      <c r="J766" s="52"/>
      <c r="K766" s="52"/>
    </row>
    <row r="767">
      <c r="A767" s="43"/>
      <c r="B767" s="38" t="str">
        <f>IFERROR(HYPERLINK(VLOOKUP(A767,Internal_lists_bugs!$A$2:$C$73,3,FALSE()), VLOOKUP(A767,Internal_lists_bugs!$A$2:$C$73,3,FALSE())&amp;Char(10) &amp; Char(10) &amp; VLOOKUP(A767,Internal_lists_bugs!$A$2:$Z$73,26,FALSE())),"please select a BUG ID")</f>
        <v>please select a BUG ID</v>
      </c>
      <c r="C767" s="51" t="str">
        <f>IFERROR(VLOOKUP(A767,Internal_lists_bugs!$A$2:$G847,7,FALSE()),"please select a BUG ID")</f>
        <v>please select a BUG ID</v>
      </c>
      <c r="D767" s="51" t="str">
        <f>IFERROR(VLOOKUP(A767,Internal_lists_bugs!$A$2:$I847,9,FALSE()),"please select a BUG ID")</f>
        <v>please select a BUG ID</v>
      </c>
      <c r="E767" s="52"/>
      <c r="F767" s="52"/>
      <c r="G767" s="43"/>
      <c r="H767" s="52"/>
      <c r="J767" s="52"/>
      <c r="K767" s="52"/>
    </row>
    <row r="768">
      <c r="A768" s="43"/>
      <c r="B768" s="38" t="str">
        <f>IFERROR(HYPERLINK(VLOOKUP(A768,Internal_lists_bugs!$A$2:$C$73,3,FALSE()), VLOOKUP(A768,Internal_lists_bugs!$A$2:$C$73,3,FALSE())&amp;Char(10) &amp; Char(10) &amp; VLOOKUP(A768,Internal_lists_bugs!$A$2:$Z$73,26,FALSE())),"please select a BUG ID")</f>
        <v>please select a BUG ID</v>
      </c>
      <c r="C768" s="51" t="str">
        <f>IFERROR(VLOOKUP(A768,Internal_lists_bugs!$A$2:$G847,7,FALSE()),"please select a BUG ID")</f>
        <v>please select a BUG ID</v>
      </c>
      <c r="D768" s="51" t="str">
        <f>IFERROR(VLOOKUP(A768,Internal_lists_bugs!$A$2:$I847,9,FALSE()),"please select a BUG ID")</f>
        <v>please select a BUG ID</v>
      </c>
      <c r="E768" s="52"/>
      <c r="F768" s="52"/>
      <c r="G768" s="43"/>
      <c r="H768" s="52"/>
      <c r="J768" s="52"/>
      <c r="K768" s="52"/>
    </row>
    <row r="769">
      <c r="A769" s="43"/>
      <c r="B769" s="38" t="str">
        <f>IFERROR(HYPERLINK(VLOOKUP(A769,Internal_lists_bugs!$A$2:$C$73,3,FALSE()), VLOOKUP(A769,Internal_lists_bugs!$A$2:$C$73,3,FALSE())&amp;Char(10) &amp; Char(10) &amp; VLOOKUP(A769,Internal_lists_bugs!$A$2:$Z$73,26,FALSE())),"please select a BUG ID")</f>
        <v>please select a BUG ID</v>
      </c>
      <c r="C769" s="51" t="str">
        <f>IFERROR(VLOOKUP(A769,Internal_lists_bugs!$A$2:$G847,7,FALSE()),"please select a BUG ID")</f>
        <v>please select a BUG ID</v>
      </c>
      <c r="D769" s="51" t="str">
        <f>IFERROR(VLOOKUP(A769,Internal_lists_bugs!$A$2:$I847,9,FALSE()),"please select a BUG ID")</f>
        <v>please select a BUG ID</v>
      </c>
      <c r="E769" s="52"/>
      <c r="F769" s="52"/>
      <c r="G769" s="43"/>
      <c r="H769" s="52"/>
      <c r="J769" s="52"/>
      <c r="K769" s="52"/>
    </row>
    <row r="770">
      <c r="A770" s="43"/>
      <c r="B770" s="38" t="str">
        <f>IFERROR(HYPERLINK(VLOOKUP(A770,Internal_lists_bugs!$A$2:$C$73,3,FALSE()), VLOOKUP(A770,Internal_lists_bugs!$A$2:$C$73,3,FALSE())&amp;Char(10) &amp; Char(10) &amp; VLOOKUP(A770,Internal_lists_bugs!$A$2:$Z$73,26,FALSE())),"please select a BUG ID")</f>
        <v>please select a BUG ID</v>
      </c>
      <c r="C770" s="51" t="str">
        <f>IFERROR(VLOOKUP(A770,Internal_lists_bugs!$A$2:$G847,7,FALSE()),"please select a BUG ID")</f>
        <v>please select a BUG ID</v>
      </c>
      <c r="D770" s="51" t="str">
        <f>IFERROR(VLOOKUP(A770,Internal_lists_bugs!$A$2:$I847,9,FALSE()),"please select a BUG ID")</f>
        <v>please select a BUG ID</v>
      </c>
      <c r="E770" s="52"/>
      <c r="F770" s="52"/>
      <c r="G770" s="43"/>
      <c r="H770" s="52"/>
      <c r="J770" s="52"/>
      <c r="K770" s="52"/>
    </row>
    <row r="771">
      <c r="A771" s="43"/>
      <c r="B771" s="38" t="str">
        <f>IFERROR(HYPERLINK(VLOOKUP(A771,Internal_lists_bugs!$A$2:$C$73,3,FALSE()), VLOOKUP(A771,Internal_lists_bugs!$A$2:$C$73,3,FALSE())&amp;Char(10) &amp; Char(10) &amp; VLOOKUP(A771,Internal_lists_bugs!$A$2:$Z$73,26,FALSE())),"please select a BUG ID")</f>
        <v>please select a BUG ID</v>
      </c>
      <c r="C771" s="51" t="str">
        <f>IFERROR(VLOOKUP(A771,Internal_lists_bugs!$A$2:$G847,7,FALSE()),"please select a BUG ID")</f>
        <v>please select a BUG ID</v>
      </c>
      <c r="D771" s="51" t="str">
        <f>IFERROR(VLOOKUP(A771,Internal_lists_bugs!$A$2:$I847,9,FALSE()),"please select a BUG ID")</f>
        <v>please select a BUG ID</v>
      </c>
      <c r="E771" s="52"/>
      <c r="F771" s="52"/>
      <c r="G771" s="43"/>
      <c r="H771" s="52"/>
      <c r="J771" s="52"/>
      <c r="K771" s="52"/>
    </row>
    <row r="772">
      <c r="A772" s="43"/>
      <c r="B772" s="38" t="str">
        <f>IFERROR(HYPERLINK(VLOOKUP(A772,Internal_lists_bugs!$A$2:$C$73,3,FALSE()), VLOOKUP(A772,Internal_lists_bugs!$A$2:$C$73,3,FALSE())&amp;Char(10) &amp; Char(10) &amp; VLOOKUP(A772,Internal_lists_bugs!$A$2:$Z$73,26,FALSE())),"please select a BUG ID")</f>
        <v>please select a BUG ID</v>
      </c>
      <c r="C772" s="51" t="str">
        <f>IFERROR(VLOOKUP(A772,Internal_lists_bugs!$A$2:$G847,7,FALSE()),"please select a BUG ID")</f>
        <v>please select a BUG ID</v>
      </c>
      <c r="D772" s="51" t="str">
        <f>IFERROR(VLOOKUP(A772,Internal_lists_bugs!$A$2:$I847,9,FALSE()),"please select a BUG ID")</f>
        <v>please select a BUG ID</v>
      </c>
      <c r="E772" s="52"/>
      <c r="F772" s="52"/>
      <c r="G772" s="43"/>
      <c r="H772" s="52"/>
      <c r="J772" s="52"/>
      <c r="K772" s="52"/>
    </row>
    <row r="773">
      <c r="A773" s="43"/>
      <c r="B773" s="38" t="str">
        <f>IFERROR(HYPERLINK(VLOOKUP(A773,Internal_lists_bugs!$A$2:$C$73,3,FALSE()), VLOOKUP(A773,Internal_lists_bugs!$A$2:$C$73,3,FALSE())&amp;Char(10) &amp; Char(10) &amp; VLOOKUP(A773,Internal_lists_bugs!$A$2:$Z$73,26,FALSE())),"please select a BUG ID")</f>
        <v>please select a BUG ID</v>
      </c>
      <c r="C773" s="51" t="str">
        <f>IFERROR(VLOOKUP(A773,Internal_lists_bugs!$A$2:$G847,7,FALSE()),"please select a BUG ID")</f>
        <v>please select a BUG ID</v>
      </c>
      <c r="D773" s="51" t="str">
        <f>IFERROR(VLOOKUP(A773,Internal_lists_bugs!$A$2:$I847,9,FALSE()),"please select a BUG ID")</f>
        <v>please select a BUG ID</v>
      </c>
      <c r="E773" s="52"/>
      <c r="F773" s="52"/>
      <c r="G773" s="43"/>
      <c r="H773" s="52"/>
      <c r="J773" s="52"/>
      <c r="K773" s="52"/>
    </row>
    <row r="774">
      <c r="A774" s="43"/>
      <c r="B774" s="38" t="str">
        <f>IFERROR(HYPERLINK(VLOOKUP(A774,Internal_lists_bugs!$A$2:$C$73,3,FALSE()), VLOOKUP(A774,Internal_lists_bugs!$A$2:$C$73,3,FALSE())&amp;Char(10) &amp; Char(10) &amp; VLOOKUP(A774,Internal_lists_bugs!$A$2:$Z$73,26,FALSE())),"please select a BUG ID")</f>
        <v>please select a BUG ID</v>
      </c>
      <c r="C774" s="51" t="str">
        <f>IFERROR(VLOOKUP(A774,Internal_lists_bugs!$A$2:$G847,7,FALSE()),"please select a BUG ID")</f>
        <v>please select a BUG ID</v>
      </c>
      <c r="D774" s="51" t="str">
        <f>IFERROR(VLOOKUP(A774,Internal_lists_bugs!$A$2:$I847,9,FALSE()),"please select a BUG ID")</f>
        <v>please select a BUG ID</v>
      </c>
      <c r="E774" s="52"/>
      <c r="F774" s="52"/>
      <c r="G774" s="43"/>
      <c r="H774" s="52"/>
      <c r="J774" s="52"/>
      <c r="K774" s="52"/>
    </row>
    <row r="775">
      <c r="A775" s="43"/>
      <c r="B775" s="38" t="str">
        <f>IFERROR(HYPERLINK(VLOOKUP(A775,Internal_lists_bugs!$A$2:$C$73,3,FALSE()), VLOOKUP(A775,Internal_lists_bugs!$A$2:$C$73,3,FALSE())&amp;Char(10) &amp; Char(10) &amp; VLOOKUP(A775,Internal_lists_bugs!$A$2:$Z$73,26,FALSE())),"please select a BUG ID")</f>
        <v>please select a BUG ID</v>
      </c>
      <c r="C775" s="51" t="str">
        <f>IFERROR(VLOOKUP(A775,Internal_lists_bugs!$A$2:$G847,7,FALSE()),"please select a BUG ID")</f>
        <v>please select a BUG ID</v>
      </c>
      <c r="D775" s="51" t="str">
        <f>IFERROR(VLOOKUP(A775,Internal_lists_bugs!$A$2:$I847,9,FALSE()),"please select a BUG ID")</f>
        <v>please select a BUG ID</v>
      </c>
      <c r="E775" s="52"/>
      <c r="F775" s="52"/>
      <c r="G775" s="43"/>
      <c r="H775" s="52"/>
      <c r="J775" s="52"/>
      <c r="K775" s="52"/>
    </row>
    <row r="776">
      <c r="A776" s="43"/>
      <c r="B776" s="38" t="str">
        <f>IFERROR(HYPERLINK(VLOOKUP(A776,Internal_lists_bugs!$A$2:$C$73,3,FALSE()), VLOOKUP(A776,Internal_lists_bugs!$A$2:$C$73,3,FALSE())&amp;Char(10) &amp; Char(10) &amp; VLOOKUP(A776,Internal_lists_bugs!$A$2:$Z$73,26,FALSE())),"please select a BUG ID")</f>
        <v>please select a BUG ID</v>
      </c>
      <c r="C776" s="51" t="str">
        <f>IFERROR(VLOOKUP(A776,Internal_lists_bugs!$A$2:$G847,7,FALSE()),"please select a BUG ID")</f>
        <v>please select a BUG ID</v>
      </c>
      <c r="D776" s="51" t="str">
        <f>IFERROR(VLOOKUP(A776,Internal_lists_bugs!$A$2:$I847,9,FALSE()),"please select a BUG ID")</f>
        <v>please select a BUG ID</v>
      </c>
      <c r="E776" s="52"/>
      <c r="F776" s="52"/>
      <c r="G776" s="43"/>
      <c r="H776" s="52"/>
      <c r="J776" s="52"/>
      <c r="K776" s="52"/>
    </row>
    <row r="777">
      <c r="A777" s="43"/>
      <c r="B777" s="38" t="str">
        <f>IFERROR(HYPERLINK(VLOOKUP(A777,Internal_lists_bugs!$A$2:$C$73,3,FALSE()), VLOOKUP(A777,Internal_lists_bugs!$A$2:$C$73,3,FALSE())&amp;Char(10) &amp; Char(10) &amp; VLOOKUP(A777,Internal_lists_bugs!$A$2:$Z$73,26,FALSE())),"please select a BUG ID")</f>
        <v>please select a BUG ID</v>
      </c>
      <c r="C777" s="51" t="str">
        <f>IFERROR(VLOOKUP(A777,Internal_lists_bugs!$A$2:$G847,7,FALSE()),"please select a BUG ID")</f>
        <v>please select a BUG ID</v>
      </c>
      <c r="D777" s="51" t="str">
        <f>IFERROR(VLOOKUP(A777,Internal_lists_bugs!$A$2:$I847,9,FALSE()),"please select a BUG ID")</f>
        <v>please select a BUG ID</v>
      </c>
      <c r="E777" s="52"/>
      <c r="F777" s="52"/>
      <c r="G777" s="43"/>
      <c r="H777" s="52"/>
      <c r="J777" s="52"/>
      <c r="K777" s="52"/>
    </row>
    <row r="778">
      <c r="A778" s="43"/>
      <c r="B778" s="38" t="str">
        <f>IFERROR(HYPERLINK(VLOOKUP(A778,Internal_lists_bugs!$A$2:$C$73,3,FALSE()), VLOOKUP(A778,Internal_lists_bugs!$A$2:$C$73,3,FALSE())&amp;Char(10) &amp; Char(10) &amp; VLOOKUP(A778,Internal_lists_bugs!$A$2:$Z$73,26,FALSE())),"please select a BUG ID")</f>
        <v>please select a BUG ID</v>
      </c>
      <c r="C778" s="51" t="str">
        <f>IFERROR(VLOOKUP(A778,Internal_lists_bugs!$A$2:$G847,7,FALSE()),"please select a BUG ID")</f>
        <v>please select a BUG ID</v>
      </c>
      <c r="D778" s="51" t="str">
        <f>IFERROR(VLOOKUP(A778,Internal_lists_bugs!$A$2:$I847,9,FALSE()),"please select a BUG ID")</f>
        <v>please select a BUG ID</v>
      </c>
      <c r="E778" s="52"/>
      <c r="F778" s="52"/>
      <c r="G778" s="43"/>
      <c r="H778" s="52"/>
      <c r="J778" s="52"/>
      <c r="K778" s="52"/>
    </row>
    <row r="779">
      <c r="A779" s="43"/>
      <c r="B779" s="38" t="str">
        <f>IFERROR(HYPERLINK(VLOOKUP(A779,Internal_lists_bugs!$A$2:$C$73,3,FALSE()), VLOOKUP(A779,Internal_lists_bugs!$A$2:$C$73,3,FALSE())&amp;Char(10) &amp; Char(10) &amp; VLOOKUP(A779,Internal_lists_bugs!$A$2:$Z$73,26,FALSE())),"please select a BUG ID")</f>
        <v>please select a BUG ID</v>
      </c>
      <c r="C779" s="51" t="str">
        <f>IFERROR(VLOOKUP(A779,Internal_lists_bugs!$A$2:$G847,7,FALSE()),"please select a BUG ID")</f>
        <v>please select a BUG ID</v>
      </c>
      <c r="D779" s="51" t="str">
        <f>IFERROR(VLOOKUP(A779,Internal_lists_bugs!$A$2:$I847,9,FALSE()),"please select a BUG ID")</f>
        <v>please select a BUG ID</v>
      </c>
      <c r="E779" s="52"/>
      <c r="F779" s="52"/>
      <c r="G779" s="43"/>
      <c r="H779" s="52"/>
      <c r="J779" s="52"/>
      <c r="K779" s="52"/>
    </row>
    <row r="780">
      <c r="A780" s="43"/>
      <c r="B780" s="38" t="str">
        <f>IFERROR(HYPERLINK(VLOOKUP(A780,Internal_lists_bugs!$A$2:$C$73,3,FALSE()), VLOOKUP(A780,Internal_lists_bugs!$A$2:$C$73,3,FALSE())&amp;Char(10) &amp; Char(10) &amp; VLOOKUP(A780,Internal_lists_bugs!$A$2:$Z$73,26,FALSE())),"please select a BUG ID")</f>
        <v>please select a BUG ID</v>
      </c>
      <c r="C780" s="51" t="str">
        <f>IFERROR(VLOOKUP(A780,Internal_lists_bugs!$A$2:$G847,7,FALSE()),"please select a BUG ID")</f>
        <v>please select a BUG ID</v>
      </c>
      <c r="D780" s="51" t="str">
        <f>IFERROR(VLOOKUP(A780,Internal_lists_bugs!$A$2:$I847,9,FALSE()),"please select a BUG ID")</f>
        <v>please select a BUG ID</v>
      </c>
      <c r="E780" s="52"/>
      <c r="F780" s="52"/>
      <c r="G780" s="43"/>
      <c r="H780" s="52"/>
      <c r="J780" s="52"/>
      <c r="K780" s="52"/>
    </row>
    <row r="781">
      <c r="A781" s="43"/>
      <c r="B781" s="38" t="str">
        <f>IFERROR(HYPERLINK(VLOOKUP(A781,Internal_lists_bugs!$A$2:$C$73,3,FALSE()), VLOOKUP(A781,Internal_lists_bugs!$A$2:$C$73,3,FALSE())&amp;Char(10) &amp; Char(10) &amp; VLOOKUP(A781,Internal_lists_bugs!$A$2:$Z$73,26,FALSE())),"please select a BUG ID")</f>
        <v>please select a BUG ID</v>
      </c>
      <c r="C781" s="51" t="str">
        <f>IFERROR(VLOOKUP(A781,Internal_lists_bugs!$A$2:$G847,7,FALSE()),"please select a BUG ID")</f>
        <v>please select a BUG ID</v>
      </c>
      <c r="D781" s="51" t="str">
        <f>IFERROR(VLOOKUP(A781,Internal_lists_bugs!$A$2:$I847,9,FALSE()),"please select a BUG ID")</f>
        <v>please select a BUG ID</v>
      </c>
      <c r="E781" s="52"/>
      <c r="F781" s="52"/>
      <c r="G781" s="43"/>
      <c r="H781" s="52"/>
      <c r="J781" s="52"/>
      <c r="K781" s="52"/>
    </row>
    <row r="782">
      <c r="A782" s="43"/>
      <c r="B782" s="38" t="str">
        <f>IFERROR(HYPERLINK(VLOOKUP(A782,Internal_lists_bugs!$A$2:$C$73,3,FALSE()), VLOOKUP(A782,Internal_lists_bugs!$A$2:$C$73,3,FALSE())&amp;Char(10) &amp; Char(10) &amp; VLOOKUP(A782,Internal_lists_bugs!$A$2:$Z$73,26,FALSE())),"please select a BUG ID")</f>
        <v>please select a BUG ID</v>
      </c>
      <c r="C782" s="51" t="str">
        <f>IFERROR(VLOOKUP(A782,Internal_lists_bugs!$A$2:$G847,7,FALSE()),"please select a BUG ID")</f>
        <v>please select a BUG ID</v>
      </c>
      <c r="D782" s="51" t="str">
        <f>IFERROR(VLOOKUP(A782,Internal_lists_bugs!$A$2:$I847,9,FALSE()),"please select a BUG ID")</f>
        <v>please select a BUG ID</v>
      </c>
      <c r="E782" s="52"/>
      <c r="F782" s="52"/>
      <c r="G782" s="43"/>
      <c r="H782" s="52"/>
      <c r="J782" s="52"/>
      <c r="K782" s="52"/>
    </row>
    <row r="783">
      <c r="A783" s="43"/>
      <c r="B783" s="38" t="str">
        <f>IFERROR(HYPERLINK(VLOOKUP(A783,Internal_lists_bugs!$A$2:$C$73,3,FALSE()), VLOOKUP(A783,Internal_lists_bugs!$A$2:$C$73,3,FALSE())&amp;Char(10) &amp; Char(10) &amp; VLOOKUP(A783,Internal_lists_bugs!$A$2:$Z$73,26,FALSE())),"please select a BUG ID")</f>
        <v>please select a BUG ID</v>
      </c>
      <c r="C783" s="51" t="str">
        <f>IFERROR(VLOOKUP(A783,Internal_lists_bugs!$A$2:$G847,7,FALSE()),"please select a BUG ID")</f>
        <v>please select a BUG ID</v>
      </c>
      <c r="D783" s="51" t="str">
        <f>IFERROR(VLOOKUP(A783,Internal_lists_bugs!$A$2:$I847,9,FALSE()),"please select a BUG ID")</f>
        <v>please select a BUG ID</v>
      </c>
      <c r="E783" s="52"/>
      <c r="F783" s="52"/>
      <c r="G783" s="43"/>
      <c r="H783" s="52"/>
      <c r="J783" s="52"/>
      <c r="K783" s="52"/>
    </row>
    <row r="784">
      <c r="A784" s="43"/>
      <c r="B784" s="38" t="str">
        <f>IFERROR(HYPERLINK(VLOOKUP(A784,Internal_lists_bugs!$A$2:$C$73,3,FALSE()), VLOOKUP(A784,Internal_lists_bugs!$A$2:$C$73,3,FALSE())&amp;Char(10) &amp; Char(10) &amp; VLOOKUP(A784,Internal_lists_bugs!$A$2:$Z$73,26,FALSE())),"please select a BUG ID")</f>
        <v>please select a BUG ID</v>
      </c>
      <c r="C784" s="51" t="str">
        <f>IFERROR(VLOOKUP(A784,Internal_lists_bugs!$A$2:$G847,7,FALSE()),"please select a BUG ID")</f>
        <v>please select a BUG ID</v>
      </c>
      <c r="D784" s="51" t="str">
        <f>IFERROR(VLOOKUP(A784,Internal_lists_bugs!$A$2:$I847,9,FALSE()),"please select a BUG ID")</f>
        <v>please select a BUG ID</v>
      </c>
      <c r="E784" s="52"/>
      <c r="F784" s="52"/>
      <c r="G784" s="43"/>
      <c r="H784" s="52"/>
      <c r="J784" s="52"/>
      <c r="K784" s="52"/>
    </row>
    <row r="785">
      <c r="A785" s="43"/>
      <c r="B785" s="38" t="str">
        <f>IFERROR(HYPERLINK(VLOOKUP(A785,Internal_lists_bugs!$A$2:$C$73,3,FALSE()), VLOOKUP(A785,Internal_lists_bugs!$A$2:$C$73,3,FALSE())&amp;Char(10) &amp; Char(10) &amp; VLOOKUP(A785,Internal_lists_bugs!$A$2:$Z$73,26,FALSE())),"please select a BUG ID")</f>
        <v>please select a BUG ID</v>
      </c>
      <c r="C785" s="51" t="str">
        <f>IFERROR(VLOOKUP(A785,Internal_lists_bugs!$A$2:$G847,7,FALSE()),"please select a BUG ID")</f>
        <v>please select a BUG ID</v>
      </c>
      <c r="D785" s="51" t="str">
        <f>IFERROR(VLOOKUP(A785,Internal_lists_bugs!$A$2:$I847,9,FALSE()),"please select a BUG ID")</f>
        <v>please select a BUG ID</v>
      </c>
      <c r="E785" s="52"/>
      <c r="F785" s="52"/>
      <c r="G785" s="43"/>
      <c r="H785" s="52"/>
      <c r="J785" s="52"/>
      <c r="K785" s="52"/>
    </row>
    <row r="786">
      <c r="A786" s="43"/>
      <c r="B786" s="38" t="str">
        <f>IFERROR(HYPERLINK(VLOOKUP(A786,Internal_lists_bugs!$A$2:$C$73,3,FALSE()), VLOOKUP(A786,Internal_lists_bugs!$A$2:$C$73,3,FALSE())&amp;Char(10) &amp; Char(10) &amp; VLOOKUP(A786,Internal_lists_bugs!$A$2:$Z$73,26,FALSE())),"please select a BUG ID")</f>
        <v>please select a BUG ID</v>
      </c>
      <c r="C786" s="51" t="str">
        <f>IFERROR(VLOOKUP(A786,Internal_lists_bugs!$A$2:$G847,7,FALSE()),"please select a BUG ID")</f>
        <v>please select a BUG ID</v>
      </c>
      <c r="D786" s="51" t="str">
        <f>IFERROR(VLOOKUP(A786,Internal_lists_bugs!$A$2:$I847,9,FALSE()),"please select a BUG ID")</f>
        <v>please select a BUG ID</v>
      </c>
      <c r="E786" s="52"/>
      <c r="F786" s="52"/>
      <c r="G786" s="43"/>
      <c r="H786" s="52"/>
      <c r="J786" s="52"/>
      <c r="K786" s="52"/>
    </row>
    <row r="787">
      <c r="A787" s="43"/>
      <c r="B787" s="38" t="str">
        <f>IFERROR(HYPERLINK(VLOOKUP(A787,Internal_lists_bugs!$A$2:$C$73,3,FALSE()), VLOOKUP(A787,Internal_lists_bugs!$A$2:$C$73,3,FALSE())&amp;Char(10) &amp; Char(10) &amp; VLOOKUP(A787,Internal_lists_bugs!$A$2:$Z$73,26,FALSE())),"please select a BUG ID")</f>
        <v>please select a BUG ID</v>
      </c>
      <c r="C787" s="51" t="str">
        <f>IFERROR(VLOOKUP(A787,Internal_lists_bugs!$A$2:$G847,7,FALSE()),"please select a BUG ID")</f>
        <v>please select a BUG ID</v>
      </c>
      <c r="D787" s="51" t="str">
        <f>IFERROR(VLOOKUP(A787,Internal_lists_bugs!$A$2:$I847,9,FALSE()),"please select a BUG ID")</f>
        <v>please select a BUG ID</v>
      </c>
      <c r="E787" s="52"/>
      <c r="F787" s="52"/>
      <c r="G787" s="43"/>
      <c r="H787" s="52"/>
      <c r="J787" s="52"/>
      <c r="K787" s="52"/>
    </row>
    <row r="788">
      <c r="A788" s="43"/>
      <c r="B788" s="38" t="str">
        <f>IFERROR(HYPERLINK(VLOOKUP(A788,Internal_lists_bugs!$A$2:$C$73,3,FALSE()), VLOOKUP(A788,Internal_lists_bugs!$A$2:$C$73,3,FALSE())&amp;Char(10) &amp; Char(10) &amp; VLOOKUP(A788,Internal_lists_bugs!$A$2:$Z$73,26,FALSE())),"please select a BUG ID")</f>
        <v>please select a BUG ID</v>
      </c>
      <c r="C788" s="51" t="str">
        <f>IFERROR(VLOOKUP(A788,Internal_lists_bugs!$A$2:$G847,7,FALSE()),"please select a BUG ID")</f>
        <v>please select a BUG ID</v>
      </c>
      <c r="D788" s="51" t="str">
        <f>IFERROR(VLOOKUP(A788,Internal_lists_bugs!$A$2:$I847,9,FALSE()),"please select a BUG ID")</f>
        <v>please select a BUG ID</v>
      </c>
      <c r="E788" s="52"/>
      <c r="F788" s="52"/>
      <c r="G788" s="43"/>
      <c r="H788" s="52"/>
      <c r="J788" s="52"/>
      <c r="K788" s="52"/>
    </row>
    <row r="789">
      <c r="A789" s="43"/>
      <c r="B789" s="38" t="str">
        <f>IFERROR(HYPERLINK(VLOOKUP(A789,Internal_lists_bugs!$A$2:$C$73,3,FALSE()), VLOOKUP(A789,Internal_lists_bugs!$A$2:$C$73,3,FALSE())&amp;Char(10) &amp; Char(10) &amp; VLOOKUP(A789,Internal_lists_bugs!$A$2:$Z$73,26,FALSE())),"please select a BUG ID")</f>
        <v>please select a BUG ID</v>
      </c>
      <c r="C789" s="51" t="str">
        <f>IFERROR(VLOOKUP(A789,Internal_lists_bugs!$A$2:$G847,7,FALSE()),"please select a BUG ID")</f>
        <v>please select a BUG ID</v>
      </c>
      <c r="D789" s="51" t="str">
        <f>IFERROR(VLOOKUP(A789,Internal_lists_bugs!$A$2:$I847,9,FALSE()),"please select a BUG ID")</f>
        <v>please select a BUG ID</v>
      </c>
      <c r="E789" s="52"/>
      <c r="F789" s="52"/>
      <c r="G789" s="43"/>
      <c r="H789" s="52"/>
      <c r="J789" s="52"/>
      <c r="K789" s="52"/>
    </row>
    <row r="790">
      <c r="A790" s="43"/>
      <c r="B790" s="38" t="str">
        <f>IFERROR(HYPERLINK(VLOOKUP(A790,Internal_lists_bugs!$A$2:$C$73,3,FALSE()), VLOOKUP(A790,Internal_lists_bugs!$A$2:$C$73,3,FALSE())&amp;Char(10) &amp; Char(10) &amp; VLOOKUP(A790,Internal_lists_bugs!$A$2:$Z$73,26,FALSE())),"please select a BUG ID")</f>
        <v>please select a BUG ID</v>
      </c>
      <c r="C790" s="51" t="str">
        <f>IFERROR(VLOOKUP(A790,Internal_lists_bugs!$A$2:$G847,7,FALSE()),"please select a BUG ID")</f>
        <v>please select a BUG ID</v>
      </c>
      <c r="D790" s="51" t="str">
        <f>IFERROR(VLOOKUP(A790,Internal_lists_bugs!$A$2:$I847,9,FALSE()),"please select a BUG ID")</f>
        <v>please select a BUG ID</v>
      </c>
      <c r="E790" s="52"/>
      <c r="F790" s="52"/>
      <c r="G790" s="43"/>
      <c r="H790" s="52"/>
      <c r="J790" s="52"/>
      <c r="K790" s="52"/>
    </row>
    <row r="791">
      <c r="A791" s="43"/>
      <c r="B791" s="38" t="str">
        <f>IFERROR(HYPERLINK(VLOOKUP(A791,Internal_lists_bugs!$A$2:$C$73,3,FALSE()), VLOOKUP(A791,Internal_lists_bugs!$A$2:$C$73,3,FALSE())&amp;Char(10) &amp; Char(10) &amp; VLOOKUP(A791,Internal_lists_bugs!$A$2:$Z$73,26,FALSE())),"please select a BUG ID")</f>
        <v>please select a BUG ID</v>
      </c>
      <c r="C791" s="51" t="str">
        <f>IFERROR(VLOOKUP(A791,Internal_lists_bugs!$A$2:$G847,7,FALSE()),"please select a BUG ID")</f>
        <v>please select a BUG ID</v>
      </c>
      <c r="D791" s="51" t="str">
        <f>IFERROR(VLOOKUP(A791,Internal_lists_bugs!$A$2:$I847,9,FALSE()),"please select a BUG ID")</f>
        <v>please select a BUG ID</v>
      </c>
      <c r="E791" s="52"/>
      <c r="F791" s="52"/>
      <c r="G791" s="43"/>
      <c r="H791" s="52"/>
      <c r="J791" s="52"/>
      <c r="K791" s="52"/>
    </row>
    <row r="792">
      <c r="A792" s="43"/>
      <c r="B792" s="38" t="str">
        <f>IFERROR(HYPERLINK(VLOOKUP(A792,Internal_lists_bugs!$A$2:$C$73,3,FALSE()), VLOOKUP(A792,Internal_lists_bugs!$A$2:$C$73,3,FALSE())&amp;Char(10) &amp; Char(10) &amp; VLOOKUP(A792,Internal_lists_bugs!$A$2:$Z$73,26,FALSE())),"please select a BUG ID")</f>
        <v>please select a BUG ID</v>
      </c>
      <c r="C792" s="51" t="str">
        <f>IFERROR(VLOOKUP(A792,Internal_lists_bugs!$A$2:$G847,7,FALSE()),"please select a BUG ID")</f>
        <v>please select a BUG ID</v>
      </c>
      <c r="D792" s="51" t="str">
        <f>IFERROR(VLOOKUP(A792,Internal_lists_bugs!$A$2:$I847,9,FALSE()),"please select a BUG ID")</f>
        <v>please select a BUG ID</v>
      </c>
      <c r="E792" s="52"/>
      <c r="F792" s="52"/>
      <c r="G792" s="43"/>
      <c r="H792" s="52"/>
      <c r="J792" s="52"/>
      <c r="K792" s="52"/>
    </row>
    <row r="793">
      <c r="A793" s="43"/>
      <c r="B793" s="38" t="str">
        <f>IFERROR(HYPERLINK(VLOOKUP(A793,Internal_lists_bugs!$A$2:$C$73,3,FALSE()), VLOOKUP(A793,Internal_lists_bugs!$A$2:$C$73,3,FALSE())&amp;Char(10) &amp; Char(10) &amp; VLOOKUP(A793,Internal_lists_bugs!$A$2:$Z$73,26,FALSE())),"please select a BUG ID")</f>
        <v>please select a BUG ID</v>
      </c>
      <c r="C793" s="51" t="str">
        <f>IFERROR(VLOOKUP(A793,Internal_lists_bugs!$A$2:$G847,7,FALSE()),"please select a BUG ID")</f>
        <v>please select a BUG ID</v>
      </c>
      <c r="D793" s="51" t="str">
        <f>IFERROR(VLOOKUP(A793,Internal_lists_bugs!$A$2:$I847,9,FALSE()),"please select a BUG ID")</f>
        <v>please select a BUG ID</v>
      </c>
      <c r="E793" s="52"/>
      <c r="F793" s="52"/>
      <c r="G793" s="43"/>
      <c r="H793" s="52"/>
      <c r="J793" s="52"/>
      <c r="K793" s="52"/>
    </row>
    <row r="794">
      <c r="A794" s="43"/>
      <c r="B794" s="38" t="str">
        <f>IFERROR(HYPERLINK(VLOOKUP(A794,Internal_lists_bugs!$A$2:$C$73,3,FALSE()), VLOOKUP(A794,Internal_lists_bugs!$A$2:$C$73,3,FALSE())&amp;Char(10) &amp; Char(10) &amp; VLOOKUP(A794,Internal_lists_bugs!$A$2:$Z$73,26,FALSE())),"please select a BUG ID")</f>
        <v>please select a BUG ID</v>
      </c>
      <c r="C794" s="51" t="str">
        <f>IFERROR(VLOOKUP(A794,Internal_lists_bugs!$A$2:$G847,7,FALSE()),"please select a BUG ID")</f>
        <v>please select a BUG ID</v>
      </c>
      <c r="D794" s="51" t="str">
        <f>IFERROR(VLOOKUP(A794,Internal_lists_bugs!$A$2:$I847,9,FALSE()),"please select a BUG ID")</f>
        <v>please select a BUG ID</v>
      </c>
      <c r="E794" s="52"/>
      <c r="F794" s="52"/>
      <c r="G794" s="43"/>
      <c r="H794" s="52"/>
      <c r="J794" s="52"/>
      <c r="K794" s="52"/>
    </row>
    <row r="795">
      <c r="A795" s="43"/>
      <c r="B795" s="38" t="str">
        <f>IFERROR(HYPERLINK(VLOOKUP(A795,Internal_lists_bugs!$A$2:$C$73,3,FALSE()), VLOOKUP(A795,Internal_lists_bugs!$A$2:$C$73,3,FALSE())&amp;Char(10) &amp; Char(10) &amp; VLOOKUP(A795,Internal_lists_bugs!$A$2:$Z$73,26,FALSE())),"please select a BUG ID")</f>
        <v>please select a BUG ID</v>
      </c>
      <c r="C795" s="51" t="str">
        <f>IFERROR(VLOOKUP(A795,Internal_lists_bugs!$A$2:$G847,7,FALSE()),"please select a BUG ID")</f>
        <v>please select a BUG ID</v>
      </c>
      <c r="D795" s="51" t="str">
        <f>IFERROR(VLOOKUP(A795,Internal_lists_bugs!$A$2:$I847,9,FALSE()),"please select a BUG ID")</f>
        <v>please select a BUG ID</v>
      </c>
      <c r="E795" s="52"/>
      <c r="F795" s="52"/>
      <c r="G795" s="43"/>
      <c r="H795" s="52"/>
      <c r="J795" s="52"/>
      <c r="K795" s="52"/>
    </row>
    <row r="796">
      <c r="A796" s="43"/>
      <c r="B796" s="38" t="str">
        <f>IFERROR(HYPERLINK(VLOOKUP(A796,Internal_lists_bugs!$A$2:$C$73,3,FALSE()), VLOOKUP(A796,Internal_lists_bugs!$A$2:$C$73,3,FALSE())&amp;Char(10) &amp; Char(10) &amp; VLOOKUP(A796,Internal_lists_bugs!$A$2:$Z$73,26,FALSE())),"please select a BUG ID")</f>
        <v>please select a BUG ID</v>
      </c>
      <c r="C796" s="51" t="str">
        <f>IFERROR(VLOOKUP(A796,Internal_lists_bugs!$A$2:$G847,7,FALSE()),"please select a BUG ID")</f>
        <v>please select a BUG ID</v>
      </c>
      <c r="D796" s="51" t="str">
        <f>IFERROR(VLOOKUP(A796,Internal_lists_bugs!$A$2:$I847,9,FALSE()),"please select a BUG ID")</f>
        <v>please select a BUG ID</v>
      </c>
      <c r="E796" s="52"/>
      <c r="F796" s="52"/>
      <c r="G796" s="43"/>
      <c r="H796" s="52"/>
      <c r="J796" s="52"/>
      <c r="K796" s="52"/>
    </row>
    <row r="797">
      <c r="A797" s="43"/>
      <c r="B797" s="38" t="str">
        <f>IFERROR(HYPERLINK(VLOOKUP(A797,Internal_lists_bugs!$A$2:$C$73,3,FALSE()), VLOOKUP(A797,Internal_lists_bugs!$A$2:$C$73,3,FALSE())&amp;Char(10) &amp; Char(10) &amp; VLOOKUP(A797,Internal_lists_bugs!$A$2:$Z$73,26,FALSE())),"please select a BUG ID")</f>
        <v>please select a BUG ID</v>
      </c>
      <c r="C797" s="51" t="str">
        <f>IFERROR(VLOOKUP(A797,Internal_lists_bugs!$A$2:$G847,7,FALSE()),"please select a BUG ID")</f>
        <v>please select a BUG ID</v>
      </c>
      <c r="D797" s="51" t="str">
        <f>IFERROR(VLOOKUP(A797,Internal_lists_bugs!$A$2:$I847,9,FALSE()),"please select a BUG ID")</f>
        <v>please select a BUG ID</v>
      </c>
      <c r="E797" s="52"/>
      <c r="F797" s="52"/>
      <c r="G797" s="43"/>
      <c r="H797" s="52"/>
      <c r="J797" s="52"/>
      <c r="K797" s="52"/>
    </row>
    <row r="798">
      <c r="A798" s="43"/>
      <c r="B798" s="38" t="str">
        <f>IFERROR(HYPERLINK(VLOOKUP(A798,Internal_lists_bugs!$A$2:$C$73,3,FALSE()), VLOOKUP(A798,Internal_lists_bugs!$A$2:$C$73,3,FALSE())&amp;Char(10) &amp; Char(10) &amp; VLOOKUP(A798,Internal_lists_bugs!$A$2:$Z$73,26,FALSE())),"please select a BUG ID")</f>
        <v>please select a BUG ID</v>
      </c>
      <c r="C798" s="51" t="str">
        <f>IFERROR(VLOOKUP(A798,Internal_lists_bugs!$A$2:$G847,7,FALSE()),"please select a BUG ID")</f>
        <v>please select a BUG ID</v>
      </c>
      <c r="D798" s="51" t="str">
        <f>IFERROR(VLOOKUP(A798,Internal_lists_bugs!$A$2:$I847,9,FALSE()),"please select a BUG ID")</f>
        <v>please select a BUG ID</v>
      </c>
      <c r="E798" s="52"/>
      <c r="F798" s="52"/>
      <c r="G798" s="43"/>
      <c r="H798" s="52"/>
      <c r="J798" s="52"/>
      <c r="K798" s="52"/>
    </row>
    <row r="799">
      <c r="A799" s="43"/>
      <c r="B799" s="38" t="str">
        <f>IFERROR(HYPERLINK(VLOOKUP(A799,Internal_lists_bugs!$A$2:$C$73,3,FALSE()), VLOOKUP(A799,Internal_lists_bugs!$A$2:$C$73,3,FALSE())&amp;Char(10) &amp; Char(10) &amp; VLOOKUP(A799,Internal_lists_bugs!$A$2:$Z$73,26,FALSE())),"please select a BUG ID")</f>
        <v>please select a BUG ID</v>
      </c>
      <c r="C799" s="51" t="str">
        <f>IFERROR(VLOOKUP(A799,Internal_lists_bugs!$A$2:$G847,7,FALSE()),"please select a BUG ID")</f>
        <v>please select a BUG ID</v>
      </c>
      <c r="D799" s="51" t="str">
        <f>IFERROR(VLOOKUP(A799,Internal_lists_bugs!$A$2:$I847,9,FALSE()),"please select a BUG ID")</f>
        <v>please select a BUG ID</v>
      </c>
      <c r="E799" s="52"/>
      <c r="F799" s="52"/>
      <c r="G799" s="43"/>
      <c r="H799" s="52"/>
      <c r="J799" s="52"/>
      <c r="K799" s="52"/>
    </row>
    <row r="800">
      <c r="A800" s="43"/>
      <c r="B800" s="38" t="str">
        <f>IFERROR(HYPERLINK(VLOOKUP(A800,Internal_lists_bugs!$A$2:$C$73,3,FALSE()), VLOOKUP(A800,Internal_lists_bugs!$A$2:$C$73,3,FALSE())&amp;Char(10) &amp; Char(10) &amp; VLOOKUP(A800,Internal_lists_bugs!$A$2:$Z$73,26,FALSE())),"please select a BUG ID")</f>
        <v>please select a BUG ID</v>
      </c>
      <c r="C800" s="51" t="str">
        <f>IFERROR(VLOOKUP(A800,Internal_lists_bugs!$A$2:$G847,7,FALSE()),"please select a BUG ID")</f>
        <v>please select a BUG ID</v>
      </c>
      <c r="D800" s="51" t="str">
        <f>IFERROR(VLOOKUP(A800,Internal_lists_bugs!$A$2:$I847,9,FALSE()),"please select a BUG ID")</f>
        <v>please select a BUG ID</v>
      </c>
      <c r="E800" s="52"/>
      <c r="F800" s="52"/>
      <c r="G800" s="43"/>
      <c r="H800" s="52"/>
      <c r="J800" s="52"/>
      <c r="K800" s="52"/>
    </row>
    <row r="801">
      <c r="A801" s="43"/>
      <c r="B801" s="38" t="str">
        <f>IFERROR(HYPERLINK(VLOOKUP(A801,Internal_lists_bugs!$A$2:$C$73,3,FALSE()), VLOOKUP(A801,Internal_lists_bugs!$A$2:$C$73,3,FALSE())&amp;Char(10) &amp; Char(10) &amp; VLOOKUP(A801,Internal_lists_bugs!$A$2:$Z$73,26,FALSE())),"please select a BUG ID")</f>
        <v>please select a BUG ID</v>
      </c>
      <c r="C801" s="51" t="str">
        <f>IFERROR(VLOOKUP(A801,Internal_lists_bugs!$A$2:$G847,7,FALSE()),"please select a BUG ID")</f>
        <v>please select a BUG ID</v>
      </c>
      <c r="D801" s="51" t="str">
        <f>IFERROR(VLOOKUP(A801,Internal_lists_bugs!$A$2:$I847,9,FALSE()),"please select a BUG ID")</f>
        <v>please select a BUG ID</v>
      </c>
      <c r="E801" s="52"/>
      <c r="F801" s="52"/>
      <c r="G801" s="43"/>
      <c r="H801" s="52"/>
      <c r="J801" s="52"/>
      <c r="K801" s="52"/>
    </row>
    <row r="802">
      <c r="A802" s="43"/>
      <c r="B802" s="38" t="str">
        <f>IFERROR(HYPERLINK(VLOOKUP(A802,Internal_lists_bugs!$A$2:$C$73,3,FALSE()), VLOOKUP(A802,Internal_lists_bugs!$A$2:$C$73,3,FALSE())&amp;Char(10) &amp; Char(10) &amp; VLOOKUP(A802,Internal_lists_bugs!$A$2:$Z$73,26,FALSE())),"please select a BUG ID")</f>
        <v>please select a BUG ID</v>
      </c>
      <c r="C802" s="51" t="str">
        <f>IFERROR(VLOOKUP(A802,Internal_lists_bugs!$A$2:$G847,7,FALSE()),"please select a BUG ID")</f>
        <v>please select a BUG ID</v>
      </c>
      <c r="D802" s="51" t="str">
        <f>IFERROR(VLOOKUP(A802,Internal_lists_bugs!$A$2:$I847,9,FALSE()),"please select a BUG ID")</f>
        <v>please select a BUG ID</v>
      </c>
      <c r="E802" s="52"/>
      <c r="F802" s="52"/>
      <c r="G802" s="43"/>
      <c r="H802" s="52"/>
      <c r="J802" s="52"/>
      <c r="K802" s="52"/>
    </row>
    <row r="803">
      <c r="A803" s="43"/>
      <c r="B803" s="38" t="str">
        <f>IFERROR(HYPERLINK(VLOOKUP(A803,Internal_lists_bugs!$A$2:$C$73,3,FALSE()), VLOOKUP(A803,Internal_lists_bugs!$A$2:$C$73,3,FALSE())&amp;Char(10) &amp; Char(10) &amp; VLOOKUP(A803,Internal_lists_bugs!$A$2:$Z$73,26,FALSE())),"please select a BUG ID")</f>
        <v>please select a BUG ID</v>
      </c>
      <c r="C803" s="51" t="str">
        <f>IFERROR(VLOOKUP(A803,Internal_lists_bugs!$A$2:$G847,7,FALSE()),"please select a BUG ID")</f>
        <v>please select a BUG ID</v>
      </c>
      <c r="D803" s="51" t="str">
        <f>IFERROR(VLOOKUP(A803,Internal_lists_bugs!$A$2:$I847,9,FALSE()),"please select a BUG ID")</f>
        <v>please select a BUG ID</v>
      </c>
      <c r="E803" s="52"/>
      <c r="F803" s="52"/>
      <c r="G803" s="43"/>
      <c r="H803" s="52"/>
      <c r="J803" s="52"/>
      <c r="K803" s="52"/>
    </row>
    <row r="804">
      <c r="A804" s="43"/>
      <c r="B804" s="38" t="str">
        <f>IFERROR(HYPERLINK(VLOOKUP(A804,Internal_lists_bugs!$A$2:$C$73,3,FALSE()), VLOOKUP(A804,Internal_lists_bugs!$A$2:$C$73,3,FALSE())&amp;Char(10) &amp; Char(10) &amp; VLOOKUP(A804,Internal_lists_bugs!$A$2:$Z$73,26,FALSE())),"please select a BUG ID")</f>
        <v>please select a BUG ID</v>
      </c>
      <c r="C804" s="51" t="str">
        <f>IFERROR(VLOOKUP(A804,Internal_lists_bugs!$A$2:$G847,7,FALSE()),"please select a BUG ID")</f>
        <v>please select a BUG ID</v>
      </c>
      <c r="D804" s="51" t="str">
        <f>IFERROR(VLOOKUP(A804,Internal_lists_bugs!$A$2:$I847,9,FALSE()),"please select a BUG ID")</f>
        <v>please select a BUG ID</v>
      </c>
      <c r="E804" s="52"/>
      <c r="F804" s="52"/>
      <c r="G804" s="43"/>
      <c r="H804" s="52"/>
      <c r="J804" s="52"/>
      <c r="K804" s="52"/>
    </row>
    <row r="805">
      <c r="A805" s="43"/>
      <c r="B805" s="38" t="str">
        <f>IFERROR(HYPERLINK(VLOOKUP(A805,Internal_lists_bugs!$A$2:$C$73,3,FALSE()), VLOOKUP(A805,Internal_lists_bugs!$A$2:$C$73,3,FALSE())&amp;Char(10) &amp; Char(10) &amp; VLOOKUP(A805,Internal_lists_bugs!$A$2:$Z$73,26,FALSE())),"please select a BUG ID")</f>
        <v>please select a BUG ID</v>
      </c>
      <c r="C805" s="51" t="str">
        <f>IFERROR(VLOOKUP(A805,Internal_lists_bugs!$A$2:$G847,7,FALSE()),"please select a BUG ID")</f>
        <v>please select a BUG ID</v>
      </c>
      <c r="D805" s="51" t="str">
        <f>IFERROR(VLOOKUP(A805,Internal_lists_bugs!$A$2:$I847,9,FALSE()),"please select a BUG ID")</f>
        <v>please select a BUG ID</v>
      </c>
      <c r="E805" s="52"/>
      <c r="F805" s="52"/>
      <c r="G805" s="43"/>
      <c r="H805" s="52"/>
      <c r="J805" s="52"/>
      <c r="K805" s="52"/>
    </row>
    <row r="806">
      <c r="A806" s="43"/>
      <c r="B806" s="38" t="str">
        <f>IFERROR(HYPERLINK(VLOOKUP(A806,Internal_lists_bugs!$A$2:$C$73,3,FALSE()), VLOOKUP(A806,Internal_lists_bugs!$A$2:$C$73,3,FALSE())&amp;Char(10) &amp; Char(10) &amp; VLOOKUP(A806,Internal_lists_bugs!$A$2:$Z$73,26,FALSE())),"please select a BUG ID")</f>
        <v>please select a BUG ID</v>
      </c>
      <c r="C806" s="51" t="str">
        <f>IFERROR(VLOOKUP(A806,Internal_lists_bugs!$A$2:$G847,7,FALSE()),"please select a BUG ID")</f>
        <v>please select a BUG ID</v>
      </c>
      <c r="D806" s="51" t="str">
        <f>IFERROR(VLOOKUP(A806,Internal_lists_bugs!$A$2:$I847,9,FALSE()),"please select a BUG ID")</f>
        <v>please select a BUG ID</v>
      </c>
      <c r="E806" s="52"/>
      <c r="F806" s="52"/>
      <c r="G806" s="43"/>
      <c r="H806" s="52"/>
      <c r="J806" s="52"/>
      <c r="K806" s="52"/>
    </row>
    <row r="807">
      <c r="A807" s="43"/>
      <c r="B807" s="38" t="str">
        <f>IFERROR(HYPERLINK(VLOOKUP(A807,Internal_lists_bugs!$A$2:$C$73,3,FALSE()), VLOOKUP(A807,Internal_lists_bugs!$A$2:$C$73,3,FALSE())&amp;Char(10) &amp; Char(10) &amp; VLOOKUP(A807,Internal_lists_bugs!$A$2:$Z$73,26,FALSE())),"please select a BUG ID")</f>
        <v>please select a BUG ID</v>
      </c>
      <c r="C807" s="51" t="str">
        <f>IFERROR(VLOOKUP(A807,Internal_lists_bugs!$A$2:$G847,7,FALSE()),"please select a BUG ID")</f>
        <v>please select a BUG ID</v>
      </c>
      <c r="D807" s="51" t="str">
        <f>IFERROR(VLOOKUP(A807,Internal_lists_bugs!$A$2:$I847,9,FALSE()),"please select a BUG ID")</f>
        <v>please select a BUG ID</v>
      </c>
      <c r="E807" s="52"/>
      <c r="F807" s="52"/>
      <c r="G807" s="43"/>
      <c r="H807" s="52"/>
      <c r="J807" s="52"/>
      <c r="K807" s="52"/>
    </row>
    <row r="808">
      <c r="A808" s="43"/>
      <c r="B808" s="38" t="str">
        <f>IFERROR(HYPERLINK(VLOOKUP(A808,Internal_lists_bugs!$A$2:$C$73,3,FALSE()), VLOOKUP(A808,Internal_lists_bugs!$A$2:$C$73,3,FALSE())&amp;Char(10) &amp; Char(10) &amp; VLOOKUP(A808,Internal_lists_bugs!$A$2:$Z$73,26,FALSE())),"please select a BUG ID")</f>
        <v>please select a BUG ID</v>
      </c>
      <c r="C808" s="51" t="str">
        <f>IFERROR(VLOOKUP(A808,Internal_lists_bugs!$A$2:$G847,7,FALSE()),"please select a BUG ID")</f>
        <v>please select a BUG ID</v>
      </c>
      <c r="D808" s="51" t="str">
        <f>IFERROR(VLOOKUP(A808,Internal_lists_bugs!$A$2:$I847,9,FALSE()),"please select a BUG ID")</f>
        <v>please select a BUG ID</v>
      </c>
      <c r="E808" s="52"/>
      <c r="F808" s="52"/>
      <c r="G808" s="43"/>
      <c r="H808" s="52"/>
      <c r="J808" s="52"/>
      <c r="K808" s="52"/>
    </row>
    <row r="809">
      <c r="A809" s="43"/>
      <c r="B809" s="38" t="str">
        <f>IFERROR(HYPERLINK(VLOOKUP(A809,Internal_lists_bugs!$A$2:$C$73,3,FALSE()), VLOOKUP(A809,Internal_lists_bugs!$A$2:$C$73,3,FALSE())&amp;Char(10) &amp; Char(10) &amp; VLOOKUP(A809,Internal_lists_bugs!$A$2:$Z$73,26,FALSE())),"please select a BUG ID")</f>
        <v>please select a BUG ID</v>
      </c>
      <c r="C809" s="51" t="str">
        <f>IFERROR(VLOOKUP(A809,Internal_lists_bugs!$A$2:$G847,7,FALSE()),"please select a BUG ID")</f>
        <v>please select a BUG ID</v>
      </c>
      <c r="D809" s="51" t="str">
        <f>IFERROR(VLOOKUP(A809,Internal_lists_bugs!$A$2:$I847,9,FALSE()),"please select a BUG ID")</f>
        <v>please select a BUG ID</v>
      </c>
      <c r="E809" s="52"/>
      <c r="F809" s="52"/>
      <c r="G809" s="43"/>
      <c r="H809" s="52"/>
      <c r="J809" s="52"/>
      <c r="K809" s="52"/>
    </row>
    <row r="810">
      <c r="A810" s="43"/>
      <c r="B810" s="38" t="str">
        <f>IFERROR(HYPERLINK(VLOOKUP(A810,Internal_lists_bugs!$A$2:$C$73,3,FALSE()), VLOOKUP(A810,Internal_lists_bugs!$A$2:$C$73,3,FALSE())&amp;Char(10) &amp; Char(10) &amp; VLOOKUP(A810,Internal_lists_bugs!$A$2:$Z$73,26,FALSE())),"please select a BUG ID")</f>
        <v>please select a BUG ID</v>
      </c>
      <c r="C810" s="51" t="str">
        <f>IFERROR(VLOOKUP(A810,Internal_lists_bugs!$A$2:$G847,7,FALSE()),"please select a BUG ID")</f>
        <v>please select a BUG ID</v>
      </c>
      <c r="D810" s="51" t="str">
        <f>IFERROR(VLOOKUP(A810,Internal_lists_bugs!$A$2:$I847,9,FALSE()),"please select a BUG ID")</f>
        <v>please select a BUG ID</v>
      </c>
      <c r="E810" s="52"/>
      <c r="F810" s="52"/>
      <c r="G810" s="43"/>
      <c r="H810" s="52"/>
      <c r="J810" s="52"/>
      <c r="K810" s="52"/>
    </row>
    <row r="811">
      <c r="A811" s="43"/>
      <c r="B811" s="38" t="str">
        <f>IFERROR(HYPERLINK(VLOOKUP(A811,Internal_lists_bugs!$A$2:$C$73,3,FALSE()), VLOOKUP(A811,Internal_lists_bugs!$A$2:$C$73,3,FALSE())&amp;Char(10) &amp; Char(10) &amp; VLOOKUP(A811,Internal_lists_bugs!$A$2:$Z$73,26,FALSE())),"please select a BUG ID")</f>
        <v>please select a BUG ID</v>
      </c>
      <c r="C811" s="51" t="str">
        <f>IFERROR(VLOOKUP(A811,Internal_lists_bugs!$A$2:$G847,7,FALSE()),"please select a BUG ID")</f>
        <v>please select a BUG ID</v>
      </c>
      <c r="D811" s="51" t="str">
        <f>IFERROR(VLOOKUP(A811,Internal_lists_bugs!$A$2:$I847,9,FALSE()),"please select a BUG ID")</f>
        <v>please select a BUG ID</v>
      </c>
      <c r="E811" s="52"/>
      <c r="F811" s="52"/>
      <c r="G811" s="43"/>
      <c r="H811" s="52"/>
      <c r="J811" s="52"/>
      <c r="K811" s="52"/>
    </row>
    <row r="812">
      <c r="A812" s="43"/>
      <c r="B812" s="38" t="str">
        <f>IFERROR(HYPERLINK(VLOOKUP(A812,Internal_lists_bugs!$A$2:$C$73,3,FALSE()), VLOOKUP(A812,Internal_lists_bugs!$A$2:$C$73,3,FALSE())&amp;Char(10) &amp; Char(10) &amp; VLOOKUP(A812,Internal_lists_bugs!$A$2:$Z$73,26,FALSE())),"please select a BUG ID")</f>
        <v>please select a BUG ID</v>
      </c>
      <c r="C812" s="51" t="str">
        <f>IFERROR(VLOOKUP(A812,Internal_lists_bugs!$A$2:$G847,7,FALSE()),"please select a BUG ID")</f>
        <v>please select a BUG ID</v>
      </c>
      <c r="D812" s="51" t="str">
        <f>IFERROR(VLOOKUP(A812,Internal_lists_bugs!$A$2:$I847,9,FALSE()),"please select a BUG ID")</f>
        <v>please select a BUG ID</v>
      </c>
      <c r="E812" s="52"/>
      <c r="F812" s="52"/>
      <c r="G812" s="43"/>
      <c r="H812" s="52"/>
      <c r="J812" s="52"/>
      <c r="K812" s="52"/>
    </row>
    <row r="813">
      <c r="A813" s="43"/>
      <c r="B813" s="38" t="str">
        <f>IFERROR(HYPERLINK(VLOOKUP(A813,Internal_lists_bugs!$A$2:$C$73,3,FALSE()), VLOOKUP(A813,Internal_lists_bugs!$A$2:$C$73,3,FALSE())&amp;Char(10) &amp; Char(10) &amp; VLOOKUP(A813,Internal_lists_bugs!$A$2:$Z$73,26,FALSE())),"please select a BUG ID")</f>
        <v>please select a BUG ID</v>
      </c>
      <c r="C813" s="51" t="str">
        <f>IFERROR(VLOOKUP(A813,Internal_lists_bugs!$A$2:$G847,7,FALSE()),"please select a BUG ID")</f>
        <v>please select a BUG ID</v>
      </c>
      <c r="D813" s="51" t="str">
        <f>IFERROR(VLOOKUP(A813,Internal_lists_bugs!$A$2:$I847,9,FALSE()),"please select a BUG ID")</f>
        <v>please select a BUG ID</v>
      </c>
      <c r="E813" s="52"/>
      <c r="F813" s="52"/>
      <c r="G813" s="43"/>
      <c r="H813" s="52"/>
      <c r="J813" s="52"/>
      <c r="K813" s="52"/>
    </row>
    <row r="814">
      <c r="A814" s="43"/>
      <c r="B814" s="38" t="str">
        <f>IFERROR(HYPERLINK(VLOOKUP(A814,Internal_lists_bugs!$A$2:$C$73,3,FALSE()), VLOOKUP(A814,Internal_lists_bugs!$A$2:$C$73,3,FALSE())&amp;Char(10) &amp; Char(10) &amp; VLOOKUP(A814,Internal_lists_bugs!$A$2:$Z$73,26,FALSE())),"please select a BUG ID")</f>
        <v>please select a BUG ID</v>
      </c>
      <c r="C814" s="51" t="str">
        <f>IFERROR(VLOOKUP(A814,Internal_lists_bugs!$A$2:$G847,7,FALSE()),"please select a BUG ID")</f>
        <v>please select a BUG ID</v>
      </c>
      <c r="D814" s="51" t="str">
        <f>IFERROR(VLOOKUP(A814,Internal_lists_bugs!$A$2:$I847,9,FALSE()),"please select a BUG ID")</f>
        <v>please select a BUG ID</v>
      </c>
      <c r="E814" s="52"/>
      <c r="F814" s="52"/>
      <c r="G814" s="43"/>
      <c r="H814" s="52"/>
      <c r="J814" s="52"/>
      <c r="K814" s="52"/>
    </row>
    <row r="815">
      <c r="A815" s="43"/>
      <c r="B815" s="38" t="str">
        <f>IFERROR(HYPERLINK(VLOOKUP(A815,Internal_lists_bugs!$A$2:$C$73,3,FALSE()), VLOOKUP(A815,Internal_lists_bugs!$A$2:$C$73,3,FALSE())&amp;Char(10) &amp; Char(10) &amp; VLOOKUP(A815,Internal_lists_bugs!$A$2:$Z$73,26,FALSE())),"please select a BUG ID")</f>
        <v>please select a BUG ID</v>
      </c>
      <c r="C815" s="51" t="str">
        <f>IFERROR(VLOOKUP(A815,Internal_lists_bugs!$A$2:$G847,7,FALSE()),"please select a BUG ID")</f>
        <v>please select a BUG ID</v>
      </c>
      <c r="D815" s="51" t="str">
        <f>IFERROR(VLOOKUP(A815,Internal_lists_bugs!$A$2:$I847,9,FALSE()),"please select a BUG ID")</f>
        <v>please select a BUG ID</v>
      </c>
      <c r="E815" s="52"/>
      <c r="F815" s="52"/>
      <c r="G815" s="43"/>
      <c r="H815" s="52"/>
      <c r="J815" s="52"/>
      <c r="K815" s="52"/>
    </row>
    <row r="816">
      <c r="A816" s="43"/>
      <c r="B816" s="38" t="str">
        <f>IFERROR(HYPERLINK(VLOOKUP(A816,Internal_lists_bugs!$A$2:$C$73,3,FALSE()), VLOOKUP(A816,Internal_lists_bugs!$A$2:$C$73,3,FALSE())&amp;Char(10) &amp; Char(10) &amp; VLOOKUP(A816,Internal_lists_bugs!$A$2:$Z$73,26,FALSE())),"please select a BUG ID")</f>
        <v>please select a BUG ID</v>
      </c>
      <c r="C816" s="51" t="str">
        <f>IFERROR(VLOOKUP(A816,Internal_lists_bugs!$A$2:$G847,7,FALSE()),"please select a BUG ID")</f>
        <v>please select a BUG ID</v>
      </c>
      <c r="D816" s="51" t="str">
        <f>IFERROR(VLOOKUP(A816,Internal_lists_bugs!$A$2:$I847,9,FALSE()),"please select a BUG ID")</f>
        <v>please select a BUG ID</v>
      </c>
      <c r="E816" s="52"/>
      <c r="F816" s="52"/>
      <c r="G816" s="43"/>
      <c r="H816" s="52"/>
      <c r="J816" s="52"/>
      <c r="K816" s="52"/>
    </row>
    <row r="817">
      <c r="A817" s="43"/>
      <c r="B817" s="38" t="str">
        <f>IFERROR(HYPERLINK(VLOOKUP(A817,Internal_lists_bugs!$A$2:$C$73,3,FALSE()), VLOOKUP(A817,Internal_lists_bugs!$A$2:$C$73,3,FALSE())&amp;Char(10) &amp; Char(10) &amp; VLOOKUP(A817,Internal_lists_bugs!$A$2:$Z$73,26,FALSE())),"please select a BUG ID")</f>
        <v>please select a BUG ID</v>
      </c>
      <c r="C817" s="51" t="str">
        <f>IFERROR(VLOOKUP(A817,Internal_lists_bugs!$A$2:$G847,7,FALSE()),"please select a BUG ID")</f>
        <v>please select a BUG ID</v>
      </c>
      <c r="D817" s="51" t="str">
        <f>IFERROR(VLOOKUP(A817,Internal_lists_bugs!$A$2:$I847,9,FALSE()),"please select a BUG ID")</f>
        <v>please select a BUG ID</v>
      </c>
      <c r="E817" s="52"/>
      <c r="F817" s="52"/>
      <c r="G817" s="43"/>
      <c r="H817" s="52"/>
      <c r="J817" s="52"/>
      <c r="K817" s="52"/>
    </row>
    <row r="818">
      <c r="A818" s="43"/>
      <c r="B818" s="38" t="str">
        <f>IFERROR(HYPERLINK(VLOOKUP(A818,Internal_lists_bugs!$A$2:$C$73,3,FALSE()), VLOOKUP(A818,Internal_lists_bugs!$A$2:$C$73,3,FALSE())&amp;Char(10) &amp; Char(10) &amp; VLOOKUP(A818,Internal_lists_bugs!$A$2:$Z$73,26,FALSE())),"please select a BUG ID")</f>
        <v>please select a BUG ID</v>
      </c>
      <c r="C818" s="51" t="str">
        <f>IFERROR(VLOOKUP(A818,Internal_lists_bugs!$A$2:$G847,7,FALSE()),"please select a BUG ID")</f>
        <v>please select a BUG ID</v>
      </c>
      <c r="D818" s="51" t="str">
        <f>IFERROR(VLOOKUP(A818,Internal_lists_bugs!$A$2:$I847,9,FALSE()),"please select a BUG ID")</f>
        <v>please select a BUG ID</v>
      </c>
      <c r="E818" s="52"/>
      <c r="F818" s="52"/>
      <c r="G818" s="43"/>
      <c r="H818" s="52"/>
      <c r="J818" s="52"/>
      <c r="K818" s="52"/>
    </row>
    <row r="819">
      <c r="A819" s="43"/>
      <c r="B819" s="38" t="str">
        <f>IFERROR(HYPERLINK(VLOOKUP(A819,Internal_lists_bugs!$A$2:$C$73,3,FALSE()), VLOOKUP(A819,Internal_lists_bugs!$A$2:$C$73,3,FALSE())&amp;Char(10) &amp; Char(10) &amp; VLOOKUP(A819,Internal_lists_bugs!$A$2:$Z$73,26,FALSE())),"please select a BUG ID")</f>
        <v>please select a BUG ID</v>
      </c>
      <c r="C819" s="51" t="str">
        <f>IFERROR(VLOOKUP(A819,Internal_lists_bugs!$A$2:$G847,7,FALSE()),"please select a BUG ID")</f>
        <v>please select a BUG ID</v>
      </c>
      <c r="D819" s="51" t="str">
        <f>IFERROR(VLOOKUP(A819,Internal_lists_bugs!$A$2:$I847,9,FALSE()),"please select a BUG ID")</f>
        <v>please select a BUG ID</v>
      </c>
      <c r="E819" s="52"/>
      <c r="F819" s="52"/>
      <c r="G819" s="43"/>
      <c r="H819" s="52"/>
      <c r="J819" s="52"/>
      <c r="K819" s="52"/>
    </row>
    <row r="820">
      <c r="A820" s="43"/>
      <c r="B820" s="38" t="str">
        <f>IFERROR(HYPERLINK(VLOOKUP(A820,Internal_lists_bugs!$A$2:$C$73,3,FALSE()), VLOOKUP(A820,Internal_lists_bugs!$A$2:$C$73,3,FALSE())&amp;Char(10) &amp; Char(10) &amp; VLOOKUP(A820,Internal_lists_bugs!$A$2:$Z$73,26,FALSE())),"please select a BUG ID")</f>
        <v>please select a BUG ID</v>
      </c>
      <c r="C820" s="51" t="str">
        <f>IFERROR(VLOOKUP(A820,Internal_lists_bugs!$A$2:$G847,7,FALSE()),"please select a BUG ID")</f>
        <v>please select a BUG ID</v>
      </c>
      <c r="D820" s="51" t="str">
        <f>IFERROR(VLOOKUP(A820,Internal_lists_bugs!$A$2:$I847,9,FALSE()),"please select a BUG ID")</f>
        <v>please select a BUG ID</v>
      </c>
      <c r="E820" s="52"/>
      <c r="F820" s="52"/>
      <c r="G820" s="43"/>
      <c r="H820" s="52"/>
      <c r="J820" s="52"/>
      <c r="K820" s="52"/>
    </row>
    <row r="821">
      <c r="A821" s="43"/>
      <c r="B821" s="38" t="str">
        <f>IFERROR(HYPERLINK(VLOOKUP(A821,Internal_lists_bugs!$A$2:$C$73,3,FALSE()), VLOOKUP(A821,Internal_lists_bugs!$A$2:$C$73,3,FALSE())&amp;Char(10) &amp; Char(10) &amp; VLOOKUP(A821,Internal_lists_bugs!$A$2:$Z$73,26,FALSE())),"please select a BUG ID")</f>
        <v>please select a BUG ID</v>
      </c>
      <c r="C821" s="51" t="str">
        <f>IFERROR(VLOOKUP(A821,Internal_lists_bugs!$A$2:$G847,7,FALSE()),"please select a BUG ID")</f>
        <v>please select a BUG ID</v>
      </c>
      <c r="D821" s="51" t="str">
        <f>IFERROR(VLOOKUP(A821,Internal_lists_bugs!$A$2:$I847,9,FALSE()),"please select a BUG ID")</f>
        <v>please select a BUG ID</v>
      </c>
      <c r="E821" s="52"/>
      <c r="F821" s="52"/>
      <c r="G821" s="43"/>
      <c r="H821" s="52"/>
      <c r="J821" s="52"/>
      <c r="K821" s="52"/>
    </row>
    <row r="822">
      <c r="A822" s="43"/>
      <c r="B822" s="38" t="str">
        <f>IFERROR(HYPERLINK(VLOOKUP(A822,Internal_lists_bugs!$A$2:$C$73,3,FALSE()), VLOOKUP(A822,Internal_lists_bugs!$A$2:$C$73,3,FALSE())&amp;Char(10) &amp; Char(10) &amp; VLOOKUP(A822,Internal_lists_bugs!$A$2:$Z$73,26,FALSE())),"please select a BUG ID")</f>
        <v>please select a BUG ID</v>
      </c>
      <c r="C822" s="51" t="str">
        <f>IFERROR(VLOOKUP(A822,Internal_lists_bugs!$A$2:$G847,7,FALSE()),"please select a BUG ID")</f>
        <v>please select a BUG ID</v>
      </c>
      <c r="D822" s="51" t="str">
        <f>IFERROR(VLOOKUP(A822,Internal_lists_bugs!$A$2:$I847,9,FALSE()),"please select a BUG ID")</f>
        <v>please select a BUG ID</v>
      </c>
      <c r="E822" s="52"/>
      <c r="F822" s="52"/>
      <c r="G822" s="43"/>
      <c r="H822" s="52"/>
      <c r="J822" s="52"/>
      <c r="K822" s="52"/>
    </row>
    <row r="823">
      <c r="A823" s="43"/>
      <c r="B823" s="38" t="str">
        <f>IFERROR(HYPERLINK(VLOOKUP(A823,Internal_lists_bugs!$A$2:$C$73,3,FALSE()), VLOOKUP(A823,Internal_lists_bugs!$A$2:$C$73,3,FALSE())&amp;Char(10) &amp; Char(10) &amp; VLOOKUP(A823,Internal_lists_bugs!$A$2:$Z$73,26,FALSE())),"please select a BUG ID")</f>
        <v>please select a BUG ID</v>
      </c>
      <c r="C823" s="51" t="str">
        <f>IFERROR(VLOOKUP(A823,Internal_lists_bugs!$A$2:$G847,7,FALSE()),"please select a BUG ID")</f>
        <v>please select a BUG ID</v>
      </c>
      <c r="D823" s="51" t="str">
        <f>IFERROR(VLOOKUP(A823,Internal_lists_bugs!$A$2:$I847,9,FALSE()),"please select a BUG ID")</f>
        <v>please select a BUG ID</v>
      </c>
      <c r="E823" s="52"/>
      <c r="F823" s="52"/>
      <c r="G823" s="43"/>
      <c r="H823" s="52"/>
      <c r="J823" s="52"/>
      <c r="K823" s="52"/>
    </row>
    <row r="824">
      <c r="A824" s="43"/>
      <c r="B824" s="38" t="str">
        <f>IFERROR(HYPERLINK(VLOOKUP(A824,Internal_lists_bugs!$A$2:$C$73,3,FALSE()), VLOOKUP(A824,Internal_lists_bugs!$A$2:$C$73,3,FALSE())&amp;Char(10) &amp; Char(10) &amp; VLOOKUP(A824,Internal_lists_bugs!$A$2:$Z$73,26,FALSE())),"please select a BUG ID")</f>
        <v>please select a BUG ID</v>
      </c>
      <c r="C824" s="51" t="str">
        <f>IFERROR(VLOOKUP(A824,Internal_lists_bugs!$A$2:$G847,7,FALSE()),"please select a BUG ID")</f>
        <v>please select a BUG ID</v>
      </c>
      <c r="D824" s="51" t="str">
        <f>IFERROR(VLOOKUP(A824,Internal_lists_bugs!$A$2:$I847,9,FALSE()),"please select a BUG ID")</f>
        <v>please select a BUG ID</v>
      </c>
      <c r="E824" s="52"/>
      <c r="F824" s="52"/>
      <c r="G824" s="43"/>
      <c r="H824" s="52"/>
      <c r="J824" s="52"/>
      <c r="K824" s="52"/>
    </row>
    <row r="825">
      <c r="A825" s="43"/>
      <c r="B825" s="38" t="str">
        <f>IFERROR(HYPERLINK(VLOOKUP(A825,Internal_lists_bugs!$A$2:$C$73,3,FALSE()), VLOOKUP(A825,Internal_lists_bugs!$A$2:$C$73,3,FALSE())&amp;Char(10) &amp; Char(10) &amp; VLOOKUP(A825,Internal_lists_bugs!$A$2:$Z$73,26,FALSE())),"please select a BUG ID")</f>
        <v>please select a BUG ID</v>
      </c>
      <c r="C825" s="51" t="str">
        <f>IFERROR(VLOOKUP(A825,Internal_lists_bugs!$A$2:$G847,7,FALSE()),"please select a BUG ID")</f>
        <v>please select a BUG ID</v>
      </c>
      <c r="D825" s="51" t="str">
        <f>IFERROR(VLOOKUP(A825,Internal_lists_bugs!$A$2:$I847,9,FALSE()),"please select a BUG ID")</f>
        <v>please select a BUG ID</v>
      </c>
      <c r="E825" s="52"/>
      <c r="F825" s="52"/>
      <c r="G825" s="43"/>
      <c r="H825" s="52"/>
      <c r="J825" s="52"/>
      <c r="K825" s="52"/>
    </row>
    <row r="826">
      <c r="A826" s="43"/>
      <c r="B826" s="38" t="str">
        <f>IFERROR(HYPERLINK(VLOOKUP(A826,Internal_lists_bugs!$A$2:$C$73,3,FALSE()), VLOOKUP(A826,Internal_lists_bugs!$A$2:$C$73,3,FALSE())&amp;Char(10) &amp; Char(10) &amp; VLOOKUP(A826,Internal_lists_bugs!$A$2:$Z$73,26,FALSE())),"please select a BUG ID")</f>
        <v>please select a BUG ID</v>
      </c>
      <c r="C826" s="51" t="str">
        <f>IFERROR(VLOOKUP(A826,Internal_lists_bugs!$A$2:$G847,7,FALSE()),"please select a BUG ID")</f>
        <v>please select a BUG ID</v>
      </c>
      <c r="D826" s="51" t="str">
        <f>IFERROR(VLOOKUP(A826,Internal_lists_bugs!$A$2:$I847,9,FALSE()),"please select a BUG ID")</f>
        <v>please select a BUG ID</v>
      </c>
      <c r="E826" s="52"/>
      <c r="F826" s="52"/>
      <c r="G826" s="43"/>
      <c r="H826" s="52"/>
      <c r="J826" s="52"/>
      <c r="K826" s="52"/>
    </row>
    <row r="827">
      <c r="A827" s="43"/>
      <c r="B827" s="38" t="str">
        <f>IFERROR(HYPERLINK(VLOOKUP(A827,Internal_lists_bugs!$A$2:$C$73,3,FALSE()), VLOOKUP(A827,Internal_lists_bugs!$A$2:$C$73,3,FALSE())&amp;Char(10) &amp; Char(10) &amp; VLOOKUP(A827,Internal_lists_bugs!$A$2:$Z$73,26,FALSE())),"please select a BUG ID")</f>
        <v>please select a BUG ID</v>
      </c>
      <c r="C827" s="51" t="str">
        <f>IFERROR(VLOOKUP(A827,Internal_lists_bugs!$A$2:$G847,7,FALSE()),"please select a BUG ID")</f>
        <v>please select a BUG ID</v>
      </c>
      <c r="D827" s="51" t="str">
        <f>IFERROR(VLOOKUP(A827,Internal_lists_bugs!$A$2:$I847,9,FALSE()),"please select a BUG ID")</f>
        <v>please select a BUG ID</v>
      </c>
      <c r="E827" s="52"/>
      <c r="F827" s="52"/>
      <c r="G827" s="43"/>
      <c r="H827" s="52"/>
      <c r="J827" s="52"/>
      <c r="K827" s="52"/>
    </row>
    <row r="828">
      <c r="A828" s="43"/>
      <c r="B828" s="38" t="str">
        <f>IFERROR(HYPERLINK(VLOOKUP(A828,Internal_lists_bugs!$A$2:$C$73,3,FALSE()), VLOOKUP(A828,Internal_lists_bugs!$A$2:$C$73,3,FALSE())&amp;Char(10) &amp; Char(10) &amp; VLOOKUP(A828,Internal_lists_bugs!$A$2:$Z$73,26,FALSE())),"please select a BUG ID")</f>
        <v>please select a BUG ID</v>
      </c>
      <c r="C828" s="51" t="str">
        <f>IFERROR(VLOOKUP(A828,Internal_lists_bugs!$A$2:$G847,7,FALSE()),"please select a BUG ID")</f>
        <v>please select a BUG ID</v>
      </c>
      <c r="D828" s="51" t="str">
        <f>IFERROR(VLOOKUP(A828,Internal_lists_bugs!$A$2:$I847,9,FALSE()),"please select a BUG ID")</f>
        <v>please select a BUG ID</v>
      </c>
      <c r="E828" s="52"/>
      <c r="F828" s="52"/>
      <c r="G828" s="43"/>
      <c r="H828" s="52"/>
      <c r="J828" s="52"/>
      <c r="K828" s="52"/>
    </row>
    <row r="829">
      <c r="A829" s="43"/>
      <c r="B829" s="38" t="str">
        <f>IFERROR(HYPERLINK(VLOOKUP(A829,Internal_lists_bugs!$A$2:$C$73,3,FALSE()), VLOOKUP(A829,Internal_lists_bugs!$A$2:$C$73,3,FALSE())&amp;Char(10) &amp; Char(10) &amp; VLOOKUP(A829,Internal_lists_bugs!$A$2:$Z$73,26,FALSE())),"please select a BUG ID")</f>
        <v>please select a BUG ID</v>
      </c>
      <c r="C829" s="51" t="str">
        <f>IFERROR(VLOOKUP(A829,Internal_lists_bugs!$A$2:$G847,7,FALSE()),"please select a BUG ID")</f>
        <v>please select a BUG ID</v>
      </c>
      <c r="D829" s="51" t="str">
        <f>IFERROR(VLOOKUP(A829,Internal_lists_bugs!$A$2:$I847,9,FALSE()),"please select a BUG ID")</f>
        <v>please select a BUG ID</v>
      </c>
      <c r="E829" s="52"/>
      <c r="F829" s="52"/>
      <c r="G829" s="43"/>
      <c r="H829" s="52"/>
      <c r="J829" s="52"/>
      <c r="K829" s="52"/>
    </row>
    <row r="830">
      <c r="A830" s="43"/>
      <c r="B830" s="38" t="str">
        <f>IFERROR(HYPERLINK(VLOOKUP(A830,Internal_lists_bugs!$A$2:$C$73,3,FALSE()), VLOOKUP(A830,Internal_lists_bugs!$A$2:$C$73,3,FALSE())&amp;Char(10) &amp; Char(10) &amp; VLOOKUP(A830,Internal_lists_bugs!$A$2:$Z$73,26,FALSE())),"please select a BUG ID")</f>
        <v>please select a BUG ID</v>
      </c>
      <c r="C830" s="51" t="str">
        <f>IFERROR(VLOOKUP(A830,Internal_lists_bugs!$A$2:$G847,7,FALSE()),"please select a BUG ID")</f>
        <v>please select a BUG ID</v>
      </c>
      <c r="D830" s="51" t="str">
        <f>IFERROR(VLOOKUP(A830,Internal_lists_bugs!$A$2:$I847,9,FALSE()),"please select a BUG ID")</f>
        <v>please select a BUG ID</v>
      </c>
      <c r="E830" s="52"/>
      <c r="F830" s="52"/>
      <c r="G830" s="43"/>
      <c r="H830" s="52"/>
      <c r="J830" s="52"/>
      <c r="K830" s="52"/>
    </row>
    <row r="831">
      <c r="A831" s="43"/>
      <c r="B831" s="38" t="str">
        <f>IFERROR(HYPERLINK(VLOOKUP(A831,Internal_lists_bugs!$A$2:$C$73,3,FALSE()), VLOOKUP(A831,Internal_lists_bugs!$A$2:$C$73,3,FALSE())&amp;Char(10) &amp; Char(10) &amp; VLOOKUP(A831,Internal_lists_bugs!$A$2:$Z$73,26,FALSE())),"please select a BUG ID")</f>
        <v>please select a BUG ID</v>
      </c>
      <c r="C831" s="51" t="str">
        <f>IFERROR(VLOOKUP(A831,Internal_lists_bugs!$A$2:$G847,7,FALSE()),"please select a BUG ID")</f>
        <v>please select a BUG ID</v>
      </c>
      <c r="D831" s="51" t="str">
        <f>IFERROR(VLOOKUP(A831,Internal_lists_bugs!$A$2:$I847,9,FALSE()),"please select a BUG ID")</f>
        <v>please select a BUG ID</v>
      </c>
      <c r="E831" s="52"/>
      <c r="F831" s="52"/>
      <c r="G831" s="43"/>
      <c r="H831" s="52"/>
      <c r="J831" s="52"/>
      <c r="K831" s="52"/>
    </row>
    <row r="832">
      <c r="A832" s="43"/>
      <c r="B832" s="38" t="str">
        <f>IFERROR(HYPERLINK(VLOOKUP(A832,Internal_lists_bugs!$A$2:$C$73,3,FALSE()), VLOOKUP(A832,Internal_lists_bugs!$A$2:$C$73,3,FALSE())&amp;Char(10) &amp; Char(10) &amp; VLOOKUP(A832,Internal_lists_bugs!$A$2:$Z$73,26,FALSE())),"please select a BUG ID")</f>
        <v>please select a BUG ID</v>
      </c>
      <c r="C832" s="51" t="str">
        <f>IFERROR(VLOOKUP(A832,Internal_lists_bugs!$A$2:$G847,7,FALSE()),"please select a BUG ID")</f>
        <v>please select a BUG ID</v>
      </c>
      <c r="D832" s="51" t="str">
        <f>IFERROR(VLOOKUP(A832,Internal_lists_bugs!$A$2:$I847,9,FALSE()),"please select a BUG ID")</f>
        <v>please select a BUG ID</v>
      </c>
      <c r="E832" s="52"/>
      <c r="F832" s="52"/>
      <c r="G832" s="43"/>
      <c r="H832" s="52"/>
      <c r="J832" s="52"/>
      <c r="K832" s="52"/>
    </row>
    <row r="833">
      <c r="A833" s="43"/>
      <c r="B833" s="38" t="str">
        <f>IFERROR(HYPERLINK(VLOOKUP(A833,Internal_lists_bugs!$A$2:$C$73,3,FALSE()), VLOOKUP(A833,Internal_lists_bugs!$A$2:$C$73,3,FALSE())&amp;Char(10) &amp; Char(10) &amp; VLOOKUP(A833,Internal_lists_bugs!$A$2:$Z$73,26,FALSE())),"please select a BUG ID")</f>
        <v>please select a BUG ID</v>
      </c>
      <c r="C833" s="51" t="str">
        <f>IFERROR(VLOOKUP(A833,Internal_lists_bugs!$A$2:$G847,7,FALSE()),"please select a BUG ID")</f>
        <v>please select a BUG ID</v>
      </c>
      <c r="D833" s="51" t="str">
        <f>IFERROR(VLOOKUP(A833,Internal_lists_bugs!$A$2:$I847,9,FALSE()),"please select a BUG ID")</f>
        <v>please select a BUG ID</v>
      </c>
      <c r="E833" s="52"/>
      <c r="F833" s="52"/>
      <c r="G833" s="43"/>
      <c r="H833" s="52"/>
      <c r="J833" s="52"/>
      <c r="K833" s="52"/>
    </row>
    <row r="834">
      <c r="A834" s="43"/>
      <c r="B834" s="38" t="str">
        <f>IFERROR(HYPERLINK(VLOOKUP(A834,Internal_lists_bugs!$A$2:$C$73,3,FALSE()), VLOOKUP(A834,Internal_lists_bugs!$A$2:$C$73,3,FALSE())&amp;Char(10) &amp; Char(10) &amp; VLOOKUP(A834,Internal_lists_bugs!$A$2:$Z$73,26,FALSE())),"please select a BUG ID")</f>
        <v>please select a BUG ID</v>
      </c>
      <c r="C834" s="51" t="str">
        <f>IFERROR(VLOOKUP(A834,Internal_lists_bugs!$A$2:$G847,7,FALSE()),"please select a BUG ID")</f>
        <v>please select a BUG ID</v>
      </c>
      <c r="D834" s="51" t="str">
        <f>IFERROR(VLOOKUP(A834,Internal_lists_bugs!$A$2:$I847,9,FALSE()),"please select a BUG ID")</f>
        <v>please select a BUG ID</v>
      </c>
      <c r="E834" s="52"/>
      <c r="F834" s="52"/>
      <c r="G834" s="43"/>
      <c r="H834" s="52"/>
      <c r="J834" s="52"/>
      <c r="K834" s="52"/>
    </row>
    <row r="835">
      <c r="A835" s="43"/>
      <c r="B835" s="38" t="str">
        <f>IFERROR(HYPERLINK(VLOOKUP(A835,Internal_lists_bugs!$A$2:$C$73,3,FALSE()), VLOOKUP(A835,Internal_lists_bugs!$A$2:$C$73,3,FALSE())&amp;Char(10) &amp; Char(10) &amp; VLOOKUP(A835,Internal_lists_bugs!$A$2:$Z$73,26,FALSE())),"please select a BUG ID")</f>
        <v>please select a BUG ID</v>
      </c>
      <c r="C835" s="51" t="str">
        <f>IFERROR(VLOOKUP(A835,Internal_lists_bugs!$A$2:$G847,7,FALSE()),"please select a BUG ID")</f>
        <v>please select a BUG ID</v>
      </c>
      <c r="D835" s="51" t="str">
        <f>IFERROR(VLOOKUP(A835,Internal_lists_bugs!$A$2:$I847,9,FALSE()),"please select a BUG ID")</f>
        <v>please select a BUG ID</v>
      </c>
      <c r="E835" s="52"/>
      <c r="F835" s="52"/>
      <c r="G835" s="43"/>
      <c r="H835" s="52"/>
      <c r="J835" s="52"/>
      <c r="K835" s="52"/>
    </row>
    <row r="836">
      <c r="A836" s="43"/>
      <c r="B836" s="38" t="str">
        <f>IFERROR(HYPERLINK(VLOOKUP(A836,Internal_lists_bugs!$A$2:$C$73,3,FALSE()), VLOOKUP(A836,Internal_lists_bugs!$A$2:$C$73,3,FALSE())&amp;Char(10) &amp; Char(10) &amp; VLOOKUP(A836,Internal_lists_bugs!$A$2:$Z$73,26,FALSE())),"please select a BUG ID")</f>
        <v>please select a BUG ID</v>
      </c>
      <c r="C836" s="51" t="str">
        <f>IFERROR(VLOOKUP(A836,Internal_lists_bugs!$A$2:$G847,7,FALSE()),"please select a BUG ID")</f>
        <v>please select a BUG ID</v>
      </c>
      <c r="D836" s="51" t="str">
        <f>IFERROR(VLOOKUP(A836,Internal_lists_bugs!$A$2:$I847,9,FALSE()),"please select a BUG ID")</f>
        <v>please select a BUG ID</v>
      </c>
      <c r="E836" s="52"/>
      <c r="F836" s="52"/>
      <c r="G836" s="43"/>
      <c r="H836" s="52"/>
      <c r="J836" s="52"/>
      <c r="K836" s="52"/>
    </row>
    <row r="837">
      <c r="A837" s="43"/>
      <c r="B837" s="38" t="str">
        <f>IFERROR(HYPERLINK(VLOOKUP(A837,Internal_lists_bugs!$A$2:$C$73,3,FALSE()), VLOOKUP(A837,Internal_lists_bugs!$A$2:$C$73,3,FALSE())&amp;Char(10) &amp; Char(10) &amp; VLOOKUP(A837,Internal_lists_bugs!$A$2:$Z$73,26,FALSE())),"please select a BUG ID")</f>
        <v>please select a BUG ID</v>
      </c>
      <c r="C837" s="51" t="str">
        <f>IFERROR(VLOOKUP(A837,Internal_lists_bugs!$A$2:$G847,7,FALSE()),"please select a BUG ID")</f>
        <v>please select a BUG ID</v>
      </c>
      <c r="D837" s="51" t="str">
        <f>IFERROR(VLOOKUP(A837,Internal_lists_bugs!$A$2:$I847,9,FALSE()),"please select a BUG ID")</f>
        <v>please select a BUG ID</v>
      </c>
      <c r="E837" s="52"/>
      <c r="F837" s="52"/>
      <c r="G837" s="43"/>
      <c r="H837" s="52"/>
      <c r="J837" s="52"/>
      <c r="K837" s="52"/>
    </row>
    <row r="838">
      <c r="A838" s="43"/>
      <c r="B838" s="38" t="str">
        <f>IFERROR(HYPERLINK(VLOOKUP(A838,Internal_lists_bugs!$A$2:$C$73,3,FALSE()), VLOOKUP(A838,Internal_lists_bugs!$A$2:$C$73,3,FALSE())&amp;Char(10) &amp; Char(10) &amp; VLOOKUP(A838,Internal_lists_bugs!$A$2:$Z$73,26,FALSE())),"please select a BUG ID")</f>
        <v>please select a BUG ID</v>
      </c>
      <c r="C838" s="51" t="str">
        <f>IFERROR(VLOOKUP(A838,Internal_lists_bugs!$A$2:$G847,7,FALSE()),"please select a BUG ID")</f>
        <v>please select a BUG ID</v>
      </c>
      <c r="D838" s="51" t="str">
        <f>IFERROR(VLOOKUP(A838,Internal_lists_bugs!$A$2:$I847,9,FALSE()),"please select a BUG ID")</f>
        <v>please select a BUG ID</v>
      </c>
      <c r="E838" s="52"/>
      <c r="F838" s="52"/>
      <c r="G838" s="43"/>
      <c r="H838" s="52"/>
      <c r="J838" s="52"/>
      <c r="K838" s="52"/>
    </row>
    <row r="839">
      <c r="A839" s="43"/>
      <c r="B839" s="38" t="str">
        <f>IFERROR(HYPERLINK(VLOOKUP(A839,Internal_lists_bugs!$A$2:$C$73,3,FALSE()), VLOOKUP(A839,Internal_lists_bugs!$A$2:$C$73,3,FALSE())&amp;Char(10) &amp; Char(10) &amp; VLOOKUP(A839,Internal_lists_bugs!$A$2:$Z$73,26,FALSE())),"please select a BUG ID")</f>
        <v>please select a BUG ID</v>
      </c>
      <c r="C839" s="51" t="str">
        <f>IFERROR(VLOOKUP(A839,Internal_lists_bugs!$A$2:$G847,7,FALSE()),"please select a BUG ID")</f>
        <v>please select a BUG ID</v>
      </c>
      <c r="D839" s="51" t="str">
        <f>IFERROR(VLOOKUP(A839,Internal_lists_bugs!$A$2:$I847,9,FALSE()),"please select a BUG ID")</f>
        <v>please select a BUG ID</v>
      </c>
      <c r="E839" s="52"/>
      <c r="F839" s="52"/>
      <c r="G839" s="43"/>
      <c r="H839" s="52"/>
      <c r="J839" s="52"/>
      <c r="K839" s="52"/>
    </row>
    <row r="840">
      <c r="A840" s="43"/>
      <c r="B840" s="38" t="str">
        <f>IFERROR(HYPERLINK(VLOOKUP(A840,Internal_lists_bugs!$A$2:$C$73,3,FALSE()), VLOOKUP(A840,Internal_lists_bugs!$A$2:$C$73,3,FALSE())&amp;Char(10) &amp; Char(10) &amp; VLOOKUP(A840,Internal_lists_bugs!$A$2:$Z$73,26,FALSE())),"please select a BUG ID")</f>
        <v>please select a BUG ID</v>
      </c>
      <c r="C840" s="51" t="str">
        <f>IFERROR(VLOOKUP(A840,Internal_lists_bugs!$A$2:$G847,7,FALSE()),"please select a BUG ID")</f>
        <v>please select a BUG ID</v>
      </c>
      <c r="D840" s="51" t="str">
        <f>IFERROR(VLOOKUP(A840,Internal_lists_bugs!$A$2:$I847,9,FALSE()),"please select a BUG ID")</f>
        <v>please select a BUG ID</v>
      </c>
      <c r="E840" s="52"/>
      <c r="F840" s="52"/>
      <c r="G840" s="43"/>
      <c r="H840" s="52"/>
      <c r="J840" s="52"/>
      <c r="K840" s="52"/>
    </row>
    <row r="841">
      <c r="A841" s="43"/>
      <c r="B841" s="38" t="str">
        <f>IFERROR(HYPERLINK(VLOOKUP(A841,Internal_lists_bugs!$A$2:$C$73,3,FALSE()), VLOOKUP(A841,Internal_lists_bugs!$A$2:$C$73,3,FALSE())&amp;Char(10) &amp; Char(10) &amp; VLOOKUP(A841,Internal_lists_bugs!$A$2:$Z$73,26,FALSE())),"please select a BUG ID")</f>
        <v>please select a BUG ID</v>
      </c>
      <c r="C841" s="51" t="str">
        <f>IFERROR(VLOOKUP(A841,Internal_lists_bugs!$A$2:$G847,7,FALSE()),"please select a BUG ID")</f>
        <v>please select a BUG ID</v>
      </c>
      <c r="D841" s="51" t="str">
        <f>IFERROR(VLOOKUP(A841,Internal_lists_bugs!$A$2:$I847,9,FALSE()),"please select a BUG ID")</f>
        <v>please select a BUG ID</v>
      </c>
      <c r="E841" s="52"/>
      <c r="F841" s="52"/>
      <c r="G841" s="43"/>
      <c r="H841" s="52"/>
      <c r="J841" s="52"/>
      <c r="K841" s="52"/>
    </row>
    <row r="842">
      <c r="A842" s="43"/>
      <c r="B842" s="38" t="str">
        <f>IFERROR(HYPERLINK(VLOOKUP(A842,Internal_lists_bugs!$A$2:$C$73,3,FALSE()), VLOOKUP(A842,Internal_lists_bugs!$A$2:$C$73,3,FALSE())&amp;Char(10) &amp; Char(10) &amp; VLOOKUP(A842,Internal_lists_bugs!$A$2:$Z$73,26,FALSE())),"please select a BUG ID")</f>
        <v>please select a BUG ID</v>
      </c>
      <c r="C842" s="51" t="str">
        <f>IFERROR(VLOOKUP(A842,Internal_lists_bugs!$A$2:$G847,7,FALSE()),"please select a BUG ID")</f>
        <v>please select a BUG ID</v>
      </c>
      <c r="D842" s="51" t="str">
        <f>IFERROR(VLOOKUP(A842,Internal_lists_bugs!$A$2:$I847,9,FALSE()),"please select a BUG ID")</f>
        <v>please select a BUG ID</v>
      </c>
      <c r="E842" s="52"/>
      <c r="F842" s="52"/>
      <c r="G842" s="43"/>
      <c r="H842" s="52"/>
      <c r="J842" s="52"/>
      <c r="K842" s="52"/>
    </row>
    <row r="843">
      <c r="A843" s="43"/>
      <c r="B843" s="38" t="str">
        <f>IFERROR(HYPERLINK(VLOOKUP(A843,Internal_lists_bugs!$A$2:$C$73,3,FALSE()), VLOOKUP(A843,Internal_lists_bugs!$A$2:$C$73,3,FALSE())&amp;Char(10) &amp; Char(10) &amp; VLOOKUP(A843,Internal_lists_bugs!$A$2:$Z$73,26,FALSE())),"please select a BUG ID")</f>
        <v>please select a BUG ID</v>
      </c>
      <c r="C843" s="51" t="str">
        <f>IFERROR(VLOOKUP(A843,Internal_lists_bugs!$A$2:$G847,7,FALSE()),"please select a BUG ID")</f>
        <v>please select a BUG ID</v>
      </c>
      <c r="D843" s="51" t="str">
        <f>IFERROR(VLOOKUP(A843,Internal_lists_bugs!$A$2:$I847,9,FALSE()),"please select a BUG ID")</f>
        <v>please select a BUG ID</v>
      </c>
      <c r="E843" s="52"/>
      <c r="F843" s="52"/>
      <c r="G843" s="43"/>
      <c r="H843" s="52"/>
      <c r="J843" s="52"/>
      <c r="K843" s="52"/>
    </row>
    <row r="844">
      <c r="A844" s="43"/>
      <c r="B844" s="38" t="str">
        <f>IFERROR(HYPERLINK(VLOOKUP(A844,Internal_lists_bugs!$A$2:$C$73,3,FALSE()), VLOOKUP(A844,Internal_lists_bugs!$A$2:$C$73,3,FALSE())&amp;Char(10) &amp; Char(10) &amp; VLOOKUP(A844,Internal_lists_bugs!$A$2:$Z$73,26,FALSE())),"please select a BUG ID")</f>
        <v>please select a BUG ID</v>
      </c>
      <c r="C844" s="51" t="str">
        <f>IFERROR(VLOOKUP(A844,Internal_lists_bugs!$A$2:$G847,7,FALSE()),"please select a BUG ID")</f>
        <v>please select a BUG ID</v>
      </c>
      <c r="D844" s="51" t="str">
        <f>IFERROR(VLOOKUP(A844,Internal_lists_bugs!$A$2:$I847,9,FALSE()),"please select a BUG ID")</f>
        <v>please select a BUG ID</v>
      </c>
      <c r="E844" s="52"/>
      <c r="F844" s="52"/>
      <c r="G844" s="43"/>
      <c r="H844" s="52"/>
      <c r="J844" s="52"/>
      <c r="K844" s="52"/>
    </row>
    <row r="845">
      <c r="A845" s="43"/>
      <c r="B845" s="38" t="str">
        <f>IFERROR(HYPERLINK(VLOOKUP(A845,Internal_lists_bugs!$A$2:$C$73,3,FALSE()), VLOOKUP(A845,Internal_lists_bugs!$A$2:$C$73,3,FALSE())&amp;Char(10) &amp; Char(10) &amp; VLOOKUP(A845,Internal_lists_bugs!$A$2:$Z$73,26,FALSE())),"please select a BUG ID")</f>
        <v>please select a BUG ID</v>
      </c>
      <c r="C845" s="51" t="str">
        <f>IFERROR(VLOOKUP(A845,Internal_lists_bugs!$A$2:$G847,7,FALSE()),"please select a BUG ID")</f>
        <v>please select a BUG ID</v>
      </c>
      <c r="D845" s="51" t="str">
        <f>IFERROR(VLOOKUP(A845,Internal_lists_bugs!$A$2:$I847,9,FALSE()),"please select a BUG ID")</f>
        <v>please select a BUG ID</v>
      </c>
      <c r="E845" s="52"/>
      <c r="F845" s="52"/>
      <c r="G845" s="43"/>
      <c r="H845" s="52"/>
      <c r="J845" s="52"/>
      <c r="K845" s="52"/>
    </row>
    <row r="846">
      <c r="A846" s="43"/>
      <c r="B846" s="38" t="str">
        <f>IFERROR(HYPERLINK(VLOOKUP(A846,Internal_lists_bugs!$A$2:$C$73,3,FALSE()), VLOOKUP(A846,Internal_lists_bugs!$A$2:$C$73,3,FALSE())&amp;Char(10) &amp; Char(10) &amp; VLOOKUP(A846,Internal_lists_bugs!$A$2:$Z$73,26,FALSE())),"please select a BUG ID")</f>
        <v>please select a BUG ID</v>
      </c>
      <c r="C846" s="51" t="str">
        <f>IFERROR(VLOOKUP(A846,Internal_lists_bugs!$A$2:$G847,7,FALSE()),"please select a BUG ID")</f>
        <v>please select a BUG ID</v>
      </c>
      <c r="D846" s="51" t="str">
        <f>IFERROR(VLOOKUP(A846,Internal_lists_bugs!$A$2:$I847,9,FALSE()),"please select a BUG ID")</f>
        <v>please select a BUG ID</v>
      </c>
      <c r="E846" s="52"/>
      <c r="F846" s="52"/>
      <c r="G846" s="43"/>
      <c r="H846" s="52"/>
      <c r="J846" s="52"/>
      <c r="K846" s="52"/>
    </row>
    <row r="847">
      <c r="A847" s="43"/>
      <c r="B847" s="38" t="str">
        <f>IFERROR(HYPERLINK(VLOOKUP(A847,Internal_lists_bugs!$A$2:$C$73,3,FALSE()), VLOOKUP(A847,Internal_lists_bugs!$A$2:$C$73,3,FALSE())&amp;Char(10) &amp; Char(10) &amp; VLOOKUP(A847,Internal_lists_bugs!$A$2:$Z$73,26,FALSE())),"please select a BUG ID")</f>
        <v>please select a BUG ID</v>
      </c>
      <c r="C847" s="51" t="str">
        <f>IFERROR(VLOOKUP(A847,Internal_lists_bugs!$A$2:$G847,7,FALSE()),"please select a BUG ID")</f>
        <v>please select a BUG ID</v>
      </c>
      <c r="D847" s="51" t="str">
        <f>IFERROR(VLOOKUP(A847,Internal_lists_bugs!$A$2:$I847,9,FALSE()),"please select a BUG ID")</f>
        <v>please select a BUG ID</v>
      </c>
      <c r="E847" s="52"/>
      <c r="F847" s="52"/>
      <c r="G847" s="43"/>
      <c r="H847" s="52"/>
      <c r="J847" s="52"/>
      <c r="K847" s="52"/>
    </row>
  </sheetData>
  <mergeCells count="1">
    <mergeCell ref="C2:D2"/>
  </mergeCells>
  <dataValidations>
    <dataValidation type="list" allowBlank="1" showInputMessage="1" showErrorMessage="1" prompt="Project BugID" sqref="A3:A847">
      <formula1>Internal_lists_bugs!$A$2:$A847</formula1>
    </dataValidation>
    <dataValidation type="list" allowBlank="1" showErrorMessage="1" sqref="G29:G30 G38:G39 G41:G43 G52:G62 G64 G76:G80 G89 G97:G98 G101 G111:G847">
      <formula1>"YES,NO,NA,NA, but ChangeLog"</formula1>
    </dataValidation>
  </dataValidations>
  <hyperlinks>
    <hyperlink r:id="rId1" ref="A1"/>
    <hyperlink r:id="rId2" location="gid=405816964" ref="B1"/>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18.0"/>
    <col customWidth="1" min="2" max="2" width="31.38"/>
    <col customWidth="1" min="3" max="3" width="34.88"/>
    <col customWidth="1" min="4" max="4" width="18.25" outlineLevel="1"/>
    <col customWidth="1" min="5" max="5" width="24.38" outlineLevel="1"/>
    <col customWidth="1" min="6" max="6" width="17.88" outlineLevel="1"/>
    <col customWidth="1" min="7" max="7" width="38.63" outlineLevel="1"/>
    <col customWidth="1" min="8" max="8" width="17.5" outlineLevel="1"/>
    <col customWidth="1" min="9" max="9" width="38.25" outlineLevel="1"/>
    <col min="10" max="10" width="12.63" outlineLevel="1"/>
    <col customWidth="1" min="11" max="11" width="20.0" outlineLevel="1"/>
    <col customWidth="1" min="12" max="12" width="19.88" outlineLevel="1"/>
    <col customWidth="1" min="13" max="13" width="20.0" outlineLevel="1"/>
    <col min="14" max="14" width="12.63" outlineLevel="1"/>
    <col customWidth="1" min="15" max="15" width="20.0" outlineLevel="1"/>
    <col min="16" max="16" width="12.63" outlineLevel="1"/>
    <col customWidth="1" min="17" max="17" width="16.63" outlineLevel="1"/>
    <col min="18" max="18" width="12.63" outlineLevel="1"/>
    <col customWidth="1" min="19" max="19" width="16.63" outlineLevel="1"/>
    <col customWidth="1" min="20" max="20" width="21.25" outlineLevel="1"/>
    <col customWidth="1" min="21" max="21" width="20.0" outlineLevel="1"/>
    <col min="22" max="22" width="12.63" outlineLevel="1"/>
    <col customWidth="1" min="23" max="23" width="20.0" outlineLevel="1"/>
    <col min="24" max="24" width="12.63" outlineLevel="1"/>
    <col customWidth="1" min="25" max="25" width="20.0" outlineLevel="1"/>
    <col hidden="1" min="26" max="26" width="12.63" outlineLevel="1"/>
    <col customWidth="1" hidden="1" min="27" max="27" width="24.5" outlineLevel="1"/>
    <col min="28" max="28" width="12.63" outlineLevel="1"/>
    <col customWidth="1" min="29" max="29" width="21.13" outlineLevel="1"/>
    <col hidden="1" min="30" max="30" width="12.63" outlineLevel="1"/>
    <col customWidth="1" hidden="1" min="31" max="31" width="21.13" outlineLevel="1"/>
    <col min="32" max="32" width="12.63" outlineLevel="1"/>
    <col customWidth="1" min="33" max="33" width="21.13" outlineLevel="1"/>
    <col hidden="1" min="34" max="34" width="12.63" outlineLevel="1"/>
    <col customWidth="1" hidden="1" min="35" max="35" width="21.13" outlineLevel="1"/>
    <col min="36" max="36" width="12.63" outlineLevel="1"/>
    <col customWidth="1" min="37" max="37" width="21.13" outlineLevel="1"/>
    <col hidden="1" min="38" max="38" width="12.63" outlineLevel="1"/>
    <col customWidth="1" hidden="1" min="39" max="39" width="21.13" outlineLevel="1"/>
    <col min="40" max="40" width="12.63" outlineLevel="1"/>
  </cols>
  <sheetData>
    <row r="1">
      <c r="A1" s="21" t="s">
        <v>101</v>
      </c>
      <c r="B1" s="21" t="s">
        <v>102</v>
      </c>
      <c r="C1" s="22" t="s">
        <v>103</v>
      </c>
      <c r="D1" s="27" t="s">
        <v>463</v>
      </c>
      <c r="E1" s="26"/>
      <c r="F1" s="112" t="s">
        <v>464</v>
      </c>
      <c r="G1" s="26"/>
      <c r="H1" s="27" t="s">
        <v>465</v>
      </c>
      <c r="I1" s="26"/>
      <c r="J1" s="53" t="s">
        <v>466</v>
      </c>
      <c r="K1" s="26"/>
      <c r="L1" s="53" t="s">
        <v>467</v>
      </c>
      <c r="M1" s="26"/>
      <c r="N1" s="53" t="s">
        <v>468</v>
      </c>
      <c r="O1" s="26"/>
      <c r="P1" s="53" t="s">
        <v>469</v>
      </c>
      <c r="Q1" s="26"/>
      <c r="R1" s="55" t="s">
        <v>470</v>
      </c>
      <c r="S1" s="26"/>
      <c r="T1" s="53" t="s">
        <v>471</v>
      </c>
      <c r="U1" s="26"/>
      <c r="V1" s="53" t="s">
        <v>472</v>
      </c>
      <c r="W1" s="26"/>
      <c r="X1" s="53" t="s">
        <v>473</v>
      </c>
      <c r="Y1" s="26"/>
      <c r="Z1" s="53" t="s">
        <v>474</v>
      </c>
      <c r="AA1" s="26"/>
      <c r="AB1" s="53" t="s">
        <v>475</v>
      </c>
      <c r="AC1" s="26"/>
      <c r="AD1" s="53" t="s">
        <v>476</v>
      </c>
      <c r="AE1" s="26"/>
      <c r="AF1" s="53" t="s">
        <v>477</v>
      </c>
      <c r="AG1" s="26"/>
      <c r="AH1" s="53" t="s">
        <v>478</v>
      </c>
      <c r="AI1" s="26"/>
      <c r="AJ1" s="53" t="s">
        <v>479</v>
      </c>
      <c r="AK1" s="26"/>
      <c r="AL1" s="55" t="s">
        <v>480</v>
      </c>
      <c r="AM1" s="26"/>
      <c r="AO1" s="112" t="s">
        <v>481</v>
      </c>
      <c r="AP1" s="26"/>
      <c r="AQ1" s="112" t="s">
        <v>482</v>
      </c>
      <c r="AR1" s="26"/>
      <c r="AS1" s="112"/>
      <c r="AT1" s="26"/>
    </row>
    <row r="2">
      <c r="A2" s="28" t="s">
        <v>109</v>
      </c>
      <c r="B2" s="29" t="s">
        <v>110</v>
      </c>
      <c r="C2" s="30" t="s">
        <v>483</v>
      </c>
      <c r="D2" s="113" t="s">
        <v>114</v>
      </c>
      <c r="E2" s="34" t="s">
        <v>484</v>
      </c>
      <c r="F2" s="32" t="s">
        <v>114</v>
      </c>
      <c r="G2" s="34" t="s">
        <v>115</v>
      </c>
      <c r="H2" s="32" t="s">
        <v>114</v>
      </c>
      <c r="I2" s="34" t="s">
        <v>115</v>
      </c>
      <c r="J2" s="32" t="s">
        <v>114</v>
      </c>
      <c r="K2" s="34" t="s">
        <v>115</v>
      </c>
      <c r="L2" s="32" t="s">
        <v>114</v>
      </c>
      <c r="M2" s="34" t="s">
        <v>115</v>
      </c>
      <c r="N2" s="32" t="s">
        <v>114</v>
      </c>
      <c r="O2" s="34" t="s">
        <v>115</v>
      </c>
      <c r="P2" s="32" t="s">
        <v>114</v>
      </c>
      <c r="Q2" s="34" t="s">
        <v>115</v>
      </c>
      <c r="R2" s="32" t="s">
        <v>114</v>
      </c>
      <c r="S2" s="34" t="s">
        <v>115</v>
      </c>
      <c r="T2" s="32" t="s">
        <v>114</v>
      </c>
      <c r="U2" s="34" t="s">
        <v>115</v>
      </c>
      <c r="V2" s="32" t="s">
        <v>114</v>
      </c>
      <c r="W2" s="34" t="s">
        <v>115</v>
      </c>
      <c r="X2" s="32" t="s">
        <v>114</v>
      </c>
      <c r="Y2" s="34" t="s">
        <v>115</v>
      </c>
      <c r="Z2" s="32" t="s">
        <v>114</v>
      </c>
      <c r="AA2" s="34" t="s">
        <v>115</v>
      </c>
      <c r="AB2" s="32" t="s">
        <v>114</v>
      </c>
      <c r="AC2" s="34" t="s">
        <v>115</v>
      </c>
      <c r="AD2" s="32" t="s">
        <v>114</v>
      </c>
      <c r="AE2" s="34" t="s">
        <v>115</v>
      </c>
      <c r="AF2" s="32" t="s">
        <v>114</v>
      </c>
      <c r="AG2" s="34" t="s">
        <v>115</v>
      </c>
      <c r="AH2" s="32" t="s">
        <v>114</v>
      </c>
      <c r="AI2" s="34" t="s">
        <v>115</v>
      </c>
      <c r="AJ2" s="32" t="s">
        <v>114</v>
      </c>
      <c r="AK2" s="34" t="s">
        <v>115</v>
      </c>
      <c r="AL2" s="32" t="s">
        <v>114</v>
      </c>
      <c r="AM2" s="34" t="s">
        <v>115</v>
      </c>
      <c r="AN2" s="34" t="s">
        <v>485</v>
      </c>
      <c r="AO2" s="32" t="s">
        <v>114</v>
      </c>
      <c r="AP2" s="34" t="s">
        <v>115</v>
      </c>
      <c r="AQ2" s="32" t="s">
        <v>114</v>
      </c>
      <c r="AR2" s="98" t="s">
        <v>115</v>
      </c>
      <c r="AS2" s="32"/>
      <c r="AT2" s="34"/>
    </row>
    <row r="3">
      <c r="A3" s="16" t="s">
        <v>30</v>
      </c>
      <c r="B3" s="114" t="str">
        <f>IFERROR(HYPERLINK(VLOOKUP(A3,Internal_lists_bugs!$A$2:$I2003,9,FALSE()), VLOOKUP(A3,Internal_lists_bugs!$A$2:$C$73,3,FALSE())&amp;Char(10) &amp; Char(10) &amp; VLOOKUP(A3,Internal_lists_bugs!$A$2:$Z$73,26,FALSE())),"please select a BUG ID")</f>
        <v>
</v>
      </c>
      <c r="C3" s="39" t="str">
        <f>IFERROR(VLOOKUP(A3,Internal_lists_bugs!$A$2:$G2003,7,FALSE()),"please select a BUG ID")</f>
        <v>https://opendev.org/openstack/nova/commit/fa6c2d4def22f0ddd296572d9ce5b3b6f7267e2f</v>
      </c>
      <c r="D3" s="16" t="s">
        <v>486</v>
      </c>
      <c r="E3" s="61" t="s">
        <v>487</v>
      </c>
      <c r="F3" s="16" t="s">
        <v>488</v>
      </c>
      <c r="G3" s="61" t="s">
        <v>489</v>
      </c>
      <c r="H3" s="16" t="s">
        <v>490</v>
      </c>
      <c r="I3" s="61" t="s">
        <v>491</v>
      </c>
      <c r="J3" s="16" t="s">
        <v>121</v>
      </c>
      <c r="K3" s="42"/>
      <c r="L3" s="16" t="s">
        <v>492</v>
      </c>
      <c r="M3" s="42"/>
      <c r="N3" s="16" t="s">
        <v>135</v>
      </c>
      <c r="O3" s="44"/>
      <c r="P3" s="43"/>
      <c r="Q3" s="44"/>
      <c r="R3" s="43"/>
      <c r="S3" s="44"/>
      <c r="T3" s="16" t="s">
        <v>493</v>
      </c>
      <c r="U3" s="42"/>
      <c r="V3" s="43"/>
      <c r="W3" s="42"/>
      <c r="X3" s="16" t="s">
        <v>135</v>
      </c>
      <c r="Y3" s="42" t="s">
        <v>494</v>
      </c>
      <c r="Z3" s="43"/>
      <c r="AA3" s="42"/>
      <c r="AB3" s="16" t="s">
        <v>135</v>
      </c>
      <c r="AC3" s="42" t="s">
        <v>495</v>
      </c>
      <c r="AD3" s="43"/>
      <c r="AE3" s="42"/>
      <c r="AF3" s="16" t="s">
        <v>121</v>
      </c>
      <c r="AG3" s="42"/>
      <c r="AH3" s="43"/>
      <c r="AI3" s="42"/>
      <c r="AJ3" s="16" t="s">
        <v>121</v>
      </c>
      <c r="AK3" s="42"/>
      <c r="AL3" s="43"/>
      <c r="AM3" s="42"/>
      <c r="AN3" s="115"/>
      <c r="AO3" s="43"/>
      <c r="AP3" s="115"/>
      <c r="AQ3" s="16" t="s">
        <v>135</v>
      </c>
      <c r="AR3" s="116"/>
      <c r="AS3" s="9"/>
      <c r="AT3" s="1"/>
    </row>
    <row r="4">
      <c r="A4" s="16" t="s">
        <v>31</v>
      </c>
      <c r="B4" s="114" t="str">
        <f>IFERROR(HYPERLINK(VLOOKUP(A4,Internal_lists_bugs!$A$2:$I2003,9,FALSE()), VLOOKUP(A4,Internal_lists_bugs!$A$2:$C$73,3,FALSE())&amp;Char(10) &amp; Char(10) &amp; VLOOKUP(A4,Internal_lists_bugs!$A$2:$Z$73,26,FALSE())),"please select a BUG ID")</f>
        <v>
</v>
      </c>
      <c r="C4" s="39" t="str">
        <f>IFERROR(VLOOKUP(A4,Internal_lists_bugs!$A$2:$G2003,7,FALSE()),"please select a BUG ID")</f>
        <v>https://opendev.org/openstack/nova/commit/5876827d92bad3c408651184d9fea835639d8db8</v>
      </c>
      <c r="D4" s="16" t="s">
        <v>496</v>
      </c>
      <c r="E4" s="61"/>
      <c r="F4" s="16" t="s">
        <v>497</v>
      </c>
      <c r="G4" s="61" t="s">
        <v>498</v>
      </c>
      <c r="H4" s="16" t="s">
        <v>497</v>
      </c>
      <c r="I4" s="61" t="s">
        <v>499</v>
      </c>
      <c r="J4" s="16" t="s">
        <v>121</v>
      </c>
      <c r="K4" s="42"/>
      <c r="L4" s="16" t="s">
        <v>500</v>
      </c>
      <c r="M4" s="42"/>
      <c r="N4" s="16" t="s">
        <v>135</v>
      </c>
      <c r="O4" s="44"/>
      <c r="P4" s="43"/>
      <c r="Q4" s="44"/>
      <c r="R4" s="43"/>
      <c r="S4" s="44"/>
      <c r="T4" s="16" t="s">
        <v>501</v>
      </c>
      <c r="U4" s="42"/>
      <c r="V4" s="43"/>
      <c r="W4" s="42"/>
      <c r="X4" s="16" t="s">
        <v>135</v>
      </c>
      <c r="Y4" s="42" t="s">
        <v>502</v>
      </c>
      <c r="Z4" s="43"/>
      <c r="AA4" s="42"/>
      <c r="AB4" s="16" t="s">
        <v>135</v>
      </c>
      <c r="AC4" s="42" t="s">
        <v>503</v>
      </c>
      <c r="AD4" s="43"/>
      <c r="AE4" s="42"/>
      <c r="AF4" s="16" t="s">
        <v>121</v>
      </c>
      <c r="AG4" s="42"/>
      <c r="AH4" s="43"/>
      <c r="AI4" s="42"/>
      <c r="AJ4" s="16" t="s">
        <v>121</v>
      </c>
      <c r="AK4" s="42"/>
      <c r="AL4" s="43"/>
      <c r="AM4" s="42"/>
      <c r="AN4" s="115"/>
      <c r="AO4" s="43"/>
      <c r="AP4" s="116"/>
      <c r="AQ4" s="16" t="s">
        <v>121</v>
      </c>
      <c r="AR4" s="116"/>
      <c r="AS4" s="1"/>
      <c r="AT4" s="1"/>
    </row>
    <row r="5">
      <c r="A5" s="16" t="s">
        <v>31</v>
      </c>
      <c r="B5" s="114" t="str">
        <f>IFERROR(HYPERLINK(VLOOKUP(A5,Internal_lists_bugs!$A$2:$I2003,9,FALSE()), VLOOKUP(A5,Internal_lists_bugs!$A$2:$C$73,3,FALSE())&amp;Char(10) &amp; Char(10) &amp; VLOOKUP(A5,Internal_lists_bugs!$A$2:$Z$73,26,FALSE())),"please select a BUG ID")</f>
        <v>
</v>
      </c>
      <c r="C5" s="39" t="str">
        <f>IFERROR(VLOOKUP(A5,Internal_lists_bugs!$A$2:$G2003,7,FALSE()),"please select a BUG ID")</f>
        <v>https://opendev.org/openstack/nova/commit/5876827d92bad3c408651184d9fea835639d8db8</v>
      </c>
      <c r="D5" s="43"/>
      <c r="E5" s="61"/>
      <c r="F5" s="16" t="s">
        <v>496</v>
      </c>
      <c r="G5" s="61" t="s">
        <v>504</v>
      </c>
      <c r="H5" s="43"/>
      <c r="J5" s="43"/>
      <c r="K5" s="42"/>
      <c r="L5" s="43"/>
      <c r="M5" s="42"/>
      <c r="N5" s="43"/>
      <c r="O5" s="44"/>
      <c r="P5" s="43"/>
      <c r="Q5" s="42"/>
      <c r="R5" s="43"/>
      <c r="S5" s="42"/>
      <c r="T5" s="43"/>
      <c r="U5" s="42"/>
      <c r="V5" s="43"/>
      <c r="W5" s="42"/>
      <c r="X5" s="43"/>
      <c r="Y5" s="42"/>
      <c r="Z5" s="43"/>
      <c r="AA5" s="42"/>
      <c r="AB5" s="43"/>
      <c r="AC5" s="42"/>
      <c r="AD5" s="43"/>
      <c r="AE5" s="42"/>
      <c r="AF5" s="43"/>
      <c r="AG5" s="42"/>
      <c r="AH5" s="43"/>
      <c r="AI5" s="42"/>
      <c r="AJ5" s="43"/>
      <c r="AK5" s="42"/>
      <c r="AL5" s="43"/>
      <c r="AM5" s="42"/>
      <c r="AN5" s="115"/>
      <c r="AO5" s="43"/>
      <c r="AP5" s="115"/>
      <c r="AQ5" s="43"/>
      <c r="AR5" s="116"/>
      <c r="AS5" s="9"/>
      <c r="AT5" s="1"/>
    </row>
    <row r="6">
      <c r="A6" s="16" t="s">
        <v>32</v>
      </c>
      <c r="B6" s="114" t="str">
        <f>IFERROR(HYPERLINK(VLOOKUP(A6,Internal_lists_bugs!$A$2:$I2003,9,FALSE()), VLOOKUP(A6,Internal_lists_bugs!$A$2:$C$73,3,FALSE())&amp;Char(10) &amp; Char(10) &amp; VLOOKUP(A6,Internal_lists_bugs!$A$2:$Z$73,26,FALSE())),"please select a BUG ID")</f>
        <v>
</v>
      </c>
      <c r="C6" s="39" t="str">
        <f>IFERROR(VLOOKUP(A6,Internal_lists_bugs!$A$2:$G2003,7,FALSE()),"please select a BUG ID")</f>
        <v>https://opendev.org/openstack/nova/commit/990561227d1cdadc1ae91fdcc74286a47f0ddf2c</v>
      </c>
      <c r="D6" s="16" t="s">
        <v>505</v>
      </c>
      <c r="E6" s="61" t="s">
        <v>506</v>
      </c>
      <c r="F6" s="16" t="s">
        <v>488</v>
      </c>
      <c r="G6" s="61" t="s">
        <v>507</v>
      </c>
      <c r="H6" s="16" t="s">
        <v>496</v>
      </c>
      <c r="I6" s="61" t="s">
        <v>508</v>
      </c>
      <c r="J6" s="16" t="s">
        <v>121</v>
      </c>
      <c r="K6" s="42"/>
      <c r="L6" s="16" t="s">
        <v>500</v>
      </c>
      <c r="M6" s="42"/>
      <c r="N6" s="16" t="s">
        <v>135</v>
      </c>
      <c r="O6" s="44"/>
      <c r="P6" s="43"/>
      <c r="Q6" s="42"/>
      <c r="R6" s="43"/>
      <c r="S6" s="42"/>
      <c r="T6" s="16" t="s">
        <v>501</v>
      </c>
      <c r="U6" s="42" t="s">
        <v>509</v>
      </c>
      <c r="V6" s="43"/>
      <c r="W6" s="42"/>
      <c r="X6" s="16" t="s">
        <v>135</v>
      </c>
      <c r="Y6" s="42" t="s">
        <v>502</v>
      </c>
      <c r="Z6" s="43"/>
      <c r="AA6" s="42"/>
      <c r="AB6" s="16" t="s">
        <v>135</v>
      </c>
      <c r="AC6" s="42"/>
      <c r="AD6" s="43"/>
      <c r="AE6" s="42"/>
      <c r="AF6" s="16" t="s">
        <v>121</v>
      </c>
      <c r="AG6" s="42"/>
      <c r="AH6" s="43"/>
      <c r="AI6" s="42"/>
      <c r="AJ6" s="16" t="s">
        <v>135</v>
      </c>
      <c r="AK6" s="42" t="s">
        <v>510</v>
      </c>
      <c r="AL6" s="43"/>
      <c r="AM6" s="42"/>
      <c r="AN6" s="115"/>
      <c r="AO6" s="43"/>
      <c r="AP6" s="115"/>
      <c r="AQ6" s="16" t="s">
        <v>121</v>
      </c>
      <c r="AR6" s="116"/>
      <c r="AS6" s="9"/>
      <c r="AT6" s="1"/>
    </row>
    <row r="7">
      <c r="A7" s="16" t="s">
        <v>33</v>
      </c>
      <c r="B7" s="114" t="str">
        <f>IFERROR(HYPERLINK(VLOOKUP(A7,Internal_lists_bugs!$A$2:$I2003,9,FALSE()), VLOOKUP(A7,Internal_lists_bugs!$A$2:$C$73,3,FALSE())&amp;Char(10) &amp; Char(10) &amp; VLOOKUP(A7,Internal_lists_bugs!$A$2:$Z$73,26,FALSE())),"please select a BUG ID")</f>
        <v>
</v>
      </c>
      <c r="C7" s="39" t="str">
        <f>IFERROR(VLOOKUP(A7,Internal_lists_bugs!$A$2:$G2003,7,FALSE()),"please select a BUG ID")</f>
        <v>https://opendev.org/openstack/nova/commit/27a5753dd3766b5535e0248d48c9bb555379dd12</v>
      </c>
      <c r="D7" s="16" t="s">
        <v>497</v>
      </c>
      <c r="E7" s="61"/>
      <c r="F7" s="16" t="s">
        <v>488</v>
      </c>
      <c r="G7" s="61" t="s">
        <v>511</v>
      </c>
      <c r="H7" s="16" t="s">
        <v>488</v>
      </c>
      <c r="I7" s="61" t="s">
        <v>512</v>
      </c>
      <c r="J7" s="16" t="s">
        <v>121</v>
      </c>
      <c r="K7" s="42"/>
      <c r="L7" s="16" t="s">
        <v>513</v>
      </c>
      <c r="M7" s="42"/>
      <c r="N7" s="16" t="s">
        <v>121</v>
      </c>
      <c r="O7" s="44"/>
      <c r="P7" s="43"/>
      <c r="Q7" s="42"/>
      <c r="R7" s="43"/>
      <c r="S7" s="42"/>
      <c r="T7" s="16" t="s">
        <v>514</v>
      </c>
      <c r="U7" s="42" t="s">
        <v>453</v>
      </c>
      <c r="V7" s="43"/>
      <c r="W7" s="42"/>
      <c r="X7" s="16" t="s">
        <v>121</v>
      </c>
      <c r="Y7" s="42"/>
      <c r="Z7" s="43"/>
      <c r="AA7" s="42"/>
      <c r="AB7" s="16" t="s">
        <v>121</v>
      </c>
      <c r="AC7" s="42"/>
      <c r="AD7" s="43"/>
      <c r="AE7" s="42"/>
      <c r="AF7" s="16" t="s">
        <v>121</v>
      </c>
      <c r="AG7" s="42"/>
      <c r="AH7" s="43"/>
      <c r="AI7" s="42"/>
      <c r="AJ7" s="16" t="s">
        <v>121</v>
      </c>
      <c r="AK7" s="42"/>
      <c r="AL7" s="43"/>
      <c r="AM7" s="42"/>
      <c r="AN7" s="115"/>
      <c r="AO7" s="43"/>
      <c r="AP7" s="115"/>
      <c r="AQ7" s="16" t="s">
        <v>121</v>
      </c>
      <c r="AR7" s="116"/>
      <c r="AS7" s="9"/>
      <c r="AT7" s="1"/>
    </row>
    <row r="8">
      <c r="A8" s="16" t="s">
        <v>33</v>
      </c>
      <c r="B8" s="114" t="str">
        <f>IFERROR(HYPERLINK(VLOOKUP(A8,Internal_lists_bugs!$A$2:$I2003,9,FALSE()), VLOOKUP(A8,Internal_lists_bugs!$A$2:$C$73,3,FALSE())&amp;Char(10) &amp; Char(10) &amp; VLOOKUP(A8,Internal_lists_bugs!$A$2:$Z$73,26,FALSE())),"please select a BUG ID")</f>
        <v>
</v>
      </c>
      <c r="C8" s="39" t="str">
        <f>IFERROR(VLOOKUP(A8,Internal_lists_bugs!$A$2:$G2003,7,FALSE()),"please select a BUG ID")</f>
        <v>https://opendev.org/openstack/nova/commit/27a5753dd3766b5535e0248d48c9bb555379dd12</v>
      </c>
      <c r="D8" s="43"/>
      <c r="E8" s="61"/>
      <c r="F8" s="16" t="s">
        <v>496</v>
      </c>
      <c r="G8" s="61" t="s">
        <v>515</v>
      </c>
      <c r="H8" s="43"/>
      <c r="I8" s="61"/>
      <c r="J8" s="43"/>
      <c r="K8" s="42"/>
      <c r="L8" s="43"/>
      <c r="M8" s="42"/>
      <c r="N8" s="43"/>
      <c r="O8" s="44"/>
      <c r="P8" s="43"/>
      <c r="Q8" s="42"/>
      <c r="R8" s="43"/>
      <c r="S8" s="42"/>
      <c r="T8" s="43"/>
      <c r="U8" s="42"/>
      <c r="V8" s="43"/>
      <c r="W8" s="42"/>
      <c r="X8" s="43"/>
      <c r="Y8" s="42"/>
      <c r="Z8" s="43"/>
      <c r="AA8" s="42"/>
      <c r="AB8" s="43"/>
      <c r="AC8" s="42"/>
      <c r="AD8" s="43"/>
      <c r="AE8" s="42"/>
      <c r="AF8" s="43"/>
      <c r="AG8" s="42"/>
      <c r="AH8" s="43"/>
      <c r="AI8" s="42"/>
      <c r="AJ8" s="43"/>
      <c r="AK8" s="42"/>
      <c r="AL8" s="43"/>
      <c r="AM8" s="42"/>
      <c r="AN8" s="115"/>
      <c r="AO8" s="43"/>
      <c r="AP8" s="115"/>
      <c r="AQ8" s="43"/>
      <c r="AR8" s="116"/>
      <c r="AS8" s="9"/>
      <c r="AT8" s="1"/>
    </row>
    <row r="9">
      <c r="A9" s="16" t="s">
        <v>34</v>
      </c>
      <c r="B9" s="114" t="str">
        <f>IFERROR(HYPERLINK(VLOOKUP(A9,Internal_lists_bugs!$A$2:$I2003,9,FALSE()), VLOOKUP(A9,Internal_lists_bugs!$A$2:$C$73,3,FALSE())&amp;Char(10) &amp; Char(10) &amp; VLOOKUP(A9,Internal_lists_bugs!$A$2:$Z$73,26,FALSE())),"please select a BUG ID")</f>
        <v>
</v>
      </c>
      <c r="C9" s="39" t="str">
        <f>IFERROR(VLOOKUP(A9,Internal_lists_bugs!$A$2:$G2003,7,FALSE()),"please select a BUG ID")</f>
        <v>https://opendev.org/openstack/nova/commit/05120edf92627ff7ad20a928f8b94568031556c9</v>
      </c>
      <c r="D9" s="16" t="s">
        <v>497</v>
      </c>
      <c r="E9" s="61"/>
      <c r="F9" s="16" t="s">
        <v>488</v>
      </c>
      <c r="G9" s="61" t="s">
        <v>516</v>
      </c>
      <c r="H9" s="16" t="s">
        <v>488</v>
      </c>
      <c r="I9" s="61" t="s">
        <v>517</v>
      </c>
      <c r="J9" s="16" t="s">
        <v>121</v>
      </c>
      <c r="K9" s="42"/>
      <c r="L9" s="16" t="s">
        <v>518</v>
      </c>
      <c r="M9" s="42"/>
      <c r="N9" s="16" t="s">
        <v>135</v>
      </c>
      <c r="O9" s="42"/>
      <c r="P9" s="43"/>
      <c r="Q9" s="42"/>
      <c r="R9" s="43"/>
      <c r="S9" s="44"/>
      <c r="T9" s="16" t="s">
        <v>501</v>
      </c>
      <c r="U9" s="42" t="s">
        <v>519</v>
      </c>
      <c r="V9" s="43"/>
      <c r="W9" s="42"/>
      <c r="X9" s="16" t="s">
        <v>121</v>
      </c>
      <c r="Y9" s="42"/>
      <c r="Z9" s="16"/>
      <c r="AA9" s="42"/>
      <c r="AB9" s="16" t="s">
        <v>135</v>
      </c>
      <c r="AC9" s="42"/>
      <c r="AD9" s="16"/>
      <c r="AE9" s="42"/>
      <c r="AF9" s="16" t="s">
        <v>121</v>
      </c>
      <c r="AG9" s="42"/>
      <c r="AH9" s="43"/>
      <c r="AI9" s="42"/>
      <c r="AJ9" s="16" t="s">
        <v>121</v>
      </c>
      <c r="AK9" s="42"/>
      <c r="AL9" s="43"/>
      <c r="AM9" s="42"/>
      <c r="AN9" s="115"/>
      <c r="AO9" s="43"/>
      <c r="AP9" s="115"/>
      <c r="AQ9" s="16" t="s">
        <v>135</v>
      </c>
      <c r="AR9" s="116"/>
      <c r="AS9" s="1"/>
      <c r="AT9" s="1"/>
    </row>
    <row r="10">
      <c r="A10" s="16" t="s">
        <v>35</v>
      </c>
      <c r="B10" s="114" t="str">
        <f>IFERROR(HYPERLINK(VLOOKUP(A10,Internal_lists_bugs!$A$2:$I2003,9,FALSE()), VLOOKUP(A10,Internal_lists_bugs!$A$2:$C$73,3,FALSE())&amp;Char(10) &amp; Char(10) &amp; VLOOKUP(A10,Internal_lists_bugs!$A$2:$Z$73,26,FALSE())),"please select a BUG ID")</f>
        <v>
</v>
      </c>
      <c r="C10" s="39" t="str">
        <f>IFERROR(VLOOKUP(A10,Internal_lists_bugs!$A$2:$G2003,7,FALSE()),"please select a BUG ID")</f>
        <v>https://opendev.org/openstack/nova/commit/6982d8534d78d9732fc8d6e05c8f3bb432d62264</v>
      </c>
      <c r="D10" s="16" t="s">
        <v>497</v>
      </c>
      <c r="E10" s="61"/>
      <c r="F10" s="16" t="s">
        <v>488</v>
      </c>
      <c r="G10" s="61" t="s">
        <v>520</v>
      </c>
      <c r="H10" s="16" t="s">
        <v>488</v>
      </c>
      <c r="I10" s="61" t="s">
        <v>521</v>
      </c>
      <c r="J10" s="16" t="s">
        <v>121</v>
      </c>
      <c r="K10" s="42"/>
      <c r="L10" s="16" t="s">
        <v>500</v>
      </c>
      <c r="M10" s="42"/>
      <c r="N10" s="16" t="s">
        <v>135</v>
      </c>
      <c r="O10" s="44"/>
      <c r="P10" s="43"/>
      <c r="Q10" s="42"/>
      <c r="R10" s="43"/>
      <c r="S10" s="44"/>
      <c r="T10" s="16" t="s">
        <v>514</v>
      </c>
      <c r="U10" s="42" t="s">
        <v>453</v>
      </c>
      <c r="V10" s="43"/>
      <c r="W10" s="42"/>
      <c r="X10" s="16" t="s">
        <v>121</v>
      </c>
      <c r="Y10" s="42"/>
      <c r="Z10" s="43"/>
      <c r="AA10" s="42"/>
      <c r="AB10" s="16" t="s">
        <v>121</v>
      </c>
      <c r="AC10" s="42"/>
      <c r="AD10" s="16"/>
      <c r="AE10" s="42"/>
      <c r="AF10" s="16" t="s">
        <v>121</v>
      </c>
      <c r="AG10" s="42"/>
      <c r="AH10" s="43"/>
      <c r="AI10" s="42"/>
      <c r="AJ10" s="16" t="s">
        <v>121</v>
      </c>
      <c r="AK10" s="42"/>
      <c r="AL10" s="43"/>
      <c r="AM10" s="42"/>
      <c r="AN10" s="115"/>
      <c r="AO10" s="43"/>
      <c r="AP10" s="115"/>
      <c r="AQ10" s="16" t="s">
        <v>121</v>
      </c>
      <c r="AR10" s="116"/>
      <c r="AS10" s="1"/>
      <c r="AT10" s="1"/>
    </row>
    <row r="11">
      <c r="A11" s="16" t="s">
        <v>36</v>
      </c>
      <c r="B11" s="114" t="str">
        <f>IFERROR(HYPERLINK(VLOOKUP(A11,Internal_lists_bugs!$A$2:$I2003,9,FALSE()), VLOOKUP(A11,Internal_lists_bugs!$A$2:$C$73,3,FALSE())&amp;Char(10) &amp; Char(10) &amp; VLOOKUP(A11,Internal_lists_bugs!$A$2:$Z$73,26,FALSE())),"please select a BUG ID")</f>
        <v>
</v>
      </c>
      <c r="C11" s="39" t="str">
        <f>IFERROR(VLOOKUP(A11,Internal_lists_bugs!$A$2:$G2003,7,FALSE()),"please select a BUG ID")</f>
        <v>https://opendev.org/openstack/nova/commit/995ee643f3291157151d195552232d09d471d8c2</v>
      </c>
      <c r="D11" s="16" t="s">
        <v>497</v>
      </c>
      <c r="E11" s="61"/>
      <c r="F11" s="16" t="s">
        <v>488</v>
      </c>
      <c r="G11" s="61" t="s">
        <v>522</v>
      </c>
      <c r="H11" s="16" t="s">
        <v>488</v>
      </c>
      <c r="I11" s="61" t="s">
        <v>523</v>
      </c>
      <c r="J11" s="16" t="s">
        <v>121</v>
      </c>
      <c r="K11" s="42"/>
      <c r="L11" s="16" t="s">
        <v>500</v>
      </c>
      <c r="M11" s="42"/>
      <c r="N11" s="16" t="s">
        <v>135</v>
      </c>
      <c r="O11" s="44"/>
      <c r="P11" s="43"/>
      <c r="Q11" s="42"/>
      <c r="R11" s="43"/>
      <c r="S11" s="42"/>
      <c r="T11" s="16" t="s">
        <v>501</v>
      </c>
      <c r="U11" s="42" t="s">
        <v>453</v>
      </c>
      <c r="V11" s="43"/>
      <c r="W11" s="42"/>
      <c r="X11" s="16" t="s">
        <v>121</v>
      </c>
      <c r="Y11" s="42"/>
      <c r="Z11" s="43"/>
      <c r="AA11" s="42"/>
      <c r="AB11" s="16" t="s">
        <v>135</v>
      </c>
      <c r="AC11" s="42" t="s">
        <v>503</v>
      </c>
      <c r="AD11" s="43"/>
      <c r="AE11" s="42"/>
      <c r="AF11" s="16" t="s">
        <v>135</v>
      </c>
      <c r="AG11" s="42" t="s">
        <v>524</v>
      </c>
      <c r="AH11" s="43"/>
      <c r="AI11" s="42"/>
      <c r="AJ11" s="16" t="s">
        <v>121</v>
      </c>
      <c r="AK11" s="42"/>
      <c r="AL11" s="43"/>
      <c r="AM11" s="42"/>
      <c r="AN11" s="115"/>
      <c r="AO11" s="43"/>
      <c r="AP11" s="115"/>
      <c r="AQ11" s="16" t="s">
        <v>121</v>
      </c>
      <c r="AR11" s="116"/>
      <c r="AS11" s="9"/>
      <c r="AT11" s="1"/>
    </row>
    <row r="12">
      <c r="A12" s="16" t="s">
        <v>37</v>
      </c>
      <c r="B12" s="114" t="str">
        <f>IFERROR(HYPERLINK(VLOOKUP(A12,Internal_lists_bugs!$A$2:$I2003,9,FALSE()), VLOOKUP(A12,Internal_lists_bugs!$A$2:$C$73,3,FALSE())&amp;Char(10) &amp; Char(10) &amp; VLOOKUP(A12,Internal_lists_bugs!$A$2:$Z$73,26,FALSE())),"please select a BUG ID")</f>
        <v>
</v>
      </c>
      <c r="C12" s="39" t="str">
        <f>IFERROR(VLOOKUP(A12,Internal_lists_bugs!$A$2:$G2003,7,FALSE()),"please select a BUG ID")</f>
        <v>https://opendev.org/openstack/nova/commit/8218a86dedd50301252598667171d17d874bb36d</v>
      </c>
      <c r="D12" s="16" t="s">
        <v>497</v>
      </c>
      <c r="E12" s="61"/>
      <c r="F12" s="16" t="s">
        <v>488</v>
      </c>
      <c r="G12" s="61" t="s">
        <v>525</v>
      </c>
      <c r="H12" s="16" t="s">
        <v>488</v>
      </c>
      <c r="I12" s="61" t="s">
        <v>526</v>
      </c>
      <c r="J12" s="16" t="s">
        <v>121</v>
      </c>
      <c r="K12" s="42"/>
      <c r="L12" s="16" t="s">
        <v>492</v>
      </c>
      <c r="M12" s="42"/>
      <c r="N12" s="16" t="s">
        <v>135</v>
      </c>
      <c r="O12" s="44"/>
      <c r="P12" s="43"/>
      <c r="Q12" s="42"/>
      <c r="R12" s="43"/>
      <c r="S12" s="42"/>
      <c r="T12" s="16" t="s">
        <v>501</v>
      </c>
      <c r="U12" s="42" t="s">
        <v>453</v>
      </c>
      <c r="V12" s="43"/>
      <c r="W12" s="42"/>
      <c r="X12" s="16" t="s">
        <v>121</v>
      </c>
      <c r="Y12" s="42"/>
      <c r="Z12" s="43"/>
      <c r="AA12" s="42"/>
      <c r="AB12" s="16" t="s">
        <v>135</v>
      </c>
      <c r="AC12" s="42" t="s">
        <v>527</v>
      </c>
      <c r="AD12" s="43"/>
      <c r="AE12" s="42"/>
      <c r="AF12" s="16" t="s">
        <v>121</v>
      </c>
      <c r="AG12" s="42"/>
      <c r="AH12" s="43"/>
      <c r="AI12" s="42"/>
      <c r="AJ12" s="16" t="s">
        <v>121</v>
      </c>
      <c r="AK12" s="42"/>
      <c r="AL12" s="43"/>
      <c r="AM12" s="42"/>
      <c r="AN12" s="115"/>
      <c r="AO12" s="43"/>
      <c r="AP12" s="115"/>
      <c r="AQ12" s="16" t="s">
        <v>121</v>
      </c>
      <c r="AR12" s="116"/>
      <c r="AS12" s="9"/>
      <c r="AT12" s="1"/>
    </row>
    <row r="13">
      <c r="A13" s="16" t="s">
        <v>37</v>
      </c>
      <c r="B13" s="114" t="str">
        <f>IFERROR(HYPERLINK(VLOOKUP(A13,Internal_lists_bugs!$A$2:$I2003,9,FALSE()), VLOOKUP(A13,Internal_lists_bugs!$A$2:$C$73,3,FALSE())&amp;Char(10) &amp; Char(10) &amp; VLOOKUP(A13,Internal_lists_bugs!$A$2:$Z$73,26,FALSE())),"please select a BUG ID")</f>
        <v>
</v>
      </c>
      <c r="C13" s="39" t="str">
        <f>IFERROR(VLOOKUP(A13,Internal_lists_bugs!$A$2:$G2003,7,FALSE()),"please select a BUG ID")</f>
        <v>https://opendev.org/openstack/nova/commit/8218a86dedd50301252598667171d17d874bb36d</v>
      </c>
      <c r="D13" s="43"/>
      <c r="E13" s="61"/>
      <c r="F13" s="16" t="s">
        <v>497</v>
      </c>
      <c r="G13" s="61" t="s">
        <v>528</v>
      </c>
      <c r="H13" s="117"/>
      <c r="I13" s="61"/>
      <c r="J13" s="43"/>
      <c r="K13" s="42"/>
      <c r="L13" s="43"/>
      <c r="M13" s="42"/>
      <c r="N13" s="43"/>
      <c r="O13" s="44"/>
      <c r="P13" s="43"/>
      <c r="Q13" s="42"/>
      <c r="R13" s="43"/>
      <c r="S13" s="42"/>
      <c r="T13" s="43"/>
      <c r="U13" s="42"/>
      <c r="V13" s="43"/>
      <c r="W13" s="42"/>
      <c r="X13" s="43"/>
      <c r="Y13" s="42"/>
      <c r="Z13" s="43"/>
      <c r="AA13" s="42"/>
      <c r="AB13" s="43"/>
      <c r="AC13" s="42"/>
      <c r="AD13" s="43"/>
      <c r="AE13" s="42"/>
      <c r="AF13" s="43"/>
      <c r="AG13" s="42"/>
      <c r="AH13" s="43"/>
      <c r="AI13" s="42"/>
      <c r="AJ13" s="43"/>
      <c r="AK13" s="42"/>
      <c r="AL13" s="43"/>
      <c r="AM13" s="42"/>
      <c r="AN13" s="115"/>
      <c r="AO13" s="43"/>
      <c r="AP13" s="115"/>
      <c r="AQ13" s="43"/>
      <c r="AR13" s="116"/>
      <c r="AS13" s="9"/>
      <c r="AT13" s="1"/>
    </row>
    <row r="14">
      <c r="A14" s="16" t="s">
        <v>38</v>
      </c>
      <c r="B14" s="114" t="str">
        <f>IFERROR(HYPERLINK(VLOOKUP(A14,Internal_lists_bugs!$A$2:$I2003,9,FALSE()), VLOOKUP(A14,Internal_lists_bugs!$A$2:$C$73,3,FALSE())&amp;Char(10) &amp; Char(10) &amp; VLOOKUP(A14,Internal_lists_bugs!$A$2:$Z$73,26,FALSE())),"please select a BUG ID")</f>
        <v>
</v>
      </c>
      <c r="C14" s="39" t="str">
        <f>IFERROR(VLOOKUP(A14,Internal_lists_bugs!$A$2:$G2003,7,FALSE()),"please select a BUG ID")</f>
        <v>https://opendev.org/openstack/nova/commit/90a37c069ede9d9b23ff6faef4ea6e48bbd7ebce</v>
      </c>
      <c r="D14" s="16" t="s">
        <v>497</v>
      </c>
      <c r="E14" s="61"/>
      <c r="F14" s="16" t="s">
        <v>488</v>
      </c>
      <c r="G14" s="61" t="s">
        <v>529</v>
      </c>
      <c r="H14" s="16" t="s">
        <v>488</v>
      </c>
      <c r="I14" s="61" t="s">
        <v>530</v>
      </c>
      <c r="J14" s="16" t="s">
        <v>121</v>
      </c>
      <c r="K14" s="42"/>
      <c r="L14" s="16" t="s">
        <v>531</v>
      </c>
      <c r="M14" s="42" t="s">
        <v>532</v>
      </c>
      <c r="N14" s="16" t="s">
        <v>135</v>
      </c>
      <c r="O14" s="44"/>
      <c r="P14" s="43"/>
      <c r="Q14" s="42"/>
      <c r="R14" s="43"/>
      <c r="S14" s="42"/>
      <c r="T14" s="16" t="s">
        <v>493</v>
      </c>
      <c r="U14" s="42"/>
      <c r="V14" s="43"/>
      <c r="W14" s="42"/>
      <c r="X14" s="16" t="s">
        <v>121</v>
      </c>
      <c r="Y14" s="42"/>
      <c r="Z14" s="43"/>
      <c r="AA14" s="42"/>
      <c r="AB14" s="16" t="s">
        <v>135</v>
      </c>
      <c r="AC14" s="42"/>
      <c r="AD14" s="43"/>
      <c r="AE14" s="42"/>
      <c r="AF14" s="16" t="s">
        <v>121</v>
      </c>
      <c r="AG14" s="42"/>
      <c r="AH14" s="43"/>
      <c r="AI14" s="42"/>
      <c r="AJ14" s="16" t="s">
        <v>121</v>
      </c>
      <c r="AK14" s="42"/>
      <c r="AL14" s="43"/>
      <c r="AM14" s="42"/>
      <c r="AN14" s="115"/>
      <c r="AO14" s="43"/>
      <c r="AP14" s="115"/>
      <c r="AQ14" s="16" t="s">
        <v>121</v>
      </c>
      <c r="AR14" s="116"/>
      <c r="AS14" s="9"/>
      <c r="AT14" s="1"/>
    </row>
    <row r="15">
      <c r="A15" s="16" t="s">
        <v>39</v>
      </c>
      <c r="B15" s="59" t="str">
        <f>IFERROR(HYPERLINK(VLOOKUP(A15,Internal_lists_bugs!$A$2:$I2003,9,FALSE()), VLOOKUP(A15,Internal_lists_bugs!$A$2:$C$73,3,FALSE())&amp;Char(10) &amp; Char(10) &amp; VLOOKUP(A15,Internal_lists_bugs!$A$2:$Z$73,26,FALSE())),"please select a BUG ID")</f>
        <v>
</v>
      </c>
      <c r="C15" s="39" t="str">
        <f>IFERROR(VLOOKUP(A15,Internal_lists_bugs!$A$2:$G2003,7,FALSE()),"please select a BUG ID")</f>
        <v>https://opendev.org/openstack/nova/commit/1e4024b72218a07d1e535878337547cf16406dd8</v>
      </c>
      <c r="D15" s="16" t="s">
        <v>533</v>
      </c>
      <c r="E15" s="61" t="s">
        <v>534</v>
      </c>
      <c r="F15" s="16" t="s">
        <v>488</v>
      </c>
      <c r="G15" s="61" t="s">
        <v>535</v>
      </c>
      <c r="H15" s="16" t="s">
        <v>533</v>
      </c>
      <c r="I15" s="61" t="s">
        <v>536</v>
      </c>
      <c r="J15" s="16" t="s">
        <v>121</v>
      </c>
      <c r="K15" s="42"/>
      <c r="L15" s="16" t="s">
        <v>531</v>
      </c>
      <c r="M15" s="42"/>
      <c r="N15" s="16" t="s">
        <v>121</v>
      </c>
      <c r="O15" s="44"/>
      <c r="P15" s="43"/>
      <c r="Q15" s="42"/>
      <c r="R15" s="43"/>
      <c r="S15" s="42"/>
      <c r="T15" s="16" t="s">
        <v>537</v>
      </c>
      <c r="U15" s="42"/>
      <c r="V15" s="43"/>
      <c r="W15" s="42"/>
      <c r="X15" s="16" t="s">
        <v>121</v>
      </c>
      <c r="Y15" s="42"/>
      <c r="Z15" s="43"/>
      <c r="AA15" s="42"/>
      <c r="AB15" s="16" t="s">
        <v>121</v>
      </c>
      <c r="AC15" s="42"/>
      <c r="AD15" s="43"/>
      <c r="AE15" s="42"/>
      <c r="AF15" s="16" t="s">
        <v>121</v>
      </c>
      <c r="AG15" s="42"/>
      <c r="AH15" s="43"/>
      <c r="AI15" s="42"/>
      <c r="AJ15" s="16" t="s">
        <v>121</v>
      </c>
      <c r="AK15" s="42"/>
      <c r="AL15" s="43"/>
      <c r="AM15" s="42"/>
      <c r="AN15" s="115"/>
      <c r="AO15" s="43"/>
      <c r="AP15" s="115"/>
      <c r="AQ15" s="16" t="s">
        <v>297</v>
      </c>
      <c r="AR15" s="116"/>
      <c r="AS15" s="9"/>
      <c r="AT15" s="1"/>
    </row>
    <row r="16">
      <c r="A16" s="16" t="s">
        <v>40</v>
      </c>
      <c r="B16" s="114" t="str">
        <f>IFERROR(HYPERLINK(VLOOKUP(A16,Internal_lists_bugs!$A$2:$I2003,9,FALSE()), VLOOKUP(A16,Internal_lists_bugs!$A$2:$C$73,3,FALSE())&amp;Char(10) &amp; Char(10) &amp; VLOOKUP(A16,Internal_lists_bugs!$A$2:$Z$73,26,FALSE())),"please select a BUG ID")</f>
        <v>
</v>
      </c>
      <c r="C16" s="39" t="str">
        <f>IFERROR(VLOOKUP(A16,Internal_lists_bugs!$A$2:$G2003,7,FALSE()),"please select a BUG ID")</f>
        <v>https://opendev.org/openstack/nova/commit/f90885bacba3728dc9a35e99eecef37a37b881e2</v>
      </c>
      <c r="D16" s="16" t="s">
        <v>497</v>
      </c>
      <c r="E16" s="61"/>
      <c r="F16" s="16" t="s">
        <v>488</v>
      </c>
      <c r="G16" s="61" t="s">
        <v>538</v>
      </c>
      <c r="H16" s="16" t="s">
        <v>505</v>
      </c>
      <c r="I16" s="61" t="s">
        <v>539</v>
      </c>
      <c r="J16" s="16" t="s">
        <v>121</v>
      </c>
      <c r="K16" s="42"/>
      <c r="L16" s="16" t="s">
        <v>500</v>
      </c>
      <c r="M16" s="42"/>
      <c r="N16" s="16" t="s">
        <v>135</v>
      </c>
      <c r="O16" s="44"/>
      <c r="P16" s="43"/>
      <c r="Q16" s="42"/>
      <c r="R16" s="43"/>
      <c r="S16" s="42"/>
      <c r="T16" s="16" t="s">
        <v>501</v>
      </c>
      <c r="U16" s="42" t="s">
        <v>453</v>
      </c>
      <c r="V16" s="43"/>
      <c r="W16" s="42"/>
      <c r="X16" s="16" t="s">
        <v>121</v>
      </c>
      <c r="Y16" s="42"/>
      <c r="Z16" s="43"/>
      <c r="AA16" s="42"/>
      <c r="AB16" s="16" t="s">
        <v>121</v>
      </c>
      <c r="AC16" s="42"/>
      <c r="AD16" s="43"/>
      <c r="AE16" s="42"/>
      <c r="AF16" s="16" t="s">
        <v>121</v>
      </c>
      <c r="AG16" s="42"/>
      <c r="AH16" s="43"/>
      <c r="AI16" s="42"/>
      <c r="AJ16" s="16" t="s">
        <v>135</v>
      </c>
      <c r="AK16" s="42" t="s">
        <v>540</v>
      </c>
      <c r="AL16" s="43"/>
      <c r="AM16" s="42"/>
      <c r="AN16" s="115"/>
      <c r="AO16" s="43"/>
      <c r="AP16" s="115"/>
      <c r="AQ16" s="16" t="s">
        <v>121</v>
      </c>
      <c r="AR16" s="116"/>
      <c r="AS16" s="9"/>
      <c r="AT16" s="1"/>
    </row>
    <row r="17">
      <c r="A17" s="16" t="s">
        <v>41</v>
      </c>
      <c r="B17" s="114" t="str">
        <f>IFERROR(HYPERLINK(VLOOKUP(A17,Internal_lists_bugs!$A$2:$I2003,9,FALSE()), VLOOKUP(A17,Internal_lists_bugs!$A$2:$C$73,3,FALSE())&amp;Char(10) &amp; Char(10) &amp; VLOOKUP(A17,Internal_lists_bugs!$A$2:$Z$73,26,FALSE())),"please select a BUG ID")</f>
        <v>
</v>
      </c>
      <c r="C17" s="39" t="str">
        <f>IFERROR(VLOOKUP(A17,Internal_lists_bugs!$A$2:$G2003,7,FALSE()),"please select a BUG ID")</f>
        <v>https://opendev.org/openstack/nova/commit/b826fba1cd61f7ddbee091c220eaef7ea5317c1b</v>
      </c>
      <c r="D17" s="16" t="s">
        <v>496</v>
      </c>
      <c r="E17" s="61"/>
      <c r="F17" s="16" t="s">
        <v>488</v>
      </c>
      <c r="G17" s="61" t="s">
        <v>541</v>
      </c>
      <c r="H17" s="16" t="s">
        <v>496</v>
      </c>
      <c r="I17" s="61" t="s">
        <v>542</v>
      </c>
      <c r="J17" s="16" t="s">
        <v>121</v>
      </c>
      <c r="K17" s="42"/>
      <c r="L17" s="16" t="s">
        <v>500</v>
      </c>
      <c r="M17" s="42"/>
      <c r="N17" s="16" t="s">
        <v>135</v>
      </c>
      <c r="O17" s="44"/>
      <c r="P17" s="43"/>
      <c r="Q17" s="42"/>
      <c r="R17" s="43"/>
      <c r="S17" s="42"/>
      <c r="T17" s="16" t="s">
        <v>501</v>
      </c>
      <c r="U17" s="42" t="s">
        <v>453</v>
      </c>
      <c r="V17" s="43"/>
      <c r="W17" s="42"/>
      <c r="X17" s="16" t="s">
        <v>135</v>
      </c>
      <c r="Y17" s="42" t="s">
        <v>543</v>
      </c>
      <c r="Z17" s="43"/>
      <c r="AA17" s="42"/>
      <c r="AB17" s="16" t="s">
        <v>121</v>
      </c>
      <c r="AC17" s="42"/>
      <c r="AD17" s="43"/>
      <c r="AE17" s="42"/>
      <c r="AF17" s="16" t="s">
        <v>121</v>
      </c>
      <c r="AG17" s="42"/>
      <c r="AH17" s="43"/>
      <c r="AI17" s="42"/>
      <c r="AJ17" s="16" t="s">
        <v>121</v>
      </c>
      <c r="AK17" s="42"/>
      <c r="AL17" s="43"/>
      <c r="AM17" s="42"/>
      <c r="AN17" s="115"/>
      <c r="AO17" s="43"/>
      <c r="AP17" s="115"/>
      <c r="AQ17" s="16" t="s">
        <v>121</v>
      </c>
      <c r="AR17" s="116"/>
      <c r="AS17" s="9"/>
      <c r="AT17" s="1"/>
    </row>
    <row r="18">
      <c r="A18" s="16" t="s">
        <v>42</v>
      </c>
      <c r="B18" s="114" t="str">
        <f>IFERROR(HYPERLINK(VLOOKUP(A18,Internal_lists_bugs!$A$2:$I2003,9,FALSE()), VLOOKUP(A18,Internal_lists_bugs!$A$2:$C$73,3,FALSE())&amp;Char(10) &amp; Char(10) &amp; VLOOKUP(A18,Internal_lists_bugs!$A$2:$Z$73,26,FALSE())),"please select a BUG ID")</f>
        <v>
</v>
      </c>
      <c r="C18" s="39" t="str">
        <f>IFERROR(VLOOKUP(A18,Internal_lists_bugs!$A$2:$G2003,7,FALSE()),"please select a BUG ID")</f>
        <v>https://opendev.org/openstack/nova/commit/2d0578c539d000981e50ba0c143385974d10e2e2</v>
      </c>
      <c r="D18" s="16" t="s">
        <v>496</v>
      </c>
      <c r="E18" s="61"/>
      <c r="F18" s="16" t="s">
        <v>488</v>
      </c>
      <c r="G18" s="61" t="s">
        <v>544</v>
      </c>
      <c r="H18" s="16" t="s">
        <v>488</v>
      </c>
      <c r="I18" s="61" t="s">
        <v>545</v>
      </c>
      <c r="J18" s="16" t="s">
        <v>135</v>
      </c>
      <c r="K18" s="42" t="s">
        <v>546</v>
      </c>
      <c r="L18" s="16" t="s">
        <v>492</v>
      </c>
      <c r="M18" s="42"/>
      <c r="N18" s="16" t="s">
        <v>135</v>
      </c>
      <c r="O18" s="44"/>
      <c r="P18" s="43"/>
      <c r="Q18" s="42"/>
      <c r="R18" s="43"/>
      <c r="S18" s="42"/>
      <c r="T18" s="16" t="s">
        <v>514</v>
      </c>
      <c r="U18" s="42" t="s">
        <v>453</v>
      </c>
      <c r="V18" s="43"/>
      <c r="W18" s="42"/>
      <c r="X18" s="16" t="s">
        <v>121</v>
      </c>
      <c r="Y18" s="42"/>
      <c r="Z18" s="43"/>
      <c r="AA18" s="42"/>
      <c r="AB18" s="16" t="s">
        <v>135</v>
      </c>
      <c r="AC18" s="42"/>
      <c r="AD18" s="43"/>
      <c r="AE18" s="42"/>
      <c r="AF18" s="16" t="s">
        <v>135</v>
      </c>
      <c r="AG18" s="42" t="s">
        <v>547</v>
      </c>
      <c r="AH18" s="43"/>
      <c r="AI18" s="42"/>
      <c r="AJ18" s="16" t="s">
        <v>121</v>
      </c>
      <c r="AK18" s="42" t="s">
        <v>548</v>
      </c>
      <c r="AL18" s="43"/>
      <c r="AM18" s="42"/>
      <c r="AN18" s="115"/>
      <c r="AO18" s="43"/>
      <c r="AP18" s="115"/>
      <c r="AQ18" s="16" t="s">
        <v>121</v>
      </c>
      <c r="AR18" s="116"/>
      <c r="AS18" s="9"/>
      <c r="AT18" s="1"/>
    </row>
    <row r="19">
      <c r="A19" s="16" t="s">
        <v>43</v>
      </c>
      <c r="B19" s="114" t="str">
        <f>IFERROR(HYPERLINK(VLOOKUP(A19,Internal_lists_bugs!$A$2:$I2003,9,FALSE()), VLOOKUP(A19,Internal_lists_bugs!$A$2:$C$73,3,FALSE())&amp;Char(10) &amp; Char(10) &amp; VLOOKUP(A19,Internal_lists_bugs!$A$2:$Z$73,26,FALSE())),"please select a BUG ID")</f>
        <v>
</v>
      </c>
      <c r="C19" s="39" t="str">
        <f>IFERROR(VLOOKUP(A19,Internal_lists_bugs!$A$2:$G2003,7,FALSE()),"please select a BUG ID")</f>
        <v>https://opendev.org/openstack/nova/commit/e65a43837e9ccad8ca34da4d29824df591c685fe</v>
      </c>
      <c r="D19" s="16" t="s">
        <v>505</v>
      </c>
      <c r="E19" s="61"/>
      <c r="F19" s="16" t="s">
        <v>488</v>
      </c>
      <c r="G19" s="61" t="s">
        <v>549</v>
      </c>
      <c r="H19" s="118" t="s">
        <v>488</v>
      </c>
      <c r="I19" s="61" t="s">
        <v>550</v>
      </c>
      <c r="J19" s="16" t="s">
        <v>121</v>
      </c>
      <c r="K19" s="42"/>
      <c r="L19" s="16" t="s">
        <v>513</v>
      </c>
      <c r="M19" s="42"/>
      <c r="N19" s="16" t="s">
        <v>121</v>
      </c>
      <c r="O19" s="44"/>
      <c r="P19" s="43"/>
      <c r="Q19" s="42"/>
      <c r="R19" s="43"/>
      <c r="S19" s="42"/>
      <c r="T19" s="16" t="s">
        <v>551</v>
      </c>
      <c r="U19" s="42"/>
      <c r="V19" s="43"/>
      <c r="W19" s="42"/>
      <c r="X19" s="16" t="s">
        <v>121</v>
      </c>
      <c r="Y19" s="42"/>
      <c r="Z19" s="43"/>
      <c r="AA19" s="42"/>
      <c r="AB19" s="16" t="s">
        <v>121</v>
      </c>
      <c r="AC19" s="42"/>
      <c r="AD19" s="43"/>
      <c r="AE19" s="42"/>
      <c r="AF19" s="16" t="s">
        <v>121</v>
      </c>
      <c r="AG19" s="42"/>
      <c r="AH19" s="43"/>
      <c r="AI19" s="42"/>
      <c r="AJ19" s="16" t="s">
        <v>135</v>
      </c>
      <c r="AK19" s="42"/>
      <c r="AL19" s="43"/>
      <c r="AM19" s="42"/>
      <c r="AN19" s="115"/>
      <c r="AO19" s="43"/>
      <c r="AP19" s="115"/>
      <c r="AQ19" s="16" t="s">
        <v>121</v>
      </c>
      <c r="AR19" s="116"/>
      <c r="AS19" s="9"/>
      <c r="AT19" s="1"/>
    </row>
    <row r="20">
      <c r="A20" s="16" t="s">
        <v>44</v>
      </c>
      <c r="B20" s="114" t="str">
        <f>IFERROR(HYPERLINK(VLOOKUP(A20,Internal_lists_bugs!$A$2:$I2003,9,FALSE()), VLOOKUP(A20,Internal_lists_bugs!$A$2:$C$73,3,FALSE())&amp;Char(10) &amp; Char(10) &amp; VLOOKUP(A20,Internal_lists_bugs!$A$2:$Z$73,26,FALSE())),"please select a BUG ID")</f>
        <v>
</v>
      </c>
      <c r="C20" s="39" t="str">
        <f>IFERROR(VLOOKUP(A20,Internal_lists_bugs!$A$2:$G2003,7,FALSE()),"please select a BUG ID")</f>
        <v>https://opendev.org/openstack/nova/commit/ba1ed8958b6bde0d8b9f5862a83ac7e1a33e8313</v>
      </c>
      <c r="D20" s="16" t="s">
        <v>496</v>
      </c>
      <c r="E20" s="61"/>
      <c r="F20" s="16" t="s">
        <v>488</v>
      </c>
      <c r="G20" s="61" t="s">
        <v>552</v>
      </c>
      <c r="H20" s="16" t="s">
        <v>488</v>
      </c>
      <c r="I20" s="61" t="s">
        <v>553</v>
      </c>
      <c r="J20" s="16" t="s">
        <v>121</v>
      </c>
      <c r="K20" s="42"/>
      <c r="L20" s="16" t="s">
        <v>500</v>
      </c>
      <c r="M20" s="42"/>
      <c r="N20" s="16" t="s">
        <v>135</v>
      </c>
      <c r="O20" s="44"/>
      <c r="P20" s="43"/>
      <c r="Q20" s="42"/>
      <c r="R20" s="43"/>
      <c r="S20" s="42"/>
      <c r="T20" s="16" t="s">
        <v>493</v>
      </c>
      <c r="U20" s="42" t="s">
        <v>554</v>
      </c>
      <c r="V20" s="43"/>
      <c r="W20" s="42"/>
      <c r="X20" s="16" t="s">
        <v>121</v>
      </c>
      <c r="Y20" s="42"/>
      <c r="Z20" s="43"/>
      <c r="AA20" s="42"/>
      <c r="AB20" s="16" t="s">
        <v>135</v>
      </c>
      <c r="AC20" s="42"/>
      <c r="AD20" s="43"/>
      <c r="AE20" s="42"/>
      <c r="AF20" s="16" t="s">
        <v>135</v>
      </c>
      <c r="AG20" s="42" t="s">
        <v>555</v>
      </c>
      <c r="AH20" s="43"/>
      <c r="AI20" s="42"/>
      <c r="AJ20" s="16" t="s">
        <v>121</v>
      </c>
      <c r="AK20" s="42"/>
      <c r="AL20" s="43"/>
      <c r="AM20" s="42"/>
      <c r="AN20" s="115"/>
      <c r="AO20" s="43"/>
      <c r="AP20" s="115"/>
      <c r="AQ20" s="16" t="s">
        <v>121</v>
      </c>
      <c r="AR20" s="116"/>
      <c r="AS20" s="9"/>
      <c r="AT20" s="1"/>
    </row>
    <row r="21">
      <c r="A21" s="16" t="s">
        <v>44</v>
      </c>
      <c r="B21" s="114" t="str">
        <f>IFERROR(HYPERLINK(VLOOKUP(A21,Internal_lists_bugs!$A$2:$I2003,9,FALSE()), VLOOKUP(A21,Internal_lists_bugs!$A$2:$C$73,3,FALSE())&amp;Char(10) &amp; Char(10) &amp; VLOOKUP(A21,Internal_lists_bugs!$A$2:$Z$73,26,FALSE())),"please select a BUG ID")</f>
        <v>
</v>
      </c>
      <c r="C21" s="39" t="str">
        <f>IFERROR(VLOOKUP(A21,Internal_lists_bugs!$A$2:$G2003,7,FALSE()),"please select a BUG ID")</f>
        <v>https://opendev.org/openstack/nova/commit/ba1ed8958b6bde0d8b9f5862a83ac7e1a33e8313</v>
      </c>
      <c r="D21" s="43"/>
      <c r="E21" s="61"/>
      <c r="F21" s="16" t="s">
        <v>496</v>
      </c>
      <c r="G21" s="61" t="s">
        <v>556</v>
      </c>
      <c r="H21" s="43"/>
      <c r="I21" s="61"/>
      <c r="J21" s="43"/>
      <c r="K21" s="42"/>
      <c r="L21" s="43"/>
      <c r="M21" s="42"/>
      <c r="N21" s="43"/>
      <c r="O21" s="42"/>
      <c r="P21" s="16"/>
      <c r="Q21" s="42"/>
      <c r="R21" s="43"/>
      <c r="S21" s="42"/>
      <c r="T21" s="43"/>
      <c r="U21" s="42"/>
      <c r="V21" s="43"/>
      <c r="W21" s="42"/>
      <c r="X21" s="16"/>
      <c r="Y21" s="42"/>
      <c r="Z21" s="16"/>
      <c r="AA21" s="42"/>
      <c r="AB21" s="43"/>
      <c r="AC21" s="42"/>
      <c r="AD21" s="43"/>
      <c r="AE21" s="42"/>
      <c r="AF21" s="16"/>
      <c r="AG21" s="42"/>
      <c r="AH21" s="43"/>
      <c r="AI21" s="42"/>
      <c r="AJ21" s="43"/>
      <c r="AK21" s="42"/>
      <c r="AL21" s="43"/>
      <c r="AM21" s="42"/>
      <c r="AN21" s="115"/>
      <c r="AO21" s="43"/>
      <c r="AP21" s="115"/>
      <c r="AQ21" s="43"/>
      <c r="AR21" s="119"/>
      <c r="AS21" s="1"/>
      <c r="AT21" s="1"/>
    </row>
    <row r="22">
      <c r="A22" s="16" t="s">
        <v>45</v>
      </c>
      <c r="B22" s="114" t="str">
        <f>IFERROR(HYPERLINK(VLOOKUP(A22,Internal_lists_bugs!$A$2:$I2003,9,FALSE()), VLOOKUP(A22,Internal_lists_bugs!$A$2:$C$73,3,FALSE())&amp;Char(10) &amp; Char(10) &amp; VLOOKUP(A22,Internal_lists_bugs!$A$2:$Z$73,26,FALSE())),"please select a BUG ID")</f>
        <v>
</v>
      </c>
      <c r="C22" s="39" t="str">
        <f>IFERROR(VLOOKUP(A22,Internal_lists_bugs!$A$2:$G2003,7,FALSE()),"please select a BUG ID")</f>
        <v>https://opendev.org/openstack/nova/commit/6ed6be8435284daf39ef1b8323e213c7885852c6</v>
      </c>
      <c r="D22" s="16" t="s">
        <v>497</v>
      </c>
      <c r="E22" s="61"/>
      <c r="F22" s="16" t="s">
        <v>488</v>
      </c>
      <c r="G22" s="61" t="s">
        <v>557</v>
      </c>
      <c r="H22" s="16" t="s">
        <v>488</v>
      </c>
      <c r="I22" s="61" t="s">
        <v>558</v>
      </c>
      <c r="J22" s="16" t="s">
        <v>121</v>
      </c>
      <c r="K22" s="42"/>
      <c r="L22" s="16" t="s">
        <v>500</v>
      </c>
      <c r="M22" s="42"/>
      <c r="N22" s="16" t="s">
        <v>121</v>
      </c>
      <c r="O22" s="42"/>
      <c r="P22" s="43"/>
      <c r="Q22" s="44"/>
      <c r="R22" s="43"/>
      <c r="S22" s="44"/>
      <c r="T22" s="16" t="s">
        <v>514</v>
      </c>
      <c r="U22" s="42" t="s">
        <v>453</v>
      </c>
      <c r="V22" s="43"/>
      <c r="W22" s="42"/>
      <c r="X22" s="16" t="s">
        <v>121</v>
      </c>
      <c r="Y22" s="42" t="s">
        <v>559</v>
      </c>
      <c r="Z22" s="43"/>
      <c r="AA22" s="42"/>
      <c r="AB22" s="16" t="s">
        <v>135</v>
      </c>
      <c r="AC22" s="42"/>
      <c r="AD22" s="43"/>
      <c r="AE22" s="42"/>
      <c r="AF22" s="16" t="s">
        <v>121</v>
      </c>
      <c r="AG22" s="42"/>
      <c r="AH22" s="43"/>
      <c r="AI22" s="42"/>
      <c r="AJ22" s="16" t="s">
        <v>121</v>
      </c>
      <c r="AK22" s="42"/>
      <c r="AL22" s="43"/>
      <c r="AM22" s="42"/>
      <c r="AN22" s="115"/>
      <c r="AO22" s="43"/>
      <c r="AP22" s="115"/>
      <c r="AQ22" s="16" t="s">
        <v>121</v>
      </c>
      <c r="AR22" s="119"/>
      <c r="AS22" s="1"/>
      <c r="AT22" s="1"/>
    </row>
    <row r="23">
      <c r="A23" s="16" t="s">
        <v>46</v>
      </c>
      <c r="B23" s="114" t="str">
        <f>IFERROR(HYPERLINK(VLOOKUP(A23,Internal_lists_bugs!$A$2:$I2003,9,FALSE()), VLOOKUP(A23,Internal_lists_bugs!$A$2:$C$73,3,FALSE())&amp;Char(10) &amp; Char(10) &amp; VLOOKUP(A23,Internal_lists_bugs!$A$2:$Z$73,26,FALSE())),"please select a BUG ID")</f>
        <v>
</v>
      </c>
      <c r="C23" s="39" t="str">
        <f>IFERROR(VLOOKUP(A23,Internal_lists_bugs!$A$2:$G2003,7,FALSE()),"please select a BUG ID")</f>
        <v>https://opendev.org/openstack/nova/commit/1b32ed31425a0332ab16f5b5f6c08a20eafe7963</v>
      </c>
      <c r="D23" s="16" t="s">
        <v>496</v>
      </c>
      <c r="E23" s="61"/>
      <c r="F23" s="16" t="s">
        <v>488</v>
      </c>
      <c r="G23" s="61" t="s">
        <v>560</v>
      </c>
      <c r="H23" s="16" t="s">
        <v>488</v>
      </c>
      <c r="I23" s="61" t="s">
        <v>561</v>
      </c>
      <c r="J23" s="16" t="s">
        <v>121</v>
      </c>
      <c r="K23" s="42"/>
      <c r="L23" s="16" t="s">
        <v>500</v>
      </c>
      <c r="M23" s="42" t="s">
        <v>562</v>
      </c>
      <c r="N23" s="16" t="s">
        <v>121</v>
      </c>
      <c r="O23" s="42"/>
      <c r="P23" s="43"/>
      <c r="Q23" s="42"/>
      <c r="R23" s="43"/>
      <c r="S23" s="44"/>
      <c r="T23" s="16" t="s">
        <v>514</v>
      </c>
      <c r="U23" s="42" t="s">
        <v>453</v>
      </c>
      <c r="V23" s="43"/>
      <c r="W23" s="42"/>
      <c r="X23" s="16" t="s">
        <v>135</v>
      </c>
      <c r="Y23" s="42" t="s">
        <v>563</v>
      </c>
      <c r="Z23" s="43"/>
      <c r="AA23" s="42"/>
      <c r="AB23" s="16" t="s">
        <v>121</v>
      </c>
      <c r="AC23" s="42" t="s">
        <v>564</v>
      </c>
      <c r="AD23" s="43"/>
      <c r="AE23" s="42"/>
      <c r="AF23" s="16" t="s">
        <v>121</v>
      </c>
      <c r="AG23" s="42"/>
      <c r="AH23" s="43"/>
      <c r="AI23" s="42"/>
      <c r="AJ23" s="16" t="s">
        <v>121</v>
      </c>
      <c r="AK23" s="42"/>
      <c r="AL23" s="43"/>
      <c r="AM23" s="42"/>
      <c r="AN23" s="115"/>
      <c r="AO23" s="43"/>
      <c r="AP23" s="115"/>
      <c r="AQ23" s="16" t="s">
        <v>121</v>
      </c>
      <c r="AR23" s="119"/>
      <c r="AS23" s="1"/>
      <c r="AT23" s="1"/>
    </row>
    <row r="24">
      <c r="A24" s="16" t="s">
        <v>47</v>
      </c>
      <c r="B24" s="59" t="str">
        <f>IFERROR(HYPERLINK(VLOOKUP(A24,Internal_lists_bugs!$A$2:$I2003,9,FALSE()), VLOOKUP(A24,Internal_lists_bugs!$A$2:$C$73,3,FALSE())&amp;Char(10) &amp; Char(10) &amp; VLOOKUP(A24,Internal_lists_bugs!$A$2:$Z$73,26,FALSE())),"please select a BUG ID")</f>
        <v>
</v>
      </c>
      <c r="C24" s="39" t="str">
        <f>IFERROR(VLOOKUP(A24,Internal_lists_bugs!$A$2:$G2003,7,FALSE()),"please select a BUG ID")</f>
        <v>https://opendev.org/openstack/nova/commit/27d89c2d425aefcd32549b08e3cff8b132d3e75b</v>
      </c>
      <c r="D24" s="16" t="s">
        <v>533</v>
      </c>
      <c r="E24" s="61" t="s">
        <v>534</v>
      </c>
      <c r="F24" s="16" t="s">
        <v>488</v>
      </c>
      <c r="G24" s="61" t="s">
        <v>565</v>
      </c>
      <c r="H24" s="16" t="s">
        <v>488</v>
      </c>
      <c r="I24" s="61" t="s">
        <v>566</v>
      </c>
      <c r="J24" s="16" t="s">
        <v>121</v>
      </c>
      <c r="K24" s="42"/>
      <c r="L24" s="16" t="s">
        <v>513</v>
      </c>
      <c r="M24" s="42"/>
      <c r="N24" s="16" t="s">
        <v>121</v>
      </c>
      <c r="O24" s="44"/>
      <c r="P24" s="43"/>
      <c r="Q24" s="44"/>
      <c r="R24" s="43"/>
      <c r="S24" s="44"/>
      <c r="T24" s="16" t="s">
        <v>537</v>
      </c>
      <c r="U24" s="42"/>
      <c r="V24" s="43"/>
      <c r="W24" s="42"/>
      <c r="X24" s="16" t="s">
        <v>121</v>
      </c>
      <c r="Y24" s="42"/>
      <c r="Z24" s="43"/>
      <c r="AA24" s="42"/>
      <c r="AB24" s="16" t="s">
        <v>121</v>
      </c>
      <c r="AC24" s="42"/>
      <c r="AD24" s="43"/>
      <c r="AE24" s="42"/>
      <c r="AF24" s="16" t="s">
        <v>121</v>
      </c>
      <c r="AG24" s="42"/>
      <c r="AH24" s="43"/>
      <c r="AI24" s="42"/>
      <c r="AJ24" s="16" t="s">
        <v>121</v>
      </c>
      <c r="AK24" s="42"/>
      <c r="AL24" s="43"/>
      <c r="AM24" s="42"/>
      <c r="AN24" s="115"/>
      <c r="AO24" s="43"/>
      <c r="AP24" s="115"/>
      <c r="AQ24" s="16" t="s">
        <v>297</v>
      </c>
      <c r="AR24" s="119"/>
      <c r="AS24" s="1"/>
      <c r="AT24" s="1"/>
    </row>
    <row r="25">
      <c r="A25" s="16" t="s">
        <v>48</v>
      </c>
      <c r="B25" s="114" t="str">
        <f>IFERROR(HYPERLINK(VLOOKUP(A25,Internal_lists_bugs!$A$2:$I2003,9,FALSE()), VLOOKUP(A25,Internal_lists_bugs!$A$2:$C$73,3,FALSE())&amp;Char(10) &amp; Char(10) &amp; VLOOKUP(A25,Internal_lists_bugs!$A$2:$Z$73,26,FALSE())),"please select a BUG ID")</f>
        <v>
</v>
      </c>
      <c r="C25" s="39" t="str">
        <f>IFERROR(VLOOKUP(A25,Internal_lists_bugs!$A$2:$G2003,7,FALSE()),"please select a BUG ID")</f>
        <v>https://opendev.org/openstack/nova/commit/583d12f4fae620719b893cb7f9fbfc461ec8a124</v>
      </c>
      <c r="D25" s="16" t="s">
        <v>497</v>
      </c>
      <c r="E25" s="61"/>
      <c r="F25" s="16" t="s">
        <v>488</v>
      </c>
      <c r="G25" s="61" t="s">
        <v>567</v>
      </c>
      <c r="H25" s="16" t="s">
        <v>488</v>
      </c>
      <c r="I25" s="61" t="s">
        <v>568</v>
      </c>
      <c r="J25" s="16" t="s">
        <v>121</v>
      </c>
      <c r="K25" s="50"/>
      <c r="L25" s="16" t="s">
        <v>500</v>
      </c>
      <c r="M25" s="50"/>
      <c r="N25" s="16" t="s">
        <v>135</v>
      </c>
      <c r="O25" s="42" t="s">
        <v>569</v>
      </c>
      <c r="P25" s="43"/>
      <c r="Q25" s="50"/>
      <c r="R25" s="43"/>
      <c r="S25" s="42"/>
      <c r="T25" s="16" t="s">
        <v>501</v>
      </c>
      <c r="U25" s="42" t="s">
        <v>570</v>
      </c>
      <c r="V25" s="43"/>
      <c r="W25" s="50"/>
      <c r="X25" s="16" t="s">
        <v>121</v>
      </c>
      <c r="Y25" s="50"/>
      <c r="Z25" s="43"/>
      <c r="AA25" s="50"/>
      <c r="AB25" s="16" t="s">
        <v>121</v>
      </c>
      <c r="AC25" s="50"/>
      <c r="AD25" s="43"/>
      <c r="AE25" s="50"/>
      <c r="AF25" s="16" t="s">
        <v>135</v>
      </c>
      <c r="AG25" s="42" t="s">
        <v>571</v>
      </c>
      <c r="AH25" s="43"/>
      <c r="AI25" s="50"/>
      <c r="AJ25" s="16" t="s">
        <v>121</v>
      </c>
      <c r="AK25" s="50"/>
      <c r="AL25" s="43"/>
      <c r="AM25" s="50"/>
      <c r="AN25" s="115"/>
      <c r="AO25" s="43"/>
      <c r="AP25" s="46"/>
      <c r="AQ25" s="16" t="s">
        <v>121</v>
      </c>
      <c r="AR25" s="119"/>
      <c r="AS25" s="1"/>
      <c r="AT25" s="1"/>
    </row>
    <row r="26">
      <c r="A26" s="16" t="s">
        <v>49</v>
      </c>
      <c r="B26" s="114" t="str">
        <f>IFERROR(HYPERLINK(VLOOKUP(A26,Internal_lists_bugs!$A$2:$I2003,9,FALSE()), VLOOKUP(A26,Internal_lists_bugs!$A$2:$C$73,3,FALSE())&amp;Char(10) &amp; Char(10) &amp; VLOOKUP(A26,Internal_lists_bugs!$A$2:$Z$73,26,FALSE())),"please select a BUG ID")</f>
        <v>
</v>
      </c>
      <c r="C26" s="39" t="str">
        <f>IFERROR(VLOOKUP(A26,Internal_lists_bugs!$A$2:$G2003,7,FALSE()),"please select a BUG ID")</f>
        <v>https://opendev.org/openstack/nova/commit/c1dae06f1e366e7681fbffc776153b3ed3af2618</v>
      </c>
      <c r="D26" s="16" t="s">
        <v>496</v>
      </c>
      <c r="E26" s="61"/>
      <c r="F26" s="16" t="s">
        <v>488</v>
      </c>
      <c r="G26" s="61" t="s">
        <v>572</v>
      </c>
      <c r="H26" s="16" t="s">
        <v>488</v>
      </c>
      <c r="I26" s="61" t="s">
        <v>573</v>
      </c>
      <c r="J26" s="16" t="s">
        <v>121</v>
      </c>
      <c r="K26" s="42"/>
      <c r="L26" s="16" t="s">
        <v>500</v>
      </c>
      <c r="M26" s="42"/>
      <c r="N26" s="16" t="s">
        <v>121</v>
      </c>
      <c r="O26" s="42"/>
      <c r="P26" s="43"/>
      <c r="Q26" s="42"/>
      <c r="R26" s="24"/>
      <c r="S26" s="42"/>
      <c r="T26" s="16" t="s">
        <v>493</v>
      </c>
      <c r="U26" s="42"/>
      <c r="V26" s="43"/>
      <c r="W26" s="42"/>
      <c r="X26" s="16" t="s">
        <v>135</v>
      </c>
      <c r="Y26" s="42"/>
      <c r="Z26" s="43"/>
      <c r="AA26" s="42"/>
      <c r="AB26" s="16" t="s">
        <v>121</v>
      </c>
      <c r="AC26" s="42"/>
      <c r="AD26" s="43"/>
      <c r="AE26" s="42"/>
      <c r="AF26" s="16" t="s">
        <v>121</v>
      </c>
      <c r="AG26" s="42"/>
      <c r="AH26" s="43"/>
      <c r="AI26" s="42"/>
      <c r="AJ26" s="16" t="s">
        <v>121</v>
      </c>
      <c r="AK26" s="42"/>
      <c r="AL26" s="43"/>
      <c r="AM26" s="42"/>
      <c r="AN26" s="115"/>
      <c r="AO26" s="43"/>
      <c r="AP26" s="115"/>
      <c r="AQ26" s="16" t="s">
        <v>121</v>
      </c>
      <c r="AR26" s="119"/>
      <c r="AS26" s="1"/>
      <c r="AT26" s="1"/>
    </row>
    <row r="27">
      <c r="A27" s="16" t="s">
        <v>50</v>
      </c>
      <c r="B27" s="114" t="str">
        <f>IFERROR(HYPERLINK(VLOOKUP(A27,Internal_lists_bugs!$A$2:$I2003,9,FALSE()), VLOOKUP(A27,Internal_lists_bugs!$A$2:$C$73,3,FALSE())&amp;Char(10) &amp; Char(10) &amp; VLOOKUP(A27,Internal_lists_bugs!$A$2:$Z$73,26,FALSE())),"please select a BUG ID")</f>
        <v>
</v>
      </c>
      <c r="C27" s="39" t="str">
        <f>IFERROR(VLOOKUP(A27,Internal_lists_bugs!$A$2:$G2003,7,FALSE()),"please select a BUG ID")</f>
        <v>https://opendev.org/openstack/nova/commit/73515209cf09821a2fc922e1ae2c97650802fab4</v>
      </c>
      <c r="D27" s="16" t="s">
        <v>496</v>
      </c>
      <c r="E27" s="61"/>
      <c r="F27" s="16" t="s">
        <v>488</v>
      </c>
      <c r="G27" s="61" t="s">
        <v>574</v>
      </c>
      <c r="H27" s="16" t="s">
        <v>488</v>
      </c>
      <c r="I27" s="61" t="s">
        <v>575</v>
      </c>
      <c r="J27" s="16" t="s">
        <v>121</v>
      </c>
      <c r="K27" s="42"/>
      <c r="L27" s="16" t="s">
        <v>500</v>
      </c>
      <c r="M27" s="42"/>
      <c r="N27" s="16" t="s">
        <v>135</v>
      </c>
      <c r="O27" s="42"/>
      <c r="P27" s="43"/>
      <c r="Q27" s="42"/>
      <c r="R27" s="43"/>
      <c r="S27" s="44"/>
      <c r="T27" s="16" t="s">
        <v>576</v>
      </c>
      <c r="U27" s="42" t="s">
        <v>554</v>
      </c>
      <c r="V27" s="43"/>
      <c r="W27" s="42"/>
      <c r="X27" s="16" t="s">
        <v>121</v>
      </c>
      <c r="Y27" s="42"/>
      <c r="Z27" s="43"/>
      <c r="AA27" s="42"/>
      <c r="AB27" s="16" t="s">
        <v>121</v>
      </c>
      <c r="AC27" s="42"/>
      <c r="AD27" s="43"/>
      <c r="AE27" s="42"/>
      <c r="AF27" s="16" t="s">
        <v>135</v>
      </c>
      <c r="AG27" s="42"/>
      <c r="AH27" s="43"/>
      <c r="AI27" s="42"/>
      <c r="AJ27" s="16" t="s">
        <v>121</v>
      </c>
      <c r="AK27" s="42"/>
      <c r="AL27" s="43"/>
      <c r="AM27" s="42"/>
      <c r="AN27" s="115"/>
      <c r="AO27" s="43"/>
      <c r="AP27" s="115"/>
      <c r="AQ27" s="16" t="s">
        <v>121</v>
      </c>
      <c r="AR27" s="119"/>
      <c r="AS27" s="1"/>
      <c r="AT27" s="1"/>
    </row>
    <row r="28">
      <c r="A28" s="16" t="s">
        <v>51</v>
      </c>
      <c r="B28" s="114" t="str">
        <f>IFERROR(HYPERLINK(VLOOKUP(A28,Internal_lists_bugs!$A$2:$I2003,9,FALSE()), VLOOKUP(A28,Internal_lists_bugs!$A$2:$C$73,3,FALSE())&amp;Char(10) &amp; Char(10) &amp; VLOOKUP(A28,Internal_lists_bugs!$A$2:$Z$73,26,FALSE())),"please select a BUG ID")</f>
        <v>
</v>
      </c>
      <c r="C28" s="39" t="str">
        <f>IFERROR(VLOOKUP(A28,Internal_lists_bugs!$A$2:$G2003,7,FALSE()),"please select a BUG ID")</f>
        <v>https://opendev.org/openstack/nova/commit/98dcd0dc6fe19ab243556874e4f0910e78484e02</v>
      </c>
      <c r="D28" s="16" t="s">
        <v>497</v>
      </c>
      <c r="E28" s="61"/>
      <c r="F28" s="16" t="s">
        <v>488</v>
      </c>
      <c r="G28" s="61" t="s">
        <v>577</v>
      </c>
      <c r="H28" s="16" t="s">
        <v>488</v>
      </c>
      <c r="I28" s="61" t="s">
        <v>578</v>
      </c>
      <c r="J28" s="16" t="s">
        <v>121</v>
      </c>
      <c r="K28" s="42"/>
      <c r="L28" s="16" t="s">
        <v>500</v>
      </c>
      <c r="M28" s="42"/>
      <c r="N28" s="16" t="s">
        <v>135</v>
      </c>
      <c r="O28" s="42"/>
      <c r="P28" s="43"/>
      <c r="Q28" s="42"/>
      <c r="R28" s="43"/>
      <c r="S28" s="42"/>
      <c r="T28" s="16" t="s">
        <v>501</v>
      </c>
      <c r="U28" s="42"/>
      <c r="V28" s="43"/>
      <c r="W28" s="42"/>
      <c r="X28" s="16" t="s">
        <v>121</v>
      </c>
      <c r="Y28" s="42"/>
      <c r="Z28" s="43"/>
      <c r="AA28" s="42"/>
      <c r="AB28" s="16" t="s">
        <v>135</v>
      </c>
      <c r="AC28" s="42"/>
      <c r="AD28" s="43"/>
      <c r="AE28" s="42"/>
      <c r="AF28" s="16" t="s">
        <v>135</v>
      </c>
      <c r="AG28" s="42"/>
      <c r="AH28" s="43"/>
      <c r="AI28" s="42"/>
      <c r="AJ28" s="16" t="s">
        <v>121</v>
      </c>
      <c r="AK28" s="42"/>
      <c r="AL28" s="43"/>
      <c r="AM28" s="42"/>
      <c r="AN28" s="115"/>
      <c r="AO28" s="43"/>
      <c r="AP28" s="115"/>
      <c r="AQ28" s="16" t="s">
        <v>121</v>
      </c>
      <c r="AR28" s="119"/>
      <c r="AS28" s="9"/>
      <c r="AT28" s="1"/>
    </row>
    <row r="29">
      <c r="A29" s="16" t="s">
        <v>52</v>
      </c>
      <c r="B29" s="114" t="str">
        <f>IFERROR(HYPERLINK(VLOOKUP(A29,Internal_lists_bugs!$A$2:$I2003,9,FALSE()), VLOOKUP(A29,Internal_lists_bugs!$A$2:$C$73,3,FALSE())&amp;Char(10) &amp; Char(10) &amp; VLOOKUP(A29,Internal_lists_bugs!$A$2:$Z$73,26,FALSE())),"please select a BUG ID")</f>
        <v>
</v>
      </c>
      <c r="C29" s="39" t="str">
        <f>IFERROR(VLOOKUP(A29,Internal_lists_bugs!$A$2:$G2003,7,FALSE()),"please select a BUG ID")</f>
        <v>https://opendev.org/openstack/nova/commit/c6088d94bfd11114c94b2bdf7bd51cb4b1989720</v>
      </c>
      <c r="D29" s="16" t="s">
        <v>505</v>
      </c>
      <c r="E29" s="61"/>
      <c r="F29" s="16" t="s">
        <v>488</v>
      </c>
      <c r="G29" s="61" t="s">
        <v>579</v>
      </c>
      <c r="H29" s="16" t="s">
        <v>488</v>
      </c>
      <c r="I29" s="61" t="s">
        <v>580</v>
      </c>
      <c r="J29" s="16" t="s">
        <v>121</v>
      </c>
      <c r="K29" s="42"/>
      <c r="L29" s="16" t="s">
        <v>500</v>
      </c>
      <c r="M29" s="42"/>
      <c r="N29" s="16" t="s">
        <v>121</v>
      </c>
      <c r="O29" s="44"/>
      <c r="P29" s="43"/>
      <c r="Q29" s="42"/>
      <c r="R29" s="43"/>
      <c r="S29" s="44"/>
      <c r="T29" s="16" t="s">
        <v>501</v>
      </c>
      <c r="U29" s="42"/>
      <c r="V29" s="43"/>
      <c r="W29" s="42"/>
      <c r="X29" s="16" t="s">
        <v>121</v>
      </c>
      <c r="Y29" s="42"/>
      <c r="Z29" s="43"/>
      <c r="AA29" s="42"/>
      <c r="AB29" s="16" t="s">
        <v>121</v>
      </c>
      <c r="AC29" s="42"/>
      <c r="AD29" s="43"/>
      <c r="AE29" s="42"/>
      <c r="AF29" s="16" t="s">
        <v>121</v>
      </c>
      <c r="AG29" s="42"/>
      <c r="AH29" s="43"/>
      <c r="AI29" s="42"/>
      <c r="AJ29" s="16" t="s">
        <v>121</v>
      </c>
      <c r="AK29" s="42"/>
      <c r="AL29" s="43"/>
      <c r="AM29" s="42"/>
      <c r="AN29" s="115"/>
      <c r="AO29" s="43"/>
      <c r="AP29" s="115"/>
      <c r="AQ29" s="16" t="s">
        <v>121</v>
      </c>
      <c r="AR29" s="116"/>
      <c r="AS29" s="1"/>
      <c r="AT29" s="1"/>
    </row>
    <row r="30">
      <c r="A30" s="16" t="s">
        <v>53</v>
      </c>
      <c r="B30" s="114" t="str">
        <f>IFERROR(HYPERLINK(VLOOKUP(A30,Internal_lists_bugs!$A$2:$I2003,9,FALSE()), VLOOKUP(A30,Internal_lists_bugs!$A$2:$C$73,3,FALSE())&amp;Char(10) &amp; Char(10) &amp; VLOOKUP(A30,Internal_lists_bugs!$A$2:$Z$73,26,FALSE())),"please select a BUG ID")</f>
        <v>
</v>
      </c>
      <c r="C30" s="39" t="str">
        <f>IFERROR(VLOOKUP(A30,Internal_lists_bugs!$A$2:$G2003,7,FALSE()),"please select a BUG ID")</f>
        <v>https://opendev.org/openstack/nova/commit/c363dae6a2b878db6801b502cced1fcc6aad2d0c</v>
      </c>
      <c r="D30" s="16" t="s">
        <v>497</v>
      </c>
      <c r="E30" s="61"/>
      <c r="F30" s="16" t="s">
        <v>488</v>
      </c>
      <c r="G30" s="61" t="s">
        <v>581</v>
      </c>
      <c r="H30" s="16" t="s">
        <v>488</v>
      </c>
      <c r="I30" s="61" t="s">
        <v>582</v>
      </c>
      <c r="J30" s="16" t="s">
        <v>121</v>
      </c>
      <c r="K30" s="42"/>
      <c r="L30" s="16" t="s">
        <v>492</v>
      </c>
      <c r="M30" s="42"/>
      <c r="N30" s="16" t="s">
        <v>135</v>
      </c>
      <c r="O30" s="42"/>
      <c r="P30" s="43"/>
      <c r="Q30" s="44"/>
      <c r="R30" s="43"/>
      <c r="S30" s="44"/>
      <c r="T30" s="16" t="s">
        <v>501</v>
      </c>
      <c r="U30" s="42"/>
      <c r="V30" s="43"/>
      <c r="W30" s="42"/>
      <c r="X30" s="16" t="s">
        <v>135</v>
      </c>
      <c r="Y30" s="42"/>
      <c r="Z30" s="43"/>
      <c r="AA30" s="42"/>
      <c r="AB30" s="16" t="s">
        <v>121</v>
      </c>
      <c r="AC30" s="42"/>
      <c r="AD30" s="43"/>
      <c r="AE30" s="42"/>
      <c r="AF30" s="16" t="s">
        <v>135</v>
      </c>
      <c r="AG30" s="42"/>
      <c r="AH30" s="43"/>
      <c r="AI30" s="42"/>
      <c r="AJ30" s="16" t="s">
        <v>121</v>
      </c>
      <c r="AK30" s="42" t="s">
        <v>583</v>
      </c>
      <c r="AL30" s="43"/>
      <c r="AM30" s="42"/>
      <c r="AN30" s="115"/>
      <c r="AO30" s="43"/>
      <c r="AP30" s="115"/>
      <c r="AQ30" s="16" t="s">
        <v>121</v>
      </c>
      <c r="AR30" s="119"/>
      <c r="AS30" s="1"/>
      <c r="AT30" s="1"/>
    </row>
    <row r="31">
      <c r="A31" s="16" t="s">
        <v>54</v>
      </c>
      <c r="B31" s="114" t="str">
        <f>IFERROR(HYPERLINK(VLOOKUP(A31,Internal_lists_bugs!$A$2:$I2003,9,FALSE()), VLOOKUP(A31,Internal_lists_bugs!$A$2:$C$73,3,FALSE())&amp;Char(10) &amp; Char(10) &amp; VLOOKUP(A31,Internal_lists_bugs!$A$2:$Z$73,26,FALSE())),"please select a BUG ID")</f>
        <v>
</v>
      </c>
      <c r="C31" s="39" t="str">
        <f>IFERROR(VLOOKUP(A31,Internal_lists_bugs!$A$2:$G2003,7,FALSE()),"please select a BUG ID")</f>
        <v>https://opendev.org/openstack/nova/commit/9340f6db7961824aabdf73cecf5e19892ce01c03</v>
      </c>
      <c r="D31" s="16" t="s">
        <v>497</v>
      </c>
      <c r="E31" s="61"/>
      <c r="F31" s="16" t="s">
        <v>488</v>
      </c>
      <c r="G31" s="61" t="s">
        <v>584</v>
      </c>
      <c r="H31" s="16" t="s">
        <v>488</v>
      </c>
      <c r="I31" s="61" t="s">
        <v>585</v>
      </c>
      <c r="J31" s="16" t="s">
        <v>121</v>
      </c>
      <c r="K31" s="42"/>
      <c r="L31" s="16" t="s">
        <v>500</v>
      </c>
      <c r="M31" s="42"/>
      <c r="N31" s="16" t="s">
        <v>121</v>
      </c>
      <c r="O31" s="42"/>
      <c r="P31" s="43"/>
      <c r="Q31" s="42"/>
      <c r="R31" s="43"/>
      <c r="S31" s="44"/>
      <c r="T31" s="16" t="s">
        <v>501</v>
      </c>
      <c r="U31" s="42"/>
      <c r="V31" s="43"/>
      <c r="W31" s="42"/>
      <c r="X31" s="16" t="s">
        <v>121</v>
      </c>
      <c r="Y31" s="42"/>
      <c r="Z31" s="43"/>
      <c r="AA31" s="42"/>
      <c r="AB31" s="16" t="s">
        <v>121</v>
      </c>
      <c r="AC31" s="42"/>
      <c r="AD31" s="43"/>
      <c r="AE31" s="42"/>
      <c r="AF31" s="16" t="s">
        <v>121</v>
      </c>
      <c r="AG31" s="42"/>
      <c r="AH31" s="43"/>
      <c r="AI31" s="42"/>
      <c r="AJ31" s="16" t="s">
        <v>121</v>
      </c>
      <c r="AK31" s="42"/>
      <c r="AL31" s="43"/>
      <c r="AM31" s="42"/>
      <c r="AN31" s="115"/>
      <c r="AO31" s="43"/>
      <c r="AP31" s="115"/>
      <c r="AQ31" s="16" t="s">
        <v>121</v>
      </c>
      <c r="AR31" s="119"/>
      <c r="AS31" s="1"/>
      <c r="AT31" s="1"/>
    </row>
    <row r="32">
      <c r="A32" s="16" t="s">
        <v>55</v>
      </c>
      <c r="B32" s="114" t="str">
        <f>IFERROR(HYPERLINK(VLOOKUP(A32,Internal_lists_bugs!$A$2:$I2003,9,FALSE()), VLOOKUP(A32,Internal_lists_bugs!$A$2:$C$73,3,FALSE())&amp;Char(10) &amp; Char(10) &amp; VLOOKUP(A32,Internal_lists_bugs!$A$2:$Z$73,26,FALSE())),"please select a BUG ID")</f>
        <v>
</v>
      </c>
      <c r="C32" s="39" t="str">
        <f>IFERROR(VLOOKUP(A32,Internal_lists_bugs!$A$2:$G2003,7,FALSE()),"please select a BUG ID")</f>
        <v>https://opendev.org/openstack/nova/commit/475f3624245500c5382faf5b2708a59fcec2c9ad</v>
      </c>
      <c r="D32" s="16" t="s">
        <v>497</v>
      </c>
      <c r="E32" s="61"/>
      <c r="F32" s="16" t="s">
        <v>488</v>
      </c>
      <c r="G32" s="61" t="s">
        <v>586</v>
      </c>
      <c r="H32" s="16" t="s">
        <v>488</v>
      </c>
      <c r="I32" s="61" t="s">
        <v>587</v>
      </c>
      <c r="J32" s="16" t="s">
        <v>135</v>
      </c>
      <c r="K32" s="42" t="s">
        <v>588</v>
      </c>
      <c r="L32" s="16" t="s">
        <v>492</v>
      </c>
      <c r="M32" s="42"/>
      <c r="N32" s="16" t="s">
        <v>135</v>
      </c>
      <c r="O32" s="42"/>
      <c r="P32" s="43"/>
      <c r="Q32" s="42"/>
      <c r="R32" s="43"/>
      <c r="S32" s="44"/>
      <c r="T32" s="16" t="s">
        <v>514</v>
      </c>
      <c r="U32" s="42"/>
      <c r="V32" s="43"/>
      <c r="W32" s="42"/>
      <c r="X32" s="16" t="s">
        <v>135</v>
      </c>
      <c r="Y32" s="42" t="s">
        <v>589</v>
      </c>
      <c r="Z32" s="43"/>
      <c r="AA32" s="42"/>
      <c r="AB32" s="16" t="s">
        <v>135</v>
      </c>
      <c r="AC32" s="42" t="s">
        <v>590</v>
      </c>
      <c r="AD32" s="43"/>
      <c r="AE32" s="42"/>
      <c r="AF32" s="16" t="s">
        <v>135</v>
      </c>
      <c r="AG32" s="42" t="s">
        <v>527</v>
      </c>
      <c r="AH32" s="43"/>
      <c r="AI32" s="44"/>
      <c r="AJ32" s="16" t="s">
        <v>135</v>
      </c>
      <c r="AK32" s="42" t="s">
        <v>591</v>
      </c>
      <c r="AL32" s="43"/>
      <c r="AM32" s="42"/>
      <c r="AN32" s="115"/>
      <c r="AO32" s="43"/>
      <c r="AP32" s="115"/>
      <c r="AQ32" s="16" t="s">
        <v>135</v>
      </c>
      <c r="AR32" s="119"/>
      <c r="AS32" s="1"/>
      <c r="AT32" s="1"/>
    </row>
    <row r="33">
      <c r="A33" s="16" t="s">
        <v>56</v>
      </c>
      <c r="B33" s="114" t="str">
        <f>IFERROR(HYPERLINK(VLOOKUP(A33,Internal_lists_bugs!$A$2:$I2003,9,FALSE()), VLOOKUP(A33,Internal_lists_bugs!$A$2:$C$73,3,FALSE())&amp;Char(10) &amp; Char(10) &amp; VLOOKUP(A33,Internal_lists_bugs!$A$2:$Z$73,26,FALSE())),"please select a BUG ID")</f>
        <v>
</v>
      </c>
      <c r="C33" s="39" t="str">
        <f>IFERROR(VLOOKUP(A33,Internal_lists_bugs!$A$2:$G2003,7,FALSE()),"please select a BUG ID")</f>
        <v>https://opendev.org/openstack/nova/commit/f2baacd4e634b815fe011ced0d6e46f6c06b7fdd</v>
      </c>
      <c r="D33" s="16" t="s">
        <v>505</v>
      </c>
      <c r="E33" s="61"/>
      <c r="F33" s="16" t="s">
        <v>488</v>
      </c>
      <c r="G33" s="61" t="s">
        <v>592</v>
      </c>
      <c r="H33" s="16" t="s">
        <v>497</v>
      </c>
      <c r="I33" s="61" t="s">
        <v>593</v>
      </c>
      <c r="J33" s="16" t="s">
        <v>121</v>
      </c>
      <c r="K33" s="42"/>
      <c r="L33" s="16" t="s">
        <v>500</v>
      </c>
      <c r="M33" s="42"/>
      <c r="N33" s="16" t="s">
        <v>121</v>
      </c>
      <c r="O33" s="42"/>
      <c r="P33" s="43"/>
      <c r="Q33" s="42"/>
      <c r="R33" s="43"/>
      <c r="S33" s="44"/>
      <c r="T33" s="16" t="s">
        <v>493</v>
      </c>
      <c r="U33" s="42"/>
      <c r="V33" s="43"/>
      <c r="W33" s="42"/>
      <c r="X33" s="16" t="s">
        <v>135</v>
      </c>
      <c r="Y33" s="42"/>
      <c r="Z33" s="43"/>
      <c r="AA33" s="42"/>
      <c r="AB33" s="16" t="s">
        <v>135</v>
      </c>
      <c r="AC33" s="42" t="s">
        <v>590</v>
      </c>
      <c r="AD33" s="43"/>
      <c r="AE33" s="42"/>
      <c r="AF33" s="16" t="s">
        <v>121</v>
      </c>
      <c r="AG33" s="42"/>
      <c r="AH33" s="43"/>
      <c r="AI33" s="42"/>
      <c r="AJ33" s="16" t="s">
        <v>121</v>
      </c>
      <c r="AK33" s="42"/>
      <c r="AL33" s="43"/>
      <c r="AM33" s="42"/>
      <c r="AN33" s="115"/>
      <c r="AO33" s="43"/>
      <c r="AP33" s="115"/>
      <c r="AQ33" s="16" t="s">
        <v>121</v>
      </c>
      <c r="AR33" s="119"/>
      <c r="AS33" s="1"/>
      <c r="AT33" s="1"/>
    </row>
    <row r="34">
      <c r="A34" s="16" t="s">
        <v>56</v>
      </c>
      <c r="B34" s="114" t="str">
        <f>IFERROR(HYPERLINK(VLOOKUP(A34,Internal_lists_bugs!$A$2:$I2003,9,FALSE()), VLOOKUP(A34,Internal_lists_bugs!$A$2:$C$73,3,FALSE())&amp;Char(10) &amp; Char(10) &amp; VLOOKUP(A34,Internal_lists_bugs!$A$2:$Z$73,26,FALSE())),"please select a BUG ID")</f>
        <v>
</v>
      </c>
      <c r="C34" s="39" t="str">
        <f>IFERROR(VLOOKUP(A34,Internal_lists_bugs!$A$2:$G2003,7,FALSE()),"please select a BUG ID")</f>
        <v>https://opendev.org/openstack/nova/commit/f2baacd4e634b815fe011ced0d6e46f6c06b7fdd</v>
      </c>
      <c r="D34" s="43"/>
      <c r="E34" s="61"/>
      <c r="F34" s="16" t="s">
        <v>505</v>
      </c>
      <c r="G34" s="61" t="s">
        <v>594</v>
      </c>
      <c r="H34" s="43"/>
      <c r="I34" s="61"/>
      <c r="J34" s="43"/>
      <c r="K34" s="42"/>
      <c r="L34" s="43"/>
      <c r="M34" s="42"/>
      <c r="N34" s="43"/>
      <c r="O34" s="42"/>
      <c r="P34" s="43"/>
      <c r="Q34" s="42"/>
      <c r="R34" s="43"/>
      <c r="S34" s="44"/>
      <c r="T34" s="43"/>
      <c r="U34" s="42"/>
      <c r="V34" s="43"/>
      <c r="W34" s="42"/>
      <c r="X34" s="43"/>
      <c r="Y34" s="42"/>
      <c r="Z34" s="43"/>
      <c r="AA34" s="42"/>
      <c r="AB34" s="43"/>
      <c r="AC34" s="42"/>
      <c r="AD34" s="43"/>
      <c r="AE34" s="42"/>
      <c r="AF34" s="43"/>
      <c r="AG34" s="42"/>
      <c r="AH34" s="43"/>
      <c r="AI34" s="42"/>
      <c r="AJ34" s="43"/>
      <c r="AK34" s="42"/>
      <c r="AL34" s="43"/>
      <c r="AM34" s="42"/>
      <c r="AN34" s="115"/>
      <c r="AO34" s="43"/>
      <c r="AP34" s="115"/>
      <c r="AQ34" s="16" t="s">
        <v>121</v>
      </c>
      <c r="AR34" s="119"/>
      <c r="AS34" s="1"/>
      <c r="AT34" s="1"/>
    </row>
    <row r="35">
      <c r="A35" s="16" t="s">
        <v>58</v>
      </c>
      <c r="B35" s="114" t="str">
        <f>IFERROR(HYPERLINK(VLOOKUP(A35,Internal_lists_bugs!$A$2:$I2003,9,FALSE()), VLOOKUP(A35,Internal_lists_bugs!$A$2:$C$73,3,FALSE())&amp;Char(10) &amp; Char(10) &amp; VLOOKUP(A35,Internal_lists_bugs!$A$2:$Z$73,26,FALSE())),"please select a BUG ID")</f>
        <v>
</v>
      </c>
      <c r="C35" s="39" t="str">
        <f>IFERROR(VLOOKUP(A35,Internal_lists_bugs!$A$2:$G2003,7,FALSE()),"please select a BUG ID")</f>
        <v>https://opendev.org/openstack/nova/commit/1d551dc96658ade41c8e9fabc6d9b41a28d5ed15</v>
      </c>
      <c r="D35" s="16" t="s">
        <v>497</v>
      </c>
      <c r="E35" s="61"/>
      <c r="F35" s="16" t="s">
        <v>488</v>
      </c>
      <c r="G35" s="61" t="s">
        <v>595</v>
      </c>
      <c r="H35" s="118" t="s">
        <v>488</v>
      </c>
      <c r="I35" s="61" t="s">
        <v>596</v>
      </c>
      <c r="J35" s="16" t="s">
        <v>135</v>
      </c>
      <c r="K35" s="42" t="s">
        <v>597</v>
      </c>
      <c r="L35" s="16" t="s">
        <v>500</v>
      </c>
      <c r="M35" s="42" t="s">
        <v>598</v>
      </c>
      <c r="N35" s="16" t="s">
        <v>121</v>
      </c>
      <c r="O35" s="50"/>
      <c r="P35" s="43"/>
      <c r="Q35" s="50"/>
      <c r="R35" s="43"/>
      <c r="S35" s="50"/>
      <c r="T35" s="16" t="s">
        <v>501</v>
      </c>
      <c r="U35" s="50"/>
      <c r="V35" s="43"/>
      <c r="W35" s="50"/>
      <c r="X35" s="16" t="s">
        <v>135</v>
      </c>
      <c r="Y35" s="50"/>
      <c r="Z35" s="43"/>
      <c r="AA35" s="50"/>
      <c r="AB35" s="16" t="s">
        <v>135</v>
      </c>
      <c r="AC35" s="50"/>
      <c r="AD35" s="43"/>
      <c r="AE35" s="50"/>
      <c r="AF35" s="16" t="s">
        <v>121</v>
      </c>
      <c r="AG35" s="50"/>
      <c r="AH35" s="43"/>
      <c r="AI35" s="50"/>
      <c r="AJ35" s="16" t="s">
        <v>121</v>
      </c>
      <c r="AK35" s="50"/>
      <c r="AL35" s="43"/>
      <c r="AM35" s="50"/>
      <c r="AN35" s="115"/>
      <c r="AO35" s="43"/>
      <c r="AP35" s="46"/>
      <c r="AQ35" s="16" t="s">
        <v>121</v>
      </c>
      <c r="AR35" s="119"/>
      <c r="AS35" s="1"/>
      <c r="AT35" s="1"/>
    </row>
    <row r="36">
      <c r="A36" s="16" t="s">
        <v>58</v>
      </c>
      <c r="B36" s="114" t="str">
        <f>IFERROR(HYPERLINK(VLOOKUP(A36,Internal_lists_bugs!$A$2:$I2003,9,FALSE()), VLOOKUP(A36,Internal_lists_bugs!$A$2:$C$73,3,FALSE())&amp;Char(10) &amp; Char(10) &amp; VLOOKUP(A36,Internal_lists_bugs!$A$2:$Z$73,26,FALSE())),"please select a BUG ID")</f>
        <v>
</v>
      </c>
      <c r="C36" s="39" t="str">
        <f>IFERROR(VLOOKUP(A36,Internal_lists_bugs!$A$2:$G2003,7,FALSE()),"please select a BUG ID")</f>
        <v>https://opendev.org/openstack/nova/commit/1d551dc96658ade41c8e9fabc6d9b41a28d5ed15</v>
      </c>
      <c r="D36" s="43"/>
      <c r="E36" s="61"/>
      <c r="F36" s="16" t="s">
        <v>497</v>
      </c>
      <c r="G36" s="61" t="s">
        <v>599</v>
      </c>
      <c r="H36" s="43"/>
      <c r="I36" s="61"/>
      <c r="J36" s="43"/>
      <c r="K36" s="42"/>
      <c r="L36" s="43"/>
      <c r="M36" s="42"/>
      <c r="N36" s="43"/>
      <c r="O36" s="44"/>
      <c r="P36" s="43"/>
      <c r="Q36" s="42"/>
      <c r="R36" s="43"/>
      <c r="S36" s="44"/>
      <c r="T36" s="43"/>
      <c r="U36" s="42"/>
      <c r="V36" s="43"/>
      <c r="W36" s="42"/>
      <c r="X36" s="43"/>
      <c r="Y36" s="42"/>
      <c r="Z36" s="43"/>
      <c r="AA36" s="42"/>
      <c r="AB36" s="43"/>
      <c r="AC36" s="42"/>
      <c r="AD36" s="43"/>
      <c r="AE36" s="42"/>
      <c r="AF36" s="43"/>
      <c r="AG36" s="44"/>
      <c r="AH36" s="43"/>
      <c r="AI36" s="42"/>
      <c r="AJ36" s="43"/>
      <c r="AK36" s="42"/>
      <c r="AL36" s="43"/>
      <c r="AM36" s="42"/>
      <c r="AN36" s="115"/>
      <c r="AO36" s="43"/>
      <c r="AP36" s="115"/>
      <c r="AQ36" s="16" t="s">
        <v>121</v>
      </c>
      <c r="AR36" s="119"/>
      <c r="AS36" s="1"/>
      <c r="AT36" s="1"/>
    </row>
    <row r="37">
      <c r="A37" s="16" t="s">
        <v>57</v>
      </c>
      <c r="B37" s="114" t="str">
        <f>IFERROR(HYPERLINK(VLOOKUP(A37,Internal_lists_bugs!$A$2:$I2003,9,FALSE()), VLOOKUP(A37,Internal_lists_bugs!$A$2:$C$73,3,FALSE())&amp;Char(10) &amp; Char(10) &amp; VLOOKUP(A37,Internal_lists_bugs!$A$2:$Z$73,26,FALSE())),"please select a BUG ID")</f>
        <v>
</v>
      </c>
      <c r="C37" s="39" t="str">
        <f>IFERROR(VLOOKUP(A37,Internal_lists_bugs!$A$2:$G2003,7,FALSE()),"please select a BUG ID")</f>
        <v>https://opendev.org/openstack/nova/commit/ae1040232dc681d718d940af11108322044a23be</v>
      </c>
      <c r="D37" s="16" t="s">
        <v>497</v>
      </c>
      <c r="E37" s="61"/>
      <c r="F37" s="16" t="s">
        <v>488</v>
      </c>
      <c r="G37" s="61" t="s">
        <v>600</v>
      </c>
      <c r="H37" s="118" t="s">
        <v>488</v>
      </c>
      <c r="I37" s="61" t="s">
        <v>601</v>
      </c>
      <c r="J37" s="16" t="s">
        <v>121</v>
      </c>
      <c r="K37" s="50"/>
      <c r="L37" s="16" t="s">
        <v>500</v>
      </c>
      <c r="M37" s="50"/>
      <c r="N37" s="16" t="s">
        <v>121</v>
      </c>
      <c r="O37" s="50"/>
      <c r="P37" s="43"/>
      <c r="Q37" s="50"/>
      <c r="R37" s="43"/>
      <c r="S37" s="50"/>
      <c r="T37" s="16" t="s">
        <v>514</v>
      </c>
      <c r="U37" s="50"/>
      <c r="V37" s="43"/>
      <c r="W37" s="50"/>
      <c r="X37" s="16" t="s">
        <v>121</v>
      </c>
      <c r="Y37" s="50"/>
      <c r="Z37" s="43"/>
      <c r="AA37" s="50"/>
      <c r="AB37" s="16" t="s">
        <v>135</v>
      </c>
      <c r="AC37" s="50"/>
      <c r="AD37" s="43"/>
      <c r="AE37" s="50"/>
      <c r="AF37" s="16" t="s">
        <v>121</v>
      </c>
      <c r="AG37" s="50"/>
      <c r="AH37" s="43"/>
      <c r="AI37" s="50"/>
      <c r="AJ37" s="16" t="s">
        <v>121</v>
      </c>
      <c r="AK37" s="50"/>
      <c r="AL37" s="43"/>
      <c r="AM37" s="50"/>
      <c r="AN37" s="115"/>
      <c r="AO37" s="43"/>
      <c r="AP37" s="46"/>
      <c r="AQ37" s="16" t="s">
        <v>121</v>
      </c>
      <c r="AR37" s="119"/>
      <c r="AS37" s="1"/>
      <c r="AT37" s="1"/>
    </row>
    <row r="38">
      <c r="A38" s="16" t="s">
        <v>59</v>
      </c>
      <c r="B38" s="114" t="str">
        <f>IFERROR(HYPERLINK(VLOOKUP(A38,Internal_lists_bugs!$A$2:$I2003,9,FALSE()), VLOOKUP(A38,Internal_lists_bugs!$A$2:$C$73,3,FALSE())&amp;Char(10) &amp; Char(10) &amp; VLOOKUP(A38,Internal_lists_bugs!$A$2:$Z$73,26,FALSE())),"please select a BUG ID")</f>
        <v>
</v>
      </c>
      <c r="C38" s="39" t="str">
        <f>IFERROR(VLOOKUP(A38,Internal_lists_bugs!$A$2:$G2003,7,FALSE()),"please select a BUG ID")</f>
        <v>https://opendev.org/openstack/nova/commit/5ee83244f40f3d3c29bf47c5d86952bf53de1684</v>
      </c>
      <c r="D38" s="16" t="s">
        <v>496</v>
      </c>
      <c r="E38" s="61"/>
      <c r="F38" s="16" t="s">
        <v>505</v>
      </c>
      <c r="G38" s="61" t="s">
        <v>602</v>
      </c>
      <c r="H38" s="16" t="s">
        <v>488</v>
      </c>
      <c r="I38" s="61" t="s">
        <v>603</v>
      </c>
      <c r="J38" s="16" t="s">
        <v>121</v>
      </c>
      <c r="K38" s="42"/>
      <c r="L38" s="16" t="s">
        <v>500</v>
      </c>
      <c r="M38" s="42"/>
      <c r="N38" s="16" t="s">
        <v>121</v>
      </c>
      <c r="O38" s="42"/>
      <c r="P38" s="43"/>
      <c r="Q38" s="44"/>
      <c r="R38" s="43"/>
      <c r="S38" s="44"/>
      <c r="T38" s="16" t="s">
        <v>501</v>
      </c>
      <c r="U38" s="42"/>
      <c r="V38" s="43"/>
      <c r="W38" s="42"/>
      <c r="X38" s="16" t="s">
        <v>121</v>
      </c>
      <c r="Y38" s="42"/>
      <c r="Z38" s="43"/>
      <c r="AA38" s="42"/>
      <c r="AB38" s="16" t="s">
        <v>121</v>
      </c>
      <c r="AC38" s="42"/>
      <c r="AD38" s="43"/>
      <c r="AE38" s="42"/>
      <c r="AF38" s="16" t="s">
        <v>121</v>
      </c>
      <c r="AG38" s="44"/>
      <c r="AH38" s="43"/>
      <c r="AI38" s="44"/>
      <c r="AJ38" s="16" t="s">
        <v>135</v>
      </c>
      <c r="AK38" s="42"/>
      <c r="AL38" s="43"/>
      <c r="AM38" s="42"/>
      <c r="AN38" s="115"/>
      <c r="AO38" s="43"/>
      <c r="AP38" s="115"/>
      <c r="AQ38" s="16" t="s">
        <v>121</v>
      </c>
      <c r="AR38" s="119"/>
      <c r="AS38" s="9"/>
      <c r="AT38" s="1"/>
    </row>
    <row r="39">
      <c r="A39" s="16" t="s">
        <v>59</v>
      </c>
      <c r="B39" s="114" t="str">
        <f>IFERROR(HYPERLINK(VLOOKUP(A39,Internal_lists_bugs!$A$2:$I2003,9,FALSE()), VLOOKUP(A39,Internal_lists_bugs!$A$2:$C$73,3,FALSE())&amp;Char(10) &amp; Char(10) &amp; VLOOKUP(A39,Internal_lists_bugs!$A$2:$Z$73,26,FALSE())),"please select a BUG ID")</f>
        <v>
</v>
      </c>
      <c r="C39" s="39" t="str">
        <f>IFERROR(VLOOKUP(A39,Internal_lists_bugs!$A$2:$G2003,7,FALSE()),"please select a BUG ID")</f>
        <v>https://opendev.org/openstack/nova/commit/5ee83244f40f3d3c29bf47c5d86952bf53de1684</v>
      </c>
      <c r="D39" s="43"/>
      <c r="E39" s="61"/>
      <c r="F39" s="16" t="s">
        <v>505</v>
      </c>
      <c r="G39" s="61" t="s">
        <v>604</v>
      </c>
      <c r="H39" s="43"/>
      <c r="I39" s="61"/>
      <c r="J39" s="43"/>
      <c r="K39" s="42"/>
      <c r="L39" s="43"/>
      <c r="M39" s="42"/>
      <c r="N39" s="43"/>
      <c r="O39" s="44"/>
      <c r="P39" s="43"/>
      <c r="Q39" s="44"/>
      <c r="R39" s="43"/>
      <c r="S39" s="44"/>
      <c r="T39" s="43"/>
      <c r="U39" s="42"/>
      <c r="V39" s="43"/>
      <c r="W39" s="42"/>
      <c r="X39" s="43"/>
      <c r="Y39" s="42"/>
      <c r="Z39" s="43"/>
      <c r="AA39" s="42"/>
      <c r="AB39" s="43"/>
      <c r="AC39" s="42"/>
      <c r="AD39" s="43"/>
      <c r="AE39" s="42"/>
      <c r="AF39" s="43"/>
      <c r="AG39" s="42"/>
      <c r="AH39" s="43"/>
      <c r="AI39" s="42"/>
      <c r="AJ39" s="43"/>
      <c r="AK39" s="42"/>
      <c r="AL39" s="43"/>
      <c r="AM39" s="42"/>
      <c r="AN39" s="115"/>
      <c r="AO39" s="43"/>
      <c r="AP39" s="115"/>
      <c r="AQ39" s="16" t="s">
        <v>121</v>
      </c>
      <c r="AR39" s="119"/>
      <c r="AS39" s="1"/>
      <c r="AT39" s="1"/>
    </row>
    <row r="40">
      <c r="A40" s="16" t="s">
        <v>60</v>
      </c>
      <c r="B40" s="114" t="str">
        <f>IFERROR(HYPERLINK(VLOOKUP(A40,Internal_lists_bugs!$A$2:$I2003,9,FALSE()), VLOOKUP(A40,Internal_lists_bugs!$A$2:$C$73,3,FALSE())&amp;Char(10) &amp; Char(10) &amp; VLOOKUP(A40,Internal_lists_bugs!$A$2:$Z$73,26,FALSE())),"please select a BUG ID")</f>
        <v>
</v>
      </c>
      <c r="C40" s="39" t="str">
        <f>IFERROR(VLOOKUP(A40,Internal_lists_bugs!$A$2:$G2003,7,FALSE()),"please select a BUG ID")</f>
        <v>https://opendev.org/openstack/nova/commit/ce28166dcf25a3d589e6f020b2dfa64705d15126</v>
      </c>
      <c r="D40" s="16" t="s">
        <v>496</v>
      </c>
      <c r="E40" s="61"/>
      <c r="F40" s="16" t="s">
        <v>488</v>
      </c>
      <c r="G40" s="61" t="s">
        <v>605</v>
      </c>
      <c r="H40" s="16" t="s">
        <v>496</v>
      </c>
      <c r="I40" s="61" t="s">
        <v>606</v>
      </c>
      <c r="J40" s="16" t="s">
        <v>121</v>
      </c>
      <c r="K40" s="42"/>
      <c r="L40" s="16" t="s">
        <v>500</v>
      </c>
      <c r="M40" s="42"/>
      <c r="N40" s="16" t="s">
        <v>135</v>
      </c>
      <c r="O40" s="42"/>
      <c r="P40" s="43"/>
      <c r="Q40" s="42"/>
      <c r="R40" s="43"/>
      <c r="S40" s="42"/>
      <c r="T40" s="16" t="s">
        <v>501</v>
      </c>
      <c r="U40" s="42"/>
      <c r="V40" s="43"/>
      <c r="W40" s="42"/>
      <c r="X40" s="16" t="s">
        <v>121</v>
      </c>
      <c r="Y40" s="42"/>
      <c r="Z40" s="43"/>
      <c r="AA40" s="42"/>
      <c r="AB40" s="16" t="s">
        <v>135</v>
      </c>
      <c r="AC40" s="42"/>
      <c r="AD40" s="43"/>
      <c r="AE40" s="42"/>
      <c r="AF40" s="16" t="s">
        <v>121</v>
      </c>
      <c r="AG40" s="42"/>
      <c r="AH40" s="43"/>
      <c r="AI40" s="42"/>
      <c r="AJ40" s="16" t="s">
        <v>121</v>
      </c>
      <c r="AK40" s="42"/>
      <c r="AL40" s="43"/>
      <c r="AM40" s="42"/>
      <c r="AN40" s="115"/>
      <c r="AO40" s="43"/>
      <c r="AP40" s="115"/>
      <c r="AQ40" s="16" t="s">
        <v>121</v>
      </c>
      <c r="AR40" s="119"/>
      <c r="AS40" s="1"/>
      <c r="AT40" s="1"/>
    </row>
    <row r="41">
      <c r="A41" s="16" t="s">
        <v>60</v>
      </c>
      <c r="B41" s="114" t="str">
        <f>IFERROR(HYPERLINK(VLOOKUP(A41,Internal_lists_bugs!$A$2:$I2003,9,FALSE()), VLOOKUP(A41,Internal_lists_bugs!$A$2:$C$73,3,FALSE())&amp;Char(10) &amp; Char(10) &amp; VLOOKUP(A41,Internal_lists_bugs!$A$2:$Z$73,26,FALSE())),"please select a BUG ID")</f>
        <v>
</v>
      </c>
      <c r="C41" s="39" t="str">
        <f>IFERROR(VLOOKUP(A41,Internal_lists_bugs!$A$2:$G2003,7,FALSE()),"please select a BUG ID")</f>
        <v>https://opendev.org/openstack/nova/commit/ce28166dcf25a3d589e6f020b2dfa64705d15126</v>
      </c>
      <c r="D41" s="43"/>
      <c r="E41" s="61"/>
      <c r="F41" s="16" t="s">
        <v>496</v>
      </c>
      <c r="G41" s="61" t="s">
        <v>607</v>
      </c>
      <c r="H41" s="43"/>
      <c r="I41" s="61"/>
      <c r="J41" s="43"/>
      <c r="K41" s="42"/>
      <c r="L41" s="43"/>
      <c r="M41" s="42"/>
      <c r="N41" s="43"/>
      <c r="O41" s="44"/>
      <c r="P41" s="43"/>
      <c r="Q41" s="42"/>
      <c r="R41" s="43"/>
      <c r="S41" s="42"/>
      <c r="T41" s="43"/>
      <c r="U41" s="42"/>
      <c r="V41" s="43"/>
      <c r="W41" s="42"/>
      <c r="X41" s="43"/>
      <c r="Y41" s="42"/>
      <c r="Z41" s="43"/>
      <c r="AA41" s="42"/>
      <c r="AB41" s="43"/>
      <c r="AC41" s="42"/>
      <c r="AD41" s="43"/>
      <c r="AE41" s="42"/>
      <c r="AF41" s="43"/>
      <c r="AG41" s="42"/>
      <c r="AH41" s="43"/>
      <c r="AI41" s="42"/>
      <c r="AJ41" s="43"/>
      <c r="AK41" s="42"/>
      <c r="AL41" s="43"/>
      <c r="AM41" s="42"/>
      <c r="AN41" s="115"/>
      <c r="AO41" s="43"/>
      <c r="AP41" s="115"/>
      <c r="AQ41" s="16" t="s">
        <v>121</v>
      </c>
      <c r="AR41" s="119"/>
      <c r="AS41" s="1"/>
      <c r="AT41" s="1"/>
    </row>
    <row r="42">
      <c r="A42" s="16" t="s">
        <v>61</v>
      </c>
      <c r="B42" s="114" t="str">
        <f>IFERROR(HYPERLINK(VLOOKUP(A42,Internal_lists_bugs!$A$2:$I2003,9,FALSE()), VLOOKUP(A42,Internal_lists_bugs!$A$2:$C$73,3,FALSE())&amp;Char(10) &amp; Char(10) &amp; VLOOKUP(A42,Internal_lists_bugs!$A$2:$Z$73,26,FALSE())),"please select a BUG ID")</f>
        <v>
</v>
      </c>
      <c r="C42" s="39" t="str">
        <f>IFERROR(VLOOKUP(A42,Internal_lists_bugs!$A$2:$G2003,7,FALSE()),"please select a BUG ID")</f>
        <v>https://opendev.org/openstack/nova/commit/7cef50ad800274cad3d07240cc468d038ce4031b</v>
      </c>
      <c r="D42" s="16" t="s">
        <v>505</v>
      </c>
      <c r="E42" s="61"/>
      <c r="F42" s="16" t="s">
        <v>488</v>
      </c>
      <c r="G42" s="61" t="s">
        <v>608</v>
      </c>
      <c r="H42" s="118" t="s">
        <v>496</v>
      </c>
      <c r="I42" s="61" t="s">
        <v>609</v>
      </c>
      <c r="J42" s="16" t="s">
        <v>121</v>
      </c>
      <c r="K42" s="50"/>
      <c r="L42" s="16" t="s">
        <v>500</v>
      </c>
      <c r="M42" s="50"/>
      <c r="N42" s="16" t="s">
        <v>135</v>
      </c>
      <c r="O42" s="50"/>
      <c r="P42" s="43"/>
      <c r="Q42" s="50"/>
      <c r="R42" s="43"/>
      <c r="S42" s="50"/>
      <c r="T42" s="16" t="s">
        <v>493</v>
      </c>
      <c r="U42" s="50"/>
      <c r="V42" s="43"/>
      <c r="W42" s="50"/>
      <c r="X42" s="16" t="s">
        <v>121</v>
      </c>
      <c r="Y42" s="50"/>
      <c r="Z42" s="43"/>
      <c r="AA42" s="50"/>
      <c r="AB42" s="16" t="s">
        <v>121</v>
      </c>
      <c r="AC42" s="50"/>
      <c r="AD42" s="43"/>
      <c r="AE42" s="50"/>
      <c r="AF42" s="16" t="s">
        <v>121</v>
      </c>
      <c r="AG42" s="50"/>
      <c r="AH42" s="43"/>
      <c r="AI42" s="50"/>
      <c r="AJ42" s="16" t="s">
        <v>121</v>
      </c>
      <c r="AK42" s="50"/>
      <c r="AL42" s="43"/>
      <c r="AM42" s="50"/>
      <c r="AN42" s="115"/>
      <c r="AO42" s="43"/>
      <c r="AP42" s="46"/>
      <c r="AQ42" s="16" t="s">
        <v>121</v>
      </c>
      <c r="AR42" s="119"/>
      <c r="AS42" s="1"/>
      <c r="AT42" s="1"/>
    </row>
    <row r="43">
      <c r="A43" s="16" t="s">
        <v>62</v>
      </c>
      <c r="B43" s="114" t="str">
        <f>IFERROR(HYPERLINK(VLOOKUP(A43,Internal_lists_bugs!$A$2:$I2003,9,FALSE()), VLOOKUP(A43,Internal_lists_bugs!$A$2:$C$73,3,FALSE())&amp;Char(10) &amp; Char(10) &amp; VLOOKUP(A43,Internal_lists_bugs!$A$2:$Z$73,26,FALSE())),"please select a BUG ID")</f>
        <v>
</v>
      </c>
      <c r="C43" s="39" t="str">
        <f>IFERROR(VLOOKUP(A43,Internal_lists_bugs!$A$2:$G2003,7,FALSE()),"please select a BUG ID")</f>
        <v>https://opendev.org/openstack/nova/commit/ac658aa7d0671fb9b5a0a2c504f4b73dff514da9</v>
      </c>
      <c r="D43" s="16" t="s">
        <v>505</v>
      </c>
      <c r="E43" s="61"/>
      <c r="F43" s="16" t="s">
        <v>488</v>
      </c>
      <c r="G43" s="61" t="s">
        <v>610</v>
      </c>
      <c r="H43" s="16" t="s">
        <v>505</v>
      </c>
      <c r="I43" s="61" t="s">
        <v>611</v>
      </c>
      <c r="J43" s="16" t="s">
        <v>121</v>
      </c>
      <c r="K43" s="42"/>
      <c r="L43" s="16" t="s">
        <v>500</v>
      </c>
      <c r="M43" s="42"/>
      <c r="N43" s="16" t="s">
        <v>121</v>
      </c>
      <c r="O43" s="44"/>
      <c r="P43" s="43"/>
      <c r="Q43" s="42"/>
      <c r="R43" s="43"/>
      <c r="S43" s="42"/>
      <c r="T43" s="16" t="s">
        <v>514</v>
      </c>
      <c r="U43" s="42"/>
      <c r="V43" s="43"/>
      <c r="W43" s="42"/>
      <c r="X43" s="16" t="s">
        <v>121</v>
      </c>
      <c r="Y43" s="42"/>
      <c r="Z43" s="43"/>
      <c r="AA43" s="42"/>
      <c r="AB43" s="16" t="s">
        <v>135</v>
      </c>
      <c r="AC43" s="42"/>
      <c r="AD43" s="43"/>
      <c r="AE43" s="42"/>
      <c r="AF43" s="16" t="s">
        <v>121</v>
      </c>
      <c r="AG43" s="42"/>
      <c r="AH43" s="43"/>
      <c r="AI43" s="42"/>
      <c r="AJ43" s="16" t="s">
        <v>121</v>
      </c>
      <c r="AK43" s="42"/>
      <c r="AL43" s="43"/>
      <c r="AM43" s="42"/>
      <c r="AN43" s="115"/>
      <c r="AO43" s="43"/>
      <c r="AP43" s="115"/>
      <c r="AQ43" s="16" t="s">
        <v>121</v>
      </c>
      <c r="AR43" s="119"/>
      <c r="AS43" s="1"/>
      <c r="AT43" s="1"/>
    </row>
    <row r="44">
      <c r="A44" s="16" t="s">
        <v>62</v>
      </c>
      <c r="B44" s="114" t="str">
        <f>IFERROR(HYPERLINK(VLOOKUP(A44,Internal_lists_bugs!$A$2:$I2003,9,FALSE()), VLOOKUP(A44,Internal_lists_bugs!$A$2:$C$73,3,FALSE())&amp;Char(10) &amp; Char(10) &amp; VLOOKUP(A44,Internal_lists_bugs!$A$2:$Z$73,26,FALSE())),"please select a BUG ID")</f>
        <v>
</v>
      </c>
      <c r="C44" s="39" t="str">
        <f>IFERROR(VLOOKUP(A44,Internal_lists_bugs!$A$2:$G2003,7,FALSE()),"please select a BUG ID")</f>
        <v>https://opendev.org/openstack/nova/commit/ac658aa7d0671fb9b5a0a2c504f4b73dff514da9</v>
      </c>
      <c r="D44" s="43"/>
      <c r="E44" s="61"/>
      <c r="F44" s="16" t="s">
        <v>496</v>
      </c>
      <c r="G44" s="61" t="s">
        <v>612</v>
      </c>
      <c r="H44" s="43"/>
      <c r="I44" s="61"/>
      <c r="J44" s="43"/>
      <c r="K44" s="50"/>
      <c r="L44" s="43"/>
      <c r="M44" s="50"/>
      <c r="N44" s="43"/>
      <c r="O44" s="50"/>
      <c r="P44" s="43"/>
      <c r="Q44" s="50"/>
      <c r="R44" s="43"/>
      <c r="S44" s="50"/>
      <c r="T44" s="43"/>
      <c r="U44" s="50"/>
      <c r="V44" s="43"/>
      <c r="W44" s="50"/>
      <c r="X44" s="43"/>
      <c r="Y44" s="50"/>
      <c r="Z44" s="43"/>
      <c r="AA44" s="50"/>
      <c r="AB44" s="43"/>
      <c r="AC44" s="50"/>
      <c r="AD44" s="43"/>
      <c r="AE44" s="50"/>
      <c r="AF44" s="43"/>
      <c r="AG44" s="50"/>
      <c r="AH44" s="43"/>
      <c r="AI44" s="50"/>
      <c r="AJ44" s="43"/>
      <c r="AK44" s="50"/>
      <c r="AL44" s="43"/>
      <c r="AM44" s="50"/>
      <c r="AN44" s="46"/>
      <c r="AO44" s="43"/>
      <c r="AP44" s="46"/>
      <c r="AQ44" s="16" t="s">
        <v>121</v>
      </c>
      <c r="AR44" s="119"/>
      <c r="AS44" s="1"/>
      <c r="AT44" s="1"/>
    </row>
    <row r="45">
      <c r="A45" s="16" t="s">
        <v>63</v>
      </c>
      <c r="B45" s="59" t="str">
        <f>IFERROR(HYPERLINK(VLOOKUP(A45,Internal_lists_bugs!$A$2:$I2003,9,FALSE()), VLOOKUP(A45,Internal_lists_bugs!$A$2:$C$73,3,FALSE())&amp;Char(10) &amp; Char(10) &amp; VLOOKUP(A45,Internal_lists_bugs!$A$2:$Z$73,26,FALSE())),"please select a BUG ID")</f>
        <v>
</v>
      </c>
      <c r="C45" s="39" t="str">
        <f>IFERROR(VLOOKUP(A45,Internal_lists_bugs!$A$2:$G2003,7,FALSE()),"please select a BUG ID")</f>
        <v>https://github.com/elastic/elasticsearch/commit/e5b041c8efd408fdc71fd2f2c84439e5a4985244</v>
      </c>
      <c r="D45" s="16" t="s">
        <v>505</v>
      </c>
      <c r="E45" s="61"/>
      <c r="F45" s="16" t="s">
        <v>505</v>
      </c>
      <c r="G45" s="61"/>
      <c r="H45" s="16" t="s">
        <v>505</v>
      </c>
      <c r="I45" s="61"/>
      <c r="J45" s="16" t="s">
        <v>121</v>
      </c>
      <c r="K45" s="50"/>
      <c r="L45" s="16" t="s">
        <v>500</v>
      </c>
      <c r="M45" s="50"/>
      <c r="N45" s="16" t="s">
        <v>121</v>
      </c>
      <c r="O45" s="50"/>
      <c r="P45" s="43"/>
      <c r="Q45" s="50"/>
      <c r="R45" s="43"/>
      <c r="S45" s="50"/>
      <c r="T45" s="43"/>
      <c r="U45" s="50"/>
      <c r="V45" s="43"/>
      <c r="W45" s="50"/>
      <c r="X45" s="16" t="s">
        <v>135</v>
      </c>
      <c r="Y45" s="50"/>
      <c r="Z45" s="43"/>
      <c r="AA45" s="50"/>
      <c r="AB45" s="16" t="s">
        <v>121</v>
      </c>
      <c r="AC45" s="42" t="s">
        <v>613</v>
      </c>
      <c r="AD45" s="43"/>
      <c r="AE45" s="50"/>
      <c r="AF45" s="16" t="s">
        <v>135</v>
      </c>
      <c r="AG45" s="50"/>
      <c r="AH45" s="43"/>
      <c r="AI45" s="50"/>
      <c r="AJ45" s="16" t="s">
        <v>135</v>
      </c>
      <c r="AK45" s="50"/>
      <c r="AL45" s="43"/>
      <c r="AM45" s="50"/>
      <c r="AN45" s="46"/>
      <c r="AO45" s="43"/>
      <c r="AP45" s="46"/>
      <c r="AQ45" s="16" t="s">
        <v>121</v>
      </c>
      <c r="AR45" s="119"/>
      <c r="AS45" s="1"/>
      <c r="AT45" s="1"/>
    </row>
    <row r="46">
      <c r="A46" s="120" t="s">
        <v>64</v>
      </c>
      <c r="B46" s="59" t="str">
        <f>IFERROR(HYPERLINK(VLOOKUP(A46,Internal_lists_bugs!$A$2:$I2003,9,FALSE()), VLOOKUP(A46,Internal_lists_bugs!$A$2:$C$73,3,FALSE())&amp;Char(10) &amp; Char(10) &amp; VLOOKUP(A46,Internal_lists_bugs!$A$2:$Z$73,26,FALSE())),"please select a BUG ID")</f>
        <v>
</v>
      </c>
      <c r="C46" s="39" t="str">
        <f>IFERROR(VLOOKUP(A46,Internal_lists_bugs!$A$2:$G2003,7,FALSE()),"please select a BUG ID")</f>
        <v>https://github.com/elastic/elasticsearch/commit/7180636df6dfe6b18bf738ee2285549ea95a8cb9</v>
      </c>
      <c r="D46" s="16" t="s">
        <v>505</v>
      </c>
      <c r="E46" s="61"/>
      <c r="F46" s="16" t="s">
        <v>505</v>
      </c>
      <c r="G46" s="61"/>
      <c r="H46" s="16" t="s">
        <v>505</v>
      </c>
      <c r="I46" s="61"/>
      <c r="J46" s="16" t="s">
        <v>121</v>
      </c>
      <c r="K46" s="50"/>
      <c r="L46" s="16" t="s">
        <v>500</v>
      </c>
      <c r="M46" s="50"/>
      <c r="N46" s="16" t="s">
        <v>121</v>
      </c>
      <c r="O46" s="50"/>
      <c r="P46" s="43"/>
      <c r="Q46" s="50"/>
      <c r="R46" s="43"/>
      <c r="S46" s="50"/>
      <c r="T46" s="43"/>
      <c r="U46" s="50"/>
      <c r="V46" s="43"/>
      <c r="W46" s="50"/>
      <c r="X46" s="16" t="s">
        <v>135</v>
      </c>
      <c r="Y46" s="50"/>
      <c r="Z46" s="43"/>
      <c r="AA46" s="50"/>
      <c r="AB46" s="16" t="s">
        <v>121</v>
      </c>
      <c r="AC46" s="50"/>
      <c r="AD46" s="43"/>
      <c r="AE46" s="50"/>
      <c r="AF46" s="16" t="s">
        <v>121</v>
      </c>
      <c r="AG46" s="50"/>
      <c r="AH46" s="43"/>
      <c r="AI46" s="50"/>
      <c r="AJ46" s="16" t="s">
        <v>121</v>
      </c>
      <c r="AK46" s="50"/>
      <c r="AL46" s="43"/>
      <c r="AM46" s="50"/>
      <c r="AN46" s="46"/>
      <c r="AO46" s="43"/>
      <c r="AP46" s="46"/>
      <c r="AQ46" s="16" t="s">
        <v>121</v>
      </c>
      <c r="AR46" s="119"/>
      <c r="AS46" s="1"/>
      <c r="AT46" s="1"/>
    </row>
    <row r="47">
      <c r="A47" s="108" t="s">
        <v>65</v>
      </c>
      <c r="B47" s="59" t="str">
        <f>IFERROR(HYPERLINK(VLOOKUP(A47,Internal_lists_bugs!$A$2:$I2003,9,FALSE()), VLOOKUP(A47,Internal_lists_bugs!$A$2:$C$73,3,FALSE())&amp;Char(10) &amp; Char(10) &amp; VLOOKUP(A47,Internal_lists_bugs!$A$2:$Z$73,26,FALSE())),"please select a BUG ID")</f>
        <v>
</v>
      </c>
      <c r="C47" s="39" t="str">
        <f>IFERROR(VLOOKUP(A47,Internal_lists_bugs!$A$2:$G2003,7,FALSE()),"please select a BUG ID")</f>
        <v>https://github.com/elastic/elasticsearch/commit/90a339ad5e4a61e750d0342be6326de46f45bedc</v>
      </c>
      <c r="D47" s="16" t="s">
        <v>505</v>
      </c>
      <c r="E47" s="61"/>
      <c r="F47" s="16" t="s">
        <v>505</v>
      </c>
      <c r="G47" s="61"/>
      <c r="H47" s="16" t="s">
        <v>505</v>
      </c>
      <c r="I47" s="61"/>
      <c r="J47" s="16" t="s">
        <v>135</v>
      </c>
      <c r="K47" s="42" t="s">
        <v>614</v>
      </c>
      <c r="L47" s="16" t="s">
        <v>492</v>
      </c>
      <c r="M47" s="50"/>
      <c r="N47" s="16" t="s">
        <v>121</v>
      </c>
      <c r="O47" s="50"/>
      <c r="P47" s="43"/>
      <c r="Q47" s="50"/>
      <c r="R47" s="43"/>
      <c r="S47" s="50"/>
      <c r="T47" s="43"/>
      <c r="U47" s="50"/>
      <c r="V47" s="43"/>
      <c r="W47" s="50"/>
      <c r="X47" s="16" t="s">
        <v>135</v>
      </c>
      <c r="Y47" s="50"/>
      <c r="Z47" s="43"/>
      <c r="AA47" s="50"/>
      <c r="AB47" s="16" t="s">
        <v>121</v>
      </c>
      <c r="AC47" s="50"/>
      <c r="AD47" s="43"/>
      <c r="AE47" s="50"/>
      <c r="AF47" s="16" t="s">
        <v>135</v>
      </c>
      <c r="AG47" s="50"/>
      <c r="AH47" s="43"/>
      <c r="AI47" s="50"/>
      <c r="AJ47" s="16" t="s">
        <v>135</v>
      </c>
      <c r="AK47" s="50"/>
      <c r="AL47" s="43"/>
      <c r="AM47" s="50"/>
      <c r="AN47" s="46"/>
      <c r="AO47" s="43"/>
      <c r="AP47" s="46"/>
      <c r="AQ47" s="16" t="s">
        <v>121</v>
      </c>
      <c r="AR47" s="119"/>
      <c r="AS47" s="1"/>
      <c r="AT47" s="1"/>
    </row>
    <row r="48">
      <c r="A48" s="120" t="s">
        <v>66</v>
      </c>
      <c r="B48" s="59" t="str">
        <f>IFERROR(HYPERLINK(VLOOKUP(A48,Internal_lists_bugs!$A$2:$I2003,9,FALSE()), VLOOKUP(A48,Internal_lists_bugs!$A$2:$C$73,3,FALSE())&amp;Char(10) &amp; Char(10) &amp; VLOOKUP(A48,Internal_lists_bugs!$A$2:$Z$73,26,FALSE())),"please select a BUG ID")</f>
        <v>
</v>
      </c>
      <c r="C48" s="39" t="str">
        <f>IFERROR(VLOOKUP(A48,Internal_lists_bugs!$A$2:$G2003,7,FALSE()),"please select a BUG ID")</f>
        <v>https://github.com/elastic/elasticsearch/commit/8561f897a984807958a543e378ab01349935a739</v>
      </c>
      <c r="D48" s="16" t="s">
        <v>505</v>
      </c>
      <c r="E48" s="61"/>
      <c r="F48" s="16" t="s">
        <v>505</v>
      </c>
      <c r="G48" s="61"/>
      <c r="H48" s="16" t="s">
        <v>505</v>
      </c>
      <c r="I48" s="61"/>
      <c r="J48" s="16" t="s">
        <v>121</v>
      </c>
      <c r="K48" s="50"/>
      <c r="L48" s="16" t="s">
        <v>500</v>
      </c>
      <c r="M48" s="50"/>
      <c r="N48" s="16" t="s">
        <v>121</v>
      </c>
      <c r="O48" s="50"/>
      <c r="P48" s="43"/>
      <c r="Q48" s="50"/>
      <c r="R48" s="43"/>
      <c r="S48" s="50"/>
      <c r="T48" s="43"/>
      <c r="U48" s="50"/>
      <c r="V48" s="43"/>
      <c r="W48" s="50"/>
      <c r="X48" s="16" t="s">
        <v>135</v>
      </c>
      <c r="Y48" s="50"/>
      <c r="Z48" s="43"/>
      <c r="AA48" s="50"/>
      <c r="AB48" s="16" t="s">
        <v>121</v>
      </c>
      <c r="AC48" s="50"/>
      <c r="AD48" s="43"/>
      <c r="AE48" s="50"/>
      <c r="AF48" s="16" t="s">
        <v>121</v>
      </c>
      <c r="AG48" s="50"/>
      <c r="AH48" s="43"/>
      <c r="AI48" s="50"/>
      <c r="AJ48" s="16" t="s">
        <v>121</v>
      </c>
      <c r="AK48" s="50"/>
      <c r="AL48" s="43"/>
      <c r="AM48" s="50"/>
      <c r="AN48" s="46"/>
      <c r="AO48" s="43"/>
      <c r="AP48" s="46"/>
      <c r="AQ48" s="16" t="s">
        <v>121</v>
      </c>
      <c r="AR48" s="119"/>
      <c r="AS48" s="1"/>
      <c r="AT48" s="1"/>
    </row>
    <row r="49">
      <c r="A49" s="108" t="s">
        <v>67</v>
      </c>
      <c r="B49" s="59" t="str">
        <f>IFERROR(HYPERLINK(VLOOKUP(A49,Internal_lists_bugs!$A$2:$I2003,9,FALSE()), VLOOKUP(A49,Internal_lists_bugs!$A$2:$C$73,3,FALSE())&amp;Char(10) &amp; Char(10) &amp; VLOOKUP(A49,Internal_lists_bugs!$A$2:$Z$73,26,FALSE())),"please select a BUG ID")</f>
        <v>
</v>
      </c>
      <c r="C49" s="39" t="str">
        <f>IFERROR(VLOOKUP(A49,Internal_lists_bugs!$A$2:$G2003,7,FALSE()),"please select a BUG ID")</f>
        <v>https://github.com/elastic/elasticsearch/commit/03ee0a942df39c01e5e4f4ecb392a746e3d979af</v>
      </c>
      <c r="D49" s="16" t="s">
        <v>505</v>
      </c>
      <c r="E49" s="61"/>
      <c r="F49" s="16" t="s">
        <v>505</v>
      </c>
      <c r="G49" s="61"/>
      <c r="H49" s="16" t="s">
        <v>505</v>
      </c>
      <c r="I49" s="61"/>
      <c r="J49" s="16" t="s">
        <v>121</v>
      </c>
      <c r="K49" s="50"/>
      <c r="L49" s="16" t="s">
        <v>500</v>
      </c>
      <c r="M49" s="50"/>
      <c r="N49" s="16" t="s">
        <v>135</v>
      </c>
      <c r="O49" s="50"/>
      <c r="P49" s="43"/>
      <c r="Q49" s="50"/>
      <c r="R49" s="43"/>
      <c r="S49" s="50"/>
      <c r="T49" s="43"/>
      <c r="U49" s="50"/>
      <c r="V49" s="43"/>
      <c r="W49" s="50"/>
      <c r="X49" s="16" t="s">
        <v>135</v>
      </c>
      <c r="Y49" s="50"/>
      <c r="Z49" s="43"/>
      <c r="AA49" s="50"/>
      <c r="AB49" s="16" t="s">
        <v>121</v>
      </c>
      <c r="AC49" s="50"/>
      <c r="AD49" s="43"/>
      <c r="AE49" s="50"/>
      <c r="AF49" s="16" t="s">
        <v>121</v>
      </c>
      <c r="AG49" s="50"/>
      <c r="AH49" s="43"/>
      <c r="AI49" s="50"/>
      <c r="AJ49" s="16" t="s">
        <v>135</v>
      </c>
      <c r="AK49" s="50"/>
      <c r="AL49" s="43"/>
      <c r="AM49" s="50"/>
      <c r="AN49" s="46"/>
      <c r="AO49" s="43"/>
      <c r="AP49" s="46"/>
      <c r="AQ49" s="16" t="s">
        <v>121</v>
      </c>
      <c r="AR49" s="119"/>
      <c r="AS49" s="1"/>
      <c r="AT49" s="1"/>
    </row>
    <row r="50">
      <c r="A50" s="120" t="s">
        <v>68</v>
      </c>
      <c r="B50" s="114" t="str">
        <f>IFERROR(HYPERLINK(VLOOKUP(A50,Internal_lists_bugs!$A$2:$I2003,9,FALSE()), VLOOKUP(A50,Internal_lists_bugs!$A$2:$C$73,3,FALSE())&amp;Char(10) &amp; Char(10) &amp; VLOOKUP(A50,Internal_lists_bugs!$A$2:$Z$73,26,FALSE())),"please select a BUG ID")</f>
        <v>
</v>
      </c>
      <c r="C50" s="39" t="str">
        <f>IFERROR(VLOOKUP(A50,Internal_lists_bugs!$A$2:$G2003,7,FALSE()),"please select a BUG ID")</f>
        <v>https://github.com/elastic/elasticsearch/commit/91c4824a0f768f2d3e3651958656384d0735a85e</v>
      </c>
      <c r="D50" s="16" t="s">
        <v>505</v>
      </c>
      <c r="E50" s="61"/>
      <c r="F50" s="16" t="s">
        <v>505</v>
      </c>
      <c r="G50" s="61"/>
      <c r="H50" s="16" t="s">
        <v>486</v>
      </c>
      <c r="I50" s="61"/>
      <c r="J50" s="16" t="s">
        <v>121</v>
      </c>
      <c r="K50" s="50"/>
      <c r="L50" s="16" t="s">
        <v>513</v>
      </c>
      <c r="M50" s="50"/>
      <c r="N50" s="16" t="s">
        <v>121</v>
      </c>
      <c r="O50" s="50"/>
      <c r="P50" s="43"/>
      <c r="Q50" s="50"/>
      <c r="R50" s="43"/>
      <c r="S50" s="50"/>
      <c r="T50" s="43"/>
      <c r="U50" s="50"/>
      <c r="V50" s="43"/>
      <c r="W50" s="50"/>
      <c r="X50" s="16" t="s">
        <v>121</v>
      </c>
      <c r="Y50" s="50"/>
      <c r="Z50" s="43"/>
      <c r="AA50" s="50"/>
      <c r="AB50" s="16" t="s">
        <v>121</v>
      </c>
      <c r="AC50" s="50"/>
      <c r="AD50" s="43"/>
      <c r="AE50" s="50"/>
      <c r="AF50" s="16" t="s">
        <v>121</v>
      </c>
      <c r="AG50" s="50"/>
      <c r="AH50" s="43"/>
      <c r="AI50" s="50"/>
      <c r="AJ50" s="16" t="s">
        <v>121</v>
      </c>
      <c r="AK50" s="50"/>
      <c r="AL50" s="43"/>
      <c r="AM50" s="50"/>
      <c r="AN50" s="46"/>
      <c r="AO50" s="43"/>
      <c r="AP50" s="46"/>
      <c r="AQ50" s="16" t="s">
        <v>121</v>
      </c>
      <c r="AR50" s="119"/>
      <c r="AS50" s="1"/>
      <c r="AT50" s="1"/>
    </row>
    <row r="51">
      <c r="A51" s="108" t="s">
        <v>69</v>
      </c>
      <c r="B51" s="59" t="str">
        <f>IFERROR(HYPERLINK(VLOOKUP(A51,Internal_lists_bugs!$A$2:$I2003,9,FALSE()), VLOOKUP(A51,Internal_lists_bugs!$A$2:$C$73,3,FALSE())&amp;Char(10) &amp; Char(10) &amp; VLOOKUP(A51,Internal_lists_bugs!$A$2:$Z$73,26,FALSE())),"please select a BUG ID")</f>
        <v>
</v>
      </c>
      <c r="C51" s="39" t="str">
        <f>IFERROR(VLOOKUP(A51,Internal_lists_bugs!$A$2:$G2003,7,FALSE()),"please select a BUG ID")</f>
        <v>https://github.com/elastic/elasticsearch/commit/a75adaaaaaa632c036464da8fa24770796f77852</v>
      </c>
      <c r="D51" s="16" t="s">
        <v>505</v>
      </c>
      <c r="E51" s="61"/>
      <c r="F51" s="16" t="s">
        <v>488</v>
      </c>
      <c r="G51" s="61"/>
      <c r="H51" s="16" t="s">
        <v>615</v>
      </c>
      <c r="I51" s="61"/>
      <c r="J51" s="16" t="s">
        <v>121</v>
      </c>
      <c r="K51" s="50"/>
      <c r="L51" s="16" t="s">
        <v>513</v>
      </c>
      <c r="M51" s="50"/>
      <c r="N51" s="16" t="s">
        <v>121</v>
      </c>
      <c r="O51" s="50"/>
      <c r="P51" s="43"/>
      <c r="Q51" s="50"/>
      <c r="R51" s="43"/>
      <c r="S51" s="50"/>
      <c r="T51" s="43"/>
      <c r="U51" s="50"/>
      <c r="V51" s="43"/>
      <c r="W51" s="50"/>
      <c r="X51" s="16" t="s">
        <v>121</v>
      </c>
      <c r="Y51" s="50"/>
      <c r="Z51" s="43"/>
      <c r="AA51" s="50"/>
      <c r="AB51" s="16" t="s">
        <v>121</v>
      </c>
      <c r="AC51" s="50"/>
      <c r="AD51" s="43"/>
      <c r="AE51" s="50"/>
      <c r="AF51" s="16" t="s">
        <v>121</v>
      </c>
      <c r="AG51" s="50"/>
      <c r="AH51" s="43"/>
      <c r="AI51" s="50"/>
      <c r="AJ51" s="16" t="s">
        <v>121</v>
      </c>
      <c r="AK51" s="50"/>
      <c r="AL51" s="43"/>
      <c r="AM51" s="50"/>
      <c r="AN51" s="46"/>
      <c r="AO51" s="43"/>
      <c r="AP51" s="46"/>
      <c r="AQ51" s="16" t="s">
        <v>121</v>
      </c>
      <c r="AR51" s="119"/>
      <c r="AS51" s="1"/>
      <c r="AT51" s="1"/>
    </row>
    <row r="52">
      <c r="A52" s="120" t="s">
        <v>70</v>
      </c>
      <c r="B52" s="59" t="str">
        <f>IFERROR(HYPERLINK(VLOOKUP(A52,Internal_lists_bugs!$A$2:$I2003,9,FALSE()), VLOOKUP(A52,Internal_lists_bugs!$A$2:$C$73,3,FALSE())&amp;Char(10) &amp; Char(10) &amp; VLOOKUP(A52,Internal_lists_bugs!$A$2:$Z$73,26,FALSE())),"please select a BUG ID")</f>
        <v>
</v>
      </c>
      <c r="C52" s="39" t="str">
        <f>IFERROR(VLOOKUP(A52,Internal_lists_bugs!$A$2:$G2003,7,FALSE()),"please select a BUG ID")</f>
        <v>https://github.com/elastic/elasticsearch/commit/976448e3395609276446e2b8dbeddb046823aa2e</v>
      </c>
      <c r="D52" s="16" t="s">
        <v>505</v>
      </c>
      <c r="E52" s="61"/>
      <c r="F52" s="16" t="s">
        <v>505</v>
      </c>
      <c r="G52" s="61"/>
      <c r="H52" s="16" t="s">
        <v>505</v>
      </c>
      <c r="I52" s="61"/>
      <c r="J52" s="16" t="s">
        <v>121</v>
      </c>
      <c r="K52" s="50"/>
      <c r="L52" s="16" t="s">
        <v>513</v>
      </c>
      <c r="M52" s="50"/>
      <c r="N52" s="16" t="s">
        <v>135</v>
      </c>
      <c r="O52" s="42" t="s">
        <v>616</v>
      </c>
      <c r="P52" s="43"/>
      <c r="Q52" s="50"/>
      <c r="R52" s="43"/>
      <c r="S52" s="50"/>
      <c r="T52" s="43"/>
      <c r="U52" s="50"/>
      <c r="V52" s="43"/>
      <c r="W52" s="50"/>
      <c r="X52" s="121" t="s">
        <v>135</v>
      </c>
      <c r="Y52" s="46"/>
      <c r="Z52" s="1"/>
      <c r="AA52" s="46"/>
      <c r="AB52" s="45" t="s">
        <v>121</v>
      </c>
      <c r="AC52" s="46"/>
      <c r="AD52" s="1"/>
      <c r="AE52" s="46"/>
      <c r="AF52" s="45" t="s">
        <v>121</v>
      </c>
      <c r="AG52" s="46"/>
      <c r="AH52" s="1"/>
      <c r="AI52" s="46"/>
      <c r="AJ52" s="45" t="s">
        <v>121</v>
      </c>
      <c r="AK52" s="47" t="s">
        <v>616</v>
      </c>
      <c r="AL52" s="43"/>
      <c r="AM52" s="50"/>
      <c r="AN52" s="46"/>
      <c r="AO52" s="43"/>
      <c r="AP52" s="46"/>
      <c r="AQ52" s="16" t="s">
        <v>121</v>
      </c>
      <c r="AR52" s="119"/>
      <c r="AS52" s="1"/>
      <c r="AT52" s="1"/>
    </row>
    <row r="53">
      <c r="A53" s="108" t="s">
        <v>71</v>
      </c>
      <c r="B53" s="59" t="str">
        <f>IFERROR(HYPERLINK(VLOOKUP(A53,Internal_lists_bugs!$A$2:$I2003,9,FALSE()), VLOOKUP(A53,Internal_lists_bugs!$A$2:$C$73,3,FALSE())&amp;Char(10) &amp; Char(10) &amp; VLOOKUP(A53,Internal_lists_bugs!$A$2:$Z$73,26,FALSE())),"please select a BUG ID")</f>
        <v>
</v>
      </c>
      <c r="C53" s="39" t="str">
        <f>IFERROR(VLOOKUP(A53,Internal_lists_bugs!$A$2:$G2003,7,FALSE()),"please select a BUG ID")</f>
        <v>https://github.com/elastic/elasticsearch/commit/10660d390d760cde78fb115107c04e1cf104a4da</v>
      </c>
      <c r="D53" s="16" t="s">
        <v>505</v>
      </c>
      <c r="E53" s="61"/>
      <c r="F53" s="16" t="s">
        <v>505</v>
      </c>
      <c r="G53" s="61"/>
      <c r="H53" s="16" t="s">
        <v>505</v>
      </c>
      <c r="I53" s="61"/>
      <c r="J53" s="16" t="s">
        <v>121</v>
      </c>
      <c r="K53" s="50"/>
      <c r="L53" s="16" t="s">
        <v>500</v>
      </c>
      <c r="M53" s="50"/>
      <c r="N53" s="16" t="s">
        <v>121</v>
      </c>
      <c r="O53" s="50"/>
      <c r="P53" s="43"/>
      <c r="Q53" s="50"/>
      <c r="R53" s="43"/>
      <c r="S53" s="50"/>
      <c r="T53" s="43"/>
      <c r="U53" s="50"/>
      <c r="V53" s="43"/>
      <c r="W53" s="50"/>
      <c r="X53" s="122" t="s">
        <v>121</v>
      </c>
      <c r="Y53" s="46"/>
      <c r="Z53" s="1"/>
      <c r="AA53" s="46"/>
      <c r="AB53" s="9" t="s">
        <v>121</v>
      </c>
      <c r="AC53" s="46"/>
      <c r="AD53" s="1"/>
      <c r="AE53" s="46"/>
      <c r="AF53" s="9" t="s">
        <v>121</v>
      </c>
      <c r="AG53" s="46"/>
      <c r="AH53" s="1"/>
      <c r="AI53" s="46"/>
      <c r="AJ53" s="9" t="s">
        <v>121</v>
      </c>
      <c r="AK53" s="46"/>
      <c r="AL53" s="43"/>
      <c r="AM53" s="50"/>
      <c r="AN53" s="46"/>
      <c r="AO53" s="43"/>
      <c r="AP53" s="46"/>
      <c r="AQ53" s="16" t="s">
        <v>121</v>
      </c>
      <c r="AR53" s="119"/>
      <c r="AS53" s="1"/>
      <c r="AT53" s="1"/>
    </row>
    <row r="54">
      <c r="A54" s="120" t="s">
        <v>72</v>
      </c>
      <c r="B54" s="114" t="str">
        <f>IFERROR(HYPERLINK(VLOOKUP(A54,Internal_lists_bugs!$A$2:$I2003,9,FALSE()), VLOOKUP(A54,Internal_lists_bugs!$A$2:$C$73,3,FALSE())&amp;Char(10) &amp; Char(10) &amp; VLOOKUP(A54,Internal_lists_bugs!$A$2:$Z$73,26,FALSE())),"please select a BUG ID")</f>
        <v>
</v>
      </c>
      <c r="C54" s="39" t="str">
        <f>IFERROR(VLOOKUP(A54,Internal_lists_bugs!$A$2:$G2003,7,FALSE()),"please select a BUG ID")</f>
        <v>https://github.com/elastic/elasticsearch/commit/8865e60e936b57feb1a31d23b29ba0b212492766</v>
      </c>
      <c r="D54" s="16" t="s">
        <v>617</v>
      </c>
      <c r="E54" s="61"/>
      <c r="F54" s="16" t="s">
        <v>615</v>
      </c>
      <c r="G54" s="61"/>
      <c r="H54" s="16" t="s">
        <v>617</v>
      </c>
      <c r="I54" s="61"/>
      <c r="J54" s="16" t="s">
        <v>121</v>
      </c>
      <c r="K54" s="50"/>
      <c r="L54" s="16" t="s">
        <v>513</v>
      </c>
      <c r="M54" s="50"/>
      <c r="N54" s="16" t="s">
        <v>121</v>
      </c>
      <c r="O54" s="50"/>
      <c r="P54" s="43"/>
      <c r="Q54" s="50"/>
      <c r="R54" s="43"/>
      <c r="S54" s="50"/>
      <c r="T54" s="43"/>
      <c r="U54" s="50"/>
      <c r="V54" s="43"/>
      <c r="W54" s="50"/>
      <c r="X54" s="16" t="s">
        <v>135</v>
      </c>
      <c r="Y54" s="50"/>
      <c r="Z54" s="43"/>
      <c r="AA54" s="50"/>
      <c r="AB54" s="16" t="s">
        <v>121</v>
      </c>
      <c r="AC54" s="50"/>
      <c r="AD54" s="43"/>
      <c r="AE54" s="50"/>
      <c r="AF54" s="16" t="s">
        <v>121</v>
      </c>
      <c r="AG54" s="50"/>
      <c r="AH54" s="43"/>
      <c r="AI54" s="50"/>
      <c r="AJ54" s="16" t="s">
        <v>121</v>
      </c>
      <c r="AK54" s="50"/>
      <c r="AL54" s="43"/>
      <c r="AM54" s="50"/>
      <c r="AN54" s="46"/>
      <c r="AO54" s="43"/>
      <c r="AP54" s="46"/>
      <c r="AQ54" s="16" t="s">
        <v>121</v>
      </c>
      <c r="AR54" s="119"/>
      <c r="AS54" s="1"/>
      <c r="AT54" s="1"/>
    </row>
    <row r="55">
      <c r="A55" s="108" t="s">
        <v>73</v>
      </c>
      <c r="B55" s="59" t="str">
        <f>IFERROR(HYPERLINK(VLOOKUP(A55,Internal_lists_bugs!$A$2:$C$73,3,FALSE()), VLOOKUP(A55,Internal_lists_bugs!$A$2:$C$73,3,FALSE())&amp;Char(10) &amp; Char(10) &amp; VLOOKUP(A55,Internal_lists_bugs!$A$2:$Z$73,26,FALSE())),"please select a BUG ID")</f>
        <v>
</v>
      </c>
      <c r="C55" s="39" t="str">
        <f>IFERROR(VLOOKUP(A55,Internal_lists_bugs!$A$2:$G2003,7,FALSE()),"please select a BUG ID")</f>
        <v>https://github.com/elastic/elasticsearch/commit/4f5e62e9882b36271280ad4e47e61aba2d7669f1</v>
      </c>
      <c r="D55" s="16" t="s">
        <v>617</v>
      </c>
      <c r="E55" s="61"/>
      <c r="F55" s="16" t="s">
        <v>617</v>
      </c>
      <c r="G55" s="61"/>
      <c r="H55" s="16" t="s">
        <v>617</v>
      </c>
      <c r="I55" s="61"/>
      <c r="J55" s="16" t="s">
        <v>121</v>
      </c>
      <c r="K55" s="50"/>
      <c r="L55" s="16" t="s">
        <v>500</v>
      </c>
      <c r="M55" s="50"/>
      <c r="N55" s="16" t="s">
        <v>135</v>
      </c>
      <c r="O55" s="50"/>
      <c r="P55" s="43"/>
      <c r="Q55" s="50"/>
      <c r="R55" s="43"/>
      <c r="S55" s="50"/>
      <c r="T55" s="43"/>
      <c r="U55" s="50"/>
      <c r="V55" s="43"/>
      <c r="W55" s="50"/>
      <c r="X55" s="16" t="s">
        <v>135</v>
      </c>
      <c r="Y55" s="50"/>
      <c r="Z55" s="43"/>
      <c r="AA55" s="50"/>
      <c r="AB55" s="16" t="s">
        <v>121</v>
      </c>
      <c r="AC55" s="50"/>
      <c r="AD55" s="43"/>
      <c r="AE55" s="50"/>
      <c r="AF55" s="16" t="s">
        <v>121</v>
      </c>
      <c r="AG55" s="50"/>
      <c r="AH55" s="43"/>
      <c r="AI55" s="50"/>
      <c r="AJ55" s="16" t="s">
        <v>135</v>
      </c>
      <c r="AK55" s="50"/>
      <c r="AL55" s="43"/>
      <c r="AM55" s="50"/>
      <c r="AN55" s="46"/>
      <c r="AO55" s="43"/>
      <c r="AP55" s="46"/>
      <c r="AQ55" s="16" t="s">
        <v>121</v>
      </c>
      <c r="AR55" s="119"/>
      <c r="AS55" s="1"/>
      <c r="AT55" s="1"/>
    </row>
    <row r="56">
      <c r="A56" s="120" t="s">
        <v>74</v>
      </c>
      <c r="B56" s="59" t="str">
        <f>IFERROR(HYPERLINK(VLOOKUP(A56,Internal_lists_bugs!$A$2:$C$73,3,FALSE()), VLOOKUP(A56,Internal_lists_bugs!$A$2:$C$73,3,FALSE())&amp;Char(10) &amp; Char(10) &amp; VLOOKUP(A56,Internal_lists_bugs!$A$2:$Z$73,26,FALSE())),"please select a BUG ID")</f>
        <v>
</v>
      </c>
      <c r="C56" s="39" t="str">
        <f>IFERROR(VLOOKUP(A56,Internal_lists_bugs!$A$2:$G2003,7,FALSE()),"please select a BUG ID")</f>
        <v>https://github.com/elastic/elasticsearch/commit/b31b0e979c616251ed75b18a87193bd76b75eff3</v>
      </c>
      <c r="D56" s="16" t="s">
        <v>505</v>
      </c>
      <c r="E56" s="61"/>
      <c r="F56" s="16" t="s">
        <v>505</v>
      </c>
      <c r="G56" s="61"/>
      <c r="H56" s="16" t="s">
        <v>505</v>
      </c>
      <c r="I56" s="61"/>
      <c r="J56" s="16" t="s">
        <v>121</v>
      </c>
      <c r="K56" s="50"/>
      <c r="L56" s="16" t="s">
        <v>513</v>
      </c>
      <c r="M56" s="50"/>
      <c r="N56" s="16" t="s">
        <v>121</v>
      </c>
      <c r="O56" s="50"/>
      <c r="P56" s="43"/>
      <c r="Q56" s="50"/>
      <c r="R56" s="43"/>
      <c r="S56" s="50"/>
      <c r="T56" s="43"/>
      <c r="U56" s="50"/>
      <c r="V56" s="43"/>
      <c r="W56" s="50"/>
      <c r="X56" s="16" t="s">
        <v>135</v>
      </c>
      <c r="Y56" s="50"/>
      <c r="Z56" s="43"/>
      <c r="AA56" s="50"/>
      <c r="AB56" s="16" t="s">
        <v>121</v>
      </c>
      <c r="AC56" s="50"/>
      <c r="AD56" s="43"/>
      <c r="AE56" s="50"/>
      <c r="AF56" s="16" t="s">
        <v>121</v>
      </c>
      <c r="AG56" s="50"/>
      <c r="AH56" s="43"/>
      <c r="AI56" s="50"/>
      <c r="AJ56" s="16" t="s">
        <v>121</v>
      </c>
      <c r="AK56" s="50"/>
      <c r="AL56" s="43"/>
      <c r="AM56" s="50"/>
      <c r="AN56" s="46"/>
      <c r="AO56" s="43"/>
      <c r="AP56" s="46"/>
      <c r="AQ56" s="16" t="s">
        <v>121</v>
      </c>
      <c r="AR56" s="119"/>
      <c r="AS56" s="1"/>
      <c r="AT56" s="1"/>
    </row>
    <row r="57">
      <c r="A57" s="108" t="s">
        <v>75</v>
      </c>
      <c r="B57" s="59" t="str">
        <f>IFERROR(HYPERLINK(VLOOKUP(A57,Internal_lists_bugs!$A$2:$C$73,3,FALSE()), VLOOKUP(A57,Internal_lists_bugs!$A$2:$C$73,3,FALSE())&amp;Char(10) &amp; Char(10) &amp; VLOOKUP(A57,Internal_lists_bugs!$A$2:$Z$73,26,FALSE())),"please select a BUG ID")</f>
        <v>
</v>
      </c>
      <c r="C57" s="39" t="str">
        <f>IFERROR(VLOOKUP(A57,Internal_lists_bugs!$A$2:$G2003,7,FALSE()),"please select a BUG ID")</f>
        <v>https://github.com/elastic/elasticsearch/commit/4f131dfffbdadf5c5f9c9b7a03f9660233e04f72</v>
      </c>
      <c r="D57" s="16" t="s">
        <v>617</v>
      </c>
      <c r="E57" s="61"/>
      <c r="F57" s="16" t="s">
        <v>617</v>
      </c>
      <c r="G57" s="61"/>
      <c r="H57" s="16" t="s">
        <v>615</v>
      </c>
      <c r="I57" s="61"/>
      <c r="J57" s="16" t="s">
        <v>121</v>
      </c>
      <c r="K57" s="50"/>
      <c r="L57" s="16" t="s">
        <v>500</v>
      </c>
      <c r="M57" s="50"/>
      <c r="N57" s="16" t="s">
        <v>135</v>
      </c>
      <c r="O57" s="42" t="s">
        <v>616</v>
      </c>
      <c r="P57" s="43"/>
      <c r="Q57" s="50"/>
      <c r="R57" s="43"/>
      <c r="S57" s="50"/>
      <c r="T57" s="43"/>
      <c r="U57" s="50"/>
      <c r="V57" s="43"/>
      <c r="W57" s="50"/>
      <c r="X57" s="16" t="s">
        <v>121</v>
      </c>
      <c r="Y57" s="50"/>
      <c r="Z57" s="43"/>
      <c r="AA57" s="50"/>
      <c r="AB57" s="16" t="s">
        <v>121</v>
      </c>
      <c r="AC57" s="50"/>
      <c r="AD57" s="43"/>
      <c r="AE57" s="50"/>
      <c r="AF57" s="16" t="s">
        <v>135</v>
      </c>
      <c r="AG57" s="50"/>
      <c r="AH57" s="43"/>
      <c r="AI57" s="50"/>
      <c r="AJ57" s="16" t="s">
        <v>135</v>
      </c>
      <c r="AK57" s="50"/>
      <c r="AL57" s="43"/>
      <c r="AM57" s="50"/>
      <c r="AN57" s="46"/>
      <c r="AO57" s="43"/>
      <c r="AP57" s="46"/>
      <c r="AQ57" s="16" t="s">
        <v>121</v>
      </c>
      <c r="AR57" s="119"/>
      <c r="AS57" s="1"/>
      <c r="AT57" s="1"/>
    </row>
    <row r="58">
      <c r="A58" s="120" t="s">
        <v>76</v>
      </c>
      <c r="B58" s="59" t="str">
        <f>IFERROR(HYPERLINK(VLOOKUP(A58,Internal_lists_bugs!$A$2:$C$73,3,FALSE()), VLOOKUP(A58,Internal_lists_bugs!$A$2:$C$73,3,FALSE())&amp;Char(10) &amp; Char(10) &amp; VLOOKUP(A58,Internal_lists_bugs!$A$2:$Z$73,26,FALSE())),"please select a BUG ID")</f>
        <v>
</v>
      </c>
      <c r="C58" s="39" t="str">
        <f>IFERROR(VLOOKUP(A58,Internal_lists_bugs!$A$2:$G2003,7,FALSE()),"please select a BUG ID")</f>
        <v>https://github.com/elastic/elasticsearch/commit/3d310406b71973e82f94f60b8dab0c90729a579a</v>
      </c>
      <c r="D58" s="16" t="s">
        <v>505</v>
      </c>
      <c r="E58" s="61"/>
      <c r="F58" s="16" t="s">
        <v>505</v>
      </c>
      <c r="G58" s="61"/>
      <c r="H58" s="16" t="s">
        <v>505</v>
      </c>
      <c r="I58" s="61"/>
      <c r="J58" s="16" t="s">
        <v>121</v>
      </c>
      <c r="K58" s="50"/>
      <c r="L58" s="16" t="s">
        <v>500</v>
      </c>
      <c r="M58" s="50"/>
      <c r="N58" s="16" t="s">
        <v>121</v>
      </c>
      <c r="O58" s="50"/>
      <c r="P58" s="43"/>
      <c r="Q58" s="50"/>
      <c r="R58" s="43"/>
      <c r="S58" s="50"/>
      <c r="T58" s="43"/>
      <c r="U58" s="50"/>
      <c r="V58" s="43"/>
      <c r="W58" s="50"/>
      <c r="X58" s="16" t="s">
        <v>135</v>
      </c>
      <c r="Y58" s="50"/>
      <c r="Z58" s="43"/>
      <c r="AA58" s="50"/>
      <c r="AB58" s="16" t="s">
        <v>121</v>
      </c>
      <c r="AC58" s="50"/>
      <c r="AD58" s="43"/>
      <c r="AE58" s="50"/>
      <c r="AF58" s="16" t="s">
        <v>121</v>
      </c>
      <c r="AG58" s="50"/>
      <c r="AH58" s="43"/>
      <c r="AI58" s="50"/>
      <c r="AJ58" s="16" t="s">
        <v>121</v>
      </c>
      <c r="AK58" s="50"/>
      <c r="AL58" s="43"/>
      <c r="AM58" s="50"/>
      <c r="AN58" s="46"/>
      <c r="AO58" s="43"/>
      <c r="AP58" s="46"/>
      <c r="AQ58" s="16" t="s">
        <v>121</v>
      </c>
      <c r="AR58" s="119"/>
      <c r="AS58" s="1"/>
      <c r="AT58" s="1"/>
    </row>
    <row r="59">
      <c r="A59" s="108" t="s">
        <v>77</v>
      </c>
      <c r="B59" s="59" t="str">
        <f>IFERROR(HYPERLINK(VLOOKUP(A59,Internal_lists_bugs!$A$2:$C$73,3,FALSE()), VLOOKUP(A59,Internal_lists_bugs!$A$2:$C$73,3,FALSE())&amp;Char(10) &amp; Char(10) &amp; VLOOKUP(A59,Internal_lists_bugs!$A$2:$Z$73,26,FALSE())),"please select a BUG ID")</f>
        <v>
</v>
      </c>
      <c r="C59" s="39" t="str">
        <f>IFERROR(VLOOKUP(A59,Internal_lists_bugs!$A$2:$G2003,7,FALSE()),"please select a BUG ID")</f>
        <v>https://github.com/elastic/elasticsearch/commit/3f1472505723866794d875c00bde575d988e120d</v>
      </c>
      <c r="D59" s="16" t="s">
        <v>505</v>
      </c>
      <c r="E59" s="61"/>
      <c r="F59" s="16" t="s">
        <v>486</v>
      </c>
      <c r="G59" s="61"/>
      <c r="H59" s="16" t="s">
        <v>505</v>
      </c>
      <c r="I59" s="61"/>
      <c r="J59" s="16" t="s">
        <v>121</v>
      </c>
      <c r="K59" s="50"/>
      <c r="L59" s="16" t="s">
        <v>500</v>
      </c>
      <c r="M59" s="50"/>
      <c r="N59" s="16" t="s">
        <v>121</v>
      </c>
      <c r="O59" s="50"/>
      <c r="P59" s="43"/>
      <c r="Q59" s="50"/>
      <c r="R59" s="43"/>
      <c r="S59" s="50"/>
      <c r="T59" s="43"/>
      <c r="U59" s="50"/>
      <c r="V59" s="43"/>
      <c r="W59" s="50"/>
      <c r="X59" s="16" t="s">
        <v>121</v>
      </c>
      <c r="Y59" s="50"/>
      <c r="Z59" s="43"/>
      <c r="AA59" s="50"/>
      <c r="AB59" s="16" t="s">
        <v>135</v>
      </c>
      <c r="AC59" s="50"/>
      <c r="AD59" s="43"/>
      <c r="AE59" s="50"/>
      <c r="AF59" s="16" t="s">
        <v>121</v>
      </c>
      <c r="AG59" s="50"/>
      <c r="AH59" s="43"/>
      <c r="AI59" s="50"/>
      <c r="AJ59" s="16" t="s">
        <v>135</v>
      </c>
      <c r="AK59" s="50"/>
      <c r="AL59" s="43"/>
      <c r="AM59" s="50"/>
      <c r="AN59" s="46"/>
      <c r="AO59" s="43"/>
      <c r="AP59" s="46"/>
      <c r="AQ59" s="16" t="s">
        <v>121</v>
      </c>
      <c r="AR59" s="119"/>
      <c r="AS59" s="1"/>
      <c r="AT59" s="1"/>
    </row>
    <row r="60">
      <c r="A60" s="120" t="s">
        <v>78</v>
      </c>
      <c r="B60" s="59" t="str">
        <f>IFERROR(HYPERLINK(VLOOKUP(A60,Internal_lists_bugs!$A$2:$C$73,3,FALSE()), VLOOKUP(A60,Internal_lists_bugs!$A$2:$C$73,3,FALSE())&amp;Char(10) &amp; Char(10) &amp; VLOOKUP(A60,Internal_lists_bugs!$A$2:$Z$73,26,FALSE())),"please select a BUG ID")</f>
        <v>
</v>
      </c>
      <c r="C60" s="39" t="str">
        <f>IFERROR(VLOOKUP(A60,Internal_lists_bugs!$A$2:$G2003,7,FALSE()),"please select a BUG ID")</f>
        <v>https://github.com/elastic/elasticsearch/commit/e7e1667a26de5472e3419c586682b92c37c6e7d3</v>
      </c>
      <c r="D60" s="16" t="s">
        <v>505</v>
      </c>
      <c r="E60" s="61"/>
      <c r="F60" s="16" t="s">
        <v>486</v>
      </c>
      <c r="G60" s="61"/>
      <c r="H60" s="16" t="s">
        <v>505</v>
      </c>
      <c r="I60" s="61"/>
      <c r="J60" s="16" t="s">
        <v>121</v>
      </c>
      <c r="K60" s="50"/>
      <c r="L60" s="16" t="s">
        <v>500</v>
      </c>
      <c r="M60" s="50"/>
      <c r="N60" s="16" t="s">
        <v>121</v>
      </c>
      <c r="O60" s="50"/>
      <c r="P60" s="43"/>
      <c r="Q60" s="50"/>
      <c r="R60" s="43"/>
      <c r="S60" s="50"/>
      <c r="T60" s="43"/>
      <c r="U60" s="50"/>
      <c r="V60" s="43"/>
      <c r="W60" s="50"/>
      <c r="X60" s="16" t="s">
        <v>121</v>
      </c>
      <c r="Y60" s="50"/>
      <c r="Z60" s="43"/>
      <c r="AA60" s="50"/>
      <c r="AB60" s="16" t="s">
        <v>121</v>
      </c>
      <c r="AC60" s="50"/>
      <c r="AD60" s="43"/>
      <c r="AE60" s="50"/>
      <c r="AF60" s="16" t="s">
        <v>121</v>
      </c>
      <c r="AG60" s="50"/>
      <c r="AH60" s="43"/>
      <c r="AI60" s="50"/>
      <c r="AJ60" s="16" t="s">
        <v>121</v>
      </c>
      <c r="AK60" s="50"/>
      <c r="AL60" s="43"/>
      <c r="AM60" s="50"/>
      <c r="AN60" s="46"/>
      <c r="AO60" s="43"/>
      <c r="AP60" s="46"/>
      <c r="AQ60" s="16" t="s">
        <v>121</v>
      </c>
      <c r="AR60" s="119"/>
      <c r="AS60" s="1"/>
      <c r="AT60" s="1"/>
    </row>
    <row r="61">
      <c r="A61" s="108" t="s">
        <v>79</v>
      </c>
      <c r="B61" s="59" t="str">
        <f>IFERROR(HYPERLINK(VLOOKUP(A61,Internal_lists_bugs!$A$2:$C$73,3,FALSE()), VLOOKUP(A61,Internal_lists_bugs!$A$2:$C$73,3,FALSE())&amp;Char(10) &amp; Char(10) &amp; VLOOKUP(A61,Internal_lists_bugs!$A$2:$Z$73,26,FALSE())),"please select a BUG ID")</f>
        <v>
</v>
      </c>
      <c r="C61" s="39" t="str">
        <f>IFERROR(VLOOKUP(A61,Internal_lists_bugs!$A$2:$G2003,7,FALSE()),"please select a BUG ID")</f>
        <v>https://github.com/elastic/elasticsearch/commit/e88535a67e9594f3135465b5021ba9b502fef950</v>
      </c>
      <c r="D61" s="16" t="s">
        <v>505</v>
      </c>
      <c r="E61" s="61"/>
      <c r="F61" s="16" t="s">
        <v>505</v>
      </c>
      <c r="G61" s="61"/>
      <c r="H61" s="16" t="s">
        <v>505</v>
      </c>
      <c r="I61" s="61"/>
      <c r="J61" s="16" t="s">
        <v>121</v>
      </c>
      <c r="K61" s="50"/>
      <c r="L61" s="16" t="s">
        <v>513</v>
      </c>
      <c r="M61" s="50"/>
      <c r="N61" s="16" t="s">
        <v>121</v>
      </c>
      <c r="O61" s="50"/>
      <c r="P61" s="43"/>
      <c r="Q61" s="50"/>
      <c r="R61" s="43"/>
      <c r="S61" s="50"/>
      <c r="T61" s="43"/>
      <c r="U61" s="50"/>
      <c r="V61" s="43"/>
      <c r="W61" s="50"/>
      <c r="X61" s="16" t="s">
        <v>135</v>
      </c>
      <c r="Y61" s="50"/>
      <c r="Z61" s="43"/>
      <c r="AA61" s="50"/>
      <c r="AB61" s="16" t="s">
        <v>121</v>
      </c>
      <c r="AC61" s="50"/>
      <c r="AD61" s="43"/>
      <c r="AE61" s="50"/>
      <c r="AF61" s="16" t="s">
        <v>121</v>
      </c>
      <c r="AG61" s="50"/>
      <c r="AH61" s="43"/>
      <c r="AI61" s="50"/>
      <c r="AJ61" s="16" t="s">
        <v>121</v>
      </c>
      <c r="AK61" s="50"/>
      <c r="AL61" s="43"/>
      <c r="AM61" s="50"/>
      <c r="AN61" s="46"/>
      <c r="AO61" s="43"/>
      <c r="AP61" s="46"/>
      <c r="AQ61" s="16" t="s">
        <v>121</v>
      </c>
      <c r="AR61" s="119"/>
      <c r="AS61" s="1"/>
      <c r="AT61" s="1"/>
    </row>
    <row r="62">
      <c r="A62" s="120" t="s">
        <v>80</v>
      </c>
      <c r="B62" s="59" t="str">
        <f>IFERROR(HYPERLINK(VLOOKUP(A62,Internal_lists_bugs!$A$2:$C$73,3,FALSE()), VLOOKUP(A62,Internal_lists_bugs!$A$2:$C$73,3,FALSE())&amp;Char(10) &amp; Char(10) &amp; VLOOKUP(A62,Internal_lists_bugs!$A$2:$Z$73,26,FALSE())),"please select a BUG ID")</f>
        <v>
</v>
      </c>
      <c r="C62" s="39" t="str">
        <f>IFERROR(VLOOKUP(A62,Internal_lists_bugs!$A$2:$G2003,7,FALSE()),"please select a BUG ID")</f>
        <v>https://github.com/elastic/elasticsearch/commit/bc20f068c9c62b69260f3b24adaaf9fb3ff3d371</v>
      </c>
      <c r="D62" s="16" t="s">
        <v>505</v>
      </c>
      <c r="E62" s="61"/>
      <c r="F62" s="16" t="s">
        <v>505</v>
      </c>
      <c r="G62" s="61"/>
      <c r="H62" s="16" t="s">
        <v>505</v>
      </c>
      <c r="I62" s="61"/>
      <c r="J62" s="16" t="s">
        <v>121</v>
      </c>
      <c r="K62" s="50"/>
      <c r="L62" s="16" t="s">
        <v>500</v>
      </c>
      <c r="M62" s="50"/>
      <c r="N62" s="16" t="s">
        <v>135</v>
      </c>
      <c r="O62" s="50"/>
      <c r="P62" s="43"/>
      <c r="Q62" s="50"/>
      <c r="R62" s="43"/>
      <c r="S62" s="50"/>
      <c r="T62" s="43"/>
      <c r="U62" s="50"/>
      <c r="V62" s="43"/>
      <c r="W62" s="50"/>
      <c r="X62" s="16" t="s">
        <v>121</v>
      </c>
      <c r="Y62" s="50"/>
      <c r="Z62" s="43"/>
      <c r="AA62" s="50"/>
      <c r="AB62" s="16" t="s">
        <v>121</v>
      </c>
      <c r="AC62" s="50"/>
      <c r="AD62" s="43"/>
      <c r="AE62" s="50"/>
      <c r="AF62" s="16" t="s">
        <v>121</v>
      </c>
      <c r="AG62" s="50"/>
      <c r="AH62" s="43"/>
      <c r="AI62" s="50"/>
      <c r="AJ62" s="16" t="s">
        <v>121</v>
      </c>
      <c r="AK62" s="50"/>
      <c r="AL62" s="43"/>
      <c r="AM62" s="50"/>
      <c r="AN62" s="46"/>
      <c r="AO62" s="43"/>
      <c r="AP62" s="46"/>
      <c r="AQ62" s="16" t="s">
        <v>121</v>
      </c>
      <c r="AR62" s="119"/>
      <c r="AS62" s="1"/>
      <c r="AT62" s="1"/>
    </row>
    <row r="63">
      <c r="A63" s="108" t="s">
        <v>81</v>
      </c>
      <c r="B63" s="59" t="str">
        <f>IFERROR(HYPERLINK(VLOOKUP(A63,Internal_lists_bugs!$A$2:$C$73,3,FALSE()), VLOOKUP(A63,Internal_lists_bugs!$A$2:$C$73,3,FALSE())&amp;Char(10) &amp; Char(10) &amp; VLOOKUP(A63,Internal_lists_bugs!$A$2:$Z$73,26,FALSE())),"please select a BUG ID")</f>
        <v>
</v>
      </c>
      <c r="C63" s="39" t="str">
        <f>IFERROR(VLOOKUP(A63,Internal_lists_bugs!$A$2:$G2003,7,FALSE()),"please select a BUG ID")</f>
        <v>https://github.com/elastic/elasticsearch/commit/459d59a04ad4eb1671bac50a6faf3a7ad372d0e4</v>
      </c>
      <c r="D63" s="16" t="s">
        <v>505</v>
      </c>
      <c r="E63" s="61"/>
      <c r="F63" s="16" t="s">
        <v>486</v>
      </c>
      <c r="G63" s="61"/>
      <c r="H63" s="16" t="s">
        <v>505</v>
      </c>
      <c r="I63" s="61"/>
      <c r="J63" s="16" t="s">
        <v>121</v>
      </c>
      <c r="K63" s="50"/>
      <c r="L63" s="16" t="s">
        <v>500</v>
      </c>
      <c r="M63" s="50"/>
      <c r="N63" s="16" t="s">
        <v>135</v>
      </c>
      <c r="O63" s="42" t="s">
        <v>616</v>
      </c>
      <c r="P63" s="43"/>
      <c r="Q63" s="50"/>
      <c r="R63" s="43"/>
      <c r="S63" s="50"/>
      <c r="T63" s="43"/>
      <c r="U63" s="50"/>
      <c r="V63" s="43"/>
      <c r="W63" s="50"/>
      <c r="X63" s="16" t="s">
        <v>121</v>
      </c>
      <c r="Y63" s="50"/>
      <c r="Z63" s="43"/>
      <c r="AA63" s="50"/>
      <c r="AB63" s="16" t="s">
        <v>121</v>
      </c>
      <c r="AC63" s="50"/>
      <c r="AD63" s="43"/>
      <c r="AE63" s="50"/>
      <c r="AF63" s="16" t="s">
        <v>121</v>
      </c>
      <c r="AG63" s="50"/>
      <c r="AH63" s="43"/>
      <c r="AI63" s="50"/>
      <c r="AJ63" s="16" t="s">
        <v>121</v>
      </c>
      <c r="AK63" s="50"/>
      <c r="AL63" s="43"/>
      <c r="AM63" s="50"/>
      <c r="AN63" s="46"/>
      <c r="AO63" s="43"/>
      <c r="AP63" s="46"/>
      <c r="AQ63" s="16" t="s">
        <v>121</v>
      </c>
      <c r="AR63" s="119"/>
      <c r="AS63" s="1"/>
      <c r="AT63" s="1"/>
    </row>
    <row r="64">
      <c r="A64" s="120" t="s">
        <v>82</v>
      </c>
      <c r="B64" s="59" t="str">
        <f>IFERROR(HYPERLINK(VLOOKUP(A64,Internal_lists_bugs!$A$2:$C$73,3,FALSE()), VLOOKUP(A64,Internal_lists_bugs!$A$2:$C$73,3,FALSE())&amp;Char(10) &amp; Char(10) &amp; VLOOKUP(A64,Internal_lists_bugs!$A$2:$Z$73,26,FALSE())),"please select a BUG ID")</f>
        <v>
</v>
      </c>
      <c r="C64" s="39" t="str">
        <f>IFERROR(VLOOKUP(A64,Internal_lists_bugs!$A$2:$G2003,7,FALSE()),"please select a BUG ID")</f>
        <v>https://github.com/elastic/elasticsearch/commit/2ea7423f3ac68578a81d92f50b6484cf1db2203d</v>
      </c>
      <c r="D64" s="16" t="s">
        <v>505</v>
      </c>
      <c r="E64" s="61"/>
      <c r="F64" s="16" t="s">
        <v>505</v>
      </c>
      <c r="G64" s="61"/>
      <c r="H64" s="16" t="s">
        <v>505</v>
      </c>
      <c r="I64" s="61"/>
      <c r="J64" s="16" t="s">
        <v>121</v>
      </c>
      <c r="K64" s="50"/>
      <c r="L64" s="16" t="s">
        <v>500</v>
      </c>
      <c r="M64" s="50"/>
      <c r="N64" s="16" t="s">
        <v>121</v>
      </c>
      <c r="O64" s="50"/>
      <c r="P64" s="43"/>
      <c r="Q64" s="50"/>
      <c r="R64" s="43"/>
      <c r="S64" s="50"/>
      <c r="T64" s="43"/>
      <c r="U64" s="50"/>
      <c r="V64" s="43"/>
      <c r="W64" s="50"/>
      <c r="X64" s="16" t="s">
        <v>135</v>
      </c>
      <c r="Y64" s="50"/>
      <c r="Z64" s="43"/>
      <c r="AA64" s="50"/>
      <c r="AB64" s="16" t="s">
        <v>121</v>
      </c>
      <c r="AC64" s="50"/>
      <c r="AD64" s="43"/>
      <c r="AE64" s="50"/>
      <c r="AF64" s="16" t="s">
        <v>121</v>
      </c>
      <c r="AG64" s="50"/>
      <c r="AH64" s="43"/>
      <c r="AI64" s="50"/>
      <c r="AJ64" s="16" t="s">
        <v>121</v>
      </c>
      <c r="AK64" s="50"/>
      <c r="AL64" s="43"/>
      <c r="AM64" s="50"/>
      <c r="AN64" s="46"/>
      <c r="AO64" s="43"/>
      <c r="AP64" s="46"/>
      <c r="AQ64" s="16" t="s">
        <v>121</v>
      </c>
      <c r="AR64" s="119"/>
      <c r="AS64" s="1"/>
      <c r="AT64" s="1"/>
    </row>
    <row r="65">
      <c r="A65" s="108" t="s">
        <v>83</v>
      </c>
      <c r="B65" s="59" t="str">
        <f>IFERROR(HYPERLINK(VLOOKUP(A65,Internal_lists_bugs!$A$2:$C$73,3,FALSE()), VLOOKUP(A65,Internal_lists_bugs!$A$2:$C$73,3,FALSE())&amp;Char(10) &amp; Char(10) &amp; VLOOKUP(A65,Internal_lists_bugs!$A$2:$Z$73,26,FALSE())),"please select a BUG ID")</f>
        <v>
</v>
      </c>
      <c r="C65" s="39" t="str">
        <f>IFERROR(VLOOKUP(A65,Internal_lists_bugs!$A$2:$G2003,7,FALSE()),"please select a BUG ID")</f>
        <v>https://github.com/elastic/elasticsearch/commit/aa68667d636d61b0cc67810e1e2489d1246e9af6</v>
      </c>
      <c r="D65" s="16" t="s">
        <v>505</v>
      </c>
      <c r="E65" s="61"/>
      <c r="F65" s="16" t="s">
        <v>505</v>
      </c>
      <c r="G65" s="61"/>
      <c r="H65" s="16" t="s">
        <v>505</v>
      </c>
      <c r="I65" s="61"/>
      <c r="J65" s="16" t="s">
        <v>121</v>
      </c>
      <c r="K65" s="50"/>
      <c r="L65" s="16" t="s">
        <v>500</v>
      </c>
      <c r="M65" s="50"/>
      <c r="N65" s="16" t="s">
        <v>135</v>
      </c>
      <c r="O65" s="50"/>
      <c r="P65" s="43"/>
      <c r="Q65" s="50"/>
      <c r="R65" s="43"/>
      <c r="S65" s="50"/>
      <c r="T65" s="43"/>
      <c r="U65" s="50"/>
      <c r="V65" s="43"/>
      <c r="W65" s="50"/>
      <c r="X65" s="16" t="s">
        <v>135</v>
      </c>
      <c r="Y65" s="50"/>
      <c r="Z65" s="43"/>
      <c r="AA65" s="50"/>
      <c r="AB65" s="16" t="s">
        <v>121</v>
      </c>
      <c r="AC65" s="50"/>
      <c r="AD65" s="43"/>
      <c r="AE65" s="50"/>
      <c r="AF65" s="16" t="s">
        <v>135</v>
      </c>
      <c r="AG65" s="50"/>
      <c r="AH65" s="43"/>
      <c r="AI65" s="50"/>
      <c r="AJ65" s="16" t="s">
        <v>135</v>
      </c>
      <c r="AK65" s="50"/>
      <c r="AL65" s="43"/>
      <c r="AM65" s="50"/>
      <c r="AN65" s="46"/>
      <c r="AO65" s="43"/>
      <c r="AP65" s="46"/>
      <c r="AQ65" s="16" t="s">
        <v>121</v>
      </c>
      <c r="AR65" s="119"/>
      <c r="AS65" s="1"/>
      <c r="AT65" s="1"/>
    </row>
    <row r="66">
      <c r="A66" s="120" t="s">
        <v>84</v>
      </c>
      <c r="B66" s="59" t="str">
        <f>IFERROR(HYPERLINK(VLOOKUP(A66,Internal_lists_bugs!$A$2:$C$73,3,FALSE()), VLOOKUP(A66,Internal_lists_bugs!$A$2:$C$73,3,FALSE())&amp;Char(10) &amp; Char(10) &amp; VLOOKUP(A66,Internal_lists_bugs!$A$2:$Z$73,26,FALSE())),"please select a BUG ID")</f>
        <v>
</v>
      </c>
      <c r="C66" s="39" t="str">
        <f>IFERROR(VLOOKUP(A66,Internal_lists_bugs!$A$2:$G2003,7,FALSE()),"please select a BUG ID")</f>
        <v>https://github.com/elastic/elasticsearch/commit/567cf6b5c3bbc4486b0472c8abe588ab6215637c</v>
      </c>
      <c r="D66" s="16" t="s">
        <v>505</v>
      </c>
      <c r="E66" s="61"/>
      <c r="F66" s="16" t="s">
        <v>505</v>
      </c>
      <c r="G66" s="61"/>
      <c r="H66" s="16" t="s">
        <v>505</v>
      </c>
      <c r="I66" s="61"/>
      <c r="J66" s="16" t="s">
        <v>121</v>
      </c>
      <c r="K66" s="50"/>
      <c r="L66" s="16" t="s">
        <v>513</v>
      </c>
      <c r="M66" s="50"/>
      <c r="N66" s="16" t="s">
        <v>121</v>
      </c>
      <c r="O66" s="50"/>
      <c r="P66" s="43"/>
      <c r="Q66" s="50"/>
      <c r="R66" s="43"/>
      <c r="S66" s="50"/>
      <c r="T66" s="43"/>
      <c r="U66" s="50"/>
      <c r="V66" s="43"/>
      <c r="W66" s="50"/>
      <c r="X66" s="16" t="s">
        <v>121</v>
      </c>
      <c r="Y66" s="50"/>
      <c r="Z66" s="43"/>
      <c r="AA66" s="50"/>
      <c r="AB66" s="16" t="s">
        <v>121</v>
      </c>
      <c r="AC66" s="50"/>
      <c r="AD66" s="43"/>
      <c r="AE66" s="50"/>
      <c r="AF66" s="16" t="s">
        <v>121</v>
      </c>
      <c r="AG66" s="50"/>
      <c r="AH66" s="43"/>
      <c r="AI66" s="50"/>
      <c r="AJ66" s="16" t="s">
        <v>121</v>
      </c>
      <c r="AK66" s="50"/>
      <c r="AL66" s="43"/>
      <c r="AM66" s="50"/>
      <c r="AN66" s="46"/>
      <c r="AO66" s="43"/>
      <c r="AP66" s="46"/>
      <c r="AQ66" s="16" t="s">
        <v>121</v>
      </c>
      <c r="AR66" s="119"/>
      <c r="AS66" s="1"/>
      <c r="AT66" s="1"/>
    </row>
    <row r="67">
      <c r="A67" s="108" t="s">
        <v>85</v>
      </c>
      <c r="B67" s="59" t="str">
        <f>IFERROR(HYPERLINK(VLOOKUP(A67,Internal_lists_bugs!$A$2:$C$73,3,FALSE()), VLOOKUP(A67,Internal_lists_bugs!$A$2:$C$73,3,FALSE())&amp;Char(10) &amp; Char(10) &amp; VLOOKUP(A67,Internal_lists_bugs!$A$2:$Z$73,26,FALSE())),"please select a BUG ID")</f>
        <v>
</v>
      </c>
      <c r="C67" s="39" t="str">
        <f>IFERROR(VLOOKUP(A67,Internal_lists_bugs!$A$2:$G2003,7,FALSE()),"please select a BUG ID")</f>
        <v>https://github.com/elastic/elasticsearch/commit/8587f1611912c6633b72909939e91d226575dd90</v>
      </c>
      <c r="D67" s="16" t="s">
        <v>617</v>
      </c>
      <c r="E67" s="61"/>
      <c r="F67" s="16" t="s">
        <v>617</v>
      </c>
      <c r="G67" s="61"/>
      <c r="H67" s="16" t="s">
        <v>617</v>
      </c>
      <c r="I67" s="61"/>
      <c r="J67" s="16" t="s">
        <v>121</v>
      </c>
      <c r="K67" s="50"/>
      <c r="L67" s="16" t="s">
        <v>492</v>
      </c>
      <c r="M67" s="50"/>
      <c r="N67" s="16" t="s">
        <v>121</v>
      </c>
      <c r="O67" s="50"/>
      <c r="P67" s="43"/>
      <c r="Q67" s="50"/>
      <c r="R67" s="43"/>
      <c r="S67" s="50"/>
      <c r="T67" s="43"/>
      <c r="U67" s="50"/>
      <c r="V67" s="43"/>
      <c r="W67" s="50"/>
      <c r="X67" s="16" t="s">
        <v>121</v>
      </c>
      <c r="Y67" s="50"/>
      <c r="Z67" s="43"/>
      <c r="AA67" s="50"/>
      <c r="AB67" s="16" t="s">
        <v>121</v>
      </c>
      <c r="AC67" s="50"/>
      <c r="AD67" s="43"/>
      <c r="AE67" s="50"/>
      <c r="AF67" s="16" t="s">
        <v>121</v>
      </c>
      <c r="AG67" s="50"/>
      <c r="AH67" s="43"/>
      <c r="AI67" s="50"/>
      <c r="AJ67" s="16" t="s">
        <v>135</v>
      </c>
      <c r="AK67" s="50"/>
      <c r="AL67" s="43"/>
      <c r="AM67" s="50"/>
      <c r="AN67" s="46"/>
      <c r="AO67" s="43"/>
      <c r="AP67" s="46"/>
      <c r="AQ67" s="16" t="s">
        <v>121</v>
      </c>
      <c r="AR67" s="119"/>
      <c r="AS67" s="1"/>
      <c r="AT67" s="1"/>
    </row>
    <row r="68">
      <c r="A68" s="120" t="s">
        <v>86</v>
      </c>
      <c r="B68" s="59" t="str">
        <f>IFERROR(HYPERLINK(VLOOKUP(A68,Internal_lists_bugs!$A$2:$C$73,3,FALSE()), VLOOKUP(A68,Internal_lists_bugs!$A$2:$C$73,3,FALSE())&amp;Char(10) &amp; Char(10) &amp; VLOOKUP(A68,Internal_lists_bugs!$A$2:$Z$73,26,FALSE())),"please select a BUG ID")</f>
        <v>
</v>
      </c>
      <c r="C68" s="39" t="str">
        <f>IFERROR(VLOOKUP(A68,Internal_lists_bugs!$A$2:$G2003,7,FALSE()),"please select a BUG ID")</f>
        <v>https://github.com/elastic/elasticsearch/commit/c55341bf515fec6d4135cee8a6e9a7a9764da17f</v>
      </c>
      <c r="D68" s="16" t="s">
        <v>505</v>
      </c>
      <c r="E68" s="61"/>
      <c r="F68" s="16" t="s">
        <v>505</v>
      </c>
      <c r="G68" s="61"/>
      <c r="H68" s="16" t="s">
        <v>505</v>
      </c>
      <c r="I68" s="61"/>
      <c r="J68" s="16" t="s">
        <v>121</v>
      </c>
      <c r="K68" s="50"/>
      <c r="L68" s="16" t="s">
        <v>492</v>
      </c>
      <c r="M68" s="50"/>
      <c r="N68" s="16" t="s">
        <v>121</v>
      </c>
      <c r="O68" s="50"/>
      <c r="P68" s="43"/>
      <c r="Q68" s="50"/>
      <c r="R68" s="43"/>
      <c r="S68" s="50"/>
      <c r="T68" s="43"/>
      <c r="U68" s="50"/>
      <c r="V68" s="43"/>
      <c r="W68" s="50"/>
      <c r="X68" s="16" t="s">
        <v>121</v>
      </c>
      <c r="Y68" s="50"/>
      <c r="Z68" s="43"/>
      <c r="AA68" s="50"/>
      <c r="AB68" s="16" t="s">
        <v>121</v>
      </c>
      <c r="AC68" s="50"/>
      <c r="AD68" s="43"/>
      <c r="AE68" s="50"/>
      <c r="AF68" s="16" t="s">
        <v>121</v>
      </c>
      <c r="AG68" s="50"/>
      <c r="AH68" s="43"/>
      <c r="AI68" s="50"/>
      <c r="AJ68" s="16" t="s">
        <v>121</v>
      </c>
      <c r="AK68" s="50"/>
      <c r="AL68" s="43"/>
      <c r="AM68" s="50"/>
      <c r="AN68" s="46"/>
      <c r="AO68" s="43"/>
      <c r="AP68" s="46"/>
      <c r="AQ68" s="16" t="s">
        <v>121</v>
      </c>
      <c r="AR68" s="119"/>
      <c r="AS68" s="1"/>
      <c r="AT68" s="1"/>
    </row>
    <row r="69">
      <c r="A69" s="108" t="s">
        <v>87</v>
      </c>
      <c r="B69" s="59" t="str">
        <f>IFERROR(HYPERLINK(VLOOKUP(A69,Internal_lists_bugs!$A$2:$C$73,3,FALSE()), VLOOKUP(A69,Internal_lists_bugs!$A$2:$C$73,3,FALSE())&amp;Char(10) &amp; Char(10) &amp; VLOOKUP(A69,Internal_lists_bugs!$A$2:$Z$73,26,FALSE())),"please select a BUG ID")</f>
        <v>
</v>
      </c>
      <c r="C69" s="39" t="str">
        <f>IFERROR(VLOOKUP(A69,Internal_lists_bugs!$A$2:$G2003,7,FALSE()),"please select a BUG ID")</f>
        <v>https://github.com/elastic/elasticsearch/commit/7a38e384c9ff783f17e9db92a730bdf654dbda6b</v>
      </c>
      <c r="D69" s="16" t="s">
        <v>505</v>
      </c>
      <c r="E69" s="61"/>
      <c r="F69" s="16" t="s">
        <v>505</v>
      </c>
      <c r="G69" s="61"/>
      <c r="H69" s="16" t="s">
        <v>505</v>
      </c>
      <c r="I69" s="61"/>
      <c r="J69" s="16" t="s">
        <v>121</v>
      </c>
      <c r="K69" s="50"/>
      <c r="L69" s="16" t="s">
        <v>492</v>
      </c>
      <c r="M69" s="50"/>
      <c r="N69" s="16" t="s">
        <v>121</v>
      </c>
      <c r="O69" s="50"/>
      <c r="P69" s="43"/>
      <c r="Q69" s="50"/>
      <c r="R69" s="43"/>
      <c r="S69" s="50"/>
      <c r="T69" s="43"/>
      <c r="U69" s="50"/>
      <c r="V69" s="43"/>
      <c r="W69" s="50"/>
      <c r="X69" s="16" t="s">
        <v>135</v>
      </c>
      <c r="Y69" s="50"/>
      <c r="Z69" s="43"/>
      <c r="AA69" s="50"/>
      <c r="AB69" s="16" t="s">
        <v>121</v>
      </c>
      <c r="AC69" s="50"/>
      <c r="AD69" s="43"/>
      <c r="AE69" s="50"/>
      <c r="AF69" s="16" t="s">
        <v>121</v>
      </c>
      <c r="AG69" s="50"/>
      <c r="AH69" s="43"/>
      <c r="AI69" s="50"/>
      <c r="AJ69" s="16" t="s">
        <v>135</v>
      </c>
      <c r="AK69" s="50"/>
      <c r="AL69" s="43"/>
      <c r="AM69" s="50"/>
      <c r="AN69" s="46"/>
      <c r="AO69" s="43"/>
      <c r="AP69" s="46"/>
      <c r="AQ69" s="16" t="s">
        <v>121</v>
      </c>
      <c r="AR69" s="119"/>
      <c r="AS69" s="1"/>
      <c r="AT69" s="1"/>
    </row>
    <row r="70">
      <c r="A70" s="120" t="s">
        <v>88</v>
      </c>
      <c r="B70" s="59" t="str">
        <f>IFERROR(HYPERLINK(VLOOKUP(A70,Internal_lists_bugs!$A$2:$C$73,3,FALSE()), VLOOKUP(A70,Internal_lists_bugs!$A$2:$C$73,3,FALSE())&amp;Char(10) &amp; Char(10) &amp; VLOOKUP(A70,Internal_lists_bugs!$A$2:$Z$73,26,FALSE())),"please select a BUG ID")</f>
        <v>
</v>
      </c>
      <c r="C70" s="39" t="str">
        <f>IFERROR(VLOOKUP(A70,Internal_lists_bugs!$A$2:$G2003,7,FALSE()),"please select a BUG ID")</f>
        <v>https://github.com/elastic/elasticsearch/commit/1f30681a84fcafe9cf6e6b8a2801ea1791b9edc0</v>
      </c>
      <c r="D70" s="16" t="s">
        <v>486</v>
      </c>
      <c r="E70" s="61"/>
      <c r="F70" s="16" t="s">
        <v>505</v>
      </c>
      <c r="G70" s="61"/>
      <c r="H70" s="16" t="s">
        <v>505</v>
      </c>
      <c r="I70" s="61"/>
      <c r="J70" s="16" t="s">
        <v>121</v>
      </c>
      <c r="K70" s="50"/>
      <c r="L70" s="16" t="s">
        <v>618</v>
      </c>
      <c r="M70" s="50"/>
      <c r="N70" s="16" t="s">
        <v>135</v>
      </c>
      <c r="O70" s="50"/>
      <c r="P70" s="43"/>
      <c r="Q70" s="50"/>
      <c r="R70" s="43"/>
      <c r="S70" s="50"/>
      <c r="T70" s="43"/>
      <c r="U70" s="50"/>
      <c r="V70" s="43"/>
      <c r="W70" s="50"/>
      <c r="X70" s="16" t="s">
        <v>135</v>
      </c>
      <c r="Y70" s="50"/>
      <c r="Z70" s="43"/>
      <c r="AA70" s="50"/>
      <c r="AB70" s="16" t="s">
        <v>121</v>
      </c>
      <c r="AC70" s="50"/>
      <c r="AD70" s="43"/>
      <c r="AE70" s="50"/>
      <c r="AF70" s="16" t="s">
        <v>135</v>
      </c>
      <c r="AG70" s="50"/>
      <c r="AH70" s="43"/>
      <c r="AI70" s="50"/>
      <c r="AJ70" s="16" t="s">
        <v>121</v>
      </c>
      <c r="AK70" s="50"/>
      <c r="AL70" s="43"/>
      <c r="AM70" s="50"/>
      <c r="AN70" s="46"/>
      <c r="AO70" s="43"/>
      <c r="AP70" s="46"/>
      <c r="AQ70" s="16" t="s">
        <v>121</v>
      </c>
      <c r="AR70" s="119"/>
      <c r="AS70" s="1"/>
      <c r="AT70" s="1"/>
    </row>
    <row r="71">
      <c r="A71" s="108" t="s">
        <v>89</v>
      </c>
      <c r="B71" s="59" t="str">
        <f>IFERROR(HYPERLINK(VLOOKUP(A71,Internal_lists_bugs!$A$2:$C$73,3,FALSE()), VLOOKUP(A71,Internal_lists_bugs!$A$2:$C$73,3,FALSE())&amp;Char(10) &amp; Char(10) &amp; VLOOKUP(A71,Internal_lists_bugs!$A$2:$Z$73,26,FALSE())),"please select a BUG ID")</f>
        <v>
</v>
      </c>
      <c r="C71" s="39" t="str">
        <f>IFERROR(VLOOKUP(A71,Internal_lists_bugs!$A$2:$G2003,7,FALSE()),"please select a BUG ID")</f>
        <v>https://github.com/elastic/elasticsearch/commit/8285ffe22175bf4592e79bb881a6451741ccdac8</v>
      </c>
      <c r="D71" s="16" t="s">
        <v>505</v>
      </c>
      <c r="E71" s="61"/>
      <c r="F71" s="16" t="s">
        <v>505</v>
      </c>
      <c r="G71" s="61"/>
      <c r="H71" s="16" t="s">
        <v>505</v>
      </c>
      <c r="I71" s="61"/>
      <c r="J71" s="16" t="s">
        <v>121</v>
      </c>
      <c r="K71" s="50"/>
      <c r="L71" s="16" t="s">
        <v>492</v>
      </c>
      <c r="M71" s="50"/>
      <c r="N71" s="16" t="s">
        <v>121</v>
      </c>
      <c r="O71" s="50"/>
      <c r="P71" s="43"/>
      <c r="Q71" s="50"/>
      <c r="R71" s="43"/>
      <c r="S71" s="50"/>
      <c r="T71" s="43"/>
      <c r="U71" s="50"/>
      <c r="V71" s="43"/>
      <c r="W71" s="50"/>
      <c r="X71" s="16" t="s">
        <v>121</v>
      </c>
      <c r="Y71" s="50"/>
      <c r="Z71" s="43"/>
      <c r="AA71" s="50"/>
      <c r="AB71" s="16" t="s">
        <v>121</v>
      </c>
      <c r="AC71" s="50"/>
      <c r="AD71" s="43"/>
      <c r="AE71" s="50"/>
      <c r="AF71" s="16" t="s">
        <v>121</v>
      </c>
      <c r="AG71" s="50"/>
      <c r="AH71" s="43"/>
      <c r="AI71" s="50"/>
      <c r="AJ71" s="16" t="s">
        <v>121</v>
      </c>
      <c r="AK71" s="50"/>
      <c r="AL71" s="43"/>
      <c r="AM71" s="50"/>
      <c r="AN71" s="46"/>
      <c r="AO71" s="43"/>
      <c r="AP71" s="46"/>
      <c r="AQ71" s="16" t="s">
        <v>121</v>
      </c>
      <c r="AR71" s="119"/>
      <c r="AS71" s="1"/>
      <c r="AT71" s="1"/>
    </row>
    <row r="72">
      <c r="A72" s="120" t="s">
        <v>90</v>
      </c>
      <c r="B72" s="59" t="str">
        <f>IFERROR(HYPERLINK(VLOOKUP(A72,Internal_lists_bugs!$A$2:$C$73,3,FALSE()), VLOOKUP(A72,Internal_lists_bugs!$A$2:$C$73,3,FALSE())&amp;Char(10) &amp; Char(10) &amp; VLOOKUP(A72,Internal_lists_bugs!$A$2:$Z$73,26,FALSE())),"please select a BUG ID")</f>
        <v>
</v>
      </c>
      <c r="C72" s="39" t="str">
        <f>IFERROR(VLOOKUP(A72,Internal_lists_bugs!$A$2:$G2003,7,FALSE()),"please select a BUG ID")</f>
        <v>https://github.com/elastic/elasticsearch/commit/bb49554c33b310e0e615c12befe8846a7d27c951</v>
      </c>
      <c r="D72" s="16" t="s">
        <v>505</v>
      </c>
      <c r="E72" s="61"/>
      <c r="F72" s="16" t="s">
        <v>505</v>
      </c>
      <c r="G72" s="61"/>
      <c r="H72" s="16" t="s">
        <v>505</v>
      </c>
      <c r="I72" s="61"/>
      <c r="J72" s="16" t="s">
        <v>121</v>
      </c>
      <c r="K72" s="50"/>
      <c r="L72" s="16" t="s">
        <v>500</v>
      </c>
      <c r="M72" s="50"/>
      <c r="N72" s="16" t="s">
        <v>121</v>
      </c>
      <c r="O72" s="50"/>
      <c r="P72" s="43"/>
      <c r="Q72" s="50"/>
      <c r="R72" s="43"/>
      <c r="S72" s="50"/>
      <c r="T72" s="43"/>
      <c r="U72" s="50"/>
      <c r="V72" s="43"/>
      <c r="W72" s="50"/>
      <c r="X72" s="16" t="s">
        <v>121</v>
      </c>
      <c r="Y72" s="50"/>
      <c r="Z72" s="43"/>
      <c r="AA72" s="50"/>
      <c r="AB72" s="16" t="s">
        <v>121</v>
      </c>
      <c r="AC72" s="50"/>
      <c r="AD72" s="43"/>
      <c r="AE72" s="50"/>
      <c r="AF72" s="16" t="s">
        <v>121</v>
      </c>
      <c r="AG72" s="50"/>
      <c r="AH72" s="43"/>
      <c r="AI72" s="50"/>
      <c r="AJ72" s="16" t="s">
        <v>135</v>
      </c>
      <c r="AK72" s="50"/>
      <c r="AL72" s="43"/>
      <c r="AM72" s="50"/>
      <c r="AN72" s="46"/>
      <c r="AO72" s="43"/>
      <c r="AP72" s="46"/>
      <c r="AQ72" s="16" t="s">
        <v>121</v>
      </c>
      <c r="AR72" s="119"/>
      <c r="AS72" s="1"/>
      <c r="AT72" s="1"/>
    </row>
    <row r="73">
      <c r="A73" s="108" t="s">
        <v>91</v>
      </c>
      <c r="B73" s="59" t="str">
        <f>IFERROR(HYPERLINK(VLOOKUP(A73,Internal_lists_bugs!$A$2:$C$73,3,FALSE()), VLOOKUP(A73,Internal_lists_bugs!$A$2:$C$73,3,FALSE())&amp;Char(10) &amp; Char(10) &amp; VLOOKUP(A73,Internal_lists_bugs!$A$2:$Z$73,26,FALSE())),"please select a BUG ID")</f>
        <v>
</v>
      </c>
      <c r="C73" s="39" t="str">
        <f>IFERROR(VLOOKUP(A73,Internal_lists_bugs!$A$2:$G2003,7,FALSE()),"please select a BUG ID")</f>
        <v>https://github.com/elastic/elasticsearch/commit/4088236cf75b793c7a2a80f5f7be5b326b607378</v>
      </c>
      <c r="D73" s="16" t="s">
        <v>617</v>
      </c>
      <c r="E73" s="61"/>
      <c r="F73" s="16" t="s">
        <v>617</v>
      </c>
      <c r="G73" s="61"/>
      <c r="H73" s="16" t="s">
        <v>617</v>
      </c>
      <c r="I73" s="61"/>
      <c r="J73" s="16" t="s">
        <v>121</v>
      </c>
      <c r="K73" s="50"/>
      <c r="L73" s="16" t="s">
        <v>500</v>
      </c>
      <c r="M73" s="50"/>
      <c r="N73" s="16" t="s">
        <v>121</v>
      </c>
      <c r="O73" s="50"/>
      <c r="P73" s="43"/>
      <c r="Q73" s="50"/>
      <c r="R73" s="43"/>
      <c r="S73" s="50"/>
      <c r="T73" s="43"/>
      <c r="U73" s="50"/>
      <c r="V73" s="43"/>
      <c r="W73" s="50"/>
      <c r="X73" s="16" t="s">
        <v>121</v>
      </c>
      <c r="Y73" s="50"/>
      <c r="Z73" s="43"/>
      <c r="AA73" s="50"/>
      <c r="AB73" s="16" t="s">
        <v>121</v>
      </c>
      <c r="AC73" s="50"/>
      <c r="AD73" s="43"/>
      <c r="AE73" s="50"/>
      <c r="AF73" s="16" t="s">
        <v>121</v>
      </c>
      <c r="AG73" s="50"/>
      <c r="AH73" s="43"/>
      <c r="AI73" s="50"/>
      <c r="AJ73" s="16" t="s">
        <v>121</v>
      </c>
      <c r="AK73" s="50"/>
      <c r="AL73" s="43"/>
      <c r="AM73" s="50"/>
      <c r="AN73" s="46"/>
      <c r="AO73" s="43"/>
      <c r="AP73" s="46"/>
      <c r="AQ73" s="16" t="s">
        <v>121</v>
      </c>
      <c r="AR73" s="119"/>
      <c r="AS73" s="1"/>
      <c r="AT73" s="1"/>
    </row>
    <row r="74">
      <c r="A74" s="120" t="s">
        <v>92</v>
      </c>
      <c r="B74" s="59" t="str">
        <f>IFERROR(HYPERLINK(VLOOKUP(A74,Internal_lists_bugs!$A$2:$C$73,3,FALSE()), VLOOKUP(A74,Internal_lists_bugs!$A$2:$C$73,3,FALSE())&amp;Char(10) &amp; Char(10) &amp; VLOOKUP(A74,Internal_lists_bugs!$A$2:$Z$73,26,FALSE())),"please select a BUG ID")</f>
        <v>
</v>
      </c>
      <c r="C74" s="39" t="str">
        <f>IFERROR(VLOOKUP(A74,Internal_lists_bugs!$A$2:$G2003,7,FALSE()),"please select a BUG ID")</f>
        <v>https://github.com/elastic/elasticsearch/commit/fc51ebfce8a87252d868d1f160ae740972b8e48a</v>
      </c>
      <c r="D74" s="16" t="s">
        <v>505</v>
      </c>
      <c r="E74" s="61"/>
      <c r="F74" s="16" t="s">
        <v>505</v>
      </c>
      <c r="G74" s="61"/>
      <c r="H74" s="16" t="s">
        <v>505</v>
      </c>
      <c r="I74" s="61"/>
      <c r="J74" s="16" t="s">
        <v>121</v>
      </c>
      <c r="K74" s="50"/>
      <c r="L74" s="16" t="s">
        <v>500</v>
      </c>
      <c r="M74" s="50"/>
      <c r="N74" s="16" t="s">
        <v>121</v>
      </c>
      <c r="O74" s="50"/>
      <c r="P74" s="43"/>
      <c r="Q74" s="50"/>
      <c r="R74" s="43"/>
      <c r="S74" s="50"/>
      <c r="T74" s="43"/>
      <c r="U74" s="50"/>
      <c r="V74" s="43"/>
      <c r="W74" s="50"/>
      <c r="X74" s="16" t="s">
        <v>135</v>
      </c>
      <c r="Y74" s="42" t="s">
        <v>619</v>
      </c>
      <c r="Z74" s="43"/>
      <c r="AA74" s="50"/>
      <c r="AB74" s="16" t="s">
        <v>121</v>
      </c>
      <c r="AC74" s="50"/>
      <c r="AD74" s="43"/>
      <c r="AE74" s="50"/>
      <c r="AF74" s="16" t="s">
        <v>121</v>
      </c>
      <c r="AG74" s="50"/>
      <c r="AH74" s="43"/>
      <c r="AI74" s="50"/>
      <c r="AJ74" s="16" t="s">
        <v>121</v>
      </c>
      <c r="AK74" s="50"/>
      <c r="AL74" s="43"/>
      <c r="AM74" s="50"/>
      <c r="AN74" s="46"/>
      <c r="AO74" s="43"/>
      <c r="AP74" s="46"/>
      <c r="AQ74" s="16" t="s">
        <v>121</v>
      </c>
      <c r="AR74" s="119"/>
      <c r="AS74" s="1"/>
      <c r="AT74" s="1"/>
    </row>
    <row r="75">
      <c r="A75" s="108" t="s">
        <v>93</v>
      </c>
      <c r="B75" s="59" t="str">
        <f>IFERROR(HYPERLINK(VLOOKUP(A75,Internal_lists_bugs!$A$2:$C$73,3,FALSE()), VLOOKUP(A75,Internal_lists_bugs!$A$2:$C$73,3,FALSE())&amp;Char(10) &amp; Char(10) &amp; VLOOKUP(A75,Internal_lists_bugs!$A$2:$Z$73,26,FALSE())),"please select a BUG ID")</f>
        <v>
</v>
      </c>
      <c r="C75" s="39" t="str">
        <f>IFERROR(VLOOKUP(A75,Internal_lists_bugs!$A$2:$G2003,7,FALSE()),"please select a BUG ID")</f>
        <v>https://github.com/elastic/elasticsearch/commit/07443089ce761cdfcf9206ad179381db7249d01a</v>
      </c>
      <c r="D75" s="16" t="s">
        <v>505</v>
      </c>
      <c r="E75" s="61"/>
      <c r="F75" s="16" t="s">
        <v>505</v>
      </c>
      <c r="G75" s="61"/>
      <c r="H75" s="16" t="s">
        <v>505</v>
      </c>
      <c r="I75" s="61"/>
      <c r="J75" s="16" t="s">
        <v>121</v>
      </c>
      <c r="K75" s="50"/>
      <c r="L75" s="16" t="s">
        <v>500</v>
      </c>
      <c r="M75" s="50"/>
      <c r="N75" s="16" t="s">
        <v>121</v>
      </c>
      <c r="O75" s="50"/>
      <c r="P75" s="43"/>
      <c r="Q75" s="50"/>
      <c r="R75" s="43"/>
      <c r="S75" s="50"/>
      <c r="T75" s="43"/>
      <c r="U75" s="50"/>
      <c r="V75" s="43"/>
      <c r="W75" s="50"/>
      <c r="X75" s="16" t="s">
        <v>135</v>
      </c>
      <c r="Y75" s="50"/>
      <c r="Z75" s="43"/>
      <c r="AA75" s="50"/>
      <c r="AB75" s="16" t="s">
        <v>121</v>
      </c>
      <c r="AC75" s="50"/>
      <c r="AD75" s="43"/>
      <c r="AE75" s="50"/>
      <c r="AF75" s="16" t="s">
        <v>121</v>
      </c>
      <c r="AG75" s="50"/>
      <c r="AH75" s="43"/>
      <c r="AI75" s="50"/>
      <c r="AJ75" s="16" t="s">
        <v>121</v>
      </c>
      <c r="AK75" s="50"/>
      <c r="AL75" s="43"/>
      <c r="AM75" s="50"/>
      <c r="AN75" s="46"/>
      <c r="AO75" s="43"/>
      <c r="AP75" s="46"/>
      <c r="AQ75" s="16" t="s">
        <v>121</v>
      </c>
      <c r="AR75" s="119"/>
      <c r="AS75" s="1"/>
      <c r="AT75" s="1"/>
    </row>
    <row r="76">
      <c r="A76" s="120" t="s">
        <v>94</v>
      </c>
      <c r="B76" s="59" t="str">
        <f>IFERROR(HYPERLINK(VLOOKUP(A76,Internal_lists_bugs!$A$2:$C$73,3,FALSE()), VLOOKUP(A76,Internal_lists_bugs!$A$2:$C$73,3,FALSE())&amp;Char(10) &amp; Char(10) &amp; VLOOKUP(A76,Internal_lists_bugs!$A$2:$Z$73,26,FALSE())),"please select a BUG ID")</f>
        <v>
</v>
      </c>
      <c r="C76" s="39" t="str">
        <f>IFERROR(VLOOKUP(A76,Internal_lists_bugs!$A$2:$G2003,7,FALSE()),"please select a BUG ID")</f>
        <v>https://github.com/elastic/elasticsearch/commit/16a046f686c26309ee0041df8987a4d2ffedd956</v>
      </c>
      <c r="D76" s="16" t="s">
        <v>505</v>
      </c>
      <c r="E76" s="61"/>
      <c r="F76" s="16" t="s">
        <v>505</v>
      </c>
      <c r="G76" s="61"/>
      <c r="H76" s="16" t="s">
        <v>505</v>
      </c>
      <c r="I76" s="61"/>
      <c r="J76" s="16" t="s">
        <v>121</v>
      </c>
      <c r="K76" s="50"/>
      <c r="L76" s="16" t="s">
        <v>500</v>
      </c>
      <c r="M76" s="50"/>
      <c r="N76" s="16" t="s">
        <v>135</v>
      </c>
      <c r="O76" s="50"/>
      <c r="P76" s="43"/>
      <c r="Q76" s="50"/>
      <c r="R76" s="43"/>
      <c r="S76" s="50"/>
      <c r="T76" s="43"/>
      <c r="U76" s="50"/>
      <c r="V76" s="43"/>
      <c r="W76" s="50"/>
      <c r="X76" s="16" t="s">
        <v>121</v>
      </c>
      <c r="Y76" s="50"/>
      <c r="Z76" s="43"/>
      <c r="AA76" s="50"/>
      <c r="AB76" s="16" t="s">
        <v>135</v>
      </c>
      <c r="AC76" s="50"/>
      <c r="AD76" s="43"/>
      <c r="AE76" s="50"/>
      <c r="AF76" s="16" t="s">
        <v>121</v>
      </c>
      <c r="AG76" s="50"/>
      <c r="AH76" s="43"/>
      <c r="AI76" s="50"/>
      <c r="AJ76" s="16" t="s">
        <v>121</v>
      </c>
      <c r="AK76" s="50"/>
      <c r="AL76" s="43"/>
      <c r="AM76" s="50"/>
      <c r="AN76" s="46"/>
      <c r="AO76" s="43"/>
      <c r="AP76" s="46"/>
      <c r="AQ76" s="16" t="s">
        <v>121</v>
      </c>
      <c r="AR76" s="119"/>
      <c r="AS76" s="1"/>
      <c r="AT76" s="1"/>
    </row>
    <row r="77">
      <c r="A77" s="108" t="s">
        <v>95</v>
      </c>
      <c r="B77" s="59" t="str">
        <f>IFERROR(HYPERLINK(VLOOKUP(A77,Internal_lists_bugs!$A$2:$C$73,3,FALSE()), VLOOKUP(A77,Internal_lists_bugs!$A$2:$C$73,3,FALSE())&amp;Char(10) &amp; Char(10) &amp; VLOOKUP(A77,Internal_lists_bugs!$A$2:$Z$73,26,FALSE())),"please select a BUG ID")</f>
        <v>
</v>
      </c>
      <c r="C77" s="39" t="str">
        <f>IFERROR(VLOOKUP(A77,Internal_lists_bugs!$A$2:$G2003,7,FALSE()),"please select a BUG ID")</f>
        <v>https://github.com/elastic/elasticsearch/commit/7caee2fa4d918d4c6978bcf986a158d03bf7db2a</v>
      </c>
      <c r="D77" s="16" t="s">
        <v>620</v>
      </c>
      <c r="E77" s="61"/>
      <c r="F77" s="16" t="s">
        <v>620</v>
      </c>
      <c r="G77" s="61"/>
      <c r="H77" s="16" t="s">
        <v>620</v>
      </c>
      <c r="I77" s="61"/>
      <c r="J77" s="16" t="s">
        <v>121</v>
      </c>
      <c r="K77" s="50"/>
      <c r="L77" s="16" t="s">
        <v>500</v>
      </c>
      <c r="M77" s="50"/>
      <c r="N77" s="16" t="s">
        <v>135</v>
      </c>
      <c r="O77" s="50"/>
      <c r="P77" s="43"/>
      <c r="Q77" s="50"/>
      <c r="R77" s="43"/>
      <c r="S77" s="50"/>
      <c r="T77" s="43"/>
      <c r="U77" s="50"/>
      <c r="V77" s="43"/>
      <c r="W77" s="50"/>
      <c r="X77" s="16" t="s">
        <v>135</v>
      </c>
      <c r="Y77" s="50"/>
      <c r="Z77" s="43"/>
      <c r="AA77" s="50"/>
      <c r="AB77" s="16" t="s">
        <v>121</v>
      </c>
      <c r="AC77" s="50"/>
      <c r="AD77" s="43"/>
      <c r="AE77" s="50"/>
      <c r="AF77" s="16" t="s">
        <v>135</v>
      </c>
      <c r="AG77" s="50"/>
      <c r="AH77" s="43"/>
      <c r="AI77" s="50"/>
      <c r="AJ77" s="16" t="s">
        <v>135</v>
      </c>
      <c r="AK77" s="50"/>
      <c r="AL77" s="43"/>
      <c r="AM77" s="50"/>
      <c r="AN77" s="46"/>
      <c r="AO77" s="43"/>
      <c r="AP77" s="46"/>
      <c r="AQ77" s="16" t="s">
        <v>135</v>
      </c>
      <c r="AR77" s="116" t="s">
        <v>621</v>
      </c>
      <c r="AS77" s="1"/>
      <c r="AT77" s="1"/>
    </row>
    <row r="78">
      <c r="A78" s="120" t="s">
        <v>96</v>
      </c>
      <c r="B78" s="59" t="str">
        <f>IFERROR(HYPERLINK(VLOOKUP(A78,Internal_lists_bugs!$A$2:$C$73,3,FALSE()), VLOOKUP(A78,Internal_lists_bugs!$A$2:$C$73,3,FALSE())&amp;Char(10) &amp; Char(10) &amp; VLOOKUP(A78,Internal_lists_bugs!$A$2:$Z$73,26,FALSE())),"please select a BUG ID")</f>
        <v>
</v>
      </c>
      <c r="C78" s="39" t="str">
        <f>IFERROR(VLOOKUP(A78,Internal_lists_bugs!$A$2:$G2003,7,FALSE()),"please select a BUG ID")</f>
        <v>https://github.com/elastic/elasticsearch/commit/22722840d4331a83fcfdd8edea22d372feba16ab</v>
      </c>
      <c r="D78" s="16" t="s">
        <v>505</v>
      </c>
      <c r="E78" s="61"/>
      <c r="F78" s="16" t="s">
        <v>505</v>
      </c>
      <c r="G78" s="61"/>
      <c r="H78" s="16" t="s">
        <v>505</v>
      </c>
      <c r="I78" s="61"/>
      <c r="J78" s="16" t="s">
        <v>121</v>
      </c>
      <c r="K78" s="50"/>
      <c r="L78" s="16" t="s">
        <v>518</v>
      </c>
      <c r="M78" s="42" t="s">
        <v>622</v>
      </c>
      <c r="N78" s="16" t="s">
        <v>121</v>
      </c>
      <c r="O78" s="50"/>
      <c r="P78" s="43"/>
      <c r="Q78" s="50"/>
      <c r="R78" s="43"/>
      <c r="S78" s="50"/>
      <c r="T78" s="43"/>
      <c r="U78" s="50"/>
      <c r="V78" s="43"/>
      <c r="W78" s="50"/>
      <c r="X78" s="16" t="s">
        <v>121</v>
      </c>
      <c r="Y78" s="50"/>
      <c r="Z78" s="43"/>
      <c r="AA78" s="50"/>
      <c r="AB78" s="16" t="s">
        <v>121</v>
      </c>
      <c r="AC78" s="50"/>
      <c r="AD78" s="43"/>
      <c r="AE78" s="50"/>
      <c r="AF78" s="16" t="s">
        <v>121</v>
      </c>
      <c r="AG78" s="50"/>
      <c r="AH78" s="43"/>
      <c r="AI78" s="50"/>
      <c r="AJ78" s="16" t="s">
        <v>121</v>
      </c>
      <c r="AK78" s="50"/>
      <c r="AL78" s="43"/>
      <c r="AM78" s="50"/>
      <c r="AN78" s="46"/>
      <c r="AO78" s="43"/>
      <c r="AP78" s="46"/>
      <c r="AQ78" s="16" t="s">
        <v>121</v>
      </c>
      <c r="AR78" s="119"/>
      <c r="AS78" s="1"/>
      <c r="AT78" s="1"/>
    </row>
    <row r="79">
      <c r="A79" s="108" t="s">
        <v>97</v>
      </c>
      <c r="B79" s="59" t="str">
        <f>IFERROR(HYPERLINK(VLOOKUP(A79,Internal_lists_bugs!$A$2:$C$73,3,FALSE()), VLOOKUP(A79,Internal_lists_bugs!$A$2:$C$73,3,FALSE())&amp;Char(10) &amp; Char(10) &amp; VLOOKUP(A79,Internal_lists_bugs!$A$2:$Z$73,26,FALSE())),"please select a BUG ID")</f>
        <v>
</v>
      </c>
      <c r="C79" s="39" t="str">
        <f>IFERROR(VLOOKUP(A79,Internal_lists_bugs!$A$2:$G2003,7,FALSE()),"please select a BUG ID")</f>
        <v>https://github.com/elastic/elasticsearch/commit/ef85412f98e97ff5471013eab59fd8cb3046c17a</v>
      </c>
      <c r="D79" s="16" t="s">
        <v>505</v>
      </c>
      <c r="E79" s="61"/>
      <c r="F79" s="16" t="s">
        <v>505</v>
      </c>
      <c r="G79" s="61"/>
      <c r="H79" s="16" t="s">
        <v>505</v>
      </c>
      <c r="I79" s="61"/>
      <c r="J79" s="16" t="s">
        <v>121</v>
      </c>
      <c r="K79" s="50"/>
      <c r="L79" s="16" t="s">
        <v>500</v>
      </c>
      <c r="M79" s="50"/>
      <c r="N79" s="16" t="s">
        <v>121</v>
      </c>
      <c r="O79" s="50"/>
      <c r="P79" s="43"/>
      <c r="Q79" s="50"/>
      <c r="R79" s="43"/>
      <c r="S79" s="50"/>
      <c r="T79" s="43"/>
      <c r="U79" s="50"/>
      <c r="V79" s="43"/>
      <c r="W79" s="50"/>
      <c r="X79" s="16" t="s">
        <v>121</v>
      </c>
      <c r="Y79" s="50"/>
      <c r="Z79" s="43"/>
      <c r="AA79" s="50"/>
      <c r="AB79" s="16" t="s">
        <v>135</v>
      </c>
      <c r="AC79" s="50"/>
      <c r="AD79" s="43"/>
      <c r="AE79" s="50"/>
      <c r="AF79" s="16" t="s">
        <v>121</v>
      </c>
      <c r="AG79" s="50"/>
      <c r="AH79" s="43"/>
      <c r="AI79" s="50"/>
      <c r="AJ79" s="16" t="s">
        <v>121</v>
      </c>
      <c r="AK79" s="50"/>
      <c r="AL79" s="43"/>
      <c r="AM79" s="50"/>
      <c r="AN79" s="46"/>
      <c r="AO79" s="43"/>
      <c r="AP79" s="46"/>
      <c r="AQ79" s="16" t="s">
        <v>121</v>
      </c>
      <c r="AR79" s="119"/>
      <c r="AS79" s="1"/>
      <c r="AT79" s="1"/>
    </row>
    <row r="80">
      <c r="A80" s="120" t="s">
        <v>98</v>
      </c>
      <c r="B80" s="59" t="str">
        <f>IFERROR(HYPERLINK(VLOOKUP(A80,Internal_lists_bugs!$A$2:$C$73,3,FALSE()), VLOOKUP(A80,Internal_lists_bugs!$A$2:$C$73,3,FALSE())&amp;Char(10) &amp; Char(10) &amp; VLOOKUP(A80,Internal_lists_bugs!$A$2:$Z$73,26,FALSE())),"please select a BUG ID")</f>
        <v>
</v>
      </c>
      <c r="C80" s="39" t="str">
        <f>IFERROR(VLOOKUP(A80,Internal_lists_bugs!$A$2:$G2003,7,FALSE()),"please select a BUG ID")</f>
        <v>https://github.com/elastic/elasticsearch/commit/a235a5594338789a448742fce19549206dd5b30c</v>
      </c>
      <c r="D80" s="16" t="s">
        <v>505</v>
      </c>
      <c r="E80" s="61"/>
      <c r="F80" s="16" t="s">
        <v>505</v>
      </c>
      <c r="G80" s="61"/>
      <c r="H80" s="16" t="s">
        <v>505</v>
      </c>
      <c r="I80" s="61"/>
      <c r="J80" s="16" t="s">
        <v>121</v>
      </c>
      <c r="K80" s="50"/>
      <c r="L80" s="16" t="s">
        <v>500</v>
      </c>
      <c r="M80" s="50"/>
      <c r="N80" s="16" t="s">
        <v>135</v>
      </c>
      <c r="O80" s="50"/>
      <c r="P80" s="43"/>
      <c r="Q80" s="50"/>
      <c r="R80" s="43"/>
      <c r="S80" s="50"/>
      <c r="T80" s="43"/>
      <c r="U80" s="50"/>
      <c r="V80" s="43"/>
      <c r="W80" s="50"/>
      <c r="X80" s="16" t="s">
        <v>135</v>
      </c>
      <c r="Y80" s="50"/>
      <c r="Z80" s="43"/>
      <c r="AA80" s="50"/>
      <c r="AB80" s="16" t="s">
        <v>121</v>
      </c>
      <c r="AC80" s="50"/>
      <c r="AD80" s="43"/>
      <c r="AE80" s="50"/>
      <c r="AF80" s="16" t="s">
        <v>135</v>
      </c>
      <c r="AG80" s="50"/>
      <c r="AH80" s="43"/>
      <c r="AI80" s="50"/>
      <c r="AJ80" s="16" t="s">
        <v>135</v>
      </c>
      <c r="AK80" s="50"/>
      <c r="AL80" s="43"/>
      <c r="AM80" s="50"/>
      <c r="AN80" s="46"/>
      <c r="AO80" s="43"/>
      <c r="AP80" s="46"/>
      <c r="AQ80" s="16" t="s">
        <v>121</v>
      </c>
      <c r="AR80" s="119"/>
      <c r="AS80" s="1"/>
      <c r="AT80" s="1"/>
    </row>
    <row r="81">
      <c r="A81" s="108" t="s">
        <v>99</v>
      </c>
      <c r="B81" s="59" t="str">
        <f>IFERROR(HYPERLINK(VLOOKUP(A81,Internal_lists_bugs!$A$2:$C$73,3,FALSE()), VLOOKUP(A81,Internal_lists_bugs!$A$2:$C$73,3,FALSE())&amp;Char(10) &amp; Char(10) &amp; VLOOKUP(A81,Internal_lists_bugs!$A$2:$Z$73,26,FALSE())),"please select a BUG ID")</f>
        <v>
</v>
      </c>
      <c r="C81" s="39" t="str">
        <f>IFERROR(VLOOKUP(A81,Internal_lists_bugs!$A$2:$G2003,7,FALSE()),"please select a BUG ID")</f>
        <v>https://github.com/elastic/elasticsearch/commit/103221e58a85dc5d133cc70af898102735c4375f</v>
      </c>
      <c r="D81" s="16" t="s">
        <v>505</v>
      </c>
      <c r="E81" s="61"/>
      <c r="F81" s="16" t="s">
        <v>505</v>
      </c>
      <c r="G81" s="61"/>
      <c r="H81" s="16" t="s">
        <v>505</v>
      </c>
      <c r="I81" s="61"/>
      <c r="J81" s="16" t="s">
        <v>121</v>
      </c>
      <c r="K81" s="50"/>
      <c r="L81" s="16" t="s">
        <v>500</v>
      </c>
      <c r="M81" s="50"/>
      <c r="N81" s="16" t="s">
        <v>121</v>
      </c>
      <c r="O81" s="50"/>
      <c r="P81" s="43"/>
      <c r="Q81" s="50"/>
      <c r="R81" s="43"/>
      <c r="S81" s="50"/>
      <c r="T81" s="43"/>
      <c r="U81" s="50"/>
      <c r="V81" s="43"/>
      <c r="W81" s="50"/>
      <c r="X81" s="16" t="s">
        <v>121</v>
      </c>
      <c r="Y81" s="50"/>
      <c r="Z81" s="43"/>
      <c r="AA81" s="50"/>
      <c r="AB81" s="16" t="s">
        <v>121</v>
      </c>
      <c r="AC81" s="50"/>
      <c r="AD81" s="43"/>
      <c r="AE81" s="50"/>
      <c r="AF81" s="16" t="s">
        <v>121</v>
      </c>
      <c r="AG81" s="50"/>
      <c r="AH81" s="43"/>
      <c r="AI81" s="50"/>
      <c r="AJ81" s="16" t="s">
        <v>121</v>
      </c>
      <c r="AK81" s="50"/>
      <c r="AL81" s="43"/>
      <c r="AM81" s="50"/>
      <c r="AN81" s="46"/>
      <c r="AO81" s="43"/>
      <c r="AP81" s="46"/>
      <c r="AQ81" s="16" t="s">
        <v>121</v>
      </c>
      <c r="AR81" s="119"/>
      <c r="AS81" s="1"/>
      <c r="AT81" s="1"/>
    </row>
    <row r="82">
      <c r="A82" s="120" t="s">
        <v>100</v>
      </c>
      <c r="B82" s="59" t="str">
        <f>IFERROR(HYPERLINK(VLOOKUP(A82,Internal_lists_bugs!$A$2:$C$73,3,FALSE()), VLOOKUP(A82,Internal_lists_bugs!$A$2:$C$73,3,FALSE())&amp;Char(10) &amp; Char(10) &amp; VLOOKUP(A82,Internal_lists_bugs!$A$2:$Z$73,26,FALSE())),"please select a BUG ID")</f>
        <v>
</v>
      </c>
      <c r="C82" s="39" t="str">
        <f>IFERROR(VLOOKUP(A82,Internal_lists_bugs!$A$2:$G2003,7,FALSE()),"please select a BUG ID")</f>
        <v>https://github.com/elastic/elasticsearch/commit/093791e82dfe7c3e16ddb1f199fede2cf86b6797</v>
      </c>
      <c r="D82" s="16" t="s">
        <v>617</v>
      </c>
      <c r="E82" s="61"/>
      <c r="F82" s="16" t="s">
        <v>488</v>
      </c>
      <c r="G82" s="61"/>
      <c r="H82" s="16" t="s">
        <v>488</v>
      </c>
      <c r="I82" s="61"/>
      <c r="J82" s="16" t="s">
        <v>121</v>
      </c>
      <c r="K82" s="50"/>
      <c r="L82" s="16" t="s">
        <v>500</v>
      </c>
      <c r="M82" s="50"/>
      <c r="N82" s="16" t="s">
        <v>135</v>
      </c>
      <c r="O82" s="42" t="s">
        <v>623</v>
      </c>
      <c r="P82" s="43"/>
      <c r="Q82" s="50"/>
      <c r="R82" s="43"/>
      <c r="S82" s="50"/>
      <c r="T82" s="43"/>
      <c r="U82" s="50"/>
      <c r="V82" s="43"/>
      <c r="W82" s="50"/>
      <c r="X82" s="16" t="s">
        <v>121</v>
      </c>
      <c r="Y82" s="50"/>
      <c r="Z82" s="43"/>
      <c r="AA82" s="50"/>
      <c r="AB82" s="16" t="s">
        <v>121</v>
      </c>
      <c r="AC82" s="50"/>
      <c r="AD82" s="43"/>
      <c r="AE82" s="50"/>
      <c r="AF82" s="16" t="s">
        <v>121</v>
      </c>
      <c r="AG82" s="50"/>
      <c r="AH82" s="43"/>
      <c r="AI82" s="50"/>
      <c r="AJ82" s="16" t="s">
        <v>121</v>
      </c>
      <c r="AK82" s="50"/>
      <c r="AL82" s="43"/>
      <c r="AM82" s="50"/>
      <c r="AN82" s="46"/>
      <c r="AO82" s="43"/>
      <c r="AP82" s="46"/>
      <c r="AQ82" s="16" t="s">
        <v>121</v>
      </c>
      <c r="AR82" s="119"/>
      <c r="AS82" s="1"/>
      <c r="AT82" s="1"/>
    </row>
    <row r="83">
      <c r="A83" s="43"/>
      <c r="B83" s="59" t="str">
        <f>IFERROR(HYPERLINK(VLOOKUP(A83,Internal_lists_bugs!$A$2:$C$73,3,FALSE()), VLOOKUP(A83,Internal_lists_bugs!$A$2:$C$73,3,FALSE())&amp;Char(10) &amp; Char(10) &amp; VLOOKUP(A83,Internal_lists_bugs!$A$2:$Z$73,26,FALSE())),"please select a BUG ID")</f>
        <v>please select a BUG ID</v>
      </c>
      <c r="C83" s="51" t="str">
        <f>IFERROR(VLOOKUP(A83,Internal_lists_bugs!$A$2:$G2003,7,FALSE()),"please select a BUG ID")</f>
        <v>please select a BUG ID</v>
      </c>
      <c r="D83" s="43"/>
      <c r="E83" s="61"/>
      <c r="F83" s="43"/>
      <c r="G83" s="61"/>
      <c r="H83" s="43"/>
      <c r="I83" s="61"/>
      <c r="J83" s="43"/>
      <c r="K83" s="50"/>
      <c r="L83" s="43"/>
      <c r="M83" s="50"/>
      <c r="N83" s="43"/>
      <c r="O83" s="50"/>
      <c r="P83" s="43"/>
      <c r="Q83" s="50"/>
      <c r="R83" s="43"/>
      <c r="S83" s="50"/>
      <c r="T83" s="43"/>
      <c r="U83" s="50"/>
      <c r="V83" s="43"/>
      <c r="W83" s="50"/>
      <c r="X83" s="43"/>
      <c r="Y83" s="50"/>
      <c r="Z83" s="43"/>
      <c r="AA83" s="50"/>
      <c r="AB83" s="43"/>
      <c r="AC83" s="50"/>
      <c r="AD83" s="43"/>
      <c r="AE83" s="50"/>
      <c r="AF83" s="43"/>
      <c r="AG83" s="50"/>
      <c r="AH83" s="43"/>
      <c r="AI83" s="50"/>
      <c r="AJ83" s="43"/>
      <c r="AK83" s="50"/>
      <c r="AL83" s="43"/>
      <c r="AM83" s="50"/>
      <c r="AN83" s="46"/>
      <c r="AO83" s="43"/>
      <c r="AP83" s="46"/>
      <c r="AQ83" s="43"/>
      <c r="AR83" s="119"/>
      <c r="AS83" s="1"/>
      <c r="AT83" s="1"/>
    </row>
    <row r="84">
      <c r="A84" s="43"/>
      <c r="B84" s="59" t="str">
        <f>IFERROR(HYPERLINK(VLOOKUP(A84,Internal_lists_bugs!$A$2:$C$73,3,FALSE()), VLOOKUP(A84,Internal_lists_bugs!$A$2:$C$73,3,FALSE())&amp;Char(10) &amp; Char(10) &amp; VLOOKUP(A84,Internal_lists_bugs!$A$2:$Z$73,26,FALSE())),"please select a BUG ID")</f>
        <v>please select a BUG ID</v>
      </c>
      <c r="C84" s="51" t="str">
        <f>IFERROR(VLOOKUP(A84,Internal_lists_bugs!$A$2:$G2003,7,FALSE()),"please select a BUG ID")</f>
        <v>please select a BUG ID</v>
      </c>
      <c r="D84" s="43"/>
      <c r="E84" s="61"/>
      <c r="F84" s="43"/>
      <c r="G84" s="61"/>
      <c r="H84" s="43"/>
      <c r="I84" s="61"/>
      <c r="J84" s="43"/>
      <c r="K84" s="50"/>
      <c r="L84" s="43"/>
      <c r="M84" s="50"/>
      <c r="N84" s="43"/>
      <c r="O84" s="50"/>
      <c r="P84" s="43"/>
      <c r="Q84" s="50"/>
      <c r="R84" s="43"/>
      <c r="S84" s="50"/>
      <c r="T84" s="43"/>
      <c r="U84" s="50"/>
      <c r="V84" s="43"/>
      <c r="W84" s="50"/>
      <c r="X84" s="43"/>
      <c r="Y84" s="50"/>
      <c r="Z84" s="43"/>
      <c r="AA84" s="50"/>
      <c r="AB84" s="43"/>
      <c r="AC84" s="50"/>
      <c r="AD84" s="43"/>
      <c r="AE84" s="50"/>
      <c r="AF84" s="43"/>
      <c r="AG84" s="50"/>
      <c r="AH84" s="43"/>
      <c r="AI84" s="50"/>
      <c r="AJ84" s="43"/>
      <c r="AK84" s="50"/>
      <c r="AL84" s="43"/>
      <c r="AM84" s="50"/>
      <c r="AN84" s="46"/>
      <c r="AO84" s="43"/>
      <c r="AP84" s="46"/>
      <c r="AQ84" s="43"/>
      <c r="AR84" s="119"/>
      <c r="AS84" s="1"/>
      <c r="AT84" s="1"/>
    </row>
    <row r="85">
      <c r="A85" s="43"/>
      <c r="B85" s="59" t="str">
        <f>IFERROR(HYPERLINK(VLOOKUP(A85,Internal_lists_bugs!$A$2:$C$73,3,FALSE()), VLOOKUP(A85,Internal_lists_bugs!$A$2:$C$73,3,FALSE())&amp;Char(10) &amp; Char(10) &amp; VLOOKUP(A85,Internal_lists_bugs!$A$2:$Z$73,26,FALSE())),"please select a BUG ID")</f>
        <v>please select a BUG ID</v>
      </c>
      <c r="C85" s="51" t="str">
        <f>IFERROR(VLOOKUP(A85,Internal_lists_bugs!$A$2:$G2003,7,FALSE()),"please select a BUG ID")</f>
        <v>please select a BUG ID</v>
      </c>
      <c r="D85" s="43"/>
      <c r="E85" s="61"/>
      <c r="F85" s="43"/>
      <c r="G85" s="61"/>
      <c r="H85" s="43"/>
      <c r="I85" s="61"/>
      <c r="J85" s="43"/>
      <c r="K85" s="50"/>
      <c r="L85" s="43"/>
      <c r="M85" s="50"/>
      <c r="N85" s="43"/>
      <c r="O85" s="50"/>
      <c r="P85" s="43"/>
      <c r="Q85" s="50"/>
      <c r="R85" s="43"/>
      <c r="S85" s="50"/>
      <c r="T85" s="43"/>
      <c r="U85" s="50"/>
      <c r="V85" s="43"/>
      <c r="W85" s="50"/>
      <c r="X85" s="43"/>
      <c r="Y85" s="50"/>
      <c r="Z85" s="43"/>
      <c r="AA85" s="50"/>
      <c r="AB85" s="43"/>
      <c r="AC85" s="50"/>
      <c r="AD85" s="43"/>
      <c r="AE85" s="50"/>
      <c r="AF85" s="43"/>
      <c r="AG85" s="50"/>
      <c r="AH85" s="43"/>
      <c r="AI85" s="50"/>
      <c r="AJ85" s="43"/>
      <c r="AK85" s="50"/>
      <c r="AL85" s="43"/>
      <c r="AM85" s="50"/>
      <c r="AN85" s="46"/>
      <c r="AO85" s="43"/>
      <c r="AP85" s="46"/>
      <c r="AQ85" s="43"/>
      <c r="AR85" s="119"/>
      <c r="AS85" s="1"/>
      <c r="AT85" s="1"/>
    </row>
    <row r="86">
      <c r="A86" s="43"/>
      <c r="B86" s="59" t="str">
        <f>IFERROR(HYPERLINK(VLOOKUP(A86,Internal_lists_bugs!$A$2:$C$73,3,FALSE()), VLOOKUP(A86,Internal_lists_bugs!$A$2:$C$73,3,FALSE())&amp;Char(10) &amp; Char(10) &amp; VLOOKUP(A86,Internal_lists_bugs!$A$2:$Z$73,26,FALSE())),"please select a BUG ID")</f>
        <v>please select a BUG ID</v>
      </c>
      <c r="C86" s="51" t="str">
        <f>IFERROR(VLOOKUP(A86,Internal_lists_bugs!$A$2:$G2003,7,FALSE()),"please select a BUG ID")</f>
        <v>please select a BUG ID</v>
      </c>
      <c r="D86" s="43"/>
      <c r="E86" s="61"/>
      <c r="F86" s="43"/>
      <c r="G86" s="61"/>
      <c r="H86" s="43"/>
      <c r="I86" s="61"/>
      <c r="J86" s="43"/>
      <c r="K86" s="50"/>
      <c r="L86" s="43"/>
      <c r="M86" s="50"/>
      <c r="N86" s="43"/>
      <c r="O86" s="50"/>
      <c r="P86" s="43"/>
      <c r="Q86" s="50"/>
      <c r="R86" s="43"/>
      <c r="S86" s="50"/>
      <c r="T86" s="43"/>
      <c r="U86" s="50"/>
      <c r="V86" s="43"/>
      <c r="W86" s="50"/>
      <c r="X86" s="43"/>
      <c r="Y86" s="50"/>
      <c r="Z86" s="43"/>
      <c r="AA86" s="50"/>
      <c r="AB86" s="43"/>
      <c r="AC86" s="50"/>
      <c r="AD86" s="43"/>
      <c r="AE86" s="50"/>
      <c r="AF86" s="43"/>
      <c r="AG86" s="50"/>
      <c r="AH86" s="43"/>
      <c r="AI86" s="50"/>
      <c r="AJ86" s="43"/>
      <c r="AK86" s="50"/>
      <c r="AL86" s="43"/>
      <c r="AM86" s="50"/>
      <c r="AN86" s="46"/>
      <c r="AO86" s="43"/>
      <c r="AP86" s="46"/>
      <c r="AQ86" s="43"/>
      <c r="AR86" s="119"/>
      <c r="AS86" s="1"/>
      <c r="AT86" s="1"/>
    </row>
    <row r="87">
      <c r="A87" s="43"/>
      <c r="B87" s="59" t="str">
        <f>IFERROR(HYPERLINK(VLOOKUP(A87,Internal_lists_bugs!$A$2:$C$73,3,FALSE()), VLOOKUP(A87,Internal_lists_bugs!$A$2:$C$73,3,FALSE())&amp;Char(10) &amp; Char(10) &amp; VLOOKUP(A87,Internal_lists_bugs!$A$2:$Z$73,26,FALSE())),"please select a BUG ID")</f>
        <v>please select a BUG ID</v>
      </c>
      <c r="C87" s="51" t="str">
        <f>IFERROR(VLOOKUP(A87,Internal_lists_bugs!$A$2:$G2003,7,FALSE()),"please select a BUG ID")</f>
        <v>please select a BUG ID</v>
      </c>
      <c r="D87" s="43"/>
      <c r="E87" s="61"/>
      <c r="F87" s="43"/>
      <c r="G87" s="61"/>
      <c r="H87" s="43"/>
      <c r="I87" s="61"/>
      <c r="J87" s="43"/>
      <c r="K87" s="50"/>
      <c r="L87" s="43"/>
      <c r="M87" s="50"/>
      <c r="N87" s="43"/>
      <c r="O87" s="50"/>
      <c r="P87" s="43"/>
      <c r="Q87" s="50"/>
      <c r="R87" s="43"/>
      <c r="S87" s="50"/>
      <c r="T87" s="43"/>
      <c r="U87" s="50"/>
      <c r="V87" s="43"/>
      <c r="W87" s="50"/>
      <c r="X87" s="43"/>
      <c r="Y87" s="50"/>
      <c r="Z87" s="43"/>
      <c r="AA87" s="50"/>
      <c r="AB87" s="43"/>
      <c r="AC87" s="50"/>
      <c r="AD87" s="43"/>
      <c r="AE87" s="50"/>
      <c r="AF87" s="43"/>
      <c r="AG87" s="50"/>
      <c r="AH87" s="43"/>
      <c r="AI87" s="50"/>
      <c r="AJ87" s="43"/>
      <c r="AK87" s="50"/>
      <c r="AL87" s="43"/>
      <c r="AM87" s="50"/>
      <c r="AN87" s="46"/>
      <c r="AO87" s="43"/>
      <c r="AP87" s="46"/>
      <c r="AQ87" s="43"/>
      <c r="AR87" s="119"/>
      <c r="AS87" s="1"/>
      <c r="AT87" s="1"/>
    </row>
    <row r="88">
      <c r="A88" s="43"/>
      <c r="B88" s="59" t="str">
        <f>IFERROR(HYPERLINK(VLOOKUP(A88,Internal_lists_bugs!$A$2:$C$73,3,FALSE()), VLOOKUP(A88,Internal_lists_bugs!$A$2:$C$73,3,FALSE())&amp;Char(10) &amp; Char(10) &amp; VLOOKUP(A88,Internal_lists_bugs!$A$2:$Z$73,26,FALSE())),"please select a BUG ID")</f>
        <v>please select a BUG ID</v>
      </c>
      <c r="C88" s="51" t="str">
        <f>IFERROR(VLOOKUP(A88,Internal_lists_bugs!$A$2:$G2003,7,FALSE()),"please select a BUG ID")</f>
        <v>please select a BUG ID</v>
      </c>
      <c r="D88" s="43"/>
      <c r="E88" s="61"/>
      <c r="F88" s="43"/>
      <c r="G88" s="61"/>
      <c r="H88" s="43"/>
      <c r="I88" s="61"/>
      <c r="J88" s="43"/>
      <c r="K88" s="50"/>
      <c r="L88" s="43"/>
      <c r="M88" s="50"/>
      <c r="N88" s="43"/>
      <c r="O88" s="50"/>
      <c r="P88" s="43"/>
      <c r="Q88" s="50"/>
      <c r="R88" s="43"/>
      <c r="S88" s="50"/>
      <c r="T88" s="43"/>
      <c r="U88" s="50"/>
      <c r="V88" s="43"/>
      <c r="W88" s="50"/>
      <c r="X88" s="43"/>
      <c r="Y88" s="50"/>
      <c r="Z88" s="43"/>
      <c r="AA88" s="50"/>
      <c r="AB88" s="43"/>
      <c r="AC88" s="50"/>
      <c r="AD88" s="43"/>
      <c r="AE88" s="50"/>
      <c r="AF88" s="43"/>
      <c r="AG88" s="50"/>
      <c r="AH88" s="43"/>
      <c r="AI88" s="50"/>
      <c r="AJ88" s="43"/>
      <c r="AK88" s="50"/>
      <c r="AL88" s="43"/>
      <c r="AM88" s="50"/>
      <c r="AN88" s="46"/>
      <c r="AO88" s="43"/>
      <c r="AP88" s="46"/>
      <c r="AQ88" s="43"/>
      <c r="AR88" s="119"/>
      <c r="AS88" s="1"/>
      <c r="AT88" s="1"/>
    </row>
    <row r="89">
      <c r="A89" s="43"/>
      <c r="B89" s="59" t="str">
        <f>IFERROR(HYPERLINK(VLOOKUP(A89,Internal_lists_bugs!$A$2:$C$73,3,FALSE()), VLOOKUP(A89,Internal_lists_bugs!$A$2:$C$73,3,FALSE())&amp;Char(10) &amp; Char(10) &amp; VLOOKUP(A89,Internal_lists_bugs!$A$2:$Z$73,26,FALSE())),"please select a BUG ID")</f>
        <v>please select a BUG ID</v>
      </c>
      <c r="C89" s="51" t="str">
        <f>IFERROR(VLOOKUP(A89,Internal_lists_bugs!$A$2:$G2003,7,FALSE()),"please select a BUG ID")</f>
        <v>please select a BUG ID</v>
      </c>
      <c r="D89" s="43"/>
      <c r="E89" s="61"/>
      <c r="F89" s="43"/>
      <c r="G89" s="61"/>
      <c r="H89" s="43"/>
      <c r="I89" s="61"/>
      <c r="J89" s="43"/>
      <c r="K89" s="50"/>
      <c r="L89" s="43"/>
      <c r="M89" s="50"/>
      <c r="N89" s="43"/>
      <c r="O89" s="50"/>
      <c r="P89" s="43"/>
      <c r="Q89" s="50"/>
      <c r="R89" s="43"/>
      <c r="S89" s="50"/>
      <c r="T89" s="43"/>
      <c r="U89" s="50"/>
      <c r="V89" s="43"/>
      <c r="W89" s="50"/>
      <c r="X89" s="43"/>
      <c r="Y89" s="50"/>
      <c r="Z89" s="43"/>
      <c r="AA89" s="50"/>
      <c r="AB89" s="43"/>
      <c r="AC89" s="50"/>
      <c r="AD89" s="43"/>
      <c r="AE89" s="50"/>
      <c r="AF89" s="43"/>
      <c r="AG89" s="50"/>
      <c r="AH89" s="43"/>
      <c r="AI89" s="50"/>
      <c r="AJ89" s="43"/>
      <c r="AK89" s="50"/>
      <c r="AL89" s="43"/>
      <c r="AM89" s="50"/>
      <c r="AN89" s="46"/>
      <c r="AO89" s="43"/>
      <c r="AP89" s="46"/>
      <c r="AQ89" s="43"/>
      <c r="AR89" s="119"/>
      <c r="AS89" s="1"/>
      <c r="AT89" s="1"/>
    </row>
    <row r="90">
      <c r="A90" s="43"/>
      <c r="B90" s="59" t="str">
        <f>IFERROR(HYPERLINK(VLOOKUP(A90,Internal_lists_bugs!$A$2:$C$73,3,FALSE()), VLOOKUP(A90,Internal_lists_bugs!$A$2:$C$73,3,FALSE())&amp;Char(10) &amp; Char(10) &amp; VLOOKUP(A90,Internal_lists_bugs!$A$2:$Z$73,26,FALSE())),"please select a BUG ID")</f>
        <v>please select a BUG ID</v>
      </c>
      <c r="C90" s="51" t="str">
        <f>IFERROR(VLOOKUP(A90,Internal_lists_bugs!$A$2:$G2003,7,FALSE()),"please select a BUG ID")</f>
        <v>please select a BUG ID</v>
      </c>
      <c r="D90" s="43"/>
      <c r="E90" s="61"/>
      <c r="F90" s="43"/>
      <c r="G90" s="61"/>
      <c r="H90" s="43"/>
      <c r="I90" s="61"/>
      <c r="J90" s="43"/>
      <c r="K90" s="50"/>
      <c r="L90" s="43"/>
      <c r="M90" s="50"/>
      <c r="N90" s="43"/>
      <c r="O90" s="50"/>
      <c r="P90" s="43"/>
      <c r="Q90" s="50"/>
      <c r="R90" s="43"/>
      <c r="S90" s="50"/>
      <c r="T90" s="43"/>
      <c r="U90" s="50"/>
      <c r="V90" s="43"/>
      <c r="W90" s="50"/>
      <c r="X90" s="43"/>
      <c r="Y90" s="50"/>
      <c r="Z90" s="43"/>
      <c r="AA90" s="50"/>
      <c r="AB90" s="43"/>
      <c r="AC90" s="50"/>
      <c r="AD90" s="43"/>
      <c r="AE90" s="50"/>
      <c r="AF90" s="43"/>
      <c r="AG90" s="50"/>
      <c r="AH90" s="43"/>
      <c r="AI90" s="50"/>
      <c r="AJ90" s="43"/>
      <c r="AK90" s="50"/>
      <c r="AL90" s="43"/>
      <c r="AM90" s="50"/>
      <c r="AN90" s="46"/>
      <c r="AO90" s="43"/>
      <c r="AP90" s="46"/>
      <c r="AQ90" s="43"/>
      <c r="AR90" s="119"/>
      <c r="AS90" s="1"/>
      <c r="AT90" s="1"/>
    </row>
    <row r="91">
      <c r="A91" s="43"/>
      <c r="B91" s="59" t="str">
        <f>IFERROR(HYPERLINK(VLOOKUP(A91,Internal_lists_bugs!$A$2:$C$73,3,FALSE()), VLOOKUP(A91,Internal_lists_bugs!$A$2:$C$73,3,FALSE())&amp;Char(10) &amp; Char(10) &amp; VLOOKUP(A91,Internal_lists_bugs!$A$2:$Z$73,26,FALSE())),"please select a BUG ID")</f>
        <v>please select a BUG ID</v>
      </c>
      <c r="C91" s="51" t="str">
        <f>IFERROR(VLOOKUP(A91,Internal_lists_bugs!$A$2:$G2003,7,FALSE()),"please select a BUG ID")</f>
        <v>please select a BUG ID</v>
      </c>
      <c r="D91" s="43"/>
      <c r="E91" s="61"/>
      <c r="F91" s="43"/>
      <c r="G91" s="61"/>
      <c r="H91" s="43"/>
      <c r="I91" s="61"/>
      <c r="J91" s="43"/>
      <c r="K91" s="50"/>
      <c r="L91" s="43"/>
      <c r="M91" s="50"/>
      <c r="N91" s="43"/>
      <c r="O91" s="50"/>
      <c r="P91" s="43"/>
      <c r="Q91" s="50"/>
      <c r="R91" s="43"/>
      <c r="S91" s="50"/>
      <c r="T91" s="43"/>
      <c r="U91" s="50"/>
      <c r="V91" s="43"/>
      <c r="W91" s="50"/>
      <c r="X91" s="43"/>
      <c r="Y91" s="50"/>
      <c r="Z91" s="43"/>
      <c r="AA91" s="50"/>
      <c r="AB91" s="43"/>
      <c r="AC91" s="50"/>
      <c r="AD91" s="43"/>
      <c r="AE91" s="50"/>
      <c r="AF91" s="43"/>
      <c r="AG91" s="50"/>
      <c r="AH91" s="43"/>
      <c r="AI91" s="50"/>
      <c r="AJ91" s="43"/>
      <c r="AK91" s="50"/>
      <c r="AL91" s="43"/>
      <c r="AM91" s="50"/>
      <c r="AN91" s="46"/>
      <c r="AO91" s="43"/>
      <c r="AP91" s="46"/>
      <c r="AQ91" s="43"/>
      <c r="AR91" s="119"/>
      <c r="AS91" s="1"/>
      <c r="AT91" s="1"/>
    </row>
    <row r="92">
      <c r="A92" s="43"/>
      <c r="B92" s="59" t="str">
        <f>IFERROR(HYPERLINK(VLOOKUP(A92,Internal_lists_bugs!$A$2:$C$73,3,FALSE()), VLOOKUP(A92,Internal_lists_bugs!$A$2:$C$73,3,FALSE())&amp;Char(10) &amp; Char(10) &amp; VLOOKUP(A92,Internal_lists_bugs!$A$2:$Z$73,26,FALSE())),"please select a BUG ID")</f>
        <v>please select a BUG ID</v>
      </c>
      <c r="C92" s="51" t="str">
        <f>IFERROR(VLOOKUP(A92,Internal_lists_bugs!$A$2:$G2003,7,FALSE()),"please select a BUG ID")</f>
        <v>please select a BUG ID</v>
      </c>
      <c r="D92" s="43"/>
      <c r="E92" s="61"/>
      <c r="F92" s="43"/>
      <c r="G92" s="61"/>
      <c r="H92" s="43"/>
      <c r="I92" s="61"/>
      <c r="J92" s="43"/>
      <c r="K92" s="50"/>
      <c r="L92" s="43"/>
      <c r="M92" s="50"/>
      <c r="N92" s="43"/>
      <c r="O92" s="50"/>
      <c r="P92" s="43"/>
      <c r="Q92" s="50"/>
      <c r="R92" s="43"/>
      <c r="S92" s="50"/>
      <c r="T92" s="43"/>
      <c r="U92" s="50"/>
      <c r="V92" s="43"/>
      <c r="W92" s="50"/>
      <c r="X92" s="43"/>
      <c r="Y92" s="50"/>
      <c r="Z92" s="43"/>
      <c r="AA92" s="50"/>
      <c r="AB92" s="43"/>
      <c r="AC92" s="50"/>
      <c r="AD92" s="43"/>
      <c r="AE92" s="50"/>
      <c r="AF92" s="43"/>
      <c r="AG92" s="50"/>
      <c r="AH92" s="43"/>
      <c r="AI92" s="50"/>
      <c r="AJ92" s="43"/>
      <c r="AK92" s="50"/>
      <c r="AL92" s="43"/>
      <c r="AM92" s="50"/>
      <c r="AN92" s="46"/>
      <c r="AO92" s="43"/>
      <c r="AP92" s="46"/>
      <c r="AQ92" s="43"/>
      <c r="AR92" s="119"/>
      <c r="AS92" s="1"/>
      <c r="AT92" s="1"/>
    </row>
    <row r="93">
      <c r="A93" s="43"/>
      <c r="B93" s="59" t="str">
        <f>IFERROR(HYPERLINK(VLOOKUP(A93,Internal_lists_bugs!$A$2:$C$73,3,FALSE()), VLOOKUP(A93,Internal_lists_bugs!$A$2:$C$73,3,FALSE())&amp;Char(10) &amp; Char(10) &amp; VLOOKUP(A93,Internal_lists_bugs!$A$2:$Z$73,26,FALSE())),"please select a BUG ID")</f>
        <v>please select a BUG ID</v>
      </c>
      <c r="C93" s="51" t="str">
        <f>IFERROR(VLOOKUP(A93,Internal_lists_bugs!$A$2:$G2003,7,FALSE()),"please select a BUG ID")</f>
        <v>please select a BUG ID</v>
      </c>
      <c r="D93" s="43"/>
      <c r="E93" s="61"/>
      <c r="F93" s="43"/>
      <c r="G93" s="61"/>
      <c r="H93" s="43"/>
      <c r="I93" s="61"/>
      <c r="J93" s="43"/>
      <c r="K93" s="50"/>
      <c r="L93" s="43"/>
      <c r="M93" s="50"/>
      <c r="N93" s="43"/>
      <c r="O93" s="50"/>
      <c r="P93" s="43"/>
      <c r="Q93" s="50"/>
      <c r="R93" s="43"/>
      <c r="S93" s="50"/>
      <c r="T93" s="43"/>
      <c r="U93" s="50"/>
      <c r="V93" s="43"/>
      <c r="W93" s="50"/>
      <c r="X93" s="43"/>
      <c r="Y93" s="50"/>
      <c r="Z93" s="43"/>
      <c r="AA93" s="50"/>
      <c r="AB93" s="43"/>
      <c r="AC93" s="50"/>
      <c r="AD93" s="43"/>
      <c r="AE93" s="50"/>
      <c r="AF93" s="43"/>
      <c r="AG93" s="50"/>
      <c r="AH93" s="43"/>
      <c r="AI93" s="50"/>
      <c r="AJ93" s="43"/>
      <c r="AK93" s="50"/>
      <c r="AL93" s="43"/>
      <c r="AM93" s="50"/>
      <c r="AN93" s="46"/>
      <c r="AO93" s="43"/>
      <c r="AP93" s="46"/>
      <c r="AQ93" s="43"/>
      <c r="AR93" s="119"/>
      <c r="AS93" s="1"/>
      <c r="AT93" s="1"/>
    </row>
    <row r="94">
      <c r="A94" s="43"/>
      <c r="B94" s="59" t="str">
        <f>IFERROR(HYPERLINK(VLOOKUP(A94,Internal_lists_bugs!$A$2:$C$73,3,FALSE()), VLOOKUP(A94,Internal_lists_bugs!$A$2:$C$73,3,FALSE())&amp;Char(10) &amp; Char(10) &amp; VLOOKUP(A94,Internal_lists_bugs!$A$2:$Z$73,26,FALSE())),"please select a BUG ID")</f>
        <v>please select a BUG ID</v>
      </c>
      <c r="C94" s="51" t="str">
        <f>IFERROR(VLOOKUP(A94,Internal_lists_bugs!$A$2:$G2003,7,FALSE()),"please select a BUG ID")</f>
        <v>please select a BUG ID</v>
      </c>
      <c r="D94" s="43"/>
      <c r="E94" s="61"/>
      <c r="F94" s="43"/>
      <c r="G94" s="61"/>
      <c r="H94" s="43"/>
      <c r="I94" s="61"/>
      <c r="J94" s="43"/>
      <c r="K94" s="50"/>
      <c r="L94" s="43"/>
      <c r="M94" s="50"/>
      <c r="N94" s="43"/>
      <c r="O94" s="50"/>
      <c r="P94" s="43"/>
      <c r="Q94" s="50"/>
      <c r="R94" s="43"/>
      <c r="S94" s="50"/>
      <c r="T94" s="43"/>
      <c r="U94" s="50"/>
      <c r="V94" s="43"/>
      <c r="W94" s="50"/>
      <c r="X94" s="43"/>
      <c r="Y94" s="50"/>
      <c r="Z94" s="43"/>
      <c r="AA94" s="50"/>
      <c r="AB94" s="43"/>
      <c r="AC94" s="50"/>
      <c r="AD94" s="43"/>
      <c r="AE94" s="50"/>
      <c r="AF94" s="43"/>
      <c r="AG94" s="50"/>
      <c r="AH94" s="43"/>
      <c r="AI94" s="50"/>
      <c r="AJ94" s="43"/>
      <c r="AK94" s="50"/>
      <c r="AL94" s="43"/>
      <c r="AM94" s="50"/>
      <c r="AN94" s="46"/>
      <c r="AO94" s="43"/>
      <c r="AP94" s="46"/>
      <c r="AQ94" s="43"/>
      <c r="AR94" s="119"/>
      <c r="AS94" s="1"/>
      <c r="AT94" s="1"/>
    </row>
    <row r="95">
      <c r="A95" s="43"/>
      <c r="B95" s="59" t="str">
        <f>IFERROR(HYPERLINK(VLOOKUP(A95,Internal_lists_bugs!$A$2:$C$73,3,FALSE()), VLOOKUP(A95,Internal_lists_bugs!$A$2:$C$73,3,FALSE())&amp;Char(10) &amp; Char(10) &amp; VLOOKUP(A95,Internal_lists_bugs!$A$2:$Z$73,26,FALSE())),"please select a BUG ID")</f>
        <v>please select a BUG ID</v>
      </c>
      <c r="C95" s="51" t="str">
        <f>IFERROR(VLOOKUP(A95,Internal_lists_bugs!$A$2:$G2003,7,FALSE()),"please select a BUG ID")</f>
        <v>please select a BUG ID</v>
      </c>
      <c r="D95" s="43"/>
      <c r="E95" s="61"/>
      <c r="F95" s="43"/>
      <c r="G95" s="61"/>
      <c r="H95" s="43"/>
      <c r="I95" s="61"/>
      <c r="J95" s="43"/>
      <c r="K95" s="50"/>
      <c r="L95" s="43"/>
      <c r="M95" s="50"/>
      <c r="N95" s="43"/>
      <c r="O95" s="50"/>
      <c r="P95" s="43"/>
      <c r="Q95" s="50"/>
      <c r="R95" s="43"/>
      <c r="S95" s="50"/>
      <c r="T95" s="43"/>
      <c r="U95" s="50"/>
      <c r="V95" s="43"/>
      <c r="W95" s="50"/>
      <c r="X95" s="43"/>
      <c r="Y95" s="50"/>
      <c r="Z95" s="43"/>
      <c r="AA95" s="50"/>
      <c r="AB95" s="43"/>
      <c r="AC95" s="50"/>
      <c r="AD95" s="43"/>
      <c r="AE95" s="50"/>
      <c r="AF95" s="43"/>
      <c r="AG95" s="50"/>
      <c r="AH95" s="43"/>
      <c r="AI95" s="50"/>
      <c r="AJ95" s="43"/>
      <c r="AK95" s="50"/>
      <c r="AL95" s="43"/>
      <c r="AM95" s="50"/>
      <c r="AN95" s="46"/>
      <c r="AO95" s="43"/>
      <c r="AP95" s="46"/>
      <c r="AQ95" s="43"/>
      <c r="AR95" s="119"/>
      <c r="AS95" s="1"/>
      <c r="AT95" s="1"/>
    </row>
    <row r="96">
      <c r="A96" s="43"/>
      <c r="B96" s="59" t="str">
        <f>IFERROR(HYPERLINK(VLOOKUP(A96,Internal_lists_bugs!$A$2:$C$73,3,FALSE()), VLOOKUP(A96,Internal_lists_bugs!$A$2:$C$73,3,FALSE())&amp;Char(10) &amp; Char(10) &amp; VLOOKUP(A96,Internal_lists_bugs!$A$2:$Z$73,26,FALSE())),"please select a BUG ID")</f>
        <v>please select a BUG ID</v>
      </c>
      <c r="C96" s="51" t="str">
        <f>IFERROR(VLOOKUP(A96,Internal_lists_bugs!$A$2:$G2003,7,FALSE()),"please select a BUG ID")</f>
        <v>please select a BUG ID</v>
      </c>
      <c r="D96" s="43"/>
      <c r="E96" s="61"/>
      <c r="F96" s="43"/>
      <c r="G96" s="61"/>
      <c r="H96" s="43"/>
      <c r="I96" s="61"/>
      <c r="J96" s="43"/>
      <c r="K96" s="50"/>
      <c r="L96" s="43"/>
      <c r="M96" s="50"/>
      <c r="N96" s="43"/>
      <c r="O96" s="50"/>
      <c r="P96" s="43"/>
      <c r="Q96" s="50"/>
      <c r="R96" s="43"/>
      <c r="S96" s="50"/>
      <c r="T96" s="43"/>
      <c r="U96" s="50"/>
      <c r="V96" s="43"/>
      <c r="W96" s="50"/>
      <c r="X96" s="43"/>
      <c r="Y96" s="50"/>
      <c r="Z96" s="43"/>
      <c r="AA96" s="50"/>
      <c r="AB96" s="43"/>
      <c r="AC96" s="50"/>
      <c r="AD96" s="43"/>
      <c r="AE96" s="50"/>
      <c r="AF96" s="43"/>
      <c r="AG96" s="50"/>
      <c r="AH96" s="43"/>
      <c r="AI96" s="50"/>
      <c r="AJ96" s="43"/>
      <c r="AK96" s="50"/>
      <c r="AL96" s="43"/>
      <c r="AM96" s="50"/>
      <c r="AO96" s="43"/>
      <c r="AP96" s="46"/>
      <c r="AQ96" s="43"/>
      <c r="AR96" s="119"/>
      <c r="AS96" s="1"/>
      <c r="AT96" s="1"/>
    </row>
    <row r="97">
      <c r="A97" s="43"/>
      <c r="B97" s="59" t="str">
        <f>IFERROR(HYPERLINK(VLOOKUP(A97,Internal_lists_bugs!$A$2:$C$73,3,FALSE()), VLOOKUP(A97,Internal_lists_bugs!$A$2:$C$73,3,FALSE())&amp;Char(10) &amp; Char(10) &amp; VLOOKUP(A97,Internal_lists_bugs!$A$2:$Z$73,26,FALSE())),"please select a BUG ID")</f>
        <v>please select a BUG ID</v>
      </c>
      <c r="C97" s="51" t="str">
        <f>IFERROR(VLOOKUP(A97,Internal_lists_bugs!$A$2:$G2003,7,FALSE()),"please select a BUG ID")</f>
        <v>please select a BUG ID</v>
      </c>
      <c r="D97" s="43"/>
      <c r="E97" s="61"/>
      <c r="F97" s="43"/>
      <c r="G97" s="61"/>
      <c r="H97" s="43"/>
      <c r="I97" s="61"/>
      <c r="J97" s="43"/>
      <c r="K97" s="50"/>
      <c r="L97" s="43"/>
      <c r="M97" s="50"/>
      <c r="N97" s="43"/>
      <c r="O97" s="50"/>
      <c r="P97" s="43"/>
      <c r="Q97" s="50"/>
      <c r="R97" s="43"/>
      <c r="S97" s="50"/>
      <c r="T97" s="43"/>
      <c r="U97" s="50"/>
      <c r="V97" s="43"/>
      <c r="W97" s="50"/>
      <c r="X97" s="43"/>
      <c r="Y97" s="50"/>
      <c r="Z97" s="43"/>
      <c r="AA97" s="50"/>
      <c r="AB97" s="43"/>
      <c r="AC97" s="50"/>
      <c r="AD97" s="43"/>
      <c r="AE97" s="50"/>
      <c r="AF97" s="43"/>
      <c r="AG97" s="50"/>
      <c r="AH97" s="43"/>
      <c r="AI97" s="50"/>
      <c r="AJ97" s="43"/>
      <c r="AK97" s="50"/>
      <c r="AL97" s="43"/>
      <c r="AM97" s="50"/>
      <c r="AO97" s="43"/>
      <c r="AP97" s="46"/>
      <c r="AQ97" s="43"/>
      <c r="AR97" s="119"/>
      <c r="AS97" s="1"/>
      <c r="AT97" s="1"/>
    </row>
    <row r="98">
      <c r="A98" s="43"/>
      <c r="B98" s="59" t="str">
        <f>IFERROR(HYPERLINK(VLOOKUP(A98,Internal_lists_bugs!$A$2:$C$73,3,FALSE()), VLOOKUP(A98,Internal_lists_bugs!$A$2:$C$73,3,FALSE())&amp;Char(10) &amp; Char(10) &amp; VLOOKUP(A98,Internal_lists_bugs!$A$2:$Z$73,26,FALSE())),"please select a BUG ID")</f>
        <v>please select a BUG ID</v>
      </c>
      <c r="C98" s="51" t="str">
        <f>IFERROR(VLOOKUP(A98,Internal_lists_bugs!$A$2:$G2003,7,FALSE()),"please select a BUG ID")</f>
        <v>please select a BUG ID</v>
      </c>
      <c r="D98" s="43"/>
      <c r="E98" s="61"/>
      <c r="F98" s="43"/>
      <c r="G98" s="61"/>
      <c r="H98" s="43"/>
      <c r="I98" s="61"/>
      <c r="J98" s="43"/>
      <c r="K98" s="50"/>
      <c r="L98" s="43"/>
      <c r="M98" s="50"/>
      <c r="N98" s="43"/>
      <c r="O98" s="50"/>
      <c r="P98" s="43"/>
      <c r="Q98" s="50"/>
      <c r="R98" s="43"/>
      <c r="S98" s="50"/>
      <c r="T98" s="43"/>
      <c r="U98" s="50"/>
      <c r="V98" s="43"/>
      <c r="W98" s="50"/>
      <c r="X98" s="43"/>
      <c r="Y98" s="50"/>
      <c r="Z98" s="43"/>
      <c r="AA98" s="50"/>
      <c r="AB98" s="43"/>
      <c r="AC98" s="50"/>
      <c r="AD98" s="43"/>
      <c r="AE98" s="50"/>
      <c r="AF98" s="43"/>
      <c r="AG98" s="50"/>
      <c r="AH98" s="43"/>
      <c r="AI98" s="50"/>
      <c r="AJ98" s="43"/>
      <c r="AK98" s="50"/>
      <c r="AL98" s="43"/>
      <c r="AM98" s="50"/>
      <c r="AO98" s="43"/>
      <c r="AP98" s="46"/>
      <c r="AQ98" s="43"/>
      <c r="AR98" s="119"/>
      <c r="AS98" s="1"/>
      <c r="AT98" s="1"/>
    </row>
    <row r="99">
      <c r="A99" s="43"/>
      <c r="B99" s="59" t="str">
        <f>IFERROR(HYPERLINK(VLOOKUP(A99,Internal_lists_bugs!$A$2:$C$73,3,FALSE()), VLOOKUP(A99,Internal_lists_bugs!$A$2:$C$73,3,FALSE())&amp;Char(10) &amp; Char(10) &amp; VLOOKUP(A99,Internal_lists_bugs!$A$2:$Z$73,26,FALSE())),"please select a BUG ID")</f>
        <v>please select a BUG ID</v>
      </c>
      <c r="C99" s="51" t="str">
        <f>IFERROR(VLOOKUP(A99,Internal_lists_bugs!$A$2:$G2003,7,FALSE()),"please select a BUG ID")</f>
        <v>please select a BUG ID</v>
      </c>
      <c r="D99" s="43"/>
      <c r="E99" s="61"/>
      <c r="F99" s="43"/>
      <c r="G99" s="61"/>
      <c r="H99" s="43"/>
      <c r="I99" s="61"/>
      <c r="J99" s="43"/>
      <c r="K99" s="50"/>
      <c r="L99" s="43"/>
      <c r="M99" s="50"/>
      <c r="N99" s="43"/>
      <c r="O99" s="50"/>
      <c r="P99" s="43"/>
      <c r="Q99" s="50"/>
      <c r="R99" s="43"/>
      <c r="S99" s="50"/>
      <c r="T99" s="43"/>
      <c r="U99" s="50"/>
      <c r="V99" s="43"/>
      <c r="W99" s="50"/>
      <c r="X99" s="43"/>
      <c r="Y99" s="50"/>
      <c r="Z99" s="43"/>
      <c r="AA99" s="50"/>
      <c r="AB99" s="43"/>
      <c r="AC99" s="50"/>
      <c r="AD99" s="43"/>
      <c r="AE99" s="50"/>
      <c r="AF99" s="43"/>
      <c r="AG99" s="50"/>
      <c r="AH99" s="43"/>
      <c r="AI99" s="50"/>
      <c r="AJ99" s="43"/>
      <c r="AK99" s="50"/>
      <c r="AL99" s="43"/>
      <c r="AM99" s="50"/>
      <c r="AO99" s="43"/>
      <c r="AP99" s="46"/>
      <c r="AQ99" s="43"/>
      <c r="AR99" s="119"/>
      <c r="AS99" s="1"/>
      <c r="AT99" s="1"/>
    </row>
    <row r="100">
      <c r="A100" s="43"/>
      <c r="B100" s="59" t="str">
        <f>IFERROR(HYPERLINK(VLOOKUP(A100,Internal_lists_bugs!$A$2:$C$73,3,FALSE()), VLOOKUP(A100,Internal_lists_bugs!$A$2:$C$73,3,FALSE())&amp;Char(10) &amp; Char(10) &amp; VLOOKUP(A100,Internal_lists_bugs!$A$2:$Z$73,26,FALSE())),"please select a BUG ID")</f>
        <v>please select a BUG ID</v>
      </c>
      <c r="C100" s="51" t="str">
        <f>IFERROR(VLOOKUP(A100,Internal_lists_bugs!$A$2:$G2003,7,FALSE()),"please select a BUG ID")</f>
        <v>please select a BUG ID</v>
      </c>
      <c r="D100" s="43"/>
      <c r="E100" s="61"/>
      <c r="F100" s="43"/>
      <c r="G100" s="61"/>
      <c r="H100" s="43"/>
      <c r="I100" s="61"/>
      <c r="J100" s="43"/>
      <c r="K100" s="50"/>
      <c r="L100" s="43"/>
      <c r="M100" s="50"/>
      <c r="N100" s="43"/>
      <c r="O100" s="50"/>
      <c r="P100" s="43"/>
      <c r="Q100" s="50"/>
      <c r="R100" s="43"/>
      <c r="S100" s="50"/>
      <c r="T100" s="43"/>
      <c r="U100" s="50"/>
      <c r="V100" s="43"/>
      <c r="W100" s="50"/>
      <c r="X100" s="43"/>
      <c r="Y100" s="50"/>
      <c r="Z100" s="43"/>
      <c r="AA100" s="50"/>
      <c r="AB100" s="43"/>
      <c r="AC100" s="50"/>
      <c r="AD100" s="43"/>
      <c r="AE100" s="50"/>
      <c r="AF100" s="43"/>
      <c r="AG100" s="50"/>
      <c r="AH100" s="43"/>
      <c r="AI100" s="50"/>
      <c r="AJ100" s="43"/>
      <c r="AK100" s="50"/>
      <c r="AL100" s="43"/>
      <c r="AM100" s="50"/>
      <c r="AO100" s="43"/>
      <c r="AP100" s="46"/>
      <c r="AQ100" s="43"/>
      <c r="AR100" s="119"/>
      <c r="AS100" s="1"/>
      <c r="AT100" s="1"/>
    </row>
    <row r="101">
      <c r="A101" s="43"/>
      <c r="B101" s="59" t="str">
        <f>IFERROR(HYPERLINK(VLOOKUP(A101,Internal_lists_bugs!$A$2:$C$73,3,FALSE()), VLOOKUP(A101,Internal_lists_bugs!$A$2:$C$73,3,FALSE())&amp;Char(10) &amp; Char(10) &amp; VLOOKUP(A101,Internal_lists_bugs!$A$2:$Z$73,26,FALSE())),"please select a BUG ID")</f>
        <v>please select a BUG ID</v>
      </c>
      <c r="C101" s="51" t="str">
        <f>IFERROR(VLOOKUP(A101,Internal_lists_bugs!$A$2:$G2003,7,FALSE()),"please select a BUG ID")</f>
        <v>please select a BUG ID</v>
      </c>
      <c r="D101" s="43"/>
      <c r="E101" s="61"/>
      <c r="F101" s="43"/>
      <c r="G101" s="61"/>
      <c r="H101" s="43"/>
      <c r="I101" s="61"/>
      <c r="J101" s="43"/>
      <c r="K101" s="50"/>
      <c r="L101" s="43"/>
      <c r="M101" s="50"/>
      <c r="N101" s="43"/>
      <c r="O101" s="50"/>
      <c r="P101" s="43"/>
      <c r="Q101" s="50"/>
      <c r="R101" s="43"/>
      <c r="S101" s="50"/>
      <c r="T101" s="43"/>
      <c r="U101" s="50"/>
      <c r="V101" s="43"/>
      <c r="W101" s="50"/>
      <c r="X101" s="43"/>
      <c r="Y101" s="50"/>
      <c r="Z101" s="43"/>
      <c r="AA101" s="50"/>
      <c r="AB101" s="43"/>
      <c r="AC101" s="50"/>
      <c r="AD101" s="43"/>
      <c r="AE101" s="50"/>
      <c r="AF101" s="43"/>
      <c r="AG101" s="50"/>
      <c r="AH101" s="43"/>
      <c r="AI101" s="50"/>
      <c r="AJ101" s="43"/>
      <c r="AK101" s="50"/>
      <c r="AL101" s="43"/>
      <c r="AM101" s="50"/>
      <c r="AO101" s="43"/>
      <c r="AP101" s="46"/>
      <c r="AQ101" s="43"/>
      <c r="AR101" s="119"/>
      <c r="AS101" s="1"/>
      <c r="AT101" s="1"/>
    </row>
    <row r="102">
      <c r="A102" s="43"/>
      <c r="B102" s="59" t="str">
        <f>IFERROR(HYPERLINK(VLOOKUP(A102,Internal_lists_bugs!$A$2:$C$73,3,FALSE()), VLOOKUP(A102,Internal_lists_bugs!$A$2:$C$73,3,FALSE())&amp;Char(10) &amp; Char(10) &amp; VLOOKUP(A102,Internal_lists_bugs!$A$2:$Z$73,26,FALSE())),"please select a BUG ID")</f>
        <v>please select a BUG ID</v>
      </c>
      <c r="C102" s="51" t="str">
        <f>IFERROR(VLOOKUP(A102,Internal_lists_bugs!$A$2:$G2003,7,FALSE()),"please select a BUG ID")</f>
        <v>please select a BUG ID</v>
      </c>
      <c r="D102" s="43"/>
      <c r="E102" s="61"/>
      <c r="F102" s="43"/>
      <c r="G102" s="61"/>
      <c r="H102" s="43"/>
      <c r="I102" s="61"/>
      <c r="J102" s="43"/>
      <c r="K102" s="50"/>
      <c r="L102" s="43"/>
      <c r="M102" s="50"/>
      <c r="N102" s="43"/>
      <c r="O102" s="50"/>
      <c r="P102" s="43"/>
      <c r="Q102" s="50"/>
      <c r="R102" s="43"/>
      <c r="S102" s="50"/>
      <c r="T102" s="43"/>
      <c r="U102" s="50"/>
      <c r="V102" s="43"/>
      <c r="W102" s="50"/>
      <c r="X102" s="43"/>
      <c r="Y102" s="50"/>
      <c r="Z102" s="43"/>
      <c r="AA102" s="50"/>
      <c r="AB102" s="43"/>
      <c r="AC102" s="50"/>
      <c r="AD102" s="43"/>
      <c r="AE102" s="50"/>
      <c r="AF102" s="43"/>
      <c r="AG102" s="50"/>
      <c r="AH102" s="43"/>
      <c r="AI102" s="50"/>
      <c r="AJ102" s="43"/>
      <c r="AK102" s="50"/>
      <c r="AL102" s="43"/>
      <c r="AM102" s="50"/>
      <c r="AO102" s="43"/>
      <c r="AP102" s="46"/>
      <c r="AQ102" s="43"/>
      <c r="AR102" s="119"/>
      <c r="AS102" s="1"/>
      <c r="AT102" s="1"/>
    </row>
    <row r="103">
      <c r="A103" s="43"/>
      <c r="B103" s="59" t="str">
        <f>IFERROR(HYPERLINK(VLOOKUP(A103,Internal_lists_bugs!$A$2:$C$73,3,FALSE()), VLOOKUP(A103,Internal_lists_bugs!$A$2:$C$73,3,FALSE())&amp;Char(10) &amp; Char(10) &amp; VLOOKUP(A103,Internal_lists_bugs!$A$2:$Z$73,26,FALSE())),"please select a BUG ID")</f>
        <v>please select a BUG ID</v>
      </c>
      <c r="C103" s="51" t="str">
        <f>IFERROR(VLOOKUP(A103,Internal_lists_bugs!$A$2:$G2003,7,FALSE()),"please select a BUG ID")</f>
        <v>please select a BUG ID</v>
      </c>
      <c r="D103" s="43"/>
      <c r="E103" s="61"/>
      <c r="F103" s="43"/>
      <c r="G103" s="61"/>
      <c r="H103" s="43"/>
      <c r="I103" s="61"/>
      <c r="J103" s="43"/>
      <c r="K103" s="50"/>
      <c r="L103" s="43"/>
      <c r="M103" s="50"/>
      <c r="N103" s="43"/>
      <c r="O103" s="50"/>
      <c r="P103" s="43"/>
      <c r="Q103" s="50"/>
      <c r="R103" s="43"/>
      <c r="S103" s="50"/>
      <c r="T103" s="43"/>
      <c r="U103" s="50"/>
      <c r="V103" s="43"/>
      <c r="W103" s="50"/>
      <c r="X103" s="43"/>
      <c r="Y103" s="50"/>
      <c r="Z103" s="43"/>
      <c r="AA103" s="50"/>
      <c r="AB103" s="43"/>
      <c r="AC103" s="50"/>
      <c r="AD103" s="43"/>
      <c r="AE103" s="50"/>
      <c r="AF103" s="43"/>
      <c r="AG103" s="50"/>
      <c r="AH103" s="43"/>
      <c r="AI103" s="50"/>
      <c r="AJ103" s="43"/>
      <c r="AK103" s="50"/>
      <c r="AL103" s="43"/>
      <c r="AM103" s="50"/>
      <c r="AO103" s="43"/>
      <c r="AP103" s="46"/>
      <c r="AQ103" s="43"/>
      <c r="AR103" s="119"/>
      <c r="AS103" s="1"/>
      <c r="AT103" s="1"/>
    </row>
    <row r="104">
      <c r="A104" s="43"/>
      <c r="B104" s="59" t="str">
        <f>IFERROR(HYPERLINK(VLOOKUP(A104,Internal_lists_bugs!$A$2:$C$73,3,FALSE()), VLOOKUP(A104,Internal_lists_bugs!$A$2:$C$73,3,FALSE())&amp;Char(10) &amp; Char(10) &amp; VLOOKUP(A104,Internal_lists_bugs!$A$2:$Z$73,26,FALSE())),"please select a BUG ID")</f>
        <v>please select a BUG ID</v>
      </c>
      <c r="C104" s="51" t="str">
        <f>IFERROR(VLOOKUP(A104,Internal_lists_bugs!$A$2:$G2003,7,FALSE()),"please select a BUG ID")</f>
        <v>please select a BUG ID</v>
      </c>
      <c r="D104" s="43"/>
      <c r="E104" s="61"/>
      <c r="F104" s="43"/>
      <c r="G104" s="61"/>
      <c r="H104" s="43"/>
      <c r="I104" s="61"/>
      <c r="J104" s="43"/>
      <c r="K104" s="50"/>
      <c r="L104" s="43"/>
      <c r="M104" s="50"/>
      <c r="N104" s="43"/>
      <c r="O104" s="50"/>
      <c r="P104" s="43"/>
      <c r="Q104" s="50"/>
      <c r="R104" s="43"/>
      <c r="S104" s="50"/>
      <c r="T104" s="43"/>
      <c r="U104" s="50"/>
      <c r="V104" s="43"/>
      <c r="W104" s="50"/>
      <c r="X104" s="43"/>
      <c r="Y104" s="50"/>
      <c r="Z104" s="43"/>
      <c r="AA104" s="50"/>
      <c r="AB104" s="43"/>
      <c r="AC104" s="50"/>
      <c r="AD104" s="43"/>
      <c r="AE104" s="50"/>
      <c r="AF104" s="43"/>
      <c r="AG104" s="50"/>
      <c r="AH104" s="43"/>
      <c r="AI104" s="50"/>
      <c r="AJ104" s="43"/>
      <c r="AK104" s="50"/>
      <c r="AL104" s="43"/>
      <c r="AM104" s="50"/>
      <c r="AO104" s="43"/>
      <c r="AP104" s="46"/>
      <c r="AQ104" s="43"/>
      <c r="AR104" s="119"/>
      <c r="AS104" s="1"/>
      <c r="AT104" s="1"/>
    </row>
    <row r="105">
      <c r="A105" s="43"/>
      <c r="B105" s="59" t="str">
        <f>IFERROR(HYPERLINK(VLOOKUP(A105,Internal_lists_bugs!$A$2:$C$73,3,FALSE()), VLOOKUP(A105,Internal_lists_bugs!$A$2:$C$73,3,FALSE())&amp;Char(10) &amp; Char(10) &amp; VLOOKUP(A105,Internal_lists_bugs!$A$2:$Z$73,26,FALSE())),"please select a BUG ID")</f>
        <v>please select a BUG ID</v>
      </c>
      <c r="C105" s="51" t="str">
        <f>IFERROR(VLOOKUP(A105,Internal_lists_bugs!$A$2:$G2003,7,FALSE()),"please select a BUG ID")</f>
        <v>please select a BUG ID</v>
      </c>
      <c r="D105" s="43"/>
      <c r="E105" s="61"/>
      <c r="F105" s="43"/>
      <c r="G105" s="61"/>
      <c r="H105" s="43"/>
      <c r="I105" s="61"/>
      <c r="J105" s="43"/>
      <c r="K105" s="50"/>
      <c r="L105" s="43"/>
      <c r="M105" s="50"/>
      <c r="N105" s="43"/>
      <c r="O105" s="50"/>
      <c r="P105" s="43"/>
      <c r="Q105" s="50"/>
      <c r="R105" s="43"/>
      <c r="S105" s="50"/>
      <c r="T105" s="43"/>
      <c r="U105" s="50"/>
      <c r="V105" s="43"/>
      <c r="W105" s="50"/>
      <c r="X105" s="43"/>
      <c r="Y105" s="50"/>
      <c r="Z105" s="43"/>
      <c r="AA105" s="50"/>
      <c r="AB105" s="43"/>
      <c r="AC105" s="50"/>
      <c r="AD105" s="43"/>
      <c r="AE105" s="50"/>
      <c r="AF105" s="43"/>
      <c r="AG105" s="50"/>
      <c r="AH105" s="43"/>
      <c r="AI105" s="50"/>
      <c r="AJ105" s="43"/>
      <c r="AK105" s="50"/>
      <c r="AL105" s="43"/>
      <c r="AM105" s="50"/>
      <c r="AO105" s="43"/>
      <c r="AP105" s="46"/>
      <c r="AQ105" s="43"/>
      <c r="AR105" s="119"/>
      <c r="AS105" s="1"/>
      <c r="AT105" s="1"/>
    </row>
    <row r="106">
      <c r="A106" s="43"/>
      <c r="B106" s="59" t="str">
        <f>IFERROR(HYPERLINK(VLOOKUP(A106,Internal_lists_bugs!$A$2:$C$73,3,FALSE()), VLOOKUP(A106,Internal_lists_bugs!$A$2:$C$73,3,FALSE())&amp;Char(10) &amp; Char(10) &amp; VLOOKUP(A106,Internal_lists_bugs!$A$2:$Z$73,26,FALSE())),"please select a BUG ID")</f>
        <v>please select a BUG ID</v>
      </c>
      <c r="C106" s="51" t="str">
        <f>IFERROR(VLOOKUP(A106,Internal_lists_bugs!$A$2:$G2003,7,FALSE()),"please select a BUG ID")</f>
        <v>please select a BUG ID</v>
      </c>
      <c r="D106" s="43"/>
      <c r="E106" s="61"/>
      <c r="F106" s="43"/>
      <c r="G106" s="61"/>
      <c r="H106" s="43"/>
      <c r="I106" s="61"/>
      <c r="J106" s="43"/>
      <c r="K106" s="50"/>
      <c r="L106" s="43"/>
      <c r="M106" s="50"/>
      <c r="N106" s="43"/>
      <c r="O106" s="50"/>
      <c r="P106" s="43"/>
      <c r="Q106" s="50"/>
      <c r="R106" s="43"/>
      <c r="S106" s="50"/>
      <c r="T106" s="43"/>
      <c r="U106" s="50"/>
      <c r="V106" s="43"/>
      <c r="W106" s="50"/>
      <c r="X106" s="43"/>
      <c r="Y106" s="50"/>
      <c r="Z106" s="43"/>
      <c r="AA106" s="50"/>
      <c r="AB106" s="43"/>
      <c r="AC106" s="50"/>
      <c r="AD106" s="43"/>
      <c r="AE106" s="50"/>
      <c r="AF106" s="43"/>
      <c r="AG106" s="50"/>
      <c r="AH106" s="43"/>
      <c r="AI106" s="50"/>
      <c r="AJ106" s="43"/>
      <c r="AK106" s="50"/>
      <c r="AL106" s="43"/>
      <c r="AM106" s="50"/>
      <c r="AO106" s="43"/>
      <c r="AP106" s="46"/>
      <c r="AQ106" s="43"/>
      <c r="AR106" s="119"/>
      <c r="AS106" s="1"/>
      <c r="AT106" s="1"/>
    </row>
    <row r="107">
      <c r="A107" s="43"/>
      <c r="B107" s="59" t="str">
        <f>IFERROR(HYPERLINK(VLOOKUP(A107,Internal_lists_bugs!$A$2:$C$73,3,FALSE()), VLOOKUP(A107,Internal_lists_bugs!$A$2:$C$73,3,FALSE())&amp;Char(10) &amp; Char(10) &amp; VLOOKUP(A107,Internal_lists_bugs!$A$2:$Z$73,26,FALSE())),"please select a BUG ID")</f>
        <v>please select a BUG ID</v>
      </c>
      <c r="C107" s="51" t="str">
        <f>IFERROR(VLOOKUP(A107,Internal_lists_bugs!$A$2:$G2003,7,FALSE()),"please select a BUG ID")</f>
        <v>please select a BUG ID</v>
      </c>
      <c r="D107" s="43"/>
      <c r="E107" s="61"/>
      <c r="F107" s="43"/>
      <c r="G107" s="61"/>
      <c r="H107" s="43"/>
      <c r="I107" s="61"/>
      <c r="J107" s="43"/>
      <c r="K107" s="50"/>
      <c r="L107" s="43"/>
      <c r="M107" s="50"/>
      <c r="N107" s="43"/>
      <c r="O107" s="50"/>
      <c r="P107" s="43"/>
      <c r="Q107" s="50"/>
      <c r="R107" s="43"/>
      <c r="S107" s="50"/>
      <c r="T107" s="43"/>
      <c r="U107" s="50"/>
      <c r="V107" s="43"/>
      <c r="W107" s="50"/>
      <c r="X107" s="43"/>
      <c r="Y107" s="50"/>
      <c r="Z107" s="43"/>
      <c r="AA107" s="50"/>
      <c r="AB107" s="43"/>
      <c r="AC107" s="50"/>
      <c r="AD107" s="43"/>
      <c r="AE107" s="50"/>
      <c r="AF107" s="43"/>
      <c r="AG107" s="50"/>
      <c r="AH107" s="43"/>
      <c r="AI107" s="50"/>
      <c r="AJ107" s="43"/>
      <c r="AK107" s="50"/>
      <c r="AL107" s="43"/>
      <c r="AM107" s="50"/>
      <c r="AO107" s="43"/>
      <c r="AP107" s="46"/>
      <c r="AQ107" s="43"/>
      <c r="AR107" s="119"/>
      <c r="AS107" s="1"/>
      <c r="AT107" s="1"/>
    </row>
    <row r="108">
      <c r="A108" s="43"/>
      <c r="B108" s="59" t="str">
        <f>IFERROR(HYPERLINK(VLOOKUP(A108,Internal_lists_bugs!$A$2:$C$73,3,FALSE()), VLOOKUP(A108,Internal_lists_bugs!$A$2:$C$73,3,FALSE())&amp;Char(10) &amp; Char(10) &amp; VLOOKUP(A108,Internal_lists_bugs!$A$2:$Z$73,26,FALSE())),"please select a BUG ID")</f>
        <v>please select a BUG ID</v>
      </c>
      <c r="C108" s="51" t="str">
        <f>IFERROR(VLOOKUP(A108,Internal_lists_bugs!$A$2:$G2003,7,FALSE()),"please select a BUG ID")</f>
        <v>please select a BUG ID</v>
      </c>
      <c r="D108" s="43"/>
      <c r="E108" s="61"/>
      <c r="F108" s="43"/>
      <c r="G108" s="61"/>
      <c r="H108" s="43"/>
      <c r="I108" s="61"/>
      <c r="J108" s="43"/>
      <c r="K108" s="50"/>
      <c r="L108" s="43"/>
      <c r="M108" s="50"/>
      <c r="N108" s="43"/>
      <c r="O108" s="50"/>
      <c r="P108" s="43"/>
      <c r="Q108" s="50"/>
      <c r="R108" s="43"/>
      <c r="S108" s="50"/>
      <c r="T108" s="43"/>
      <c r="U108" s="50"/>
      <c r="V108" s="43"/>
      <c r="W108" s="50"/>
      <c r="X108" s="43"/>
      <c r="Y108" s="50"/>
      <c r="Z108" s="43"/>
      <c r="AA108" s="50"/>
      <c r="AB108" s="43"/>
      <c r="AC108" s="50"/>
      <c r="AD108" s="43"/>
      <c r="AE108" s="50"/>
      <c r="AF108" s="43"/>
      <c r="AG108" s="50"/>
      <c r="AH108" s="43"/>
      <c r="AI108" s="50"/>
      <c r="AJ108" s="43"/>
      <c r="AK108" s="50"/>
      <c r="AL108" s="43"/>
      <c r="AM108" s="50"/>
      <c r="AO108" s="43"/>
      <c r="AP108" s="46"/>
      <c r="AQ108" s="43"/>
      <c r="AR108" s="119"/>
      <c r="AS108" s="1"/>
      <c r="AT108" s="1"/>
    </row>
    <row r="109">
      <c r="A109" s="43"/>
      <c r="B109" s="59" t="str">
        <f>IFERROR(HYPERLINK(VLOOKUP(A109,Internal_lists_bugs!$A$2:$C$73,3,FALSE()), VLOOKUP(A109,Internal_lists_bugs!$A$2:$C$73,3,FALSE())&amp;Char(10) &amp; Char(10) &amp; VLOOKUP(A109,Internal_lists_bugs!$A$2:$Z$73,26,FALSE())),"please select a BUG ID")</f>
        <v>please select a BUG ID</v>
      </c>
      <c r="C109" s="51" t="str">
        <f>IFERROR(VLOOKUP(A109,Internal_lists_bugs!$A$2:$G2003,7,FALSE()),"please select a BUG ID")</f>
        <v>please select a BUG ID</v>
      </c>
      <c r="D109" s="43"/>
      <c r="E109" s="61"/>
      <c r="F109" s="43"/>
      <c r="G109" s="61"/>
      <c r="H109" s="43"/>
      <c r="I109" s="61"/>
      <c r="J109" s="43"/>
      <c r="K109" s="50"/>
      <c r="L109" s="43"/>
      <c r="M109" s="50"/>
      <c r="N109" s="43"/>
      <c r="O109" s="50"/>
      <c r="P109" s="43"/>
      <c r="Q109" s="50"/>
      <c r="R109" s="43"/>
      <c r="S109" s="50"/>
      <c r="T109" s="43"/>
      <c r="U109" s="50"/>
      <c r="V109" s="43"/>
      <c r="W109" s="50"/>
      <c r="X109" s="43"/>
      <c r="Y109" s="50"/>
      <c r="Z109" s="43"/>
      <c r="AA109" s="50"/>
      <c r="AB109" s="43"/>
      <c r="AC109" s="50"/>
      <c r="AD109" s="43"/>
      <c r="AE109" s="50"/>
      <c r="AF109" s="43"/>
      <c r="AG109" s="50"/>
      <c r="AH109" s="43"/>
      <c r="AI109" s="50"/>
      <c r="AJ109" s="43"/>
      <c r="AK109" s="50"/>
      <c r="AL109" s="43"/>
      <c r="AM109" s="50"/>
      <c r="AO109" s="43"/>
      <c r="AP109" s="46"/>
      <c r="AQ109" s="43"/>
      <c r="AR109" s="119"/>
      <c r="AS109" s="1"/>
      <c r="AT109" s="1"/>
    </row>
    <row r="110">
      <c r="A110" s="43"/>
      <c r="B110" s="59" t="str">
        <f>IFERROR(HYPERLINK(VLOOKUP(A110,Internal_lists_bugs!$A$2:$C$73,3,FALSE()), VLOOKUP(A110,Internal_lists_bugs!$A$2:$C$73,3,FALSE())&amp;Char(10) &amp; Char(10) &amp; VLOOKUP(A110,Internal_lists_bugs!$A$2:$Z$73,26,FALSE())),"please select a BUG ID")</f>
        <v>please select a BUG ID</v>
      </c>
      <c r="C110" s="51" t="str">
        <f>IFERROR(VLOOKUP(A110,Internal_lists_bugs!$A$2:$G2003,7,FALSE()),"please select a BUG ID")</f>
        <v>please select a BUG ID</v>
      </c>
      <c r="D110" s="43"/>
      <c r="E110" s="61"/>
      <c r="F110" s="43"/>
      <c r="G110" s="61"/>
      <c r="H110" s="43"/>
      <c r="I110" s="61"/>
      <c r="J110" s="43"/>
      <c r="K110" s="50"/>
      <c r="L110" s="43"/>
      <c r="M110" s="50"/>
      <c r="N110" s="43"/>
      <c r="O110" s="50"/>
      <c r="P110" s="43"/>
      <c r="Q110" s="50"/>
      <c r="R110" s="43"/>
      <c r="S110" s="50"/>
      <c r="T110" s="43"/>
      <c r="U110" s="50"/>
      <c r="V110" s="43"/>
      <c r="W110" s="50"/>
      <c r="X110" s="43"/>
      <c r="Y110" s="50"/>
      <c r="Z110" s="43"/>
      <c r="AA110" s="50"/>
      <c r="AB110" s="43"/>
      <c r="AC110" s="50"/>
      <c r="AD110" s="43"/>
      <c r="AE110" s="50"/>
      <c r="AF110" s="43"/>
      <c r="AG110" s="50"/>
      <c r="AH110" s="43"/>
      <c r="AI110" s="50"/>
      <c r="AJ110" s="43"/>
      <c r="AK110" s="50"/>
      <c r="AL110" s="43"/>
      <c r="AM110" s="50"/>
      <c r="AO110" s="43"/>
      <c r="AP110" s="46"/>
      <c r="AQ110" s="43"/>
      <c r="AR110" s="119"/>
      <c r="AS110" s="1"/>
      <c r="AT110" s="1"/>
    </row>
    <row r="111">
      <c r="A111" s="43"/>
      <c r="B111" s="59" t="str">
        <f>IFERROR(HYPERLINK(VLOOKUP(A111,Internal_lists_bugs!$A$2:$C$73,3,FALSE()), VLOOKUP(A111,Internal_lists_bugs!$A$2:$C$73,3,FALSE())&amp;Char(10) &amp; Char(10) &amp; VLOOKUP(A111,Internal_lists_bugs!$A$2:$Z$73,26,FALSE())),"please select a BUG ID")</f>
        <v>please select a BUG ID</v>
      </c>
      <c r="C111" s="51" t="str">
        <f>IFERROR(VLOOKUP(A111,Internal_lists_bugs!$A$2:$G2003,7,FALSE()),"please select a BUG ID")</f>
        <v>please select a BUG ID</v>
      </c>
      <c r="D111" s="43"/>
      <c r="E111" s="61"/>
      <c r="F111" s="43"/>
      <c r="G111" s="61"/>
      <c r="H111" s="43"/>
      <c r="I111" s="61"/>
      <c r="J111" s="43"/>
      <c r="K111" s="50"/>
      <c r="L111" s="43"/>
      <c r="M111" s="50"/>
      <c r="N111" s="43"/>
      <c r="O111" s="50"/>
      <c r="P111" s="43"/>
      <c r="Q111" s="50"/>
      <c r="R111" s="43"/>
      <c r="S111" s="50"/>
      <c r="T111" s="43"/>
      <c r="U111" s="50"/>
      <c r="V111" s="43"/>
      <c r="W111" s="50"/>
      <c r="X111" s="43"/>
      <c r="Y111" s="50"/>
      <c r="Z111" s="43"/>
      <c r="AA111" s="50"/>
      <c r="AB111" s="43"/>
      <c r="AC111" s="50"/>
      <c r="AD111" s="43"/>
      <c r="AE111" s="50"/>
      <c r="AF111" s="43"/>
      <c r="AG111" s="50"/>
      <c r="AH111" s="43"/>
      <c r="AI111" s="50"/>
      <c r="AJ111" s="43"/>
      <c r="AK111" s="50"/>
      <c r="AL111" s="43"/>
      <c r="AM111" s="50"/>
      <c r="AO111" s="43"/>
      <c r="AP111" s="46"/>
      <c r="AQ111" s="43"/>
      <c r="AR111" s="119"/>
      <c r="AS111" s="1"/>
      <c r="AT111" s="1"/>
    </row>
    <row r="112">
      <c r="A112" s="43"/>
      <c r="B112" s="59" t="str">
        <f>IFERROR(HYPERLINK(VLOOKUP(A112,Internal_lists_bugs!$A$2:$C$73,3,FALSE()), VLOOKUP(A112,Internal_lists_bugs!$A$2:$C$73,3,FALSE())&amp;Char(10) &amp; Char(10) &amp; VLOOKUP(A112,Internal_lists_bugs!$A$2:$Z$73,26,FALSE())),"please select a BUG ID")</f>
        <v>please select a BUG ID</v>
      </c>
      <c r="C112" s="51" t="str">
        <f>IFERROR(VLOOKUP(A112,Internal_lists_bugs!$A$2:$G2003,7,FALSE()),"please select a BUG ID")</f>
        <v>please select a BUG ID</v>
      </c>
      <c r="D112" s="43"/>
      <c r="E112" s="61"/>
      <c r="F112" s="43"/>
      <c r="G112" s="61"/>
      <c r="H112" s="43"/>
      <c r="I112" s="61"/>
      <c r="J112" s="43"/>
      <c r="K112" s="50"/>
      <c r="L112" s="43"/>
      <c r="M112" s="50"/>
      <c r="N112" s="43"/>
      <c r="O112" s="50"/>
      <c r="P112" s="43"/>
      <c r="Q112" s="50"/>
      <c r="R112" s="43"/>
      <c r="S112" s="50"/>
      <c r="T112" s="43"/>
      <c r="U112" s="50"/>
      <c r="V112" s="43"/>
      <c r="W112" s="50"/>
      <c r="X112" s="43"/>
      <c r="Y112" s="50"/>
      <c r="Z112" s="43"/>
      <c r="AA112" s="50"/>
      <c r="AB112" s="43"/>
      <c r="AC112" s="50"/>
      <c r="AD112" s="43"/>
      <c r="AE112" s="50"/>
      <c r="AF112" s="43"/>
      <c r="AG112" s="50"/>
      <c r="AH112" s="43"/>
      <c r="AI112" s="50"/>
      <c r="AJ112" s="43"/>
      <c r="AK112" s="50"/>
      <c r="AL112" s="43"/>
      <c r="AM112" s="50"/>
      <c r="AO112" s="43"/>
      <c r="AP112" s="46"/>
      <c r="AQ112" s="43"/>
      <c r="AR112" s="119"/>
      <c r="AS112" s="1"/>
      <c r="AT112" s="1"/>
    </row>
    <row r="113">
      <c r="A113" s="43"/>
      <c r="B113" s="59" t="str">
        <f>IFERROR(HYPERLINK(VLOOKUP(A113,Internal_lists_bugs!$A$2:$C$73,3,FALSE()), VLOOKUP(A113,Internal_lists_bugs!$A$2:$C$73,3,FALSE())&amp;Char(10) &amp; Char(10) &amp; VLOOKUP(A113,Internal_lists_bugs!$A$2:$Z$73,26,FALSE())),"please select a BUG ID")</f>
        <v>please select a BUG ID</v>
      </c>
      <c r="C113" s="51" t="str">
        <f>IFERROR(VLOOKUP(A113,Internal_lists_bugs!$A$2:$G2003,7,FALSE()),"please select a BUG ID")</f>
        <v>please select a BUG ID</v>
      </c>
      <c r="D113" s="43"/>
      <c r="E113" s="61"/>
      <c r="F113" s="43"/>
      <c r="G113" s="61"/>
      <c r="H113" s="43"/>
      <c r="I113" s="61"/>
      <c r="J113" s="43"/>
      <c r="K113" s="50"/>
      <c r="L113" s="43"/>
      <c r="M113" s="50"/>
      <c r="N113" s="43"/>
      <c r="O113" s="50"/>
      <c r="P113" s="43"/>
      <c r="Q113" s="50"/>
      <c r="R113" s="43"/>
      <c r="S113" s="50"/>
      <c r="T113" s="43"/>
      <c r="U113" s="50"/>
      <c r="V113" s="43"/>
      <c r="W113" s="50"/>
      <c r="X113" s="43"/>
      <c r="Y113" s="50"/>
      <c r="Z113" s="43"/>
      <c r="AA113" s="50"/>
      <c r="AB113" s="43"/>
      <c r="AC113" s="50"/>
      <c r="AD113" s="43"/>
      <c r="AE113" s="50"/>
      <c r="AF113" s="43"/>
      <c r="AG113" s="50"/>
      <c r="AH113" s="43"/>
      <c r="AI113" s="50"/>
      <c r="AJ113" s="43"/>
      <c r="AK113" s="50"/>
      <c r="AL113" s="43"/>
      <c r="AM113" s="50"/>
      <c r="AO113" s="43"/>
      <c r="AP113" s="46"/>
      <c r="AQ113" s="43"/>
      <c r="AR113" s="119"/>
      <c r="AS113" s="1"/>
      <c r="AT113" s="1"/>
    </row>
    <row r="114">
      <c r="A114" s="43"/>
      <c r="B114" s="59" t="str">
        <f>IFERROR(HYPERLINK(VLOOKUP(A114,Internal_lists_bugs!$A$2:$C$73,3,FALSE()), VLOOKUP(A114,Internal_lists_bugs!$A$2:$C$73,3,FALSE())&amp;Char(10) &amp; Char(10) &amp; VLOOKUP(A114,Internal_lists_bugs!$A$2:$Z$73,26,FALSE())),"please select a BUG ID")</f>
        <v>please select a BUG ID</v>
      </c>
      <c r="C114" s="51" t="str">
        <f>IFERROR(VLOOKUP(A114,Internal_lists_bugs!$A$2:$G2003,7,FALSE()),"please select a BUG ID")</f>
        <v>please select a BUG ID</v>
      </c>
      <c r="D114" s="43"/>
      <c r="E114" s="61"/>
      <c r="F114" s="43"/>
      <c r="G114" s="61"/>
      <c r="H114" s="43"/>
      <c r="I114" s="61"/>
      <c r="J114" s="43"/>
      <c r="K114" s="50"/>
      <c r="L114" s="43"/>
      <c r="M114" s="50"/>
      <c r="N114" s="43"/>
      <c r="O114" s="50"/>
      <c r="P114" s="43"/>
      <c r="Q114" s="50"/>
      <c r="R114" s="43"/>
      <c r="S114" s="50"/>
      <c r="T114" s="43"/>
      <c r="U114" s="50"/>
      <c r="V114" s="43"/>
      <c r="W114" s="50"/>
      <c r="X114" s="43"/>
      <c r="Y114" s="50"/>
      <c r="Z114" s="43"/>
      <c r="AA114" s="50"/>
      <c r="AB114" s="43"/>
      <c r="AC114" s="50"/>
      <c r="AD114" s="43"/>
      <c r="AE114" s="50"/>
      <c r="AF114" s="43"/>
      <c r="AG114" s="50"/>
      <c r="AH114" s="43"/>
      <c r="AI114" s="50"/>
      <c r="AJ114" s="43"/>
      <c r="AK114" s="50"/>
      <c r="AL114" s="43"/>
      <c r="AM114" s="50"/>
      <c r="AO114" s="43"/>
      <c r="AP114" s="46"/>
      <c r="AQ114" s="43"/>
      <c r="AR114" s="119"/>
      <c r="AS114" s="1"/>
      <c r="AT114" s="1"/>
    </row>
    <row r="115">
      <c r="A115" s="43"/>
      <c r="B115" s="59" t="str">
        <f>IFERROR(HYPERLINK(VLOOKUP(A115,Internal_lists_bugs!$A$2:$C$73,3,FALSE()), VLOOKUP(A115,Internal_lists_bugs!$A$2:$C$73,3,FALSE())&amp;Char(10) &amp; Char(10) &amp; VLOOKUP(A115,Internal_lists_bugs!$A$2:$Z$73,26,FALSE())),"please select a BUG ID")</f>
        <v>please select a BUG ID</v>
      </c>
      <c r="C115" s="51" t="str">
        <f>IFERROR(VLOOKUP(A115,Internal_lists_bugs!$A$2:$G2003,7,FALSE()),"please select a BUG ID")</f>
        <v>please select a BUG ID</v>
      </c>
      <c r="D115" s="43"/>
      <c r="E115" s="61"/>
      <c r="F115" s="43"/>
      <c r="G115" s="61"/>
      <c r="H115" s="43"/>
      <c r="I115" s="61"/>
      <c r="J115" s="43"/>
      <c r="K115" s="50"/>
      <c r="L115" s="43"/>
      <c r="M115" s="50"/>
      <c r="N115" s="43"/>
      <c r="O115" s="50"/>
      <c r="P115" s="43"/>
      <c r="Q115" s="50"/>
      <c r="R115" s="43"/>
      <c r="S115" s="50"/>
      <c r="T115" s="43"/>
      <c r="U115" s="50"/>
      <c r="V115" s="43"/>
      <c r="W115" s="50"/>
      <c r="X115" s="43"/>
      <c r="Y115" s="50"/>
      <c r="Z115" s="43"/>
      <c r="AA115" s="50"/>
      <c r="AB115" s="43"/>
      <c r="AC115" s="50"/>
      <c r="AD115" s="43"/>
      <c r="AE115" s="50"/>
      <c r="AF115" s="43"/>
      <c r="AG115" s="50"/>
      <c r="AH115" s="43"/>
      <c r="AI115" s="50"/>
      <c r="AJ115" s="43"/>
      <c r="AK115" s="50"/>
      <c r="AL115" s="43"/>
      <c r="AM115" s="50"/>
      <c r="AO115" s="43"/>
      <c r="AP115" s="46"/>
      <c r="AQ115" s="43"/>
      <c r="AR115" s="119"/>
      <c r="AS115" s="1"/>
      <c r="AT115" s="1"/>
    </row>
    <row r="116">
      <c r="A116" s="43"/>
      <c r="B116" s="59" t="str">
        <f>IFERROR(HYPERLINK(VLOOKUP(A116,Internal_lists_bugs!$A$2:$C$73,3,FALSE()), VLOOKUP(A116,Internal_lists_bugs!$A$2:$C$73,3,FALSE())&amp;Char(10) &amp; Char(10) &amp; VLOOKUP(A116,Internal_lists_bugs!$A$2:$Z$73,26,FALSE())),"please select a BUG ID")</f>
        <v>please select a BUG ID</v>
      </c>
      <c r="C116" s="51" t="str">
        <f>IFERROR(VLOOKUP(A116,Internal_lists_bugs!$A$2:$G2003,7,FALSE()),"please select a BUG ID")</f>
        <v>please select a BUG ID</v>
      </c>
      <c r="D116" s="43"/>
      <c r="E116" s="61"/>
      <c r="F116" s="43"/>
      <c r="G116" s="61"/>
      <c r="H116" s="43"/>
      <c r="I116" s="61"/>
      <c r="J116" s="43"/>
      <c r="K116" s="50"/>
      <c r="L116" s="43"/>
      <c r="M116" s="50"/>
      <c r="N116" s="43"/>
      <c r="O116" s="50"/>
      <c r="P116" s="43"/>
      <c r="Q116" s="50"/>
      <c r="R116" s="43"/>
      <c r="S116" s="50"/>
      <c r="T116" s="43"/>
      <c r="U116" s="50"/>
      <c r="V116" s="43"/>
      <c r="W116" s="50"/>
      <c r="X116" s="43"/>
      <c r="Y116" s="50"/>
      <c r="Z116" s="43"/>
      <c r="AA116" s="50"/>
      <c r="AB116" s="43"/>
      <c r="AC116" s="50"/>
      <c r="AD116" s="43"/>
      <c r="AE116" s="50"/>
      <c r="AF116" s="43"/>
      <c r="AG116" s="50"/>
      <c r="AH116" s="43"/>
      <c r="AI116" s="50"/>
      <c r="AJ116" s="43"/>
      <c r="AK116" s="50"/>
      <c r="AL116" s="43"/>
      <c r="AM116" s="50"/>
      <c r="AO116" s="43"/>
      <c r="AP116" s="46"/>
      <c r="AQ116" s="43"/>
      <c r="AR116" s="119"/>
      <c r="AS116" s="1"/>
      <c r="AT116" s="1"/>
    </row>
    <row r="117">
      <c r="A117" s="43"/>
      <c r="B117" s="59" t="str">
        <f>IFERROR(HYPERLINK(VLOOKUP(A117,Internal_lists_bugs!$A$2:$C$73,3,FALSE()), VLOOKUP(A117,Internal_lists_bugs!$A$2:$C$73,3,FALSE())&amp;Char(10) &amp; Char(10) &amp; VLOOKUP(A117,Internal_lists_bugs!$A$2:$Z$73,26,FALSE())),"please select a BUG ID")</f>
        <v>please select a BUG ID</v>
      </c>
      <c r="C117" s="51" t="str">
        <f>IFERROR(VLOOKUP(A117,Internal_lists_bugs!$A$2:$G2003,7,FALSE()),"please select a BUG ID")</f>
        <v>please select a BUG ID</v>
      </c>
      <c r="D117" s="43"/>
      <c r="E117" s="61"/>
      <c r="F117" s="43"/>
      <c r="G117" s="61"/>
      <c r="H117" s="43"/>
      <c r="I117" s="61"/>
      <c r="J117" s="43"/>
      <c r="K117" s="50"/>
      <c r="L117" s="43"/>
      <c r="M117" s="50"/>
      <c r="N117" s="43"/>
      <c r="O117" s="50"/>
      <c r="P117" s="43"/>
      <c r="Q117" s="50"/>
      <c r="R117" s="43"/>
      <c r="S117" s="50"/>
      <c r="T117" s="43"/>
      <c r="U117" s="50"/>
      <c r="V117" s="43"/>
      <c r="W117" s="50"/>
      <c r="X117" s="43"/>
      <c r="Y117" s="50"/>
      <c r="Z117" s="43"/>
      <c r="AA117" s="50"/>
      <c r="AB117" s="43"/>
      <c r="AC117" s="50"/>
      <c r="AD117" s="43"/>
      <c r="AE117" s="50"/>
      <c r="AF117" s="43"/>
      <c r="AG117" s="50"/>
      <c r="AH117" s="43"/>
      <c r="AI117" s="50"/>
      <c r="AJ117" s="43"/>
      <c r="AK117" s="50"/>
      <c r="AL117" s="43"/>
      <c r="AM117" s="50"/>
      <c r="AO117" s="43"/>
      <c r="AP117" s="46"/>
      <c r="AQ117" s="43"/>
      <c r="AR117" s="119"/>
      <c r="AS117" s="1"/>
      <c r="AT117" s="1"/>
    </row>
    <row r="118">
      <c r="A118" s="43"/>
      <c r="B118" s="59" t="str">
        <f>IFERROR(HYPERLINK(VLOOKUP(A118,Internal_lists_bugs!$A$2:$C$73,3,FALSE()), VLOOKUP(A118,Internal_lists_bugs!$A$2:$C$73,3,FALSE())&amp;Char(10) &amp; Char(10) &amp; VLOOKUP(A118,Internal_lists_bugs!$A$2:$Z$73,26,FALSE())),"please select a BUG ID")</f>
        <v>please select a BUG ID</v>
      </c>
      <c r="C118" s="51" t="str">
        <f>IFERROR(VLOOKUP(A118,Internal_lists_bugs!$A$2:$G2003,7,FALSE()),"please select a BUG ID")</f>
        <v>please select a BUG ID</v>
      </c>
      <c r="D118" s="43"/>
      <c r="E118" s="61"/>
      <c r="F118" s="43"/>
      <c r="G118" s="61"/>
      <c r="H118" s="43"/>
      <c r="I118" s="61"/>
      <c r="J118" s="43"/>
      <c r="K118" s="50"/>
      <c r="L118" s="43"/>
      <c r="M118" s="50"/>
      <c r="N118" s="43"/>
      <c r="O118" s="50"/>
      <c r="P118" s="43"/>
      <c r="Q118" s="50"/>
      <c r="R118" s="43"/>
      <c r="S118" s="50"/>
      <c r="T118" s="43"/>
      <c r="U118" s="50"/>
      <c r="V118" s="43"/>
      <c r="W118" s="50"/>
      <c r="X118" s="43"/>
      <c r="Y118" s="50"/>
      <c r="Z118" s="43"/>
      <c r="AA118" s="50"/>
      <c r="AB118" s="43"/>
      <c r="AC118" s="50"/>
      <c r="AD118" s="43"/>
      <c r="AE118" s="50"/>
      <c r="AF118" s="43"/>
      <c r="AG118" s="50"/>
      <c r="AH118" s="43"/>
      <c r="AI118" s="50"/>
      <c r="AJ118" s="43"/>
      <c r="AK118" s="50"/>
      <c r="AL118" s="43"/>
      <c r="AM118" s="50"/>
      <c r="AO118" s="43"/>
      <c r="AP118" s="46"/>
      <c r="AQ118" s="43"/>
      <c r="AR118" s="119"/>
      <c r="AS118" s="1"/>
      <c r="AT118" s="1"/>
    </row>
    <row r="119">
      <c r="A119" s="43"/>
      <c r="B119" s="59" t="str">
        <f>IFERROR(HYPERLINK(VLOOKUP(A119,Internal_lists_bugs!$A$2:$C$73,3,FALSE()), VLOOKUP(A119,Internal_lists_bugs!$A$2:$C$73,3,FALSE())&amp;Char(10) &amp; Char(10) &amp; VLOOKUP(A119,Internal_lists_bugs!$A$2:$Z$73,26,FALSE())),"please select a BUG ID")</f>
        <v>please select a BUG ID</v>
      </c>
      <c r="C119" s="51" t="str">
        <f>IFERROR(VLOOKUP(A119,Internal_lists_bugs!$A$2:$G2003,7,FALSE()),"please select a BUG ID")</f>
        <v>please select a BUG ID</v>
      </c>
      <c r="D119" s="43"/>
      <c r="E119" s="61"/>
      <c r="F119" s="43"/>
      <c r="G119" s="61"/>
      <c r="H119" s="43"/>
      <c r="I119" s="61"/>
      <c r="J119" s="43"/>
      <c r="K119" s="50"/>
      <c r="L119" s="43"/>
      <c r="M119" s="50"/>
      <c r="N119" s="43"/>
      <c r="O119" s="50"/>
      <c r="P119" s="43"/>
      <c r="Q119" s="50"/>
      <c r="R119" s="43"/>
      <c r="S119" s="50"/>
      <c r="T119" s="43"/>
      <c r="U119" s="50"/>
      <c r="V119" s="43"/>
      <c r="W119" s="50"/>
      <c r="X119" s="43"/>
      <c r="Y119" s="50"/>
      <c r="Z119" s="43"/>
      <c r="AA119" s="50"/>
      <c r="AB119" s="43"/>
      <c r="AC119" s="50"/>
      <c r="AD119" s="43"/>
      <c r="AE119" s="50"/>
      <c r="AF119" s="43"/>
      <c r="AG119" s="50"/>
      <c r="AH119" s="43"/>
      <c r="AI119" s="50"/>
      <c r="AJ119" s="43"/>
      <c r="AK119" s="50"/>
      <c r="AL119" s="43"/>
      <c r="AM119" s="50"/>
      <c r="AO119" s="43"/>
      <c r="AP119" s="46"/>
      <c r="AQ119" s="43"/>
      <c r="AR119" s="119"/>
      <c r="AS119" s="1"/>
      <c r="AT119" s="1"/>
    </row>
    <row r="120">
      <c r="A120" s="43"/>
      <c r="B120" s="59" t="str">
        <f>IFERROR(HYPERLINK(VLOOKUP(A120,Internal_lists_bugs!$A$2:$C$73,3,FALSE()), VLOOKUP(A120,Internal_lists_bugs!$A$2:$C$73,3,FALSE())&amp;Char(10) &amp; Char(10) &amp; VLOOKUP(A120,Internal_lists_bugs!$A$2:$Z$73,26,FALSE())),"please select a BUG ID")</f>
        <v>please select a BUG ID</v>
      </c>
      <c r="C120" s="51" t="str">
        <f>IFERROR(VLOOKUP(A120,Internal_lists_bugs!$A$2:$G2003,7,FALSE()),"please select a BUG ID")</f>
        <v>please select a BUG ID</v>
      </c>
      <c r="D120" s="43"/>
      <c r="E120" s="61"/>
      <c r="F120" s="43"/>
      <c r="G120" s="61"/>
      <c r="H120" s="43"/>
      <c r="I120" s="61"/>
      <c r="J120" s="43"/>
      <c r="K120" s="50"/>
      <c r="L120" s="43"/>
      <c r="M120" s="50"/>
      <c r="N120" s="43"/>
      <c r="O120" s="50"/>
      <c r="P120" s="43"/>
      <c r="Q120" s="50"/>
      <c r="R120" s="43"/>
      <c r="S120" s="50"/>
      <c r="T120" s="43"/>
      <c r="U120" s="50"/>
      <c r="V120" s="43"/>
      <c r="W120" s="50"/>
      <c r="X120" s="43"/>
      <c r="Y120" s="50"/>
      <c r="Z120" s="43"/>
      <c r="AA120" s="50"/>
      <c r="AB120" s="43"/>
      <c r="AC120" s="50"/>
      <c r="AD120" s="43"/>
      <c r="AE120" s="50"/>
      <c r="AF120" s="43"/>
      <c r="AG120" s="50"/>
      <c r="AH120" s="43"/>
      <c r="AI120" s="50"/>
      <c r="AJ120" s="43"/>
      <c r="AK120" s="50"/>
      <c r="AL120" s="43"/>
      <c r="AM120" s="50"/>
      <c r="AO120" s="43"/>
      <c r="AP120" s="46"/>
      <c r="AQ120" s="43"/>
      <c r="AR120" s="119"/>
      <c r="AS120" s="1"/>
      <c r="AT120" s="1"/>
    </row>
    <row r="121">
      <c r="A121" s="43"/>
      <c r="B121" s="59" t="str">
        <f>IFERROR(HYPERLINK(VLOOKUP(A121,Internal_lists_bugs!$A$2:$C$73,3,FALSE()), VLOOKUP(A121,Internal_lists_bugs!$A$2:$C$73,3,FALSE())&amp;Char(10) &amp; Char(10) &amp; VLOOKUP(A121,Internal_lists_bugs!$A$2:$Z$73,26,FALSE())),"please select a BUG ID")</f>
        <v>please select a BUG ID</v>
      </c>
      <c r="C121" s="51" t="str">
        <f>IFERROR(VLOOKUP(A121,Internal_lists_bugs!$A$2:$G2003,7,FALSE()),"please select a BUG ID")</f>
        <v>please select a BUG ID</v>
      </c>
      <c r="D121" s="43"/>
      <c r="E121" s="61"/>
      <c r="F121" s="43"/>
      <c r="G121" s="61"/>
      <c r="H121" s="43"/>
      <c r="I121" s="61"/>
      <c r="J121" s="43"/>
      <c r="K121" s="50"/>
      <c r="L121" s="43"/>
      <c r="M121" s="50"/>
      <c r="N121" s="43"/>
      <c r="O121" s="50"/>
      <c r="P121" s="43"/>
      <c r="Q121" s="50"/>
      <c r="R121" s="43"/>
      <c r="S121" s="50"/>
      <c r="T121" s="43"/>
      <c r="U121" s="50"/>
      <c r="V121" s="43"/>
      <c r="W121" s="50"/>
      <c r="X121" s="43"/>
      <c r="Y121" s="50"/>
      <c r="Z121" s="43"/>
      <c r="AA121" s="50"/>
      <c r="AB121" s="43"/>
      <c r="AC121" s="50"/>
      <c r="AD121" s="43"/>
      <c r="AE121" s="50"/>
      <c r="AF121" s="43"/>
      <c r="AG121" s="50"/>
      <c r="AH121" s="43"/>
      <c r="AI121" s="50"/>
      <c r="AJ121" s="43"/>
      <c r="AK121" s="50"/>
      <c r="AL121" s="43"/>
      <c r="AM121" s="50"/>
      <c r="AO121" s="43"/>
      <c r="AP121" s="46"/>
      <c r="AQ121" s="43"/>
      <c r="AR121" s="119"/>
      <c r="AS121" s="1"/>
      <c r="AT121" s="1"/>
    </row>
    <row r="122">
      <c r="A122" s="43"/>
      <c r="B122" s="59" t="str">
        <f>IFERROR(HYPERLINK(VLOOKUP(A122,Internal_lists_bugs!$A$2:$C$73,3,FALSE()), VLOOKUP(A122,Internal_lists_bugs!$A$2:$C$73,3,FALSE())&amp;Char(10) &amp; Char(10) &amp; VLOOKUP(A122,Internal_lists_bugs!$A$2:$Z$73,26,FALSE())),"please select a BUG ID")</f>
        <v>please select a BUG ID</v>
      </c>
      <c r="C122" s="51" t="str">
        <f>IFERROR(VLOOKUP(A122,Internal_lists_bugs!$A$2:$G2003,7,FALSE()),"please select a BUG ID")</f>
        <v>please select a BUG ID</v>
      </c>
      <c r="D122" s="43"/>
      <c r="E122" s="61"/>
      <c r="F122" s="43"/>
      <c r="G122" s="61"/>
      <c r="H122" s="43"/>
      <c r="I122" s="61"/>
      <c r="J122" s="43"/>
      <c r="K122" s="50"/>
      <c r="L122" s="43"/>
      <c r="M122" s="50"/>
      <c r="N122" s="43"/>
      <c r="O122" s="50"/>
      <c r="P122" s="43"/>
      <c r="Q122" s="50"/>
      <c r="R122" s="43"/>
      <c r="S122" s="50"/>
      <c r="T122" s="43"/>
      <c r="U122" s="50"/>
      <c r="V122" s="43"/>
      <c r="W122" s="50"/>
      <c r="X122" s="43"/>
      <c r="Y122" s="50"/>
      <c r="Z122" s="43"/>
      <c r="AA122" s="50"/>
      <c r="AB122" s="43"/>
      <c r="AC122" s="50"/>
      <c r="AD122" s="43"/>
      <c r="AE122" s="50"/>
      <c r="AF122" s="43"/>
      <c r="AG122" s="50"/>
      <c r="AH122" s="43"/>
      <c r="AI122" s="50"/>
      <c r="AJ122" s="43"/>
      <c r="AK122" s="50"/>
      <c r="AL122" s="43"/>
      <c r="AM122" s="50"/>
      <c r="AO122" s="43"/>
      <c r="AP122" s="46"/>
      <c r="AQ122" s="43"/>
      <c r="AR122" s="119"/>
      <c r="AS122" s="1"/>
      <c r="AT122" s="1"/>
    </row>
    <row r="123">
      <c r="A123" s="43"/>
      <c r="B123" s="59" t="str">
        <f>IFERROR(HYPERLINK(VLOOKUP(A123,Internal_lists_bugs!$A$2:$C$73,3,FALSE()), VLOOKUP(A123,Internal_lists_bugs!$A$2:$C$73,3,FALSE())&amp;Char(10) &amp; Char(10) &amp; VLOOKUP(A123,Internal_lists_bugs!$A$2:$Z$73,26,FALSE())),"please select a BUG ID")</f>
        <v>please select a BUG ID</v>
      </c>
      <c r="C123" s="51" t="str">
        <f>IFERROR(VLOOKUP(A123,Internal_lists_bugs!$A$2:$G2003,7,FALSE()),"please select a BUG ID")</f>
        <v>please select a BUG ID</v>
      </c>
      <c r="D123" s="43"/>
      <c r="E123" s="61"/>
      <c r="F123" s="43"/>
      <c r="G123" s="61"/>
      <c r="H123" s="43"/>
      <c r="I123" s="61"/>
      <c r="J123" s="43"/>
      <c r="K123" s="50"/>
      <c r="L123" s="43"/>
      <c r="M123" s="50"/>
      <c r="N123" s="43"/>
      <c r="O123" s="50"/>
      <c r="P123" s="43"/>
      <c r="Q123" s="50"/>
      <c r="R123" s="43"/>
      <c r="S123" s="50"/>
      <c r="T123" s="43"/>
      <c r="U123" s="50"/>
      <c r="V123" s="43"/>
      <c r="W123" s="50"/>
      <c r="X123" s="43"/>
      <c r="Y123" s="50"/>
      <c r="Z123" s="43"/>
      <c r="AA123" s="50"/>
      <c r="AB123" s="43"/>
      <c r="AC123" s="50"/>
      <c r="AD123" s="43"/>
      <c r="AE123" s="50"/>
      <c r="AF123" s="43"/>
      <c r="AG123" s="50"/>
      <c r="AH123" s="43"/>
      <c r="AI123" s="50"/>
      <c r="AJ123" s="43"/>
      <c r="AK123" s="50"/>
      <c r="AL123" s="43"/>
      <c r="AM123" s="50"/>
      <c r="AO123" s="43"/>
      <c r="AP123" s="46"/>
      <c r="AQ123" s="43"/>
      <c r="AR123" s="119"/>
      <c r="AS123" s="1"/>
      <c r="AT123" s="1"/>
    </row>
    <row r="124">
      <c r="A124" s="43"/>
      <c r="B124" s="59" t="str">
        <f>IFERROR(HYPERLINK(VLOOKUP(A124,Internal_lists_bugs!$A$2:$C$73,3,FALSE()), VLOOKUP(A124,Internal_lists_bugs!$A$2:$C$73,3,FALSE())&amp;Char(10) &amp; Char(10) &amp; VLOOKUP(A124,Internal_lists_bugs!$A$2:$Z$73,26,FALSE())),"please select a BUG ID")</f>
        <v>please select a BUG ID</v>
      </c>
      <c r="C124" s="51" t="str">
        <f>IFERROR(VLOOKUP(A124,Internal_lists_bugs!$A$2:$G2003,7,FALSE()),"please select a BUG ID")</f>
        <v>please select a BUG ID</v>
      </c>
      <c r="D124" s="43"/>
      <c r="E124" s="61"/>
      <c r="F124" s="43"/>
      <c r="G124" s="61"/>
      <c r="H124" s="43"/>
      <c r="I124" s="61"/>
      <c r="J124" s="43"/>
      <c r="K124" s="50"/>
      <c r="L124" s="43"/>
      <c r="M124" s="50"/>
      <c r="N124" s="43"/>
      <c r="O124" s="50"/>
      <c r="P124" s="43"/>
      <c r="Q124" s="50"/>
      <c r="R124" s="43"/>
      <c r="S124" s="50"/>
      <c r="T124" s="43"/>
      <c r="U124" s="50"/>
      <c r="V124" s="43"/>
      <c r="W124" s="50"/>
      <c r="X124" s="43"/>
      <c r="Y124" s="50"/>
      <c r="Z124" s="43"/>
      <c r="AA124" s="50"/>
      <c r="AB124" s="43"/>
      <c r="AC124" s="50"/>
      <c r="AD124" s="43"/>
      <c r="AE124" s="50"/>
      <c r="AF124" s="43"/>
      <c r="AG124" s="50"/>
      <c r="AH124" s="43"/>
      <c r="AI124" s="50"/>
      <c r="AJ124" s="43"/>
      <c r="AK124" s="50"/>
      <c r="AL124" s="43"/>
      <c r="AM124" s="50"/>
      <c r="AO124" s="43"/>
      <c r="AP124" s="46"/>
      <c r="AQ124" s="43"/>
      <c r="AR124" s="119"/>
      <c r="AS124" s="1"/>
      <c r="AT124" s="1"/>
    </row>
    <row r="125">
      <c r="A125" s="43"/>
      <c r="B125" s="59" t="str">
        <f>IFERROR(HYPERLINK(VLOOKUP(A125,Internal_lists_bugs!$A$2:$C$73,3,FALSE()), VLOOKUP(A125,Internal_lists_bugs!$A$2:$C$73,3,FALSE())&amp;Char(10) &amp; Char(10) &amp; VLOOKUP(A125,Internal_lists_bugs!$A$2:$Z$73,26,FALSE())),"please select a BUG ID")</f>
        <v>please select a BUG ID</v>
      </c>
      <c r="C125" s="51" t="str">
        <f>IFERROR(VLOOKUP(A125,Internal_lists_bugs!$A$2:$G2003,7,FALSE()),"please select a BUG ID")</f>
        <v>please select a BUG ID</v>
      </c>
      <c r="D125" s="43"/>
      <c r="E125" s="61"/>
      <c r="F125" s="43"/>
      <c r="G125" s="61"/>
      <c r="H125" s="43"/>
      <c r="I125" s="61"/>
      <c r="J125" s="43"/>
      <c r="K125" s="50"/>
      <c r="L125" s="43"/>
      <c r="M125" s="50"/>
      <c r="N125" s="43"/>
      <c r="O125" s="50"/>
      <c r="P125" s="43"/>
      <c r="Q125" s="50"/>
      <c r="R125" s="43"/>
      <c r="S125" s="50"/>
      <c r="T125" s="43"/>
      <c r="U125" s="50"/>
      <c r="V125" s="43"/>
      <c r="W125" s="50"/>
      <c r="X125" s="43"/>
      <c r="Y125" s="50"/>
      <c r="Z125" s="43"/>
      <c r="AA125" s="50"/>
      <c r="AB125" s="43"/>
      <c r="AC125" s="50"/>
      <c r="AD125" s="43"/>
      <c r="AE125" s="50"/>
      <c r="AF125" s="43"/>
      <c r="AG125" s="50"/>
      <c r="AH125" s="43"/>
      <c r="AI125" s="50"/>
      <c r="AJ125" s="43"/>
      <c r="AK125" s="50"/>
      <c r="AL125" s="43"/>
      <c r="AM125" s="50"/>
      <c r="AO125" s="43"/>
      <c r="AP125" s="46"/>
      <c r="AQ125" s="43"/>
      <c r="AR125" s="119"/>
      <c r="AS125" s="1"/>
      <c r="AT125" s="1"/>
    </row>
    <row r="126">
      <c r="A126" s="43"/>
      <c r="B126" s="59" t="str">
        <f>IFERROR(HYPERLINK(VLOOKUP(A126,Internal_lists_bugs!$A$2:$C$73,3,FALSE()), VLOOKUP(A126,Internal_lists_bugs!$A$2:$C$73,3,FALSE())&amp;Char(10) &amp; Char(10) &amp; VLOOKUP(A126,Internal_lists_bugs!$A$2:$Z$73,26,FALSE())),"please select a BUG ID")</f>
        <v>please select a BUG ID</v>
      </c>
      <c r="C126" s="51" t="str">
        <f>IFERROR(VLOOKUP(A126,Internal_lists_bugs!$A$2:$G2003,7,FALSE()),"please select a BUG ID")</f>
        <v>please select a BUG ID</v>
      </c>
      <c r="D126" s="43"/>
      <c r="E126" s="61"/>
      <c r="F126" s="43"/>
      <c r="G126" s="61"/>
      <c r="H126" s="43"/>
      <c r="I126" s="61"/>
      <c r="J126" s="43"/>
      <c r="K126" s="50"/>
      <c r="L126" s="43"/>
      <c r="M126" s="50"/>
      <c r="N126" s="43"/>
      <c r="O126" s="50"/>
      <c r="P126" s="43"/>
      <c r="Q126" s="50"/>
      <c r="R126" s="43"/>
      <c r="S126" s="50"/>
      <c r="T126" s="43"/>
      <c r="U126" s="50"/>
      <c r="V126" s="43"/>
      <c r="W126" s="50"/>
      <c r="X126" s="43"/>
      <c r="Y126" s="50"/>
      <c r="Z126" s="43"/>
      <c r="AA126" s="50"/>
      <c r="AB126" s="43"/>
      <c r="AC126" s="50"/>
      <c r="AD126" s="43"/>
      <c r="AE126" s="50"/>
      <c r="AF126" s="43"/>
      <c r="AG126" s="50"/>
      <c r="AH126" s="43"/>
      <c r="AI126" s="50"/>
      <c r="AJ126" s="43"/>
      <c r="AK126" s="50"/>
      <c r="AL126" s="43"/>
      <c r="AM126" s="50"/>
      <c r="AO126" s="43"/>
      <c r="AP126" s="46"/>
      <c r="AQ126" s="43"/>
      <c r="AR126" s="119"/>
      <c r="AS126" s="1"/>
      <c r="AT126" s="1"/>
    </row>
    <row r="127">
      <c r="A127" s="43"/>
      <c r="B127" s="59" t="str">
        <f>IFERROR(HYPERLINK(VLOOKUP(A127,Internal_lists_bugs!$A$2:$C$73,3,FALSE()), VLOOKUP(A127,Internal_lists_bugs!$A$2:$C$73,3,FALSE())&amp;Char(10) &amp; Char(10) &amp; VLOOKUP(A127,Internal_lists_bugs!$A$2:$Z$73,26,FALSE())),"please select a BUG ID")</f>
        <v>please select a BUG ID</v>
      </c>
      <c r="C127" s="51" t="str">
        <f>IFERROR(VLOOKUP(A127,Internal_lists_bugs!$A$2:$G2003,7,FALSE()),"please select a BUG ID")</f>
        <v>please select a BUG ID</v>
      </c>
      <c r="D127" s="43"/>
      <c r="E127" s="61"/>
      <c r="F127" s="43"/>
      <c r="G127" s="61"/>
      <c r="H127" s="43"/>
      <c r="I127" s="61"/>
      <c r="J127" s="43"/>
      <c r="K127" s="50"/>
      <c r="L127" s="43"/>
      <c r="M127" s="50"/>
      <c r="N127" s="43"/>
      <c r="O127" s="50"/>
      <c r="P127" s="43"/>
      <c r="Q127" s="50"/>
      <c r="R127" s="43"/>
      <c r="S127" s="50"/>
      <c r="T127" s="43"/>
      <c r="U127" s="50"/>
      <c r="V127" s="43"/>
      <c r="W127" s="50"/>
      <c r="X127" s="43"/>
      <c r="Y127" s="50"/>
      <c r="Z127" s="43"/>
      <c r="AA127" s="50"/>
      <c r="AB127" s="43"/>
      <c r="AC127" s="50"/>
      <c r="AD127" s="43"/>
      <c r="AE127" s="50"/>
      <c r="AF127" s="43"/>
      <c r="AG127" s="50"/>
      <c r="AH127" s="43"/>
      <c r="AI127" s="50"/>
      <c r="AJ127" s="43"/>
      <c r="AK127" s="50"/>
      <c r="AL127" s="43"/>
      <c r="AM127" s="50"/>
      <c r="AO127" s="43"/>
      <c r="AP127" s="46"/>
      <c r="AQ127" s="43"/>
      <c r="AR127" s="119"/>
      <c r="AS127" s="1"/>
      <c r="AT127" s="1"/>
    </row>
    <row r="128">
      <c r="A128" s="43"/>
      <c r="B128" s="59" t="str">
        <f>IFERROR(HYPERLINK(VLOOKUP(A128,Internal_lists_bugs!$A$2:$C$73,3,FALSE()), VLOOKUP(A128,Internal_lists_bugs!$A$2:$C$73,3,FALSE())&amp;Char(10) &amp; Char(10) &amp; VLOOKUP(A128,Internal_lists_bugs!$A$2:$Z$73,26,FALSE())),"please select a BUG ID")</f>
        <v>please select a BUG ID</v>
      </c>
      <c r="C128" s="51" t="str">
        <f>IFERROR(VLOOKUP(A128,Internal_lists_bugs!$A$2:$G2003,7,FALSE()),"please select a BUG ID")</f>
        <v>please select a BUG ID</v>
      </c>
      <c r="D128" s="43"/>
      <c r="E128" s="61"/>
      <c r="F128" s="43"/>
      <c r="G128" s="61"/>
      <c r="H128" s="43"/>
      <c r="I128" s="61"/>
      <c r="J128" s="43"/>
      <c r="K128" s="50"/>
      <c r="L128" s="43"/>
      <c r="M128" s="50"/>
      <c r="N128" s="43"/>
      <c r="O128" s="50"/>
      <c r="P128" s="43"/>
      <c r="Q128" s="50"/>
      <c r="R128" s="43"/>
      <c r="S128" s="50"/>
      <c r="T128" s="43"/>
      <c r="U128" s="50"/>
      <c r="V128" s="43"/>
      <c r="W128" s="50"/>
      <c r="X128" s="43"/>
      <c r="Y128" s="50"/>
      <c r="Z128" s="43"/>
      <c r="AA128" s="50"/>
      <c r="AB128" s="43"/>
      <c r="AC128" s="50"/>
      <c r="AD128" s="43"/>
      <c r="AE128" s="50"/>
      <c r="AF128" s="43"/>
      <c r="AG128" s="50"/>
      <c r="AH128" s="43"/>
      <c r="AI128" s="50"/>
      <c r="AJ128" s="43"/>
      <c r="AK128" s="50"/>
      <c r="AL128" s="43"/>
      <c r="AM128" s="50"/>
      <c r="AO128" s="43"/>
      <c r="AP128" s="46"/>
      <c r="AQ128" s="43"/>
      <c r="AR128" s="119"/>
      <c r="AS128" s="1"/>
      <c r="AT128" s="1"/>
    </row>
    <row r="129">
      <c r="A129" s="43"/>
      <c r="B129" s="59" t="str">
        <f>IFERROR(HYPERLINK(VLOOKUP(A129,Internal_lists_bugs!$A$2:$C$73,3,FALSE()), VLOOKUP(A129,Internal_lists_bugs!$A$2:$C$73,3,FALSE())&amp;Char(10) &amp; Char(10) &amp; VLOOKUP(A129,Internal_lists_bugs!$A$2:$Z$73,26,FALSE())),"please select a BUG ID")</f>
        <v>please select a BUG ID</v>
      </c>
      <c r="C129" s="51" t="str">
        <f>IFERROR(VLOOKUP(A129,Internal_lists_bugs!$A$2:$G2003,7,FALSE()),"please select a BUG ID")</f>
        <v>please select a BUG ID</v>
      </c>
      <c r="D129" s="43"/>
      <c r="E129" s="61"/>
      <c r="F129" s="43"/>
      <c r="G129" s="61"/>
      <c r="H129" s="43"/>
      <c r="I129" s="61"/>
      <c r="J129" s="43"/>
      <c r="K129" s="50"/>
      <c r="L129" s="43"/>
      <c r="M129" s="50"/>
      <c r="N129" s="43"/>
      <c r="O129" s="50"/>
      <c r="P129" s="43"/>
      <c r="Q129" s="50"/>
      <c r="R129" s="43"/>
      <c r="S129" s="50"/>
      <c r="T129" s="43"/>
      <c r="U129" s="50"/>
      <c r="V129" s="43"/>
      <c r="W129" s="50"/>
      <c r="X129" s="43"/>
      <c r="Y129" s="50"/>
      <c r="Z129" s="43"/>
      <c r="AA129" s="50"/>
      <c r="AB129" s="43"/>
      <c r="AC129" s="50"/>
      <c r="AD129" s="43"/>
      <c r="AE129" s="50"/>
      <c r="AF129" s="43"/>
      <c r="AG129" s="50"/>
      <c r="AH129" s="43"/>
      <c r="AI129" s="50"/>
      <c r="AJ129" s="43"/>
      <c r="AK129" s="50"/>
      <c r="AL129" s="43"/>
      <c r="AM129" s="50"/>
      <c r="AO129" s="43"/>
      <c r="AP129" s="46"/>
      <c r="AQ129" s="43"/>
      <c r="AR129" s="119"/>
      <c r="AS129" s="1"/>
      <c r="AT129" s="1"/>
    </row>
    <row r="130">
      <c r="A130" s="43"/>
      <c r="B130" s="59" t="str">
        <f>IFERROR(HYPERLINK(VLOOKUP(A130,Internal_lists_bugs!$A$2:$C$73,3,FALSE()), VLOOKUP(A130,Internal_lists_bugs!$A$2:$C$73,3,FALSE())&amp;Char(10) &amp; Char(10) &amp; VLOOKUP(A130,Internal_lists_bugs!$A$2:$Z$73,26,FALSE())),"please select a BUG ID")</f>
        <v>please select a BUG ID</v>
      </c>
      <c r="C130" s="51" t="str">
        <f>IFERROR(VLOOKUP(A130,Internal_lists_bugs!$A$2:$G2003,7,FALSE()),"please select a BUG ID")</f>
        <v>please select a BUG ID</v>
      </c>
      <c r="D130" s="43"/>
      <c r="E130" s="61"/>
      <c r="F130" s="43"/>
      <c r="G130" s="61"/>
      <c r="H130" s="43"/>
      <c r="I130" s="61"/>
      <c r="J130" s="43"/>
      <c r="K130" s="50"/>
      <c r="L130" s="43"/>
      <c r="M130" s="50"/>
      <c r="N130" s="43"/>
      <c r="O130" s="50"/>
      <c r="P130" s="43"/>
      <c r="Q130" s="50"/>
      <c r="R130" s="43"/>
      <c r="S130" s="50"/>
      <c r="T130" s="43"/>
      <c r="U130" s="50"/>
      <c r="V130" s="43"/>
      <c r="W130" s="50"/>
      <c r="X130" s="43"/>
      <c r="Y130" s="50"/>
      <c r="Z130" s="43"/>
      <c r="AA130" s="50"/>
      <c r="AB130" s="43"/>
      <c r="AC130" s="50"/>
      <c r="AD130" s="43"/>
      <c r="AE130" s="50"/>
      <c r="AF130" s="43"/>
      <c r="AG130" s="50"/>
      <c r="AH130" s="43"/>
      <c r="AI130" s="50"/>
      <c r="AJ130" s="43"/>
      <c r="AK130" s="50"/>
      <c r="AL130" s="43"/>
      <c r="AM130" s="50"/>
      <c r="AO130" s="43"/>
      <c r="AP130" s="46"/>
      <c r="AQ130" s="43"/>
      <c r="AR130" s="119"/>
      <c r="AS130" s="1"/>
      <c r="AT130" s="1"/>
    </row>
    <row r="131">
      <c r="A131" s="43"/>
      <c r="B131" s="59" t="str">
        <f>IFERROR(HYPERLINK(VLOOKUP(A131,Internal_lists_bugs!$A$2:$C$73,3,FALSE()), VLOOKUP(A131,Internal_lists_bugs!$A$2:$C$73,3,FALSE())&amp;Char(10) &amp; Char(10) &amp; VLOOKUP(A131,Internal_lists_bugs!$A$2:$Z$73,26,FALSE())),"please select a BUG ID")</f>
        <v>please select a BUG ID</v>
      </c>
      <c r="C131" s="51" t="str">
        <f>IFERROR(VLOOKUP(A131,Internal_lists_bugs!$A$2:$G2003,7,FALSE()),"please select a BUG ID")</f>
        <v>please select a BUG ID</v>
      </c>
      <c r="D131" s="43"/>
      <c r="E131" s="61"/>
      <c r="F131" s="43"/>
      <c r="G131" s="61"/>
      <c r="H131" s="43"/>
      <c r="I131" s="61"/>
      <c r="J131" s="43"/>
      <c r="K131" s="50"/>
      <c r="L131" s="43"/>
      <c r="M131" s="50"/>
      <c r="N131" s="43"/>
      <c r="O131" s="50"/>
      <c r="P131" s="43"/>
      <c r="Q131" s="50"/>
      <c r="R131" s="43"/>
      <c r="S131" s="50"/>
      <c r="T131" s="43"/>
      <c r="U131" s="50"/>
      <c r="V131" s="43"/>
      <c r="W131" s="50"/>
      <c r="X131" s="43"/>
      <c r="Y131" s="50"/>
      <c r="Z131" s="43"/>
      <c r="AA131" s="50"/>
      <c r="AB131" s="43"/>
      <c r="AC131" s="50"/>
      <c r="AD131" s="43"/>
      <c r="AE131" s="50"/>
      <c r="AF131" s="43"/>
      <c r="AG131" s="50"/>
      <c r="AH131" s="43"/>
      <c r="AI131" s="50"/>
      <c r="AJ131" s="43"/>
      <c r="AK131" s="50"/>
      <c r="AL131" s="43"/>
      <c r="AM131" s="50"/>
      <c r="AO131" s="43"/>
      <c r="AP131" s="46"/>
      <c r="AQ131" s="43"/>
      <c r="AR131" s="119"/>
      <c r="AS131" s="1"/>
      <c r="AT131" s="1"/>
    </row>
    <row r="132">
      <c r="A132" s="43"/>
      <c r="B132" s="59" t="str">
        <f>IFERROR(HYPERLINK(VLOOKUP(A132,Internal_lists_bugs!$A$2:$C$73,3,FALSE()), VLOOKUP(A132,Internal_lists_bugs!$A$2:$C$73,3,FALSE())&amp;Char(10) &amp; Char(10) &amp; VLOOKUP(A132,Internal_lists_bugs!$A$2:$Z$73,26,FALSE())),"please select a BUG ID")</f>
        <v>please select a BUG ID</v>
      </c>
      <c r="C132" s="51" t="str">
        <f>IFERROR(VLOOKUP(A132,Internal_lists_bugs!$A$2:$G2003,7,FALSE()),"please select a BUG ID")</f>
        <v>please select a BUG ID</v>
      </c>
      <c r="D132" s="43"/>
      <c r="E132" s="61"/>
      <c r="F132" s="43"/>
      <c r="G132" s="61"/>
      <c r="H132" s="43"/>
      <c r="I132" s="61"/>
      <c r="J132" s="43"/>
      <c r="K132" s="50"/>
      <c r="L132" s="43"/>
      <c r="M132" s="50"/>
      <c r="N132" s="43"/>
      <c r="O132" s="50"/>
      <c r="P132" s="43"/>
      <c r="Q132" s="50"/>
      <c r="R132" s="43"/>
      <c r="S132" s="50"/>
      <c r="T132" s="43"/>
      <c r="U132" s="50"/>
      <c r="V132" s="43"/>
      <c r="W132" s="50"/>
      <c r="X132" s="43"/>
      <c r="Y132" s="50"/>
      <c r="Z132" s="43"/>
      <c r="AA132" s="50"/>
      <c r="AB132" s="43"/>
      <c r="AC132" s="50"/>
      <c r="AD132" s="43"/>
      <c r="AE132" s="50"/>
      <c r="AF132" s="43"/>
      <c r="AG132" s="50"/>
      <c r="AH132" s="43"/>
      <c r="AI132" s="50"/>
      <c r="AJ132" s="43"/>
      <c r="AK132" s="50"/>
      <c r="AL132" s="43"/>
      <c r="AM132" s="50"/>
      <c r="AO132" s="43"/>
      <c r="AP132" s="46"/>
      <c r="AQ132" s="43"/>
      <c r="AR132" s="119"/>
      <c r="AS132" s="1"/>
      <c r="AT132" s="1"/>
    </row>
    <row r="133">
      <c r="A133" s="43"/>
      <c r="B133" s="59" t="str">
        <f>IFERROR(HYPERLINK(VLOOKUP(A133,Internal_lists_bugs!$A$2:$C$73,3,FALSE()), VLOOKUP(A133,Internal_lists_bugs!$A$2:$C$73,3,FALSE())&amp;Char(10) &amp; Char(10) &amp; VLOOKUP(A133,Internal_lists_bugs!$A$2:$Z$73,26,FALSE())),"please select a BUG ID")</f>
        <v>please select a BUG ID</v>
      </c>
      <c r="C133" s="51" t="str">
        <f>IFERROR(VLOOKUP(A133,Internal_lists_bugs!$A$2:$G2003,7,FALSE()),"please select a BUG ID")</f>
        <v>please select a BUG ID</v>
      </c>
      <c r="D133" s="43"/>
      <c r="E133" s="61"/>
      <c r="F133" s="43"/>
      <c r="G133" s="61"/>
      <c r="H133" s="43"/>
      <c r="I133" s="61"/>
      <c r="J133" s="43"/>
      <c r="K133" s="50"/>
      <c r="L133" s="43"/>
      <c r="M133" s="50"/>
      <c r="N133" s="43"/>
      <c r="O133" s="50"/>
      <c r="P133" s="43"/>
      <c r="Q133" s="50"/>
      <c r="R133" s="43"/>
      <c r="S133" s="50"/>
      <c r="T133" s="43"/>
      <c r="U133" s="50"/>
      <c r="V133" s="43"/>
      <c r="W133" s="50"/>
      <c r="X133" s="43"/>
      <c r="Y133" s="50"/>
      <c r="Z133" s="43"/>
      <c r="AA133" s="50"/>
      <c r="AB133" s="43"/>
      <c r="AC133" s="50"/>
      <c r="AD133" s="43"/>
      <c r="AE133" s="50"/>
      <c r="AF133" s="43"/>
      <c r="AG133" s="50"/>
      <c r="AH133" s="43"/>
      <c r="AI133" s="50"/>
      <c r="AJ133" s="43"/>
      <c r="AK133" s="50"/>
      <c r="AL133" s="43"/>
      <c r="AM133" s="50"/>
      <c r="AO133" s="43"/>
      <c r="AP133" s="46"/>
      <c r="AQ133" s="43"/>
      <c r="AR133" s="119"/>
      <c r="AS133" s="1"/>
      <c r="AT133" s="1"/>
    </row>
    <row r="134">
      <c r="A134" s="43"/>
      <c r="B134" s="59" t="str">
        <f>IFERROR(HYPERLINK(VLOOKUP(A134,Internal_lists_bugs!$A$2:$C$73,3,FALSE()), VLOOKUP(A134,Internal_lists_bugs!$A$2:$C$73,3,FALSE())&amp;Char(10) &amp; Char(10) &amp; VLOOKUP(A134,Internal_lists_bugs!$A$2:$Z$73,26,FALSE())),"please select a BUG ID")</f>
        <v>please select a BUG ID</v>
      </c>
      <c r="C134" s="51" t="str">
        <f>IFERROR(VLOOKUP(A134,Internal_lists_bugs!$A$2:$G2003,7,FALSE()),"please select a BUG ID")</f>
        <v>please select a BUG ID</v>
      </c>
      <c r="D134" s="43"/>
      <c r="E134" s="61"/>
      <c r="F134" s="43"/>
      <c r="G134" s="61"/>
      <c r="H134" s="43"/>
      <c r="I134" s="61"/>
      <c r="J134" s="43"/>
      <c r="K134" s="50"/>
      <c r="L134" s="43"/>
      <c r="M134" s="50"/>
      <c r="N134" s="43"/>
      <c r="O134" s="50"/>
      <c r="P134" s="43"/>
      <c r="Q134" s="50"/>
      <c r="R134" s="43"/>
      <c r="S134" s="50"/>
      <c r="T134" s="43"/>
      <c r="U134" s="50"/>
      <c r="V134" s="43"/>
      <c r="W134" s="50"/>
      <c r="X134" s="43"/>
      <c r="Y134" s="50"/>
      <c r="Z134" s="43"/>
      <c r="AA134" s="50"/>
      <c r="AB134" s="43"/>
      <c r="AC134" s="50"/>
      <c r="AD134" s="43"/>
      <c r="AE134" s="50"/>
      <c r="AF134" s="43"/>
      <c r="AG134" s="50"/>
      <c r="AH134" s="43"/>
      <c r="AI134" s="50"/>
      <c r="AJ134" s="43"/>
      <c r="AK134" s="50"/>
      <c r="AL134" s="43"/>
      <c r="AM134" s="50"/>
      <c r="AO134" s="43"/>
      <c r="AP134" s="46"/>
      <c r="AQ134" s="43"/>
      <c r="AR134" s="119"/>
      <c r="AS134" s="1"/>
      <c r="AT134" s="1"/>
    </row>
    <row r="135">
      <c r="A135" s="43"/>
      <c r="B135" s="59" t="str">
        <f>IFERROR(HYPERLINK(VLOOKUP(A135,Internal_lists_bugs!$A$2:$C$73,3,FALSE()), VLOOKUP(A135,Internal_lists_bugs!$A$2:$C$73,3,FALSE())&amp;Char(10) &amp; Char(10) &amp; VLOOKUP(A135,Internal_lists_bugs!$A$2:$Z$73,26,FALSE())),"please select a BUG ID")</f>
        <v>please select a BUG ID</v>
      </c>
      <c r="C135" s="51" t="str">
        <f>IFERROR(VLOOKUP(A135,Internal_lists_bugs!$A$2:$G2003,7,FALSE()),"please select a BUG ID")</f>
        <v>please select a BUG ID</v>
      </c>
      <c r="D135" s="43"/>
      <c r="E135" s="61"/>
      <c r="F135" s="43"/>
      <c r="G135" s="61"/>
      <c r="H135" s="43"/>
      <c r="I135" s="61"/>
      <c r="J135" s="43"/>
      <c r="K135" s="50"/>
      <c r="L135" s="43"/>
      <c r="M135" s="50"/>
      <c r="N135" s="43"/>
      <c r="O135" s="50"/>
      <c r="P135" s="43"/>
      <c r="Q135" s="50"/>
      <c r="R135" s="43"/>
      <c r="S135" s="50"/>
      <c r="T135" s="43"/>
      <c r="U135" s="50"/>
      <c r="V135" s="43"/>
      <c r="W135" s="50"/>
      <c r="X135" s="43"/>
      <c r="Y135" s="50"/>
      <c r="Z135" s="43"/>
      <c r="AA135" s="50"/>
      <c r="AB135" s="43"/>
      <c r="AC135" s="50"/>
      <c r="AD135" s="43"/>
      <c r="AE135" s="50"/>
      <c r="AF135" s="43"/>
      <c r="AG135" s="50"/>
      <c r="AH135" s="43"/>
      <c r="AI135" s="50"/>
      <c r="AJ135" s="43"/>
      <c r="AK135" s="50"/>
      <c r="AL135" s="43"/>
      <c r="AM135" s="50"/>
      <c r="AO135" s="43"/>
      <c r="AP135" s="46"/>
      <c r="AQ135" s="43"/>
      <c r="AR135" s="119"/>
      <c r="AS135" s="1"/>
      <c r="AT135" s="1"/>
    </row>
    <row r="136">
      <c r="A136" s="43"/>
      <c r="B136" s="59" t="str">
        <f>IFERROR(HYPERLINK(VLOOKUP(A136,Internal_lists_bugs!$A$2:$C$73,3,FALSE()), VLOOKUP(A136,Internal_lists_bugs!$A$2:$C$73,3,FALSE())&amp;Char(10) &amp; Char(10) &amp; VLOOKUP(A136,Internal_lists_bugs!$A$2:$Z$73,26,FALSE())),"please select a BUG ID")</f>
        <v>please select a BUG ID</v>
      </c>
      <c r="C136" s="51" t="str">
        <f>IFERROR(VLOOKUP(A136,Internal_lists_bugs!$A$2:$G2003,7,FALSE()),"please select a BUG ID")</f>
        <v>please select a BUG ID</v>
      </c>
      <c r="D136" s="43"/>
      <c r="E136" s="61"/>
      <c r="F136" s="43"/>
      <c r="G136" s="61"/>
      <c r="H136" s="43"/>
      <c r="I136" s="61"/>
      <c r="J136" s="43"/>
      <c r="K136" s="50"/>
      <c r="L136" s="43"/>
      <c r="M136" s="50"/>
      <c r="N136" s="43"/>
      <c r="O136" s="50"/>
      <c r="P136" s="43"/>
      <c r="Q136" s="50"/>
      <c r="R136" s="43"/>
      <c r="S136" s="50"/>
      <c r="T136" s="43"/>
      <c r="U136" s="50"/>
      <c r="V136" s="43"/>
      <c r="W136" s="50"/>
      <c r="X136" s="43"/>
      <c r="Y136" s="50"/>
      <c r="Z136" s="43"/>
      <c r="AA136" s="50"/>
      <c r="AB136" s="43"/>
      <c r="AC136" s="50"/>
      <c r="AD136" s="43"/>
      <c r="AE136" s="50"/>
      <c r="AF136" s="43"/>
      <c r="AG136" s="50"/>
      <c r="AH136" s="43"/>
      <c r="AI136" s="50"/>
      <c r="AJ136" s="43"/>
      <c r="AK136" s="50"/>
      <c r="AL136" s="43"/>
      <c r="AM136" s="50"/>
      <c r="AO136" s="43"/>
      <c r="AP136" s="46"/>
      <c r="AQ136" s="43"/>
      <c r="AR136" s="119"/>
      <c r="AS136" s="1"/>
      <c r="AT136" s="1"/>
    </row>
    <row r="137">
      <c r="A137" s="43"/>
      <c r="B137" s="59" t="str">
        <f>IFERROR(HYPERLINK(VLOOKUP(A137,Internal_lists_bugs!$A$2:$C$73,3,FALSE()), VLOOKUP(A137,Internal_lists_bugs!$A$2:$C$73,3,FALSE())&amp;Char(10) &amp; Char(10) &amp; VLOOKUP(A137,Internal_lists_bugs!$A$2:$Z$73,26,FALSE())),"please select a BUG ID")</f>
        <v>please select a BUG ID</v>
      </c>
      <c r="C137" s="51" t="str">
        <f>IFERROR(VLOOKUP(A137,Internal_lists_bugs!$A$2:$G2003,7,FALSE()),"please select a BUG ID")</f>
        <v>please select a BUG ID</v>
      </c>
      <c r="D137" s="43"/>
      <c r="E137" s="61"/>
      <c r="F137" s="43"/>
      <c r="G137" s="61"/>
      <c r="H137" s="43"/>
      <c r="I137" s="61"/>
      <c r="J137" s="43"/>
      <c r="K137" s="50"/>
      <c r="L137" s="43"/>
      <c r="M137" s="50"/>
      <c r="N137" s="43"/>
      <c r="O137" s="50"/>
      <c r="P137" s="43"/>
      <c r="Q137" s="50"/>
      <c r="R137" s="43"/>
      <c r="S137" s="50"/>
      <c r="T137" s="43"/>
      <c r="U137" s="50"/>
      <c r="V137" s="43"/>
      <c r="W137" s="50"/>
      <c r="X137" s="43"/>
      <c r="Y137" s="50"/>
      <c r="Z137" s="43"/>
      <c r="AA137" s="50"/>
      <c r="AB137" s="43"/>
      <c r="AC137" s="50"/>
      <c r="AD137" s="43"/>
      <c r="AE137" s="50"/>
      <c r="AF137" s="43"/>
      <c r="AG137" s="50"/>
      <c r="AH137" s="43"/>
      <c r="AI137" s="50"/>
      <c r="AJ137" s="43"/>
      <c r="AK137" s="50"/>
      <c r="AL137" s="43"/>
      <c r="AM137" s="50"/>
      <c r="AO137" s="43"/>
      <c r="AP137" s="46"/>
      <c r="AQ137" s="43"/>
      <c r="AR137" s="119"/>
      <c r="AS137" s="1"/>
      <c r="AT137" s="1"/>
    </row>
    <row r="138">
      <c r="A138" s="43"/>
      <c r="B138" s="59" t="str">
        <f>IFERROR(HYPERLINK(VLOOKUP(A138,Internal_lists_bugs!$A$2:$C$73,3,FALSE()), VLOOKUP(A138,Internal_lists_bugs!$A$2:$C$73,3,FALSE())&amp;Char(10) &amp; Char(10) &amp; VLOOKUP(A138,Internal_lists_bugs!$A$2:$Z$73,26,FALSE())),"please select a BUG ID")</f>
        <v>please select a BUG ID</v>
      </c>
      <c r="C138" s="51" t="str">
        <f>IFERROR(VLOOKUP(A138,Internal_lists_bugs!$A$2:$G2003,7,FALSE()),"please select a BUG ID")</f>
        <v>please select a BUG ID</v>
      </c>
      <c r="D138" s="43"/>
      <c r="E138" s="61"/>
      <c r="F138" s="43"/>
      <c r="G138" s="61"/>
      <c r="H138" s="43"/>
      <c r="I138" s="61"/>
      <c r="J138" s="43"/>
      <c r="K138" s="50"/>
      <c r="L138" s="43"/>
      <c r="M138" s="50"/>
      <c r="N138" s="43"/>
      <c r="O138" s="50"/>
      <c r="P138" s="43"/>
      <c r="Q138" s="50"/>
      <c r="R138" s="43"/>
      <c r="S138" s="50"/>
      <c r="T138" s="43"/>
      <c r="U138" s="50"/>
      <c r="V138" s="43"/>
      <c r="W138" s="50"/>
      <c r="X138" s="43"/>
      <c r="Y138" s="50"/>
      <c r="Z138" s="43"/>
      <c r="AA138" s="50"/>
      <c r="AB138" s="43"/>
      <c r="AC138" s="50"/>
      <c r="AD138" s="43"/>
      <c r="AE138" s="50"/>
      <c r="AF138" s="43"/>
      <c r="AG138" s="50"/>
      <c r="AH138" s="43"/>
      <c r="AI138" s="50"/>
      <c r="AJ138" s="43"/>
      <c r="AK138" s="50"/>
      <c r="AL138" s="43"/>
      <c r="AM138" s="50"/>
      <c r="AO138" s="43"/>
      <c r="AP138" s="46"/>
      <c r="AQ138" s="43"/>
      <c r="AR138" s="119"/>
      <c r="AS138" s="1"/>
      <c r="AT138" s="1"/>
    </row>
    <row r="139">
      <c r="A139" s="43"/>
      <c r="B139" s="59" t="str">
        <f>IFERROR(HYPERLINK(VLOOKUP(A139,Internal_lists_bugs!$A$2:$C$73,3,FALSE()), VLOOKUP(A139,Internal_lists_bugs!$A$2:$C$73,3,FALSE())&amp;Char(10) &amp; Char(10) &amp; VLOOKUP(A139,Internal_lists_bugs!$A$2:$Z$73,26,FALSE())),"please select a BUG ID")</f>
        <v>please select a BUG ID</v>
      </c>
      <c r="C139" s="51" t="str">
        <f>IFERROR(VLOOKUP(A139,Internal_lists_bugs!$A$2:$G2003,7,FALSE()),"please select a BUG ID")</f>
        <v>please select a BUG ID</v>
      </c>
      <c r="D139" s="43"/>
      <c r="E139" s="61"/>
      <c r="F139" s="43"/>
      <c r="G139" s="61"/>
      <c r="H139" s="43"/>
      <c r="I139" s="61"/>
      <c r="J139" s="43"/>
      <c r="K139" s="50"/>
      <c r="L139" s="43"/>
      <c r="M139" s="50"/>
      <c r="N139" s="43"/>
      <c r="O139" s="50"/>
      <c r="P139" s="43"/>
      <c r="Q139" s="50"/>
      <c r="R139" s="43"/>
      <c r="S139" s="50"/>
      <c r="T139" s="43"/>
      <c r="U139" s="50"/>
      <c r="V139" s="43"/>
      <c r="W139" s="50"/>
      <c r="X139" s="43"/>
      <c r="Y139" s="50"/>
      <c r="Z139" s="43"/>
      <c r="AA139" s="50"/>
      <c r="AB139" s="43"/>
      <c r="AC139" s="50"/>
      <c r="AD139" s="43"/>
      <c r="AE139" s="50"/>
      <c r="AF139" s="43"/>
      <c r="AG139" s="50"/>
      <c r="AH139" s="43"/>
      <c r="AI139" s="50"/>
      <c r="AJ139" s="43"/>
      <c r="AK139" s="50"/>
      <c r="AL139" s="43"/>
      <c r="AM139" s="50"/>
      <c r="AO139" s="43"/>
      <c r="AP139" s="46"/>
      <c r="AQ139" s="43"/>
      <c r="AR139" s="119"/>
      <c r="AS139" s="1"/>
      <c r="AT139" s="1"/>
    </row>
    <row r="140">
      <c r="A140" s="43"/>
      <c r="B140" s="59" t="str">
        <f>IFERROR(HYPERLINK(VLOOKUP(A140,Internal_lists_bugs!$A$2:$C$73,3,FALSE()), VLOOKUP(A140,Internal_lists_bugs!$A$2:$C$73,3,FALSE())&amp;Char(10) &amp; Char(10) &amp; VLOOKUP(A140,Internal_lists_bugs!$A$2:$Z$73,26,FALSE())),"please select a BUG ID")</f>
        <v>please select a BUG ID</v>
      </c>
      <c r="C140" s="51" t="str">
        <f>IFERROR(VLOOKUP(A140,Internal_lists_bugs!$A$2:$G2003,7,FALSE()),"please select a BUG ID")</f>
        <v>please select a BUG ID</v>
      </c>
      <c r="D140" s="43"/>
      <c r="E140" s="61"/>
      <c r="F140" s="43"/>
      <c r="G140" s="61"/>
      <c r="H140" s="43"/>
      <c r="I140" s="61"/>
      <c r="J140" s="43"/>
      <c r="K140" s="50"/>
      <c r="L140" s="43"/>
      <c r="M140" s="50"/>
      <c r="N140" s="43"/>
      <c r="O140" s="50"/>
      <c r="P140" s="43"/>
      <c r="Q140" s="50"/>
      <c r="R140" s="43"/>
      <c r="S140" s="50"/>
      <c r="T140" s="43"/>
      <c r="U140" s="50"/>
      <c r="V140" s="43"/>
      <c r="W140" s="50"/>
      <c r="X140" s="43"/>
      <c r="Y140" s="50"/>
      <c r="Z140" s="43"/>
      <c r="AA140" s="50"/>
      <c r="AB140" s="43"/>
      <c r="AC140" s="50"/>
      <c r="AD140" s="43"/>
      <c r="AE140" s="50"/>
      <c r="AF140" s="43"/>
      <c r="AG140" s="50"/>
      <c r="AH140" s="43"/>
      <c r="AI140" s="50"/>
      <c r="AJ140" s="43"/>
      <c r="AK140" s="50"/>
      <c r="AL140" s="43"/>
      <c r="AM140" s="50"/>
      <c r="AO140" s="43"/>
      <c r="AP140" s="46"/>
      <c r="AQ140" s="43"/>
      <c r="AR140" s="119"/>
      <c r="AS140" s="1"/>
      <c r="AT140" s="1"/>
    </row>
    <row r="141">
      <c r="A141" s="43"/>
      <c r="B141" s="59" t="str">
        <f>IFERROR(HYPERLINK(VLOOKUP(A141,Internal_lists_bugs!$A$2:$C$73,3,FALSE()), VLOOKUP(A141,Internal_lists_bugs!$A$2:$C$73,3,FALSE())&amp;Char(10) &amp; Char(10) &amp; VLOOKUP(A141,Internal_lists_bugs!$A$2:$Z$73,26,FALSE())),"please select a BUG ID")</f>
        <v>please select a BUG ID</v>
      </c>
      <c r="C141" s="51" t="str">
        <f>IFERROR(VLOOKUP(A141,Internal_lists_bugs!$A$2:$G2003,7,FALSE()),"please select a BUG ID")</f>
        <v>please select a BUG ID</v>
      </c>
      <c r="D141" s="43"/>
      <c r="E141" s="61"/>
      <c r="F141" s="43"/>
      <c r="G141" s="61"/>
      <c r="H141" s="43"/>
      <c r="I141" s="61"/>
      <c r="J141" s="43"/>
      <c r="K141" s="50"/>
      <c r="L141" s="43"/>
      <c r="M141" s="50"/>
      <c r="N141" s="43"/>
      <c r="O141" s="50"/>
      <c r="P141" s="43"/>
      <c r="Q141" s="50"/>
      <c r="R141" s="43"/>
      <c r="S141" s="50"/>
      <c r="T141" s="43"/>
      <c r="U141" s="50"/>
      <c r="V141" s="43"/>
      <c r="W141" s="50"/>
      <c r="X141" s="43"/>
      <c r="Y141" s="50"/>
      <c r="Z141" s="43"/>
      <c r="AA141" s="50"/>
      <c r="AB141" s="43"/>
      <c r="AC141" s="50"/>
      <c r="AD141" s="43"/>
      <c r="AE141" s="50"/>
      <c r="AF141" s="43"/>
      <c r="AG141" s="50"/>
      <c r="AH141" s="43"/>
      <c r="AI141" s="50"/>
      <c r="AJ141" s="43"/>
      <c r="AK141" s="50"/>
      <c r="AL141" s="43"/>
      <c r="AM141" s="50"/>
      <c r="AO141" s="43"/>
      <c r="AP141" s="46"/>
      <c r="AQ141" s="43"/>
      <c r="AR141" s="119"/>
      <c r="AS141" s="1"/>
      <c r="AT141" s="1"/>
    </row>
    <row r="142">
      <c r="A142" s="43"/>
      <c r="B142" s="59" t="str">
        <f>IFERROR(HYPERLINK(VLOOKUP(A142,Internal_lists_bugs!$A$2:$C$73,3,FALSE()), VLOOKUP(A142,Internal_lists_bugs!$A$2:$C$73,3,FALSE())&amp;Char(10) &amp; Char(10) &amp; VLOOKUP(A142,Internal_lists_bugs!$A$2:$Z$73,26,FALSE())),"please select a BUG ID")</f>
        <v>please select a BUG ID</v>
      </c>
      <c r="C142" s="51" t="str">
        <f>IFERROR(VLOOKUP(A142,Internal_lists_bugs!$A$2:$G2003,7,FALSE()),"please select a BUG ID")</f>
        <v>please select a BUG ID</v>
      </c>
      <c r="D142" s="43"/>
      <c r="E142" s="61"/>
      <c r="F142" s="43"/>
      <c r="G142" s="61"/>
      <c r="H142" s="43"/>
      <c r="I142" s="61"/>
      <c r="J142" s="43"/>
      <c r="K142" s="50"/>
      <c r="L142" s="43"/>
      <c r="M142" s="50"/>
      <c r="N142" s="43"/>
      <c r="O142" s="50"/>
      <c r="P142" s="43"/>
      <c r="Q142" s="50"/>
      <c r="R142" s="43"/>
      <c r="S142" s="50"/>
      <c r="T142" s="43"/>
      <c r="U142" s="50"/>
      <c r="V142" s="43"/>
      <c r="W142" s="50"/>
      <c r="X142" s="43"/>
      <c r="Y142" s="50"/>
      <c r="Z142" s="43"/>
      <c r="AA142" s="50"/>
      <c r="AB142" s="43"/>
      <c r="AC142" s="50"/>
      <c r="AD142" s="43"/>
      <c r="AE142" s="50"/>
      <c r="AF142" s="43"/>
      <c r="AG142" s="50"/>
      <c r="AH142" s="43"/>
      <c r="AI142" s="50"/>
      <c r="AJ142" s="43"/>
      <c r="AK142" s="50"/>
      <c r="AL142" s="43"/>
      <c r="AM142" s="50"/>
      <c r="AO142" s="43"/>
      <c r="AP142" s="46"/>
      <c r="AQ142" s="43"/>
      <c r="AR142" s="119"/>
      <c r="AS142" s="1"/>
      <c r="AT142" s="1"/>
    </row>
    <row r="143">
      <c r="A143" s="43"/>
      <c r="B143" s="59" t="str">
        <f>IFERROR(HYPERLINK(VLOOKUP(A143,Internal_lists_bugs!$A$2:$C$73,3,FALSE()), VLOOKUP(A143,Internal_lists_bugs!$A$2:$C$73,3,FALSE())&amp;Char(10) &amp; Char(10) &amp; VLOOKUP(A143,Internal_lists_bugs!$A$2:$Z$73,26,FALSE())),"please select a BUG ID")</f>
        <v>please select a BUG ID</v>
      </c>
      <c r="C143" s="51" t="str">
        <f>IFERROR(VLOOKUP(A143,Internal_lists_bugs!$A$2:$G2003,7,FALSE()),"please select a BUG ID")</f>
        <v>please select a BUG ID</v>
      </c>
      <c r="D143" s="43"/>
      <c r="E143" s="61"/>
      <c r="F143" s="43"/>
      <c r="G143" s="61"/>
      <c r="H143" s="43"/>
      <c r="I143" s="61"/>
      <c r="J143" s="43"/>
      <c r="K143" s="50"/>
      <c r="L143" s="43"/>
      <c r="M143" s="50"/>
      <c r="N143" s="43"/>
      <c r="O143" s="50"/>
      <c r="P143" s="43"/>
      <c r="Q143" s="50"/>
      <c r="R143" s="43"/>
      <c r="S143" s="50"/>
      <c r="T143" s="43"/>
      <c r="U143" s="50"/>
      <c r="V143" s="43"/>
      <c r="W143" s="50"/>
      <c r="X143" s="43"/>
      <c r="Y143" s="50"/>
      <c r="Z143" s="43"/>
      <c r="AA143" s="50"/>
      <c r="AB143" s="43"/>
      <c r="AC143" s="50"/>
      <c r="AD143" s="43"/>
      <c r="AE143" s="50"/>
      <c r="AF143" s="43"/>
      <c r="AG143" s="50"/>
      <c r="AH143" s="43"/>
      <c r="AI143" s="50"/>
      <c r="AJ143" s="43"/>
      <c r="AK143" s="50"/>
      <c r="AL143" s="43"/>
      <c r="AM143" s="50"/>
      <c r="AO143" s="43"/>
      <c r="AP143" s="46"/>
      <c r="AQ143" s="43"/>
      <c r="AR143" s="119"/>
      <c r="AS143" s="1"/>
      <c r="AT143" s="1"/>
    </row>
    <row r="144">
      <c r="A144" s="43"/>
      <c r="B144" s="59" t="str">
        <f>IFERROR(HYPERLINK(VLOOKUP(A144,Internal_lists_bugs!$A$2:$C$73,3,FALSE()), VLOOKUP(A144,Internal_lists_bugs!$A$2:$C$73,3,FALSE())&amp;Char(10) &amp; Char(10) &amp; VLOOKUP(A144,Internal_lists_bugs!$A$2:$Z$73,26,FALSE())),"please select a BUG ID")</f>
        <v>please select a BUG ID</v>
      </c>
      <c r="C144" s="51" t="str">
        <f>IFERROR(VLOOKUP(A144,Internal_lists_bugs!$A$2:$G2003,7,FALSE()),"please select a BUG ID")</f>
        <v>please select a BUG ID</v>
      </c>
      <c r="D144" s="43"/>
      <c r="E144" s="61"/>
      <c r="F144" s="43"/>
      <c r="G144" s="61"/>
      <c r="H144" s="43"/>
      <c r="I144" s="61"/>
      <c r="J144" s="43"/>
      <c r="K144" s="50"/>
      <c r="L144" s="43"/>
      <c r="M144" s="50"/>
      <c r="N144" s="43"/>
      <c r="O144" s="50"/>
      <c r="P144" s="43"/>
      <c r="Q144" s="50"/>
      <c r="R144" s="43"/>
      <c r="S144" s="50"/>
      <c r="T144" s="43"/>
      <c r="U144" s="50"/>
      <c r="V144" s="43"/>
      <c r="W144" s="50"/>
      <c r="X144" s="43"/>
      <c r="Y144" s="50"/>
      <c r="Z144" s="43"/>
      <c r="AA144" s="50"/>
      <c r="AB144" s="43"/>
      <c r="AC144" s="50"/>
      <c r="AD144" s="43"/>
      <c r="AE144" s="50"/>
      <c r="AF144" s="43"/>
      <c r="AG144" s="50"/>
      <c r="AH144" s="43"/>
      <c r="AI144" s="50"/>
      <c r="AJ144" s="43"/>
      <c r="AK144" s="50"/>
      <c r="AL144" s="43"/>
      <c r="AM144" s="50"/>
      <c r="AO144" s="43"/>
      <c r="AP144" s="46"/>
      <c r="AQ144" s="43"/>
      <c r="AR144" s="119"/>
      <c r="AS144" s="1"/>
      <c r="AT144" s="1"/>
    </row>
    <row r="145">
      <c r="A145" s="43"/>
      <c r="B145" s="59" t="str">
        <f>IFERROR(HYPERLINK(VLOOKUP(A145,Internal_lists_bugs!$A$2:$C$73,3,FALSE()), VLOOKUP(A145,Internal_lists_bugs!$A$2:$C$73,3,FALSE())&amp;Char(10) &amp; Char(10) &amp; VLOOKUP(A145,Internal_lists_bugs!$A$2:$Z$73,26,FALSE())),"please select a BUG ID")</f>
        <v>please select a BUG ID</v>
      </c>
      <c r="C145" s="51" t="str">
        <f>IFERROR(VLOOKUP(A145,Internal_lists_bugs!$A$2:$G2003,7,FALSE()),"please select a BUG ID")</f>
        <v>please select a BUG ID</v>
      </c>
      <c r="D145" s="43"/>
      <c r="E145" s="61"/>
      <c r="F145" s="43"/>
      <c r="G145" s="61"/>
      <c r="H145" s="43"/>
      <c r="I145" s="61"/>
      <c r="J145" s="43"/>
      <c r="K145" s="50"/>
      <c r="L145" s="43"/>
      <c r="M145" s="50"/>
      <c r="N145" s="43"/>
      <c r="O145" s="50"/>
      <c r="P145" s="43"/>
      <c r="Q145" s="50"/>
      <c r="R145" s="43"/>
      <c r="S145" s="50"/>
      <c r="T145" s="43"/>
      <c r="U145" s="50"/>
      <c r="V145" s="43"/>
      <c r="W145" s="50"/>
      <c r="X145" s="43"/>
      <c r="Y145" s="50"/>
      <c r="Z145" s="43"/>
      <c r="AA145" s="50"/>
      <c r="AB145" s="43"/>
      <c r="AC145" s="50"/>
      <c r="AD145" s="43"/>
      <c r="AE145" s="50"/>
      <c r="AF145" s="43"/>
      <c r="AG145" s="50"/>
      <c r="AH145" s="43"/>
      <c r="AI145" s="50"/>
      <c r="AJ145" s="43"/>
      <c r="AK145" s="50"/>
      <c r="AL145" s="43"/>
      <c r="AM145" s="50"/>
      <c r="AO145" s="43"/>
      <c r="AP145" s="46"/>
      <c r="AQ145" s="43"/>
      <c r="AR145" s="119"/>
      <c r="AS145" s="1"/>
      <c r="AT145" s="1"/>
    </row>
    <row r="146">
      <c r="A146" s="43"/>
      <c r="B146" s="59" t="str">
        <f>IFERROR(HYPERLINK(VLOOKUP(A146,Internal_lists_bugs!$A$2:$C$73,3,FALSE()), VLOOKUP(A146,Internal_lists_bugs!$A$2:$C$73,3,FALSE())&amp;Char(10) &amp; Char(10) &amp; VLOOKUP(A146,Internal_lists_bugs!$A$2:$Z$73,26,FALSE())),"please select a BUG ID")</f>
        <v>please select a BUG ID</v>
      </c>
      <c r="C146" s="51" t="str">
        <f>IFERROR(VLOOKUP(A146,Internal_lists_bugs!$A$2:$G2003,7,FALSE()),"please select a BUG ID")</f>
        <v>please select a BUG ID</v>
      </c>
      <c r="D146" s="43"/>
      <c r="E146" s="61"/>
      <c r="F146" s="43"/>
      <c r="G146" s="61"/>
      <c r="H146" s="43"/>
      <c r="I146" s="61"/>
      <c r="J146" s="43"/>
      <c r="K146" s="50"/>
      <c r="L146" s="43"/>
      <c r="M146" s="50"/>
      <c r="N146" s="43"/>
      <c r="O146" s="50"/>
      <c r="P146" s="43"/>
      <c r="Q146" s="50"/>
      <c r="R146" s="43"/>
      <c r="S146" s="50"/>
      <c r="T146" s="43"/>
      <c r="U146" s="50"/>
      <c r="V146" s="43"/>
      <c r="W146" s="50"/>
      <c r="X146" s="43"/>
      <c r="Y146" s="50"/>
      <c r="Z146" s="43"/>
      <c r="AA146" s="50"/>
      <c r="AB146" s="43"/>
      <c r="AC146" s="50"/>
      <c r="AD146" s="43"/>
      <c r="AE146" s="50"/>
      <c r="AF146" s="43"/>
      <c r="AG146" s="50"/>
      <c r="AH146" s="43"/>
      <c r="AI146" s="50"/>
      <c r="AJ146" s="43"/>
      <c r="AK146" s="50"/>
      <c r="AL146" s="43"/>
      <c r="AM146" s="50"/>
      <c r="AO146" s="43"/>
      <c r="AP146" s="46"/>
      <c r="AQ146" s="43"/>
      <c r="AR146" s="119"/>
      <c r="AS146" s="1"/>
      <c r="AT146" s="1"/>
    </row>
    <row r="147">
      <c r="A147" s="43"/>
      <c r="B147" s="59" t="str">
        <f>IFERROR(HYPERLINK(VLOOKUP(A147,Internal_lists_bugs!$A$2:$C$73,3,FALSE()), VLOOKUP(A147,Internal_lists_bugs!$A$2:$C$73,3,FALSE())&amp;Char(10) &amp; Char(10) &amp; VLOOKUP(A147,Internal_lists_bugs!$A$2:$Z$73,26,FALSE())),"please select a BUG ID")</f>
        <v>please select a BUG ID</v>
      </c>
      <c r="C147" s="51" t="str">
        <f>IFERROR(VLOOKUP(A147,Internal_lists_bugs!$A$2:$G2003,7,FALSE()),"please select a BUG ID")</f>
        <v>please select a BUG ID</v>
      </c>
      <c r="D147" s="43"/>
      <c r="E147" s="61"/>
      <c r="F147" s="43"/>
      <c r="G147" s="61"/>
      <c r="H147" s="43"/>
      <c r="I147" s="61"/>
      <c r="J147" s="43"/>
      <c r="K147" s="50"/>
      <c r="L147" s="43"/>
      <c r="M147" s="50"/>
      <c r="N147" s="43"/>
      <c r="O147" s="50"/>
      <c r="P147" s="43"/>
      <c r="Q147" s="50"/>
      <c r="R147" s="43"/>
      <c r="S147" s="50"/>
      <c r="T147" s="43"/>
      <c r="U147" s="50"/>
      <c r="V147" s="43"/>
      <c r="W147" s="50"/>
      <c r="X147" s="43"/>
      <c r="Y147" s="50"/>
      <c r="Z147" s="43"/>
      <c r="AA147" s="50"/>
      <c r="AB147" s="43"/>
      <c r="AC147" s="50"/>
      <c r="AD147" s="43"/>
      <c r="AE147" s="50"/>
      <c r="AF147" s="43"/>
      <c r="AG147" s="50"/>
      <c r="AH147" s="43"/>
      <c r="AI147" s="50"/>
      <c r="AJ147" s="43"/>
      <c r="AK147" s="50"/>
      <c r="AL147" s="43"/>
      <c r="AM147" s="50"/>
      <c r="AO147" s="43"/>
      <c r="AP147" s="46"/>
      <c r="AQ147" s="43"/>
      <c r="AR147" s="119"/>
      <c r="AS147" s="1"/>
      <c r="AT147" s="1"/>
    </row>
    <row r="148">
      <c r="A148" s="43"/>
      <c r="B148" s="59" t="str">
        <f>IFERROR(HYPERLINK(VLOOKUP(A148,Internal_lists_bugs!$A$2:$C$73,3,FALSE()), VLOOKUP(A148,Internal_lists_bugs!$A$2:$C$73,3,FALSE())&amp;Char(10) &amp; Char(10) &amp; VLOOKUP(A148,Internal_lists_bugs!$A$2:$Z$73,26,FALSE())),"please select a BUG ID")</f>
        <v>please select a BUG ID</v>
      </c>
      <c r="C148" s="51" t="str">
        <f>IFERROR(VLOOKUP(A148,Internal_lists_bugs!$A$2:$G2003,7,FALSE()),"please select a BUG ID")</f>
        <v>please select a BUG ID</v>
      </c>
      <c r="D148" s="43"/>
      <c r="E148" s="61"/>
      <c r="F148" s="43"/>
      <c r="G148" s="61"/>
      <c r="H148" s="43"/>
      <c r="I148" s="61"/>
      <c r="J148" s="43"/>
      <c r="K148" s="50"/>
      <c r="L148" s="43"/>
      <c r="M148" s="50"/>
      <c r="N148" s="43"/>
      <c r="O148" s="50"/>
      <c r="P148" s="43"/>
      <c r="Q148" s="50"/>
      <c r="R148" s="43"/>
      <c r="S148" s="50"/>
      <c r="T148" s="43"/>
      <c r="U148" s="50"/>
      <c r="V148" s="43"/>
      <c r="W148" s="50"/>
      <c r="X148" s="43"/>
      <c r="Y148" s="50"/>
      <c r="Z148" s="43"/>
      <c r="AA148" s="50"/>
      <c r="AB148" s="43"/>
      <c r="AC148" s="50"/>
      <c r="AD148" s="43"/>
      <c r="AE148" s="50"/>
      <c r="AF148" s="43"/>
      <c r="AG148" s="50"/>
      <c r="AH148" s="43"/>
      <c r="AI148" s="50"/>
      <c r="AJ148" s="43"/>
      <c r="AK148" s="50"/>
      <c r="AL148" s="43"/>
      <c r="AM148" s="50"/>
      <c r="AO148" s="43"/>
      <c r="AP148" s="46"/>
      <c r="AQ148" s="43"/>
      <c r="AR148" s="119"/>
      <c r="AS148" s="1"/>
      <c r="AT148" s="1"/>
    </row>
    <row r="149">
      <c r="A149" s="43"/>
      <c r="B149" s="59" t="str">
        <f>IFERROR(HYPERLINK(VLOOKUP(A149,Internal_lists_bugs!$A$2:$C$73,3,FALSE()), VLOOKUP(A149,Internal_lists_bugs!$A$2:$C$73,3,FALSE())&amp;Char(10) &amp; Char(10) &amp; VLOOKUP(A149,Internal_lists_bugs!$A$2:$Z$73,26,FALSE())),"please select a BUG ID")</f>
        <v>please select a BUG ID</v>
      </c>
      <c r="C149" s="51" t="str">
        <f>IFERROR(VLOOKUP(A149,Internal_lists_bugs!$A$2:$G2003,7,FALSE()),"please select a BUG ID")</f>
        <v>please select a BUG ID</v>
      </c>
      <c r="D149" s="43"/>
      <c r="E149" s="61"/>
      <c r="F149" s="43"/>
      <c r="G149" s="61"/>
      <c r="H149" s="43"/>
      <c r="I149" s="61"/>
      <c r="J149" s="43"/>
      <c r="K149" s="50"/>
      <c r="L149" s="43"/>
      <c r="M149" s="50"/>
      <c r="N149" s="43"/>
      <c r="O149" s="50"/>
      <c r="P149" s="43"/>
      <c r="Q149" s="50"/>
      <c r="R149" s="43"/>
      <c r="S149" s="50"/>
      <c r="T149" s="43"/>
      <c r="U149" s="50"/>
      <c r="V149" s="43"/>
      <c r="W149" s="50"/>
      <c r="X149" s="43"/>
      <c r="Y149" s="50"/>
      <c r="Z149" s="43"/>
      <c r="AA149" s="50"/>
      <c r="AB149" s="43"/>
      <c r="AC149" s="50"/>
      <c r="AD149" s="43"/>
      <c r="AE149" s="50"/>
      <c r="AF149" s="43"/>
      <c r="AG149" s="50"/>
      <c r="AH149" s="43"/>
      <c r="AI149" s="50"/>
      <c r="AJ149" s="43"/>
      <c r="AK149" s="50"/>
      <c r="AL149" s="43"/>
      <c r="AM149" s="50"/>
      <c r="AO149" s="43"/>
      <c r="AP149" s="46"/>
      <c r="AQ149" s="43"/>
      <c r="AR149" s="119"/>
      <c r="AS149" s="1"/>
      <c r="AT149" s="1"/>
    </row>
    <row r="150">
      <c r="A150" s="43"/>
      <c r="B150" s="59" t="str">
        <f>IFERROR(HYPERLINK(VLOOKUP(A150,Internal_lists_bugs!$A$2:$C$73,3,FALSE()), VLOOKUP(A150,Internal_lists_bugs!$A$2:$C$73,3,FALSE())&amp;Char(10) &amp; Char(10) &amp; VLOOKUP(A150,Internal_lists_bugs!$A$2:$Z$73,26,FALSE())),"please select a BUG ID")</f>
        <v>please select a BUG ID</v>
      </c>
      <c r="C150" s="51" t="str">
        <f>IFERROR(VLOOKUP(A150,Internal_lists_bugs!$A$2:$G2003,7,FALSE()),"please select a BUG ID")</f>
        <v>please select a BUG ID</v>
      </c>
      <c r="D150" s="43"/>
      <c r="E150" s="61"/>
      <c r="F150" s="43"/>
      <c r="G150" s="61"/>
      <c r="H150" s="43"/>
      <c r="I150" s="61"/>
      <c r="J150" s="43"/>
      <c r="K150" s="50"/>
      <c r="L150" s="43"/>
      <c r="M150" s="50"/>
      <c r="N150" s="43"/>
      <c r="O150" s="50"/>
      <c r="P150" s="43"/>
      <c r="Q150" s="50"/>
      <c r="R150" s="43"/>
      <c r="S150" s="50"/>
      <c r="T150" s="43"/>
      <c r="U150" s="50"/>
      <c r="V150" s="43"/>
      <c r="W150" s="50"/>
      <c r="X150" s="43"/>
      <c r="Y150" s="50"/>
      <c r="Z150" s="43"/>
      <c r="AA150" s="50"/>
      <c r="AB150" s="43"/>
      <c r="AC150" s="50"/>
      <c r="AD150" s="43"/>
      <c r="AE150" s="50"/>
      <c r="AF150" s="43"/>
      <c r="AG150" s="50"/>
      <c r="AH150" s="43"/>
      <c r="AI150" s="50"/>
      <c r="AJ150" s="43"/>
      <c r="AK150" s="50"/>
      <c r="AL150" s="43"/>
      <c r="AM150" s="50"/>
      <c r="AO150" s="43"/>
      <c r="AP150" s="46"/>
      <c r="AQ150" s="43"/>
      <c r="AR150" s="119"/>
      <c r="AS150" s="1"/>
      <c r="AT150" s="1"/>
    </row>
    <row r="151">
      <c r="A151" s="43"/>
      <c r="B151" s="59" t="str">
        <f>IFERROR(HYPERLINK(VLOOKUP(A151,Internal_lists_bugs!$A$2:$C$73,3,FALSE()), VLOOKUP(A151,Internal_lists_bugs!$A$2:$C$73,3,FALSE())&amp;Char(10) &amp; Char(10) &amp; VLOOKUP(A151,Internal_lists_bugs!$A$2:$Z$73,26,FALSE())),"please select a BUG ID")</f>
        <v>please select a BUG ID</v>
      </c>
      <c r="C151" s="51" t="str">
        <f>IFERROR(VLOOKUP(A151,Internal_lists_bugs!$A$2:$G2003,7,FALSE()),"please select a BUG ID")</f>
        <v>please select a BUG ID</v>
      </c>
      <c r="D151" s="43"/>
      <c r="E151" s="61"/>
      <c r="F151" s="43"/>
      <c r="G151" s="61"/>
      <c r="H151" s="43"/>
      <c r="I151" s="61"/>
      <c r="J151" s="43"/>
      <c r="K151" s="50"/>
      <c r="L151" s="43"/>
      <c r="M151" s="50"/>
      <c r="N151" s="43"/>
      <c r="O151" s="50"/>
      <c r="P151" s="43"/>
      <c r="Q151" s="50"/>
      <c r="R151" s="43"/>
      <c r="S151" s="50"/>
      <c r="T151" s="43"/>
      <c r="U151" s="50"/>
      <c r="V151" s="43"/>
      <c r="W151" s="50"/>
      <c r="X151" s="43"/>
      <c r="Y151" s="50"/>
      <c r="Z151" s="43"/>
      <c r="AA151" s="50"/>
      <c r="AB151" s="43"/>
      <c r="AC151" s="50"/>
      <c r="AD151" s="43"/>
      <c r="AE151" s="50"/>
      <c r="AF151" s="43"/>
      <c r="AG151" s="50"/>
      <c r="AH151" s="43"/>
      <c r="AI151" s="50"/>
      <c r="AJ151" s="43"/>
      <c r="AK151" s="50"/>
      <c r="AL151" s="43"/>
      <c r="AM151" s="50"/>
      <c r="AO151" s="43"/>
      <c r="AP151" s="46"/>
      <c r="AQ151" s="43"/>
      <c r="AR151" s="119"/>
      <c r="AS151" s="1"/>
      <c r="AT151" s="1"/>
    </row>
    <row r="152">
      <c r="A152" s="43"/>
      <c r="B152" s="59" t="str">
        <f>IFERROR(HYPERLINK(VLOOKUP(A152,Internal_lists_bugs!$A$2:$C$73,3,FALSE()), VLOOKUP(A152,Internal_lists_bugs!$A$2:$C$73,3,FALSE())&amp;Char(10) &amp; Char(10) &amp; VLOOKUP(A152,Internal_lists_bugs!$A$2:$Z$73,26,FALSE())),"please select a BUG ID")</f>
        <v>please select a BUG ID</v>
      </c>
      <c r="C152" s="51" t="str">
        <f>IFERROR(VLOOKUP(A152,Internal_lists_bugs!$A$2:$G2003,7,FALSE()),"please select a BUG ID")</f>
        <v>please select a BUG ID</v>
      </c>
      <c r="D152" s="43"/>
      <c r="E152" s="61"/>
      <c r="F152" s="43"/>
      <c r="G152" s="61"/>
      <c r="H152" s="43"/>
      <c r="I152" s="61"/>
      <c r="J152" s="43"/>
      <c r="K152" s="50"/>
      <c r="L152" s="43"/>
      <c r="M152" s="50"/>
      <c r="N152" s="43"/>
      <c r="O152" s="50"/>
      <c r="P152" s="43"/>
      <c r="Q152" s="50"/>
      <c r="R152" s="43"/>
      <c r="S152" s="50"/>
      <c r="T152" s="43"/>
      <c r="U152" s="50"/>
      <c r="V152" s="43"/>
      <c r="W152" s="50"/>
      <c r="X152" s="43"/>
      <c r="Y152" s="50"/>
      <c r="Z152" s="43"/>
      <c r="AA152" s="50"/>
      <c r="AB152" s="43"/>
      <c r="AC152" s="50"/>
      <c r="AD152" s="43"/>
      <c r="AE152" s="50"/>
      <c r="AF152" s="43"/>
      <c r="AG152" s="50"/>
      <c r="AH152" s="43"/>
      <c r="AI152" s="50"/>
      <c r="AJ152" s="43"/>
      <c r="AK152" s="50"/>
      <c r="AL152" s="43"/>
      <c r="AM152" s="50"/>
      <c r="AO152" s="43"/>
      <c r="AP152" s="46"/>
      <c r="AQ152" s="43"/>
      <c r="AR152" s="119"/>
      <c r="AS152" s="1"/>
      <c r="AT152" s="1"/>
    </row>
    <row r="153">
      <c r="A153" s="43"/>
      <c r="B153" s="59" t="str">
        <f>IFERROR(HYPERLINK(VLOOKUP(A153,Internal_lists_bugs!$A$2:$C$73,3,FALSE()), VLOOKUP(A153,Internal_lists_bugs!$A$2:$C$73,3,FALSE())&amp;Char(10) &amp; Char(10) &amp; VLOOKUP(A153,Internal_lists_bugs!$A$2:$Z$73,26,FALSE())),"please select a BUG ID")</f>
        <v>please select a BUG ID</v>
      </c>
      <c r="C153" s="51" t="str">
        <f>IFERROR(VLOOKUP(A153,Internal_lists_bugs!$A$2:$G2003,7,FALSE()),"please select a BUG ID")</f>
        <v>please select a BUG ID</v>
      </c>
      <c r="D153" s="43"/>
      <c r="E153" s="61"/>
      <c r="F153" s="43"/>
      <c r="G153" s="61"/>
      <c r="H153" s="43"/>
      <c r="I153" s="61"/>
      <c r="J153" s="43"/>
      <c r="K153" s="50"/>
      <c r="L153" s="43"/>
      <c r="M153" s="50"/>
      <c r="N153" s="43"/>
      <c r="O153" s="50"/>
      <c r="P153" s="43"/>
      <c r="Q153" s="50"/>
      <c r="R153" s="43"/>
      <c r="S153" s="50"/>
      <c r="T153" s="43"/>
      <c r="U153" s="50"/>
      <c r="V153" s="43"/>
      <c r="W153" s="50"/>
      <c r="X153" s="43"/>
      <c r="Y153" s="50"/>
      <c r="Z153" s="43"/>
      <c r="AA153" s="50"/>
      <c r="AB153" s="43"/>
      <c r="AC153" s="50"/>
      <c r="AD153" s="43"/>
      <c r="AE153" s="50"/>
      <c r="AF153" s="43"/>
      <c r="AG153" s="50"/>
      <c r="AH153" s="43"/>
      <c r="AI153" s="50"/>
      <c r="AJ153" s="43"/>
      <c r="AK153" s="50"/>
      <c r="AL153" s="43"/>
      <c r="AM153" s="50"/>
      <c r="AO153" s="43"/>
      <c r="AP153" s="46"/>
      <c r="AQ153" s="43"/>
      <c r="AR153" s="119"/>
      <c r="AS153" s="1"/>
      <c r="AT153" s="1"/>
    </row>
    <row r="154">
      <c r="A154" s="43"/>
      <c r="B154" s="59" t="str">
        <f>IFERROR(HYPERLINK(VLOOKUP(A154,Internal_lists_bugs!$A$2:$C$73,3,FALSE()), VLOOKUP(A154,Internal_lists_bugs!$A$2:$C$73,3,FALSE())&amp;Char(10) &amp; Char(10) &amp; VLOOKUP(A154,Internal_lists_bugs!$A$2:$Z$73,26,FALSE())),"please select a BUG ID")</f>
        <v>please select a BUG ID</v>
      </c>
      <c r="C154" s="51" t="str">
        <f>IFERROR(VLOOKUP(A154,Internal_lists_bugs!$A$2:$G2003,7,FALSE()),"please select a BUG ID")</f>
        <v>please select a BUG ID</v>
      </c>
      <c r="D154" s="43"/>
      <c r="E154" s="61"/>
      <c r="F154" s="43"/>
      <c r="G154" s="61"/>
      <c r="H154" s="43"/>
      <c r="I154" s="61"/>
      <c r="J154" s="43"/>
      <c r="K154" s="50"/>
      <c r="L154" s="43"/>
      <c r="M154" s="50"/>
      <c r="N154" s="43"/>
      <c r="O154" s="50"/>
      <c r="P154" s="43"/>
      <c r="Q154" s="50"/>
      <c r="R154" s="43"/>
      <c r="S154" s="50"/>
      <c r="T154" s="43"/>
      <c r="U154" s="50"/>
      <c r="V154" s="43"/>
      <c r="W154" s="50"/>
      <c r="X154" s="43"/>
      <c r="Y154" s="50"/>
      <c r="Z154" s="43"/>
      <c r="AA154" s="50"/>
      <c r="AB154" s="43"/>
      <c r="AC154" s="50"/>
      <c r="AD154" s="43"/>
      <c r="AE154" s="50"/>
      <c r="AF154" s="43"/>
      <c r="AG154" s="50"/>
      <c r="AH154" s="43"/>
      <c r="AI154" s="50"/>
      <c r="AJ154" s="43"/>
      <c r="AK154" s="50"/>
      <c r="AL154" s="43"/>
      <c r="AM154" s="50"/>
      <c r="AO154" s="43"/>
      <c r="AP154" s="46"/>
      <c r="AQ154" s="43"/>
      <c r="AR154" s="119"/>
      <c r="AS154" s="1"/>
      <c r="AT154" s="1"/>
    </row>
    <row r="155">
      <c r="A155" s="43"/>
      <c r="B155" s="59" t="str">
        <f>IFERROR(HYPERLINK(VLOOKUP(A155,Internal_lists_bugs!$A$2:$C$73,3,FALSE()), VLOOKUP(A155,Internal_lists_bugs!$A$2:$C$73,3,FALSE())&amp;Char(10) &amp; Char(10) &amp; VLOOKUP(A155,Internal_lists_bugs!$A$2:$Z$73,26,FALSE())),"please select a BUG ID")</f>
        <v>please select a BUG ID</v>
      </c>
      <c r="C155" s="51" t="str">
        <f>IFERROR(VLOOKUP(A155,Internal_lists_bugs!$A$2:$G2003,7,FALSE()),"please select a BUG ID")</f>
        <v>please select a BUG ID</v>
      </c>
      <c r="D155" s="43"/>
      <c r="E155" s="61"/>
      <c r="F155" s="43"/>
      <c r="G155" s="61"/>
      <c r="H155" s="43"/>
      <c r="I155" s="61"/>
      <c r="J155" s="43"/>
      <c r="K155" s="50"/>
      <c r="L155" s="43"/>
      <c r="M155" s="50"/>
      <c r="N155" s="43"/>
      <c r="O155" s="50"/>
      <c r="P155" s="43"/>
      <c r="Q155" s="50"/>
      <c r="R155" s="43"/>
      <c r="S155" s="50"/>
      <c r="T155" s="43"/>
      <c r="U155" s="50"/>
      <c r="V155" s="43"/>
      <c r="W155" s="50"/>
      <c r="X155" s="43"/>
      <c r="Y155" s="50"/>
      <c r="Z155" s="43"/>
      <c r="AA155" s="50"/>
      <c r="AB155" s="43"/>
      <c r="AC155" s="50"/>
      <c r="AD155" s="43"/>
      <c r="AE155" s="50"/>
      <c r="AF155" s="43"/>
      <c r="AG155" s="50"/>
      <c r="AH155" s="43"/>
      <c r="AI155" s="50"/>
      <c r="AJ155" s="43"/>
      <c r="AK155" s="50"/>
      <c r="AL155" s="43"/>
      <c r="AM155" s="50"/>
      <c r="AO155" s="43"/>
      <c r="AP155" s="46"/>
      <c r="AQ155" s="43"/>
      <c r="AR155" s="119"/>
      <c r="AS155" s="1"/>
      <c r="AT155" s="1"/>
    </row>
    <row r="156">
      <c r="A156" s="43"/>
      <c r="B156" s="59" t="str">
        <f>IFERROR(HYPERLINK(VLOOKUP(A156,Internal_lists_bugs!$A$2:$C$73,3,FALSE()), VLOOKUP(A156,Internal_lists_bugs!$A$2:$C$73,3,FALSE())&amp;Char(10) &amp; Char(10) &amp; VLOOKUP(A156,Internal_lists_bugs!$A$2:$Z$73,26,FALSE())),"please select a BUG ID")</f>
        <v>please select a BUG ID</v>
      </c>
      <c r="C156" s="51" t="str">
        <f>IFERROR(VLOOKUP(A156,Internal_lists_bugs!$A$2:$G2003,7,FALSE()),"please select a BUG ID")</f>
        <v>please select a BUG ID</v>
      </c>
      <c r="D156" s="43"/>
      <c r="E156" s="61"/>
      <c r="F156" s="43"/>
      <c r="G156" s="61"/>
      <c r="H156" s="43"/>
      <c r="I156" s="61"/>
      <c r="J156" s="43"/>
      <c r="K156" s="50"/>
      <c r="L156" s="43"/>
      <c r="M156" s="50"/>
      <c r="N156" s="43"/>
      <c r="O156" s="50"/>
      <c r="P156" s="43"/>
      <c r="Q156" s="50"/>
      <c r="R156" s="43"/>
      <c r="S156" s="50"/>
      <c r="T156" s="43"/>
      <c r="U156" s="50"/>
      <c r="V156" s="43"/>
      <c r="W156" s="50"/>
      <c r="X156" s="43"/>
      <c r="Y156" s="50"/>
      <c r="Z156" s="43"/>
      <c r="AA156" s="50"/>
      <c r="AB156" s="43"/>
      <c r="AC156" s="50"/>
      <c r="AD156" s="43"/>
      <c r="AE156" s="50"/>
      <c r="AF156" s="43"/>
      <c r="AG156" s="50"/>
      <c r="AH156" s="43"/>
      <c r="AI156" s="50"/>
      <c r="AJ156" s="43"/>
      <c r="AK156" s="50"/>
      <c r="AL156" s="43"/>
      <c r="AM156" s="50"/>
      <c r="AO156" s="43"/>
      <c r="AP156" s="46"/>
      <c r="AQ156" s="43"/>
      <c r="AR156" s="119"/>
      <c r="AS156" s="1"/>
      <c r="AT156" s="1"/>
    </row>
    <row r="157">
      <c r="A157" s="43"/>
      <c r="B157" s="59" t="str">
        <f>IFERROR(HYPERLINK(VLOOKUP(A157,Internal_lists_bugs!$A$2:$C$73,3,FALSE()), VLOOKUP(A157,Internal_lists_bugs!$A$2:$C$73,3,FALSE())&amp;Char(10) &amp; Char(10) &amp; VLOOKUP(A157,Internal_lists_bugs!$A$2:$Z$73,26,FALSE())),"please select a BUG ID")</f>
        <v>please select a BUG ID</v>
      </c>
      <c r="C157" s="51" t="str">
        <f>IFERROR(VLOOKUP(A157,Internal_lists_bugs!$A$2:$G2003,7,FALSE()),"please select a BUG ID")</f>
        <v>please select a BUG ID</v>
      </c>
      <c r="D157" s="43"/>
      <c r="E157" s="61"/>
      <c r="F157" s="43"/>
      <c r="G157" s="61"/>
      <c r="H157" s="43"/>
      <c r="I157" s="61"/>
      <c r="J157" s="43"/>
      <c r="K157" s="50"/>
      <c r="L157" s="43"/>
      <c r="M157" s="50"/>
      <c r="N157" s="43"/>
      <c r="O157" s="50"/>
      <c r="P157" s="43"/>
      <c r="Q157" s="50"/>
      <c r="R157" s="43"/>
      <c r="S157" s="50"/>
      <c r="T157" s="43"/>
      <c r="U157" s="50"/>
      <c r="V157" s="43"/>
      <c r="W157" s="50"/>
      <c r="X157" s="43"/>
      <c r="Y157" s="50"/>
      <c r="Z157" s="43"/>
      <c r="AA157" s="50"/>
      <c r="AB157" s="43"/>
      <c r="AC157" s="50"/>
      <c r="AD157" s="43"/>
      <c r="AE157" s="50"/>
      <c r="AF157" s="43"/>
      <c r="AG157" s="50"/>
      <c r="AH157" s="43"/>
      <c r="AI157" s="50"/>
      <c r="AJ157" s="43"/>
      <c r="AK157" s="50"/>
      <c r="AL157" s="43"/>
      <c r="AM157" s="50"/>
      <c r="AO157" s="43"/>
      <c r="AP157" s="46"/>
      <c r="AQ157" s="43"/>
      <c r="AR157" s="119"/>
      <c r="AS157" s="1"/>
      <c r="AT157" s="1"/>
    </row>
    <row r="158">
      <c r="A158" s="43"/>
      <c r="B158" s="59" t="str">
        <f>IFERROR(HYPERLINK(VLOOKUP(A158,Internal_lists_bugs!$A$2:$C$73,3,FALSE()), VLOOKUP(A158,Internal_lists_bugs!$A$2:$C$73,3,FALSE())&amp;Char(10) &amp; Char(10) &amp; VLOOKUP(A158,Internal_lists_bugs!$A$2:$Z$73,26,FALSE())),"please select a BUG ID")</f>
        <v>please select a BUG ID</v>
      </c>
      <c r="C158" s="51" t="str">
        <f>IFERROR(VLOOKUP(A158,Internal_lists_bugs!$A$2:$G2003,7,FALSE()),"please select a BUG ID")</f>
        <v>please select a BUG ID</v>
      </c>
      <c r="D158" s="43"/>
      <c r="E158" s="61"/>
      <c r="F158" s="43"/>
      <c r="G158" s="61"/>
      <c r="H158" s="43"/>
      <c r="I158" s="61"/>
      <c r="J158" s="43"/>
      <c r="K158" s="50"/>
      <c r="L158" s="43"/>
      <c r="M158" s="50"/>
      <c r="N158" s="43"/>
      <c r="O158" s="50"/>
      <c r="P158" s="43"/>
      <c r="Q158" s="50"/>
      <c r="R158" s="43"/>
      <c r="S158" s="50"/>
      <c r="T158" s="43"/>
      <c r="U158" s="50"/>
      <c r="V158" s="43"/>
      <c r="W158" s="50"/>
      <c r="X158" s="43"/>
      <c r="Y158" s="50"/>
      <c r="Z158" s="43"/>
      <c r="AA158" s="50"/>
      <c r="AB158" s="43"/>
      <c r="AC158" s="50"/>
      <c r="AD158" s="43"/>
      <c r="AE158" s="50"/>
      <c r="AF158" s="43"/>
      <c r="AG158" s="50"/>
      <c r="AH158" s="43"/>
      <c r="AI158" s="50"/>
      <c r="AJ158" s="43"/>
      <c r="AK158" s="50"/>
      <c r="AL158" s="43"/>
      <c r="AM158" s="50"/>
      <c r="AO158" s="43"/>
      <c r="AP158" s="46"/>
      <c r="AQ158" s="43"/>
      <c r="AR158" s="119"/>
      <c r="AS158" s="1"/>
      <c r="AT158" s="1"/>
    </row>
    <row r="159">
      <c r="A159" s="43"/>
      <c r="B159" s="59" t="str">
        <f>IFERROR(HYPERLINK(VLOOKUP(A159,Internal_lists_bugs!$A$2:$C$73,3,FALSE()), VLOOKUP(A159,Internal_lists_bugs!$A$2:$C$73,3,FALSE())&amp;Char(10) &amp; Char(10) &amp; VLOOKUP(A159,Internal_lists_bugs!$A$2:$Z$73,26,FALSE())),"please select a BUG ID")</f>
        <v>please select a BUG ID</v>
      </c>
      <c r="C159" s="51" t="str">
        <f>IFERROR(VLOOKUP(A159,Internal_lists_bugs!$A$2:$G2003,7,FALSE()),"please select a BUG ID")</f>
        <v>please select a BUG ID</v>
      </c>
      <c r="D159" s="43"/>
      <c r="E159" s="61"/>
      <c r="F159" s="43"/>
      <c r="G159" s="61"/>
      <c r="H159" s="43"/>
      <c r="I159" s="61"/>
      <c r="J159" s="43"/>
      <c r="K159" s="50"/>
      <c r="L159" s="43"/>
      <c r="M159" s="50"/>
      <c r="N159" s="43"/>
      <c r="O159" s="50"/>
      <c r="P159" s="43"/>
      <c r="Q159" s="50"/>
      <c r="R159" s="43"/>
      <c r="S159" s="50"/>
      <c r="T159" s="43"/>
      <c r="U159" s="50"/>
      <c r="V159" s="43"/>
      <c r="W159" s="50"/>
      <c r="X159" s="43"/>
      <c r="Y159" s="50"/>
      <c r="Z159" s="43"/>
      <c r="AA159" s="50"/>
      <c r="AB159" s="43"/>
      <c r="AC159" s="50"/>
      <c r="AD159" s="43"/>
      <c r="AE159" s="50"/>
      <c r="AF159" s="43"/>
      <c r="AG159" s="50"/>
      <c r="AH159" s="43"/>
      <c r="AI159" s="50"/>
      <c r="AJ159" s="43"/>
      <c r="AK159" s="50"/>
      <c r="AL159" s="43"/>
      <c r="AM159" s="50"/>
      <c r="AO159" s="43"/>
      <c r="AP159" s="46"/>
      <c r="AQ159" s="43"/>
      <c r="AR159" s="119"/>
      <c r="AS159" s="1"/>
      <c r="AT159" s="1"/>
    </row>
    <row r="160">
      <c r="A160" s="43"/>
      <c r="B160" s="59" t="str">
        <f>IFERROR(HYPERLINK(VLOOKUP(A160,Internal_lists_bugs!$A$2:$C$73,3,FALSE()), VLOOKUP(A160,Internal_lists_bugs!$A$2:$C$73,3,FALSE())&amp;Char(10) &amp; Char(10) &amp; VLOOKUP(A160,Internal_lists_bugs!$A$2:$Z$73,26,FALSE())),"please select a BUG ID")</f>
        <v>please select a BUG ID</v>
      </c>
      <c r="C160" s="51" t="str">
        <f>IFERROR(VLOOKUP(A160,Internal_lists_bugs!$A$2:$G2003,7,FALSE()),"please select a BUG ID")</f>
        <v>please select a BUG ID</v>
      </c>
      <c r="D160" s="43"/>
      <c r="E160" s="61"/>
      <c r="F160" s="43"/>
      <c r="G160" s="61"/>
      <c r="H160" s="43"/>
      <c r="I160" s="61"/>
      <c r="J160" s="43"/>
      <c r="K160" s="50"/>
      <c r="L160" s="43"/>
      <c r="M160" s="50"/>
      <c r="N160" s="43"/>
      <c r="O160" s="50"/>
      <c r="P160" s="43"/>
      <c r="Q160" s="50"/>
      <c r="R160" s="43"/>
      <c r="S160" s="50"/>
      <c r="T160" s="43"/>
      <c r="U160" s="50"/>
      <c r="V160" s="43"/>
      <c r="W160" s="50"/>
      <c r="X160" s="43"/>
      <c r="Y160" s="50"/>
      <c r="Z160" s="43"/>
      <c r="AA160" s="50"/>
      <c r="AB160" s="43"/>
      <c r="AC160" s="50"/>
      <c r="AD160" s="43"/>
      <c r="AE160" s="50"/>
      <c r="AF160" s="43"/>
      <c r="AG160" s="50"/>
      <c r="AH160" s="43"/>
      <c r="AI160" s="50"/>
      <c r="AJ160" s="43"/>
      <c r="AK160" s="50"/>
      <c r="AL160" s="43"/>
      <c r="AM160" s="50"/>
      <c r="AO160" s="43"/>
      <c r="AP160" s="46"/>
      <c r="AQ160" s="43"/>
      <c r="AR160" s="119"/>
      <c r="AS160" s="1"/>
      <c r="AT160" s="1"/>
    </row>
    <row r="161">
      <c r="A161" s="43"/>
      <c r="B161" s="59" t="str">
        <f>IFERROR(HYPERLINK(VLOOKUP(A161,Internal_lists_bugs!$A$2:$C$73,3,FALSE()), VLOOKUP(A161,Internal_lists_bugs!$A$2:$C$73,3,FALSE())&amp;Char(10) &amp; Char(10) &amp; VLOOKUP(A161,Internal_lists_bugs!$A$2:$Z$73,26,FALSE())),"please select a BUG ID")</f>
        <v>please select a BUG ID</v>
      </c>
      <c r="C161" s="51" t="str">
        <f>IFERROR(VLOOKUP(A161,Internal_lists_bugs!$A$2:$G2003,7,FALSE()),"please select a BUG ID")</f>
        <v>please select a BUG ID</v>
      </c>
      <c r="D161" s="43"/>
      <c r="E161" s="61"/>
      <c r="F161" s="43"/>
      <c r="G161" s="61"/>
      <c r="H161" s="43"/>
      <c r="I161" s="61"/>
      <c r="J161" s="43"/>
      <c r="K161" s="50"/>
      <c r="L161" s="43"/>
      <c r="M161" s="50"/>
      <c r="N161" s="43"/>
      <c r="O161" s="50"/>
      <c r="P161" s="43"/>
      <c r="Q161" s="50"/>
      <c r="R161" s="43"/>
      <c r="S161" s="50"/>
      <c r="T161" s="43"/>
      <c r="U161" s="50"/>
      <c r="V161" s="43"/>
      <c r="W161" s="50"/>
      <c r="X161" s="43"/>
      <c r="Y161" s="50"/>
      <c r="Z161" s="43"/>
      <c r="AA161" s="50"/>
      <c r="AB161" s="43"/>
      <c r="AC161" s="50"/>
      <c r="AD161" s="43"/>
      <c r="AE161" s="50"/>
      <c r="AF161" s="43"/>
      <c r="AG161" s="50"/>
      <c r="AH161" s="43"/>
      <c r="AI161" s="50"/>
      <c r="AJ161" s="43"/>
      <c r="AK161" s="50"/>
      <c r="AL161" s="43"/>
      <c r="AM161" s="50"/>
      <c r="AO161" s="43"/>
      <c r="AP161" s="46"/>
      <c r="AQ161" s="43"/>
      <c r="AR161" s="119"/>
      <c r="AS161" s="1"/>
      <c r="AT161" s="1"/>
    </row>
    <row r="162">
      <c r="A162" s="43"/>
      <c r="B162" s="59" t="str">
        <f>IFERROR(HYPERLINK(VLOOKUP(A162,Internal_lists_bugs!$A$2:$C$73,3,FALSE()), VLOOKUP(A162,Internal_lists_bugs!$A$2:$C$73,3,FALSE())&amp;Char(10) &amp; Char(10) &amp; VLOOKUP(A162,Internal_lists_bugs!$A$2:$Z$73,26,FALSE())),"please select a BUG ID")</f>
        <v>please select a BUG ID</v>
      </c>
      <c r="C162" s="51" t="str">
        <f>IFERROR(VLOOKUP(A162,Internal_lists_bugs!$A$2:$G2003,7,FALSE()),"please select a BUG ID")</f>
        <v>please select a BUG ID</v>
      </c>
      <c r="D162" s="43"/>
      <c r="E162" s="61"/>
      <c r="F162" s="43"/>
      <c r="G162" s="61"/>
      <c r="H162" s="43"/>
      <c r="I162" s="61"/>
      <c r="J162" s="43"/>
      <c r="K162" s="50"/>
      <c r="L162" s="43"/>
      <c r="M162" s="50"/>
      <c r="N162" s="43"/>
      <c r="O162" s="50"/>
      <c r="P162" s="43"/>
      <c r="Q162" s="50"/>
      <c r="R162" s="43"/>
      <c r="S162" s="50"/>
      <c r="T162" s="43"/>
      <c r="U162" s="50"/>
      <c r="V162" s="43"/>
      <c r="W162" s="50"/>
      <c r="X162" s="43"/>
      <c r="Y162" s="50"/>
      <c r="Z162" s="43"/>
      <c r="AA162" s="50"/>
      <c r="AB162" s="43"/>
      <c r="AC162" s="50"/>
      <c r="AD162" s="43"/>
      <c r="AE162" s="50"/>
      <c r="AF162" s="43"/>
      <c r="AG162" s="50"/>
      <c r="AH162" s="43"/>
      <c r="AI162" s="50"/>
      <c r="AJ162" s="43"/>
      <c r="AK162" s="50"/>
      <c r="AL162" s="43"/>
      <c r="AM162" s="50"/>
      <c r="AO162" s="43"/>
      <c r="AP162" s="46"/>
      <c r="AQ162" s="43"/>
      <c r="AR162" s="119"/>
      <c r="AS162" s="1"/>
      <c r="AT162" s="1"/>
    </row>
    <row r="163">
      <c r="A163" s="43"/>
      <c r="B163" s="59" t="str">
        <f>IFERROR(HYPERLINK(VLOOKUP(A163,Internal_lists_bugs!$A$2:$C$73,3,FALSE()), VLOOKUP(A163,Internal_lists_bugs!$A$2:$C$73,3,FALSE())&amp;Char(10) &amp; Char(10) &amp; VLOOKUP(A163,Internal_lists_bugs!$A$2:$Z$73,26,FALSE())),"please select a BUG ID")</f>
        <v>please select a BUG ID</v>
      </c>
      <c r="C163" s="51" t="str">
        <f>IFERROR(VLOOKUP(A163,Internal_lists_bugs!$A$2:$G2003,7,FALSE()),"please select a BUG ID")</f>
        <v>please select a BUG ID</v>
      </c>
      <c r="D163" s="43"/>
      <c r="E163" s="61"/>
      <c r="F163" s="43"/>
      <c r="G163" s="61"/>
      <c r="H163" s="43"/>
      <c r="I163" s="61"/>
      <c r="J163" s="43"/>
      <c r="K163" s="50"/>
      <c r="L163" s="43"/>
      <c r="M163" s="50"/>
      <c r="N163" s="43"/>
      <c r="O163" s="50"/>
      <c r="P163" s="43"/>
      <c r="Q163" s="50"/>
      <c r="R163" s="43"/>
      <c r="S163" s="50"/>
      <c r="T163" s="43"/>
      <c r="U163" s="50"/>
      <c r="V163" s="43"/>
      <c r="W163" s="50"/>
      <c r="X163" s="43"/>
      <c r="Y163" s="50"/>
      <c r="Z163" s="43"/>
      <c r="AA163" s="50"/>
      <c r="AB163" s="43"/>
      <c r="AC163" s="50"/>
      <c r="AD163" s="43"/>
      <c r="AE163" s="50"/>
      <c r="AF163" s="43"/>
      <c r="AG163" s="50"/>
      <c r="AH163" s="43"/>
      <c r="AI163" s="50"/>
      <c r="AJ163" s="43"/>
      <c r="AK163" s="50"/>
      <c r="AL163" s="43"/>
      <c r="AM163" s="50"/>
      <c r="AO163" s="43"/>
      <c r="AP163" s="46"/>
      <c r="AQ163" s="43"/>
      <c r="AR163" s="119"/>
      <c r="AS163" s="1"/>
      <c r="AT163" s="1"/>
    </row>
    <row r="164">
      <c r="A164" s="43"/>
      <c r="B164" s="59" t="str">
        <f>IFERROR(HYPERLINK(VLOOKUP(A164,Internal_lists_bugs!$A$2:$C$73,3,FALSE()), VLOOKUP(A164,Internal_lists_bugs!$A$2:$C$73,3,FALSE())&amp;Char(10) &amp; Char(10) &amp; VLOOKUP(A164,Internal_lists_bugs!$A$2:$Z$73,26,FALSE())),"please select a BUG ID")</f>
        <v>please select a BUG ID</v>
      </c>
      <c r="C164" s="51" t="str">
        <f>IFERROR(VLOOKUP(A164,Internal_lists_bugs!$A$2:$G2003,7,FALSE()),"please select a BUG ID")</f>
        <v>please select a BUG ID</v>
      </c>
      <c r="D164" s="43"/>
      <c r="E164" s="61"/>
      <c r="F164" s="43"/>
      <c r="G164" s="61"/>
      <c r="H164" s="43"/>
      <c r="I164" s="61"/>
      <c r="J164" s="43"/>
      <c r="K164" s="50"/>
      <c r="L164" s="43"/>
      <c r="M164" s="50"/>
      <c r="N164" s="43"/>
      <c r="O164" s="50"/>
      <c r="P164" s="43"/>
      <c r="Q164" s="50"/>
      <c r="R164" s="43"/>
      <c r="S164" s="50"/>
      <c r="T164" s="43"/>
      <c r="U164" s="50"/>
      <c r="V164" s="43"/>
      <c r="W164" s="50"/>
      <c r="X164" s="43"/>
      <c r="Y164" s="50"/>
      <c r="Z164" s="43"/>
      <c r="AA164" s="50"/>
      <c r="AB164" s="43"/>
      <c r="AC164" s="50"/>
      <c r="AD164" s="43"/>
      <c r="AE164" s="50"/>
      <c r="AF164" s="43"/>
      <c r="AG164" s="50"/>
      <c r="AH164" s="43"/>
      <c r="AI164" s="50"/>
      <c r="AJ164" s="43"/>
      <c r="AK164" s="50"/>
      <c r="AL164" s="43"/>
      <c r="AM164" s="50"/>
      <c r="AO164" s="43"/>
      <c r="AP164" s="46"/>
      <c r="AQ164" s="43"/>
      <c r="AR164" s="119"/>
      <c r="AS164" s="1"/>
      <c r="AT164" s="1"/>
    </row>
    <row r="165">
      <c r="A165" s="43"/>
      <c r="B165" s="59" t="str">
        <f>IFERROR(HYPERLINK(VLOOKUP(A165,Internal_lists_bugs!$A$2:$C$73,3,FALSE()), VLOOKUP(A165,Internal_lists_bugs!$A$2:$C$73,3,FALSE())&amp;Char(10) &amp; Char(10) &amp; VLOOKUP(A165,Internal_lists_bugs!$A$2:$Z$73,26,FALSE())),"please select a BUG ID")</f>
        <v>please select a BUG ID</v>
      </c>
      <c r="C165" s="51" t="str">
        <f>IFERROR(VLOOKUP(A165,Internal_lists_bugs!$A$2:$G2003,7,FALSE()),"please select a BUG ID")</f>
        <v>please select a BUG ID</v>
      </c>
      <c r="D165" s="43"/>
      <c r="E165" s="61"/>
      <c r="F165" s="43"/>
      <c r="G165" s="61"/>
      <c r="H165" s="43"/>
      <c r="I165" s="61"/>
      <c r="J165" s="43"/>
      <c r="K165" s="50"/>
      <c r="L165" s="43"/>
      <c r="M165" s="50"/>
      <c r="N165" s="43"/>
      <c r="O165" s="50"/>
      <c r="P165" s="43"/>
      <c r="Q165" s="50"/>
      <c r="R165" s="43"/>
      <c r="S165" s="50"/>
      <c r="T165" s="43"/>
      <c r="U165" s="50"/>
      <c r="V165" s="43"/>
      <c r="W165" s="50"/>
      <c r="X165" s="43"/>
      <c r="Y165" s="50"/>
      <c r="Z165" s="43"/>
      <c r="AA165" s="50"/>
      <c r="AB165" s="43"/>
      <c r="AC165" s="50"/>
      <c r="AD165" s="43"/>
      <c r="AE165" s="50"/>
      <c r="AF165" s="43"/>
      <c r="AG165" s="50"/>
      <c r="AH165" s="43"/>
      <c r="AI165" s="50"/>
      <c r="AJ165" s="43"/>
      <c r="AK165" s="50"/>
      <c r="AL165" s="43"/>
      <c r="AM165" s="50"/>
      <c r="AO165" s="43"/>
      <c r="AP165" s="46"/>
      <c r="AQ165" s="43"/>
      <c r="AR165" s="119"/>
      <c r="AS165" s="1"/>
      <c r="AT165" s="1"/>
    </row>
    <row r="166">
      <c r="A166" s="43"/>
      <c r="B166" s="59" t="str">
        <f>IFERROR(HYPERLINK(VLOOKUP(A166,Internal_lists_bugs!$A$2:$C$73,3,FALSE()), VLOOKUP(A166,Internal_lists_bugs!$A$2:$C$73,3,FALSE())&amp;Char(10) &amp; Char(10) &amp; VLOOKUP(A166,Internal_lists_bugs!$A$2:$Z$73,26,FALSE())),"please select a BUG ID")</f>
        <v>please select a BUG ID</v>
      </c>
      <c r="C166" s="51" t="str">
        <f>IFERROR(VLOOKUP(A166,Internal_lists_bugs!$A$2:$G2003,7,FALSE()),"please select a BUG ID")</f>
        <v>please select a BUG ID</v>
      </c>
      <c r="D166" s="43"/>
      <c r="E166" s="61"/>
      <c r="F166" s="43"/>
      <c r="G166" s="61"/>
      <c r="H166" s="43"/>
      <c r="I166" s="61"/>
      <c r="J166" s="43"/>
      <c r="K166" s="50"/>
      <c r="L166" s="43"/>
      <c r="M166" s="50"/>
      <c r="N166" s="43"/>
      <c r="O166" s="50"/>
      <c r="P166" s="43"/>
      <c r="Q166" s="50"/>
      <c r="R166" s="43"/>
      <c r="S166" s="50"/>
      <c r="T166" s="43"/>
      <c r="U166" s="50"/>
      <c r="V166" s="43"/>
      <c r="W166" s="50"/>
      <c r="X166" s="43"/>
      <c r="Y166" s="50"/>
      <c r="Z166" s="43"/>
      <c r="AA166" s="50"/>
      <c r="AB166" s="43"/>
      <c r="AC166" s="50"/>
      <c r="AD166" s="43"/>
      <c r="AE166" s="50"/>
      <c r="AF166" s="43"/>
      <c r="AG166" s="50"/>
      <c r="AH166" s="43"/>
      <c r="AI166" s="50"/>
      <c r="AJ166" s="43"/>
      <c r="AK166" s="50"/>
      <c r="AL166" s="43"/>
      <c r="AM166" s="50"/>
      <c r="AO166" s="43"/>
      <c r="AP166" s="46"/>
      <c r="AQ166" s="43"/>
      <c r="AR166" s="119"/>
      <c r="AS166" s="1"/>
      <c r="AT166" s="1"/>
    </row>
    <row r="167">
      <c r="A167" s="43"/>
      <c r="B167" s="59" t="str">
        <f>IFERROR(HYPERLINK(VLOOKUP(A167,Internal_lists_bugs!$A$2:$C$73,3,FALSE()), VLOOKUP(A167,Internal_lists_bugs!$A$2:$C$73,3,FALSE())&amp;Char(10) &amp; Char(10) &amp; VLOOKUP(A167,Internal_lists_bugs!$A$2:$Z$73,26,FALSE())),"please select a BUG ID")</f>
        <v>please select a BUG ID</v>
      </c>
      <c r="C167" s="51" t="str">
        <f>IFERROR(VLOOKUP(A167,Internal_lists_bugs!$A$2:$G2003,7,FALSE()),"please select a BUG ID")</f>
        <v>please select a BUG ID</v>
      </c>
      <c r="D167" s="43"/>
      <c r="E167" s="61"/>
      <c r="F167" s="43"/>
      <c r="G167" s="61"/>
      <c r="H167" s="43"/>
      <c r="I167" s="61"/>
      <c r="J167" s="43"/>
      <c r="K167" s="50"/>
      <c r="L167" s="43"/>
      <c r="M167" s="50"/>
      <c r="N167" s="43"/>
      <c r="O167" s="50"/>
      <c r="P167" s="43"/>
      <c r="Q167" s="50"/>
      <c r="R167" s="43"/>
      <c r="S167" s="50"/>
      <c r="T167" s="43"/>
      <c r="U167" s="50"/>
      <c r="V167" s="43"/>
      <c r="W167" s="50"/>
      <c r="X167" s="43"/>
      <c r="Y167" s="50"/>
      <c r="Z167" s="43"/>
      <c r="AA167" s="50"/>
      <c r="AB167" s="43"/>
      <c r="AC167" s="50"/>
      <c r="AD167" s="43"/>
      <c r="AE167" s="50"/>
      <c r="AF167" s="43"/>
      <c r="AG167" s="50"/>
      <c r="AH167" s="43"/>
      <c r="AI167" s="50"/>
      <c r="AJ167" s="43"/>
      <c r="AK167" s="50"/>
      <c r="AL167" s="43"/>
      <c r="AM167" s="50"/>
      <c r="AO167" s="43"/>
      <c r="AP167" s="46"/>
      <c r="AQ167" s="43"/>
      <c r="AR167" s="119"/>
      <c r="AS167" s="1"/>
      <c r="AT167" s="1"/>
    </row>
    <row r="168">
      <c r="A168" s="43"/>
      <c r="B168" s="59" t="str">
        <f>IFERROR(HYPERLINK(VLOOKUP(A168,Internal_lists_bugs!$A$2:$C$73,3,FALSE()), VLOOKUP(A168,Internal_lists_bugs!$A$2:$C$73,3,FALSE())&amp;Char(10) &amp; Char(10) &amp; VLOOKUP(A168,Internal_lists_bugs!$A$2:$Z$73,26,FALSE())),"please select a BUG ID")</f>
        <v>please select a BUG ID</v>
      </c>
      <c r="C168" s="51" t="str">
        <f>IFERROR(VLOOKUP(A168,Internal_lists_bugs!$A$2:$G2003,7,FALSE()),"please select a BUG ID")</f>
        <v>please select a BUG ID</v>
      </c>
      <c r="D168" s="43"/>
      <c r="E168" s="61"/>
      <c r="F168" s="43"/>
      <c r="G168" s="61"/>
      <c r="H168" s="43"/>
      <c r="I168" s="61"/>
      <c r="J168" s="43"/>
      <c r="K168" s="50"/>
      <c r="L168" s="43"/>
      <c r="M168" s="50"/>
      <c r="N168" s="43"/>
      <c r="O168" s="50"/>
      <c r="P168" s="43"/>
      <c r="Q168" s="50"/>
      <c r="R168" s="43"/>
      <c r="S168" s="50"/>
      <c r="T168" s="43"/>
      <c r="U168" s="50"/>
      <c r="V168" s="43"/>
      <c r="W168" s="50"/>
      <c r="X168" s="43"/>
      <c r="Y168" s="50"/>
      <c r="Z168" s="43"/>
      <c r="AA168" s="50"/>
      <c r="AB168" s="43"/>
      <c r="AC168" s="50"/>
      <c r="AD168" s="43"/>
      <c r="AE168" s="50"/>
      <c r="AF168" s="43"/>
      <c r="AG168" s="50"/>
      <c r="AH168" s="43"/>
      <c r="AI168" s="50"/>
      <c r="AJ168" s="43"/>
      <c r="AK168" s="50"/>
      <c r="AL168" s="43"/>
      <c r="AM168" s="50"/>
      <c r="AO168" s="43"/>
      <c r="AP168" s="46"/>
      <c r="AQ168" s="43"/>
      <c r="AR168" s="119"/>
      <c r="AS168" s="1"/>
      <c r="AT168" s="1"/>
    </row>
    <row r="169">
      <c r="A169" s="43"/>
      <c r="B169" s="59" t="str">
        <f>IFERROR(HYPERLINK(VLOOKUP(A169,Internal_lists_bugs!$A$2:$C$73,3,FALSE()), VLOOKUP(A169,Internal_lists_bugs!$A$2:$C$73,3,FALSE())&amp;Char(10) &amp; Char(10) &amp; VLOOKUP(A169,Internal_lists_bugs!$A$2:$Z$73,26,FALSE())),"please select a BUG ID")</f>
        <v>please select a BUG ID</v>
      </c>
      <c r="C169" s="51" t="str">
        <f>IFERROR(VLOOKUP(A169,Internal_lists_bugs!$A$2:$G2003,7,FALSE()),"please select a BUG ID")</f>
        <v>please select a BUG ID</v>
      </c>
      <c r="D169" s="43"/>
      <c r="E169" s="61"/>
      <c r="F169" s="43"/>
      <c r="G169" s="61"/>
      <c r="H169" s="43"/>
      <c r="I169" s="61"/>
      <c r="J169" s="43"/>
      <c r="K169" s="50"/>
      <c r="L169" s="43"/>
      <c r="M169" s="50"/>
      <c r="N169" s="43"/>
      <c r="O169" s="50"/>
      <c r="P169" s="43"/>
      <c r="Q169" s="50"/>
      <c r="R169" s="43"/>
      <c r="S169" s="50"/>
      <c r="T169" s="43"/>
      <c r="U169" s="50"/>
      <c r="V169" s="43"/>
      <c r="W169" s="50"/>
      <c r="X169" s="43"/>
      <c r="Y169" s="50"/>
      <c r="Z169" s="43"/>
      <c r="AA169" s="50"/>
      <c r="AB169" s="43"/>
      <c r="AC169" s="50"/>
      <c r="AD169" s="43"/>
      <c r="AE169" s="50"/>
      <c r="AF169" s="43"/>
      <c r="AG169" s="50"/>
      <c r="AH169" s="43"/>
      <c r="AI169" s="50"/>
      <c r="AJ169" s="43"/>
      <c r="AK169" s="50"/>
      <c r="AL169" s="43"/>
      <c r="AM169" s="50"/>
      <c r="AO169" s="43"/>
      <c r="AP169" s="46"/>
      <c r="AQ169" s="43"/>
      <c r="AR169" s="119"/>
      <c r="AS169" s="1"/>
      <c r="AT169" s="1"/>
    </row>
    <row r="170">
      <c r="A170" s="43"/>
      <c r="B170" s="59" t="str">
        <f>IFERROR(HYPERLINK(VLOOKUP(A170,Internal_lists_bugs!$A$2:$C$73,3,FALSE()), VLOOKUP(A170,Internal_lists_bugs!$A$2:$C$73,3,FALSE())&amp;Char(10) &amp; Char(10) &amp; VLOOKUP(A170,Internal_lists_bugs!$A$2:$Z$73,26,FALSE())),"please select a BUG ID")</f>
        <v>please select a BUG ID</v>
      </c>
      <c r="C170" s="51" t="str">
        <f>IFERROR(VLOOKUP(A170,Internal_lists_bugs!$A$2:$G2003,7,FALSE()),"please select a BUG ID")</f>
        <v>please select a BUG ID</v>
      </c>
      <c r="D170" s="43"/>
      <c r="E170" s="61"/>
      <c r="F170" s="43"/>
      <c r="G170" s="61"/>
      <c r="H170" s="43"/>
      <c r="I170" s="61"/>
      <c r="J170" s="43"/>
      <c r="K170" s="50"/>
      <c r="L170" s="43"/>
      <c r="M170" s="50"/>
      <c r="N170" s="43"/>
      <c r="O170" s="50"/>
      <c r="P170" s="43"/>
      <c r="Q170" s="50"/>
      <c r="R170" s="43"/>
      <c r="S170" s="50"/>
      <c r="T170" s="43"/>
      <c r="U170" s="50"/>
      <c r="V170" s="43"/>
      <c r="W170" s="50"/>
      <c r="X170" s="43"/>
      <c r="Y170" s="50"/>
      <c r="Z170" s="43"/>
      <c r="AA170" s="50"/>
      <c r="AB170" s="43"/>
      <c r="AC170" s="50"/>
      <c r="AD170" s="43"/>
      <c r="AE170" s="50"/>
      <c r="AF170" s="43"/>
      <c r="AG170" s="50"/>
      <c r="AH170" s="43"/>
      <c r="AI170" s="50"/>
      <c r="AJ170" s="43"/>
      <c r="AK170" s="50"/>
      <c r="AL170" s="43"/>
      <c r="AM170" s="50"/>
      <c r="AO170" s="43"/>
      <c r="AP170" s="46"/>
      <c r="AQ170" s="43"/>
      <c r="AR170" s="119"/>
      <c r="AS170" s="1"/>
      <c r="AT170" s="1"/>
    </row>
    <row r="171">
      <c r="A171" s="43"/>
      <c r="B171" s="59" t="str">
        <f>IFERROR(HYPERLINK(VLOOKUP(A171,Internal_lists_bugs!$A$2:$C$73,3,FALSE()), VLOOKUP(A171,Internal_lists_bugs!$A$2:$C$73,3,FALSE())&amp;Char(10) &amp; Char(10) &amp; VLOOKUP(A171,Internal_lists_bugs!$A$2:$Z$73,26,FALSE())),"please select a BUG ID")</f>
        <v>please select a BUG ID</v>
      </c>
      <c r="C171" s="51" t="str">
        <f>IFERROR(VLOOKUP(A171,Internal_lists_bugs!$A$2:$G2003,7,FALSE()),"please select a BUG ID")</f>
        <v>please select a BUG ID</v>
      </c>
      <c r="D171" s="43"/>
      <c r="E171" s="61"/>
      <c r="F171" s="43"/>
      <c r="G171" s="61"/>
      <c r="H171" s="43"/>
      <c r="I171" s="61"/>
      <c r="J171" s="43"/>
      <c r="K171" s="50"/>
      <c r="L171" s="43"/>
      <c r="M171" s="50"/>
      <c r="N171" s="43"/>
      <c r="O171" s="50"/>
      <c r="P171" s="43"/>
      <c r="Q171" s="50"/>
      <c r="R171" s="43"/>
      <c r="S171" s="50"/>
      <c r="T171" s="43"/>
      <c r="U171" s="50"/>
      <c r="V171" s="43"/>
      <c r="W171" s="50"/>
      <c r="X171" s="43"/>
      <c r="Y171" s="50"/>
      <c r="Z171" s="43"/>
      <c r="AA171" s="50"/>
      <c r="AB171" s="43"/>
      <c r="AC171" s="50"/>
      <c r="AD171" s="43"/>
      <c r="AE171" s="50"/>
      <c r="AF171" s="43"/>
      <c r="AG171" s="50"/>
      <c r="AH171" s="43"/>
      <c r="AI171" s="50"/>
      <c r="AJ171" s="43"/>
      <c r="AK171" s="50"/>
      <c r="AL171" s="43"/>
      <c r="AM171" s="50"/>
      <c r="AO171" s="43"/>
      <c r="AP171" s="46"/>
      <c r="AQ171" s="43"/>
      <c r="AR171" s="119"/>
      <c r="AS171" s="1"/>
      <c r="AT171" s="1"/>
    </row>
    <row r="172">
      <c r="A172" s="43"/>
      <c r="B172" s="59" t="str">
        <f>IFERROR(HYPERLINK(VLOOKUP(A172,Internal_lists_bugs!$A$2:$C$73,3,FALSE()), VLOOKUP(A172,Internal_lists_bugs!$A$2:$C$73,3,FALSE())&amp;Char(10) &amp; Char(10) &amp; VLOOKUP(A172,Internal_lists_bugs!$A$2:$Z$73,26,FALSE())),"please select a BUG ID")</f>
        <v>please select a BUG ID</v>
      </c>
      <c r="C172" s="51" t="str">
        <f>IFERROR(VLOOKUP(A172,Internal_lists_bugs!$A$2:$G2003,7,FALSE()),"please select a BUG ID")</f>
        <v>please select a BUG ID</v>
      </c>
      <c r="D172" s="43"/>
      <c r="E172" s="61"/>
      <c r="F172" s="43"/>
      <c r="G172" s="61"/>
      <c r="H172" s="43"/>
      <c r="I172" s="61"/>
      <c r="J172" s="43"/>
      <c r="K172" s="50"/>
      <c r="L172" s="43"/>
      <c r="M172" s="50"/>
      <c r="N172" s="43"/>
      <c r="O172" s="50"/>
      <c r="P172" s="43"/>
      <c r="Q172" s="50"/>
      <c r="R172" s="43"/>
      <c r="S172" s="50"/>
      <c r="T172" s="43"/>
      <c r="U172" s="50"/>
      <c r="V172" s="43"/>
      <c r="W172" s="50"/>
      <c r="X172" s="43"/>
      <c r="Y172" s="50"/>
      <c r="Z172" s="43"/>
      <c r="AA172" s="50"/>
      <c r="AB172" s="43"/>
      <c r="AC172" s="50"/>
      <c r="AD172" s="43"/>
      <c r="AE172" s="50"/>
      <c r="AF172" s="43"/>
      <c r="AG172" s="50"/>
      <c r="AH172" s="43"/>
      <c r="AI172" s="50"/>
      <c r="AJ172" s="43"/>
      <c r="AK172" s="50"/>
      <c r="AL172" s="43"/>
      <c r="AM172" s="50"/>
      <c r="AO172" s="43"/>
      <c r="AP172" s="46"/>
      <c r="AQ172" s="43"/>
      <c r="AR172" s="119"/>
      <c r="AS172" s="1"/>
      <c r="AT172" s="1"/>
    </row>
    <row r="173">
      <c r="A173" s="43"/>
      <c r="B173" s="59" t="str">
        <f>IFERROR(HYPERLINK(VLOOKUP(A173,Internal_lists_bugs!$A$2:$C$73,3,FALSE()), VLOOKUP(A173,Internal_lists_bugs!$A$2:$C$73,3,FALSE())&amp;Char(10) &amp; Char(10) &amp; VLOOKUP(A173,Internal_lists_bugs!$A$2:$Z$73,26,FALSE())),"please select a BUG ID")</f>
        <v>please select a BUG ID</v>
      </c>
      <c r="C173" s="51" t="str">
        <f>IFERROR(VLOOKUP(A173,Internal_lists_bugs!$A$2:$G2003,7,FALSE()),"please select a BUG ID")</f>
        <v>please select a BUG ID</v>
      </c>
      <c r="D173" s="43"/>
      <c r="E173" s="61"/>
      <c r="F173" s="43"/>
      <c r="G173" s="61"/>
      <c r="H173" s="43"/>
      <c r="I173" s="61"/>
      <c r="J173" s="43"/>
      <c r="K173" s="50"/>
      <c r="L173" s="43"/>
      <c r="M173" s="50"/>
      <c r="N173" s="43"/>
      <c r="O173" s="50"/>
      <c r="P173" s="43"/>
      <c r="Q173" s="50"/>
      <c r="R173" s="43"/>
      <c r="S173" s="50"/>
      <c r="T173" s="43"/>
      <c r="U173" s="50"/>
      <c r="V173" s="43"/>
      <c r="W173" s="50"/>
      <c r="X173" s="43"/>
      <c r="Y173" s="50"/>
      <c r="Z173" s="43"/>
      <c r="AA173" s="50"/>
      <c r="AB173" s="43"/>
      <c r="AC173" s="50"/>
      <c r="AD173" s="43"/>
      <c r="AE173" s="50"/>
      <c r="AF173" s="43"/>
      <c r="AG173" s="50"/>
      <c r="AH173" s="43"/>
      <c r="AI173" s="50"/>
      <c r="AJ173" s="43"/>
      <c r="AK173" s="50"/>
      <c r="AL173" s="43"/>
      <c r="AM173" s="50"/>
      <c r="AO173" s="43"/>
      <c r="AP173" s="46"/>
      <c r="AQ173" s="43"/>
      <c r="AR173" s="119"/>
      <c r="AS173" s="1"/>
      <c r="AT173" s="1"/>
    </row>
    <row r="174">
      <c r="A174" s="43"/>
      <c r="B174" s="59" t="str">
        <f>IFERROR(HYPERLINK(VLOOKUP(A174,Internal_lists_bugs!$A$2:$C$73,3,FALSE()), VLOOKUP(A174,Internal_lists_bugs!$A$2:$C$73,3,FALSE())&amp;Char(10) &amp; Char(10) &amp; VLOOKUP(A174,Internal_lists_bugs!$A$2:$Z$73,26,FALSE())),"please select a BUG ID")</f>
        <v>please select a BUG ID</v>
      </c>
      <c r="C174" s="51" t="str">
        <f>IFERROR(VLOOKUP(A174,Internal_lists_bugs!$A$2:$G2003,7,FALSE()),"please select a BUG ID")</f>
        <v>please select a BUG ID</v>
      </c>
      <c r="D174" s="43"/>
      <c r="E174" s="61"/>
      <c r="F174" s="43"/>
      <c r="G174" s="61"/>
      <c r="H174" s="43"/>
      <c r="I174" s="61"/>
      <c r="J174" s="43"/>
      <c r="K174" s="50"/>
      <c r="L174" s="43"/>
      <c r="M174" s="50"/>
      <c r="N174" s="43"/>
      <c r="O174" s="50"/>
      <c r="P174" s="43"/>
      <c r="Q174" s="50"/>
      <c r="R174" s="43"/>
      <c r="S174" s="50"/>
      <c r="T174" s="43"/>
      <c r="U174" s="50"/>
      <c r="V174" s="43"/>
      <c r="W174" s="50"/>
      <c r="X174" s="43"/>
      <c r="Y174" s="50"/>
      <c r="Z174" s="43"/>
      <c r="AA174" s="50"/>
      <c r="AB174" s="43"/>
      <c r="AC174" s="50"/>
      <c r="AD174" s="43"/>
      <c r="AE174" s="50"/>
      <c r="AF174" s="43"/>
      <c r="AG174" s="50"/>
      <c r="AH174" s="43"/>
      <c r="AI174" s="50"/>
      <c r="AJ174" s="43"/>
      <c r="AK174" s="50"/>
      <c r="AL174" s="43"/>
      <c r="AM174" s="50"/>
      <c r="AO174" s="43"/>
      <c r="AP174" s="46"/>
      <c r="AQ174" s="43"/>
      <c r="AR174" s="119"/>
      <c r="AS174" s="1"/>
      <c r="AT174" s="1"/>
    </row>
    <row r="175">
      <c r="A175" s="43"/>
      <c r="B175" s="59" t="str">
        <f>IFERROR(HYPERLINK(VLOOKUP(A175,Internal_lists_bugs!$A$2:$C$73,3,FALSE()), VLOOKUP(A175,Internal_lists_bugs!$A$2:$C$73,3,FALSE())&amp;Char(10) &amp; Char(10) &amp; VLOOKUP(A175,Internal_lists_bugs!$A$2:$Z$73,26,FALSE())),"please select a BUG ID")</f>
        <v>please select a BUG ID</v>
      </c>
      <c r="C175" s="51" t="str">
        <f>IFERROR(VLOOKUP(A175,Internal_lists_bugs!$A$2:$G2003,7,FALSE()),"please select a BUG ID")</f>
        <v>please select a BUG ID</v>
      </c>
      <c r="D175" s="43"/>
      <c r="E175" s="61"/>
      <c r="F175" s="43"/>
      <c r="G175" s="61"/>
      <c r="H175" s="43"/>
      <c r="I175" s="61"/>
      <c r="J175" s="43"/>
      <c r="K175" s="50"/>
      <c r="L175" s="43"/>
      <c r="M175" s="50"/>
      <c r="N175" s="43"/>
      <c r="O175" s="50"/>
      <c r="P175" s="43"/>
      <c r="Q175" s="50"/>
      <c r="R175" s="43"/>
      <c r="S175" s="50"/>
      <c r="T175" s="43"/>
      <c r="U175" s="50"/>
      <c r="V175" s="43"/>
      <c r="W175" s="50"/>
      <c r="X175" s="43"/>
      <c r="Y175" s="50"/>
      <c r="Z175" s="43"/>
      <c r="AA175" s="50"/>
      <c r="AB175" s="43"/>
      <c r="AC175" s="50"/>
      <c r="AD175" s="43"/>
      <c r="AE175" s="50"/>
      <c r="AF175" s="43"/>
      <c r="AG175" s="50"/>
      <c r="AH175" s="43"/>
      <c r="AI175" s="50"/>
      <c r="AJ175" s="43"/>
      <c r="AK175" s="50"/>
      <c r="AL175" s="43"/>
      <c r="AM175" s="50"/>
      <c r="AO175" s="43"/>
      <c r="AP175" s="46"/>
      <c r="AQ175" s="43"/>
      <c r="AR175" s="119"/>
      <c r="AS175" s="1"/>
      <c r="AT175" s="1"/>
    </row>
    <row r="176">
      <c r="A176" s="43"/>
      <c r="B176" s="59" t="str">
        <f>IFERROR(HYPERLINK(VLOOKUP(A176,Internal_lists_bugs!$A$2:$C$73,3,FALSE()), VLOOKUP(A176,Internal_lists_bugs!$A$2:$C$73,3,FALSE())&amp;Char(10) &amp; Char(10) &amp; VLOOKUP(A176,Internal_lists_bugs!$A$2:$Z$73,26,FALSE())),"please select a BUG ID")</f>
        <v>please select a BUG ID</v>
      </c>
      <c r="C176" s="51" t="str">
        <f>IFERROR(VLOOKUP(A176,Internal_lists_bugs!$A$2:$G2003,7,FALSE()),"please select a BUG ID")</f>
        <v>please select a BUG ID</v>
      </c>
      <c r="D176" s="43"/>
      <c r="E176" s="61"/>
      <c r="F176" s="43"/>
      <c r="G176" s="61"/>
      <c r="H176" s="43"/>
      <c r="I176" s="61"/>
      <c r="J176" s="43"/>
      <c r="K176" s="50"/>
      <c r="L176" s="43"/>
      <c r="M176" s="50"/>
      <c r="N176" s="43"/>
      <c r="O176" s="50"/>
      <c r="P176" s="43"/>
      <c r="Q176" s="50"/>
      <c r="R176" s="43"/>
      <c r="S176" s="50"/>
      <c r="T176" s="43"/>
      <c r="U176" s="50"/>
      <c r="V176" s="43"/>
      <c r="W176" s="50"/>
      <c r="X176" s="43"/>
      <c r="Y176" s="50"/>
      <c r="Z176" s="43"/>
      <c r="AA176" s="50"/>
      <c r="AB176" s="43"/>
      <c r="AC176" s="50"/>
      <c r="AD176" s="43"/>
      <c r="AE176" s="50"/>
      <c r="AF176" s="43"/>
      <c r="AG176" s="50"/>
      <c r="AH176" s="43"/>
      <c r="AI176" s="50"/>
      <c r="AJ176" s="43"/>
      <c r="AK176" s="50"/>
      <c r="AL176" s="43"/>
      <c r="AM176" s="50"/>
      <c r="AO176" s="43"/>
      <c r="AP176" s="46"/>
      <c r="AQ176" s="43"/>
      <c r="AR176" s="119"/>
      <c r="AS176" s="1"/>
      <c r="AT176" s="1"/>
    </row>
    <row r="177">
      <c r="A177" s="43"/>
      <c r="B177" s="59" t="str">
        <f>IFERROR(HYPERLINK(VLOOKUP(A177,Internal_lists_bugs!$A$2:$C$73,3,FALSE()), VLOOKUP(A177,Internal_lists_bugs!$A$2:$C$73,3,FALSE())&amp;Char(10) &amp; Char(10) &amp; VLOOKUP(A177,Internal_lists_bugs!$A$2:$Z$73,26,FALSE())),"please select a BUG ID")</f>
        <v>please select a BUG ID</v>
      </c>
      <c r="C177" s="51" t="str">
        <f>IFERROR(VLOOKUP(A177,Internal_lists_bugs!$A$2:$G2003,7,FALSE()),"please select a BUG ID")</f>
        <v>please select a BUG ID</v>
      </c>
      <c r="D177" s="43"/>
      <c r="E177" s="61"/>
      <c r="F177" s="43"/>
      <c r="G177" s="61"/>
      <c r="H177" s="43"/>
      <c r="I177" s="61"/>
      <c r="J177" s="43"/>
      <c r="K177" s="50"/>
      <c r="L177" s="43"/>
      <c r="M177" s="50"/>
      <c r="N177" s="43"/>
      <c r="O177" s="50"/>
      <c r="P177" s="43"/>
      <c r="Q177" s="50"/>
      <c r="R177" s="43"/>
      <c r="S177" s="50"/>
      <c r="T177" s="43"/>
      <c r="U177" s="50"/>
      <c r="V177" s="43"/>
      <c r="W177" s="50"/>
      <c r="X177" s="43"/>
      <c r="Y177" s="50"/>
      <c r="Z177" s="43"/>
      <c r="AA177" s="50"/>
      <c r="AB177" s="43"/>
      <c r="AC177" s="50"/>
      <c r="AD177" s="43"/>
      <c r="AE177" s="50"/>
      <c r="AF177" s="43"/>
      <c r="AG177" s="50"/>
      <c r="AH177" s="43"/>
      <c r="AI177" s="50"/>
      <c r="AJ177" s="43"/>
      <c r="AK177" s="50"/>
      <c r="AL177" s="43"/>
      <c r="AM177" s="50"/>
      <c r="AO177" s="43"/>
      <c r="AP177" s="46"/>
      <c r="AQ177" s="43"/>
      <c r="AR177" s="119"/>
      <c r="AS177" s="1"/>
      <c r="AT177" s="1"/>
    </row>
    <row r="178">
      <c r="A178" s="43"/>
      <c r="B178" s="59" t="str">
        <f>IFERROR(HYPERLINK(VLOOKUP(A178,Internal_lists_bugs!$A$2:$C$73,3,FALSE()), VLOOKUP(A178,Internal_lists_bugs!$A$2:$C$73,3,FALSE())&amp;Char(10) &amp; Char(10) &amp; VLOOKUP(A178,Internal_lists_bugs!$A$2:$Z$73,26,FALSE())),"please select a BUG ID")</f>
        <v>please select a BUG ID</v>
      </c>
      <c r="C178" s="51" t="str">
        <f>IFERROR(VLOOKUP(A178,Internal_lists_bugs!$A$2:$G2003,7,FALSE()),"please select a BUG ID")</f>
        <v>please select a BUG ID</v>
      </c>
      <c r="D178" s="43"/>
      <c r="E178" s="61"/>
      <c r="F178" s="43"/>
      <c r="G178" s="61"/>
      <c r="H178" s="43"/>
      <c r="I178" s="61"/>
      <c r="J178" s="43"/>
      <c r="K178" s="50"/>
      <c r="L178" s="43"/>
      <c r="M178" s="50"/>
      <c r="N178" s="43"/>
      <c r="O178" s="50"/>
      <c r="P178" s="43"/>
      <c r="Q178" s="50"/>
      <c r="R178" s="43"/>
      <c r="S178" s="50"/>
      <c r="T178" s="43"/>
      <c r="U178" s="50"/>
      <c r="V178" s="43"/>
      <c r="W178" s="50"/>
      <c r="X178" s="43"/>
      <c r="Y178" s="50"/>
      <c r="Z178" s="43"/>
      <c r="AA178" s="50"/>
      <c r="AB178" s="43"/>
      <c r="AC178" s="50"/>
      <c r="AD178" s="43"/>
      <c r="AE178" s="50"/>
      <c r="AF178" s="43"/>
      <c r="AG178" s="50"/>
      <c r="AH178" s="43"/>
      <c r="AI178" s="50"/>
      <c r="AJ178" s="43"/>
      <c r="AK178" s="50"/>
      <c r="AL178" s="43"/>
      <c r="AM178" s="50"/>
      <c r="AO178" s="43"/>
      <c r="AP178" s="46"/>
      <c r="AQ178" s="43"/>
      <c r="AR178" s="119"/>
      <c r="AS178" s="1"/>
      <c r="AT178" s="1"/>
    </row>
    <row r="179">
      <c r="A179" s="43"/>
      <c r="B179" s="59" t="str">
        <f>IFERROR(HYPERLINK(VLOOKUP(A179,Internal_lists_bugs!$A$2:$C$73,3,FALSE()), VLOOKUP(A179,Internal_lists_bugs!$A$2:$C$73,3,FALSE())&amp;Char(10) &amp; Char(10) &amp; VLOOKUP(A179,Internal_lists_bugs!$A$2:$Z$73,26,FALSE())),"please select a BUG ID")</f>
        <v>please select a BUG ID</v>
      </c>
      <c r="C179" s="51" t="str">
        <f>IFERROR(VLOOKUP(A179,Internal_lists_bugs!$A$2:$G2003,7,FALSE()),"please select a BUG ID")</f>
        <v>please select a BUG ID</v>
      </c>
      <c r="D179" s="43"/>
      <c r="E179" s="61"/>
      <c r="F179" s="43"/>
      <c r="G179" s="61"/>
      <c r="H179" s="43"/>
      <c r="I179" s="61"/>
      <c r="J179" s="43"/>
      <c r="K179" s="50"/>
      <c r="L179" s="43"/>
      <c r="M179" s="50"/>
      <c r="N179" s="43"/>
      <c r="O179" s="50"/>
      <c r="P179" s="43"/>
      <c r="Q179" s="50"/>
      <c r="R179" s="43"/>
      <c r="S179" s="50"/>
      <c r="T179" s="43"/>
      <c r="U179" s="50"/>
      <c r="V179" s="43"/>
      <c r="W179" s="50"/>
      <c r="X179" s="43"/>
      <c r="Y179" s="50"/>
      <c r="Z179" s="43"/>
      <c r="AA179" s="50"/>
      <c r="AB179" s="43"/>
      <c r="AC179" s="50"/>
      <c r="AD179" s="43"/>
      <c r="AE179" s="50"/>
      <c r="AF179" s="43"/>
      <c r="AG179" s="50"/>
      <c r="AH179" s="43"/>
      <c r="AI179" s="50"/>
      <c r="AJ179" s="43"/>
      <c r="AK179" s="50"/>
      <c r="AL179" s="43"/>
      <c r="AM179" s="50"/>
      <c r="AO179" s="43"/>
      <c r="AP179" s="46"/>
      <c r="AQ179" s="43"/>
      <c r="AR179" s="119"/>
      <c r="AS179" s="1"/>
      <c r="AT179" s="1"/>
    </row>
    <row r="180">
      <c r="A180" s="43"/>
      <c r="B180" s="59" t="str">
        <f>IFERROR(HYPERLINK(VLOOKUP(A180,Internal_lists_bugs!$A$2:$C$73,3,FALSE()), VLOOKUP(A180,Internal_lists_bugs!$A$2:$C$73,3,FALSE())&amp;Char(10) &amp; Char(10) &amp; VLOOKUP(A180,Internal_lists_bugs!$A$2:$Z$73,26,FALSE())),"please select a BUG ID")</f>
        <v>please select a BUG ID</v>
      </c>
      <c r="C180" s="51" t="str">
        <f>IFERROR(VLOOKUP(A180,Internal_lists_bugs!$A$2:$G2003,7,FALSE()),"please select a BUG ID")</f>
        <v>please select a BUG ID</v>
      </c>
      <c r="D180" s="43"/>
      <c r="E180" s="61"/>
      <c r="F180" s="43"/>
      <c r="G180" s="61"/>
      <c r="H180" s="43"/>
      <c r="I180" s="61"/>
      <c r="J180" s="43"/>
      <c r="K180" s="50"/>
      <c r="L180" s="43"/>
      <c r="M180" s="50"/>
      <c r="N180" s="43"/>
      <c r="O180" s="50"/>
      <c r="P180" s="43"/>
      <c r="Q180" s="50"/>
      <c r="R180" s="43"/>
      <c r="S180" s="50"/>
      <c r="T180" s="43"/>
      <c r="U180" s="50"/>
      <c r="V180" s="43"/>
      <c r="W180" s="50"/>
      <c r="X180" s="43"/>
      <c r="Y180" s="50"/>
      <c r="Z180" s="43"/>
      <c r="AA180" s="50"/>
      <c r="AB180" s="43"/>
      <c r="AC180" s="50"/>
      <c r="AD180" s="43"/>
      <c r="AE180" s="50"/>
      <c r="AF180" s="43"/>
      <c r="AG180" s="50"/>
      <c r="AH180" s="43"/>
      <c r="AI180" s="50"/>
      <c r="AJ180" s="43"/>
      <c r="AK180" s="50"/>
      <c r="AL180" s="43"/>
      <c r="AM180" s="50"/>
      <c r="AO180" s="43"/>
      <c r="AP180" s="46"/>
      <c r="AQ180" s="43"/>
      <c r="AR180" s="119"/>
      <c r="AS180" s="1"/>
      <c r="AT180" s="1"/>
    </row>
    <row r="181">
      <c r="A181" s="43"/>
      <c r="B181" s="59" t="str">
        <f>IFERROR(HYPERLINK(VLOOKUP(A181,Internal_lists_bugs!$A$2:$C$73,3,FALSE()), VLOOKUP(A181,Internal_lists_bugs!$A$2:$C$73,3,FALSE())&amp;Char(10) &amp; Char(10) &amp; VLOOKUP(A181,Internal_lists_bugs!$A$2:$Z$73,26,FALSE())),"please select a BUG ID")</f>
        <v>please select a BUG ID</v>
      </c>
      <c r="C181" s="51" t="str">
        <f>IFERROR(VLOOKUP(A181,Internal_lists_bugs!$A$2:$G2003,7,FALSE()),"please select a BUG ID")</f>
        <v>please select a BUG ID</v>
      </c>
      <c r="D181" s="43"/>
      <c r="E181" s="61"/>
      <c r="F181" s="43"/>
      <c r="G181" s="61"/>
      <c r="H181" s="43"/>
      <c r="I181" s="61"/>
      <c r="J181" s="43"/>
      <c r="K181" s="50"/>
      <c r="L181" s="43"/>
      <c r="M181" s="50"/>
      <c r="N181" s="43"/>
      <c r="O181" s="50"/>
      <c r="P181" s="43"/>
      <c r="Q181" s="50"/>
      <c r="R181" s="43"/>
      <c r="S181" s="50"/>
      <c r="T181" s="43"/>
      <c r="U181" s="50"/>
      <c r="V181" s="43"/>
      <c r="W181" s="50"/>
      <c r="X181" s="43"/>
      <c r="Y181" s="50"/>
      <c r="Z181" s="43"/>
      <c r="AA181" s="50"/>
      <c r="AB181" s="43"/>
      <c r="AC181" s="50"/>
      <c r="AD181" s="43"/>
      <c r="AE181" s="50"/>
      <c r="AF181" s="43"/>
      <c r="AG181" s="50"/>
      <c r="AH181" s="43"/>
      <c r="AI181" s="50"/>
      <c r="AJ181" s="43"/>
      <c r="AK181" s="50"/>
      <c r="AL181" s="43"/>
      <c r="AM181" s="50"/>
      <c r="AO181" s="43"/>
      <c r="AP181" s="46"/>
      <c r="AQ181" s="43"/>
      <c r="AR181" s="119"/>
      <c r="AS181" s="1"/>
      <c r="AT181" s="1"/>
    </row>
    <row r="182">
      <c r="A182" s="43"/>
      <c r="B182" s="59" t="str">
        <f>IFERROR(HYPERLINK(VLOOKUP(A182,Internal_lists_bugs!$A$2:$C$73,3,FALSE()), VLOOKUP(A182,Internal_lists_bugs!$A$2:$C$73,3,FALSE())&amp;Char(10) &amp; Char(10) &amp; VLOOKUP(A182,Internal_lists_bugs!$A$2:$Z$73,26,FALSE())),"please select a BUG ID")</f>
        <v>please select a BUG ID</v>
      </c>
      <c r="C182" s="51" t="str">
        <f>IFERROR(VLOOKUP(A182,Internal_lists_bugs!$A$2:$G2003,7,FALSE()),"please select a BUG ID")</f>
        <v>please select a BUG ID</v>
      </c>
      <c r="D182" s="43"/>
      <c r="E182" s="61"/>
      <c r="F182" s="43"/>
      <c r="G182" s="61"/>
      <c r="H182" s="43"/>
      <c r="I182" s="61"/>
      <c r="J182" s="43"/>
      <c r="K182" s="50"/>
      <c r="L182" s="43"/>
      <c r="M182" s="50"/>
      <c r="N182" s="43"/>
      <c r="O182" s="50"/>
      <c r="P182" s="43"/>
      <c r="Q182" s="50"/>
      <c r="R182" s="43"/>
      <c r="S182" s="50"/>
      <c r="T182" s="43"/>
      <c r="U182" s="50"/>
      <c r="V182" s="43"/>
      <c r="W182" s="50"/>
      <c r="X182" s="43"/>
      <c r="Y182" s="50"/>
      <c r="Z182" s="43"/>
      <c r="AA182" s="50"/>
      <c r="AB182" s="43"/>
      <c r="AC182" s="50"/>
      <c r="AD182" s="43"/>
      <c r="AE182" s="50"/>
      <c r="AF182" s="43"/>
      <c r="AG182" s="50"/>
      <c r="AH182" s="43"/>
      <c r="AI182" s="50"/>
      <c r="AJ182" s="43"/>
      <c r="AK182" s="50"/>
      <c r="AL182" s="43"/>
      <c r="AM182" s="50"/>
      <c r="AO182" s="43"/>
      <c r="AP182" s="46"/>
      <c r="AQ182" s="43"/>
      <c r="AR182" s="119"/>
      <c r="AS182" s="1"/>
      <c r="AT182" s="1"/>
    </row>
    <row r="183">
      <c r="A183" s="43"/>
      <c r="B183" s="59" t="str">
        <f>IFERROR(HYPERLINK(VLOOKUP(A183,Internal_lists_bugs!$A$2:$C$73,3,FALSE()), VLOOKUP(A183,Internal_lists_bugs!$A$2:$C$73,3,FALSE())&amp;Char(10) &amp; Char(10) &amp; VLOOKUP(A183,Internal_lists_bugs!$A$2:$Z$73,26,FALSE())),"please select a BUG ID")</f>
        <v>please select a BUG ID</v>
      </c>
      <c r="C183" s="51" t="str">
        <f>IFERROR(VLOOKUP(A183,Internal_lists_bugs!$A$2:$G2003,7,FALSE()),"please select a BUG ID")</f>
        <v>please select a BUG ID</v>
      </c>
      <c r="D183" s="43"/>
      <c r="E183" s="61"/>
      <c r="F183" s="43"/>
      <c r="G183" s="61"/>
      <c r="H183" s="43"/>
      <c r="I183" s="61"/>
      <c r="J183" s="43"/>
      <c r="K183" s="50"/>
      <c r="L183" s="43"/>
      <c r="M183" s="50"/>
      <c r="N183" s="43"/>
      <c r="O183" s="50"/>
      <c r="P183" s="43"/>
      <c r="Q183" s="50"/>
      <c r="R183" s="43"/>
      <c r="S183" s="50"/>
      <c r="T183" s="43"/>
      <c r="U183" s="50"/>
      <c r="V183" s="43"/>
      <c r="W183" s="50"/>
      <c r="X183" s="43"/>
      <c r="Y183" s="50"/>
      <c r="Z183" s="43"/>
      <c r="AA183" s="50"/>
      <c r="AB183" s="43"/>
      <c r="AC183" s="50"/>
      <c r="AD183" s="43"/>
      <c r="AE183" s="50"/>
      <c r="AF183" s="43"/>
      <c r="AG183" s="50"/>
      <c r="AH183" s="43"/>
      <c r="AI183" s="50"/>
      <c r="AJ183" s="43"/>
      <c r="AK183" s="50"/>
      <c r="AL183" s="43"/>
      <c r="AM183" s="50"/>
      <c r="AO183" s="43"/>
      <c r="AP183" s="46"/>
      <c r="AQ183" s="43"/>
      <c r="AR183" s="119"/>
      <c r="AS183" s="1"/>
      <c r="AT183" s="1"/>
    </row>
    <row r="184">
      <c r="A184" s="43"/>
      <c r="B184" s="59" t="str">
        <f>IFERROR(HYPERLINK(VLOOKUP(A184,Internal_lists_bugs!$A$2:$C$73,3,FALSE()), VLOOKUP(A184,Internal_lists_bugs!$A$2:$C$73,3,FALSE())&amp;Char(10) &amp; Char(10) &amp; VLOOKUP(A184,Internal_lists_bugs!$A$2:$Z$73,26,FALSE())),"please select a BUG ID")</f>
        <v>please select a BUG ID</v>
      </c>
      <c r="C184" s="51" t="str">
        <f>IFERROR(VLOOKUP(A184,Internal_lists_bugs!$A$2:$G2003,7,FALSE()),"please select a BUG ID")</f>
        <v>please select a BUG ID</v>
      </c>
      <c r="D184" s="43"/>
      <c r="E184" s="61"/>
      <c r="F184" s="43"/>
      <c r="G184" s="61"/>
      <c r="H184" s="43"/>
      <c r="I184" s="61"/>
      <c r="J184" s="43"/>
      <c r="K184" s="50"/>
      <c r="L184" s="43"/>
      <c r="M184" s="50"/>
      <c r="N184" s="43"/>
      <c r="O184" s="50"/>
      <c r="P184" s="43"/>
      <c r="Q184" s="50"/>
      <c r="R184" s="43"/>
      <c r="S184" s="50"/>
      <c r="T184" s="43"/>
      <c r="U184" s="50"/>
      <c r="V184" s="43"/>
      <c r="W184" s="50"/>
      <c r="X184" s="43"/>
      <c r="Y184" s="50"/>
      <c r="Z184" s="43"/>
      <c r="AA184" s="50"/>
      <c r="AB184" s="43"/>
      <c r="AC184" s="50"/>
      <c r="AD184" s="43"/>
      <c r="AE184" s="50"/>
      <c r="AF184" s="43"/>
      <c r="AG184" s="50"/>
      <c r="AH184" s="43"/>
      <c r="AI184" s="50"/>
      <c r="AJ184" s="43"/>
      <c r="AK184" s="50"/>
      <c r="AL184" s="43"/>
      <c r="AM184" s="50"/>
      <c r="AO184" s="43"/>
      <c r="AP184" s="46"/>
      <c r="AQ184" s="43"/>
      <c r="AR184" s="119"/>
      <c r="AS184" s="1"/>
      <c r="AT184" s="1"/>
    </row>
    <row r="185">
      <c r="A185" s="43"/>
      <c r="B185" s="59" t="str">
        <f>IFERROR(HYPERLINK(VLOOKUP(A185,Internal_lists_bugs!$A$2:$C$73,3,FALSE()), VLOOKUP(A185,Internal_lists_bugs!$A$2:$C$73,3,FALSE())&amp;Char(10) &amp; Char(10) &amp; VLOOKUP(A185,Internal_lists_bugs!$A$2:$Z$73,26,FALSE())),"please select a BUG ID")</f>
        <v>please select a BUG ID</v>
      </c>
      <c r="C185" s="51" t="str">
        <f>IFERROR(VLOOKUP(A185,Internal_lists_bugs!$A$2:$G2003,7,FALSE()),"please select a BUG ID")</f>
        <v>please select a BUG ID</v>
      </c>
      <c r="D185" s="43"/>
      <c r="E185" s="61"/>
      <c r="F185" s="43"/>
      <c r="G185" s="61"/>
      <c r="H185" s="43"/>
      <c r="I185" s="61"/>
      <c r="J185" s="43"/>
      <c r="K185" s="50"/>
      <c r="L185" s="43"/>
      <c r="M185" s="50"/>
      <c r="N185" s="43"/>
      <c r="O185" s="50"/>
      <c r="P185" s="43"/>
      <c r="Q185" s="50"/>
      <c r="R185" s="43"/>
      <c r="S185" s="50"/>
      <c r="T185" s="43"/>
      <c r="U185" s="50"/>
      <c r="V185" s="43"/>
      <c r="W185" s="50"/>
      <c r="X185" s="43"/>
      <c r="Y185" s="50"/>
      <c r="Z185" s="43"/>
      <c r="AA185" s="50"/>
      <c r="AB185" s="43"/>
      <c r="AC185" s="50"/>
      <c r="AD185" s="43"/>
      <c r="AE185" s="50"/>
      <c r="AF185" s="43"/>
      <c r="AG185" s="50"/>
      <c r="AH185" s="43"/>
      <c r="AI185" s="50"/>
      <c r="AJ185" s="43"/>
      <c r="AK185" s="50"/>
      <c r="AL185" s="43"/>
      <c r="AM185" s="50"/>
      <c r="AO185" s="43"/>
      <c r="AP185" s="46"/>
      <c r="AQ185" s="43"/>
      <c r="AR185" s="119"/>
      <c r="AS185" s="1"/>
      <c r="AT185" s="1"/>
    </row>
    <row r="186">
      <c r="A186" s="43"/>
      <c r="B186" s="59" t="str">
        <f>IFERROR(HYPERLINK(VLOOKUP(A186,Internal_lists_bugs!$A$2:$C$73,3,FALSE()), VLOOKUP(A186,Internal_lists_bugs!$A$2:$C$73,3,FALSE())&amp;Char(10) &amp; Char(10) &amp; VLOOKUP(A186,Internal_lists_bugs!$A$2:$Z$73,26,FALSE())),"please select a BUG ID")</f>
        <v>please select a BUG ID</v>
      </c>
      <c r="C186" s="51" t="str">
        <f>IFERROR(VLOOKUP(A186,Internal_lists_bugs!$A$2:$G2003,7,FALSE()),"please select a BUG ID")</f>
        <v>please select a BUG ID</v>
      </c>
      <c r="D186" s="43"/>
      <c r="E186" s="61"/>
      <c r="F186" s="43"/>
      <c r="G186" s="61"/>
      <c r="H186" s="43"/>
      <c r="I186" s="61"/>
      <c r="J186" s="43"/>
      <c r="K186" s="50"/>
      <c r="L186" s="43"/>
      <c r="M186" s="50"/>
      <c r="N186" s="43"/>
      <c r="O186" s="50"/>
      <c r="P186" s="43"/>
      <c r="Q186" s="50"/>
      <c r="R186" s="43"/>
      <c r="S186" s="50"/>
      <c r="T186" s="43"/>
      <c r="U186" s="50"/>
      <c r="V186" s="43"/>
      <c r="W186" s="50"/>
      <c r="X186" s="43"/>
      <c r="Y186" s="50"/>
      <c r="Z186" s="43"/>
      <c r="AA186" s="50"/>
      <c r="AB186" s="43"/>
      <c r="AC186" s="50"/>
      <c r="AD186" s="43"/>
      <c r="AE186" s="50"/>
      <c r="AF186" s="43"/>
      <c r="AG186" s="50"/>
      <c r="AH186" s="43"/>
      <c r="AI186" s="50"/>
      <c r="AJ186" s="43"/>
      <c r="AK186" s="50"/>
      <c r="AL186" s="43"/>
      <c r="AM186" s="50"/>
      <c r="AO186" s="43"/>
      <c r="AP186" s="46"/>
      <c r="AQ186" s="43"/>
      <c r="AR186" s="119"/>
      <c r="AS186" s="1"/>
      <c r="AT186" s="1"/>
    </row>
    <row r="187">
      <c r="A187" s="43"/>
      <c r="B187" s="59" t="str">
        <f>IFERROR(HYPERLINK(VLOOKUP(A187,Internal_lists_bugs!$A$2:$C$73,3,FALSE()), VLOOKUP(A187,Internal_lists_bugs!$A$2:$C$73,3,FALSE())&amp;Char(10) &amp; Char(10) &amp; VLOOKUP(A187,Internal_lists_bugs!$A$2:$Z$73,26,FALSE())),"please select a BUG ID")</f>
        <v>please select a BUG ID</v>
      </c>
      <c r="C187" s="51" t="str">
        <f>IFERROR(VLOOKUP(A187,Internal_lists_bugs!$A$2:$G2003,7,FALSE()),"please select a BUG ID")</f>
        <v>please select a BUG ID</v>
      </c>
      <c r="D187" s="43"/>
      <c r="E187" s="61"/>
      <c r="F187" s="43"/>
      <c r="G187" s="61"/>
      <c r="H187" s="43"/>
      <c r="I187" s="61"/>
      <c r="J187" s="43"/>
      <c r="K187" s="50"/>
      <c r="L187" s="43"/>
      <c r="M187" s="50"/>
      <c r="N187" s="43"/>
      <c r="O187" s="50"/>
      <c r="P187" s="43"/>
      <c r="Q187" s="50"/>
      <c r="R187" s="43"/>
      <c r="S187" s="50"/>
      <c r="T187" s="43"/>
      <c r="U187" s="50"/>
      <c r="V187" s="43"/>
      <c r="W187" s="50"/>
      <c r="X187" s="43"/>
      <c r="Y187" s="50"/>
      <c r="Z187" s="43"/>
      <c r="AA187" s="50"/>
      <c r="AB187" s="43"/>
      <c r="AC187" s="50"/>
      <c r="AD187" s="43"/>
      <c r="AE187" s="50"/>
      <c r="AF187" s="43"/>
      <c r="AG187" s="50"/>
      <c r="AH187" s="43"/>
      <c r="AI187" s="50"/>
      <c r="AJ187" s="43"/>
      <c r="AK187" s="50"/>
      <c r="AL187" s="43"/>
      <c r="AM187" s="50"/>
      <c r="AO187" s="43"/>
      <c r="AP187" s="46"/>
      <c r="AQ187" s="43"/>
      <c r="AR187" s="119"/>
      <c r="AS187" s="1"/>
      <c r="AT187" s="1"/>
    </row>
    <row r="188">
      <c r="A188" s="43"/>
      <c r="B188" s="59" t="str">
        <f>IFERROR(HYPERLINK(VLOOKUP(A188,Internal_lists_bugs!$A$2:$C$73,3,FALSE()), VLOOKUP(A188,Internal_lists_bugs!$A$2:$C$73,3,FALSE())&amp;Char(10) &amp; Char(10) &amp; VLOOKUP(A188,Internal_lists_bugs!$A$2:$Z$73,26,FALSE())),"please select a BUG ID")</f>
        <v>please select a BUG ID</v>
      </c>
      <c r="C188" s="51" t="str">
        <f>IFERROR(VLOOKUP(A188,Internal_lists_bugs!$A$2:$G2003,7,FALSE()),"please select a BUG ID")</f>
        <v>please select a BUG ID</v>
      </c>
      <c r="D188" s="43"/>
      <c r="E188" s="61"/>
      <c r="F188" s="43"/>
      <c r="G188" s="61"/>
      <c r="H188" s="43"/>
      <c r="I188" s="61"/>
      <c r="J188" s="43"/>
      <c r="K188" s="50"/>
      <c r="L188" s="43"/>
      <c r="M188" s="50"/>
      <c r="N188" s="43"/>
      <c r="O188" s="50"/>
      <c r="P188" s="43"/>
      <c r="Q188" s="50"/>
      <c r="R188" s="43"/>
      <c r="S188" s="50"/>
      <c r="T188" s="43"/>
      <c r="U188" s="50"/>
      <c r="V188" s="43"/>
      <c r="W188" s="50"/>
      <c r="X188" s="43"/>
      <c r="Y188" s="50"/>
      <c r="Z188" s="43"/>
      <c r="AA188" s="50"/>
      <c r="AB188" s="43"/>
      <c r="AC188" s="50"/>
      <c r="AD188" s="43"/>
      <c r="AE188" s="50"/>
      <c r="AF188" s="43"/>
      <c r="AG188" s="50"/>
      <c r="AH188" s="43"/>
      <c r="AI188" s="50"/>
      <c r="AJ188" s="43"/>
      <c r="AK188" s="50"/>
      <c r="AL188" s="43"/>
      <c r="AM188" s="50"/>
      <c r="AO188" s="43"/>
      <c r="AP188" s="46"/>
      <c r="AQ188" s="43"/>
      <c r="AR188" s="119"/>
      <c r="AS188" s="1"/>
      <c r="AT188" s="1"/>
    </row>
    <row r="189">
      <c r="A189" s="43"/>
      <c r="B189" s="59" t="str">
        <f>IFERROR(HYPERLINK(VLOOKUP(A189,Internal_lists_bugs!$A$2:$C$73,3,FALSE()), VLOOKUP(A189,Internal_lists_bugs!$A$2:$C$73,3,FALSE())&amp;Char(10) &amp; Char(10) &amp; VLOOKUP(A189,Internal_lists_bugs!$A$2:$Z$73,26,FALSE())),"please select a BUG ID")</f>
        <v>please select a BUG ID</v>
      </c>
      <c r="C189" s="51" t="str">
        <f>IFERROR(VLOOKUP(A189,Internal_lists_bugs!$A$2:$G2003,7,FALSE()),"please select a BUG ID")</f>
        <v>please select a BUG ID</v>
      </c>
      <c r="D189" s="43"/>
      <c r="E189" s="61"/>
      <c r="F189" s="43"/>
      <c r="G189" s="61"/>
      <c r="H189" s="43"/>
      <c r="I189" s="61"/>
      <c r="J189" s="43"/>
      <c r="K189" s="50"/>
      <c r="L189" s="43"/>
      <c r="M189" s="50"/>
      <c r="N189" s="43"/>
      <c r="O189" s="50"/>
      <c r="P189" s="43"/>
      <c r="Q189" s="50"/>
      <c r="R189" s="43"/>
      <c r="S189" s="50"/>
      <c r="T189" s="43"/>
      <c r="U189" s="50"/>
      <c r="V189" s="43"/>
      <c r="W189" s="50"/>
      <c r="X189" s="43"/>
      <c r="Y189" s="50"/>
      <c r="Z189" s="43"/>
      <c r="AA189" s="50"/>
      <c r="AB189" s="43"/>
      <c r="AC189" s="50"/>
      <c r="AD189" s="43"/>
      <c r="AE189" s="50"/>
      <c r="AF189" s="43"/>
      <c r="AG189" s="50"/>
      <c r="AH189" s="43"/>
      <c r="AI189" s="50"/>
      <c r="AJ189" s="43"/>
      <c r="AK189" s="50"/>
      <c r="AL189" s="43"/>
      <c r="AM189" s="50"/>
      <c r="AO189" s="43"/>
      <c r="AP189" s="46"/>
      <c r="AQ189" s="43"/>
      <c r="AR189" s="119"/>
      <c r="AS189" s="1"/>
      <c r="AT189" s="1"/>
    </row>
    <row r="190">
      <c r="A190" s="43"/>
      <c r="B190" s="59" t="str">
        <f>IFERROR(HYPERLINK(VLOOKUP(A190,Internal_lists_bugs!$A$2:$C$73,3,FALSE()), VLOOKUP(A190,Internal_lists_bugs!$A$2:$C$73,3,FALSE())&amp;Char(10) &amp; Char(10) &amp; VLOOKUP(A190,Internal_lists_bugs!$A$2:$Z$73,26,FALSE())),"please select a BUG ID")</f>
        <v>please select a BUG ID</v>
      </c>
      <c r="C190" s="51" t="str">
        <f>IFERROR(VLOOKUP(A190,Internal_lists_bugs!$A$2:$G2003,7,FALSE()),"please select a BUG ID")</f>
        <v>please select a BUG ID</v>
      </c>
      <c r="D190" s="43"/>
      <c r="E190" s="61"/>
      <c r="F190" s="43"/>
      <c r="G190" s="61"/>
      <c r="H190" s="43"/>
      <c r="I190" s="61"/>
      <c r="J190" s="43"/>
      <c r="K190" s="50"/>
      <c r="L190" s="43"/>
      <c r="M190" s="50"/>
      <c r="N190" s="43"/>
      <c r="O190" s="50"/>
      <c r="P190" s="43"/>
      <c r="Q190" s="50"/>
      <c r="R190" s="43"/>
      <c r="S190" s="50"/>
      <c r="T190" s="43"/>
      <c r="U190" s="50"/>
      <c r="V190" s="43"/>
      <c r="W190" s="50"/>
      <c r="X190" s="43"/>
      <c r="Y190" s="50"/>
      <c r="Z190" s="43"/>
      <c r="AA190" s="50"/>
      <c r="AB190" s="43"/>
      <c r="AC190" s="50"/>
      <c r="AD190" s="43"/>
      <c r="AE190" s="50"/>
      <c r="AF190" s="43"/>
      <c r="AG190" s="50"/>
      <c r="AH190" s="43"/>
      <c r="AI190" s="50"/>
      <c r="AJ190" s="43"/>
      <c r="AK190" s="50"/>
      <c r="AL190" s="43"/>
      <c r="AM190" s="50"/>
      <c r="AO190" s="43"/>
      <c r="AP190" s="46"/>
      <c r="AQ190" s="43"/>
      <c r="AR190" s="119"/>
      <c r="AS190" s="1"/>
      <c r="AT190" s="1"/>
    </row>
    <row r="191">
      <c r="A191" s="43"/>
      <c r="B191" s="59" t="str">
        <f>IFERROR(HYPERLINK(VLOOKUP(A191,Internal_lists_bugs!$A$2:$C$73,3,FALSE()), VLOOKUP(A191,Internal_lists_bugs!$A$2:$C$73,3,FALSE())&amp;Char(10) &amp; Char(10) &amp; VLOOKUP(A191,Internal_lists_bugs!$A$2:$Z$73,26,FALSE())),"please select a BUG ID")</f>
        <v>please select a BUG ID</v>
      </c>
      <c r="C191" s="51" t="str">
        <f>IFERROR(VLOOKUP(A191,Internal_lists_bugs!$A$2:$G2003,7,FALSE()),"please select a BUG ID")</f>
        <v>please select a BUG ID</v>
      </c>
      <c r="D191" s="43"/>
      <c r="E191" s="61"/>
      <c r="F191" s="43"/>
      <c r="G191" s="61"/>
      <c r="H191" s="43"/>
      <c r="I191" s="61"/>
      <c r="J191" s="43"/>
      <c r="K191" s="50"/>
      <c r="L191" s="43"/>
      <c r="M191" s="50"/>
      <c r="N191" s="43"/>
      <c r="O191" s="50"/>
      <c r="P191" s="43"/>
      <c r="Q191" s="50"/>
      <c r="R191" s="43"/>
      <c r="S191" s="50"/>
      <c r="T191" s="43"/>
      <c r="U191" s="50"/>
      <c r="V191" s="43"/>
      <c r="W191" s="50"/>
      <c r="X191" s="43"/>
      <c r="Y191" s="50"/>
      <c r="Z191" s="43"/>
      <c r="AA191" s="50"/>
      <c r="AB191" s="43"/>
      <c r="AC191" s="50"/>
      <c r="AD191" s="43"/>
      <c r="AE191" s="50"/>
      <c r="AF191" s="43"/>
      <c r="AG191" s="50"/>
      <c r="AH191" s="43"/>
      <c r="AI191" s="50"/>
      <c r="AJ191" s="43"/>
      <c r="AK191" s="50"/>
      <c r="AL191" s="43"/>
      <c r="AM191" s="50"/>
      <c r="AO191" s="43"/>
      <c r="AP191" s="46"/>
      <c r="AQ191" s="43"/>
      <c r="AR191" s="119"/>
      <c r="AS191" s="1"/>
      <c r="AT191" s="1"/>
    </row>
    <row r="192">
      <c r="A192" s="43"/>
      <c r="B192" s="59" t="str">
        <f>IFERROR(HYPERLINK(VLOOKUP(A192,Internal_lists_bugs!$A$2:$C$73,3,FALSE()), VLOOKUP(A192,Internal_lists_bugs!$A$2:$C$73,3,FALSE())&amp;Char(10) &amp; Char(10) &amp; VLOOKUP(A192,Internal_lists_bugs!$A$2:$Z$73,26,FALSE())),"please select a BUG ID")</f>
        <v>please select a BUG ID</v>
      </c>
      <c r="C192" s="51" t="str">
        <f>IFERROR(VLOOKUP(A192,Internal_lists_bugs!$A$2:$G2003,7,FALSE()),"please select a BUG ID")</f>
        <v>please select a BUG ID</v>
      </c>
      <c r="D192" s="43"/>
      <c r="E192" s="61"/>
      <c r="F192" s="43"/>
      <c r="G192" s="61"/>
      <c r="H192" s="43"/>
      <c r="I192" s="61"/>
      <c r="J192" s="43"/>
      <c r="K192" s="50"/>
      <c r="L192" s="43"/>
      <c r="M192" s="50"/>
      <c r="N192" s="43"/>
      <c r="O192" s="50"/>
      <c r="P192" s="43"/>
      <c r="Q192" s="50"/>
      <c r="R192" s="43"/>
      <c r="S192" s="50"/>
      <c r="T192" s="43"/>
      <c r="U192" s="50"/>
      <c r="V192" s="43"/>
      <c r="W192" s="50"/>
      <c r="X192" s="43"/>
      <c r="Y192" s="50"/>
      <c r="Z192" s="43"/>
      <c r="AA192" s="50"/>
      <c r="AB192" s="43"/>
      <c r="AC192" s="50"/>
      <c r="AD192" s="43"/>
      <c r="AE192" s="50"/>
      <c r="AF192" s="43"/>
      <c r="AG192" s="50"/>
      <c r="AH192" s="43"/>
      <c r="AI192" s="50"/>
      <c r="AJ192" s="43"/>
      <c r="AK192" s="50"/>
      <c r="AL192" s="43"/>
      <c r="AM192" s="50"/>
      <c r="AO192" s="43"/>
      <c r="AP192" s="46"/>
      <c r="AQ192" s="43"/>
      <c r="AR192" s="119"/>
      <c r="AS192" s="1"/>
      <c r="AT192" s="1"/>
    </row>
    <row r="193">
      <c r="A193" s="43"/>
      <c r="B193" s="59" t="str">
        <f>IFERROR(HYPERLINK(VLOOKUP(A193,Internal_lists_bugs!$A$2:$C$73,3,FALSE()), VLOOKUP(A193,Internal_lists_bugs!$A$2:$C$73,3,FALSE())&amp;Char(10) &amp; Char(10) &amp; VLOOKUP(A193,Internal_lists_bugs!$A$2:$Z$73,26,FALSE())),"please select a BUG ID")</f>
        <v>please select a BUG ID</v>
      </c>
      <c r="C193" s="51" t="str">
        <f>IFERROR(VLOOKUP(A193,Internal_lists_bugs!$A$2:$G2003,7,FALSE()),"please select a BUG ID")</f>
        <v>please select a BUG ID</v>
      </c>
      <c r="D193" s="43"/>
      <c r="E193" s="61"/>
      <c r="F193" s="43"/>
      <c r="G193" s="61"/>
      <c r="H193" s="43"/>
      <c r="I193" s="61"/>
      <c r="J193" s="43"/>
      <c r="K193" s="50"/>
      <c r="L193" s="43"/>
      <c r="M193" s="50"/>
      <c r="N193" s="43"/>
      <c r="O193" s="50"/>
      <c r="P193" s="43"/>
      <c r="Q193" s="50"/>
      <c r="R193" s="43"/>
      <c r="S193" s="50"/>
      <c r="T193" s="43"/>
      <c r="U193" s="50"/>
      <c r="V193" s="43"/>
      <c r="W193" s="50"/>
      <c r="X193" s="43"/>
      <c r="Y193" s="50"/>
      <c r="Z193" s="43"/>
      <c r="AA193" s="50"/>
      <c r="AB193" s="43"/>
      <c r="AC193" s="50"/>
      <c r="AD193" s="43"/>
      <c r="AE193" s="50"/>
      <c r="AF193" s="43"/>
      <c r="AG193" s="50"/>
      <c r="AH193" s="43"/>
      <c r="AI193" s="50"/>
      <c r="AJ193" s="43"/>
      <c r="AK193" s="50"/>
      <c r="AL193" s="43"/>
      <c r="AM193" s="50"/>
      <c r="AO193" s="43"/>
      <c r="AP193" s="46"/>
      <c r="AQ193" s="43"/>
      <c r="AR193" s="119"/>
      <c r="AS193" s="1"/>
      <c r="AT193" s="1"/>
    </row>
    <row r="194">
      <c r="A194" s="43"/>
      <c r="B194" s="59" t="str">
        <f>IFERROR(HYPERLINK(VLOOKUP(A194,Internal_lists_bugs!$A$2:$C$73,3,FALSE()), VLOOKUP(A194,Internal_lists_bugs!$A$2:$C$73,3,FALSE())&amp;Char(10) &amp; Char(10) &amp; VLOOKUP(A194,Internal_lists_bugs!$A$2:$Z$73,26,FALSE())),"please select a BUG ID")</f>
        <v>please select a BUG ID</v>
      </c>
      <c r="C194" s="51" t="str">
        <f>IFERROR(VLOOKUP(A194,Internal_lists_bugs!$A$2:$G2003,7,FALSE()),"please select a BUG ID")</f>
        <v>please select a BUG ID</v>
      </c>
      <c r="D194" s="43"/>
      <c r="E194" s="61"/>
      <c r="F194" s="43"/>
      <c r="G194" s="61"/>
      <c r="H194" s="43"/>
      <c r="I194" s="61"/>
      <c r="J194" s="43"/>
      <c r="K194" s="50"/>
      <c r="L194" s="43"/>
      <c r="M194" s="50"/>
      <c r="N194" s="43"/>
      <c r="O194" s="50"/>
      <c r="P194" s="43"/>
      <c r="Q194" s="50"/>
      <c r="R194" s="43"/>
      <c r="S194" s="50"/>
      <c r="T194" s="43"/>
      <c r="U194" s="50"/>
      <c r="V194" s="43"/>
      <c r="W194" s="50"/>
      <c r="X194" s="43"/>
      <c r="Y194" s="50"/>
      <c r="Z194" s="43"/>
      <c r="AA194" s="50"/>
      <c r="AB194" s="43"/>
      <c r="AC194" s="50"/>
      <c r="AD194" s="43"/>
      <c r="AE194" s="50"/>
      <c r="AF194" s="43"/>
      <c r="AG194" s="50"/>
      <c r="AH194" s="43"/>
      <c r="AI194" s="50"/>
      <c r="AJ194" s="43"/>
      <c r="AK194" s="50"/>
      <c r="AL194" s="43"/>
      <c r="AM194" s="50"/>
      <c r="AO194" s="43"/>
      <c r="AP194" s="46"/>
      <c r="AQ194" s="43"/>
      <c r="AR194" s="119"/>
      <c r="AS194" s="1"/>
      <c r="AT194" s="1"/>
    </row>
    <row r="195">
      <c r="A195" s="43"/>
      <c r="B195" s="59" t="str">
        <f>IFERROR(HYPERLINK(VLOOKUP(A195,Internal_lists_bugs!$A$2:$C$73,3,FALSE()), VLOOKUP(A195,Internal_lists_bugs!$A$2:$C$73,3,FALSE())&amp;Char(10) &amp; Char(10) &amp; VLOOKUP(A195,Internal_lists_bugs!$A$2:$Z$73,26,FALSE())),"please select a BUG ID")</f>
        <v>please select a BUG ID</v>
      </c>
      <c r="C195" s="51" t="str">
        <f>IFERROR(VLOOKUP(A195,Internal_lists_bugs!$A$2:$G2003,7,FALSE()),"please select a BUG ID")</f>
        <v>please select a BUG ID</v>
      </c>
      <c r="D195" s="43"/>
      <c r="E195" s="61"/>
      <c r="F195" s="43"/>
      <c r="G195" s="61"/>
      <c r="H195" s="43"/>
      <c r="I195" s="61"/>
      <c r="J195" s="43"/>
      <c r="K195" s="50"/>
      <c r="L195" s="43"/>
      <c r="M195" s="50"/>
      <c r="N195" s="43"/>
      <c r="O195" s="50"/>
      <c r="P195" s="43"/>
      <c r="Q195" s="50"/>
      <c r="R195" s="43"/>
      <c r="S195" s="50"/>
      <c r="T195" s="43"/>
      <c r="U195" s="50"/>
      <c r="V195" s="43"/>
      <c r="W195" s="50"/>
      <c r="X195" s="43"/>
      <c r="Y195" s="50"/>
      <c r="Z195" s="43"/>
      <c r="AA195" s="50"/>
      <c r="AB195" s="43"/>
      <c r="AC195" s="50"/>
      <c r="AD195" s="43"/>
      <c r="AE195" s="50"/>
      <c r="AF195" s="43"/>
      <c r="AG195" s="50"/>
      <c r="AH195" s="43"/>
      <c r="AI195" s="50"/>
      <c r="AJ195" s="43"/>
      <c r="AK195" s="50"/>
      <c r="AL195" s="43"/>
      <c r="AM195" s="50"/>
      <c r="AO195" s="43"/>
      <c r="AP195" s="46"/>
      <c r="AQ195" s="43"/>
      <c r="AR195" s="119"/>
      <c r="AS195" s="1"/>
      <c r="AT195" s="1"/>
    </row>
    <row r="196">
      <c r="A196" s="43"/>
      <c r="B196" s="59" t="str">
        <f>IFERROR(HYPERLINK(VLOOKUP(A196,Internal_lists_bugs!$A$2:$C$73,3,FALSE()), VLOOKUP(A196,Internal_lists_bugs!$A$2:$C$73,3,FALSE())&amp;Char(10) &amp; Char(10) &amp; VLOOKUP(A196,Internal_lists_bugs!$A$2:$Z$73,26,FALSE())),"please select a BUG ID")</f>
        <v>please select a BUG ID</v>
      </c>
      <c r="C196" s="51" t="str">
        <f>IFERROR(VLOOKUP(A196,Internal_lists_bugs!$A$2:$G2003,7,FALSE()),"please select a BUG ID")</f>
        <v>please select a BUG ID</v>
      </c>
      <c r="D196" s="43"/>
      <c r="E196" s="61"/>
      <c r="F196" s="43"/>
      <c r="G196" s="61"/>
      <c r="H196" s="43"/>
      <c r="I196" s="61"/>
      <c r="J196" s="43"/>
      <c r="K196" s="50"/>
      <c r="L196" s="43"/>
      <c r="M196" s="50"/>
      <c r="N196" s="43"/>
      <c r="O196" s="50"/>
      <c r="P196" s="43"/>
      <c r="Q196" s="50"/>
      <c r="R196" s="43"/>
      <c r="S196" s="50"/>
      <c r="T196" s="43"/>
      <c r="U196" s="50"/>
      <c r="V196" s="43"/>
      <c r="W196" s="50"/>
      <c r="X196" s="43"/>
      <c r="Y196" s="50"/>
      <c r="Z196" s="43"/>
      <c r="AA196" s="50"/>
      <c r="AB196" s="43"/>
      <c r="AC196" s="50"/>
      <c r="AD196" s="43"/>
      <c r="AE196" s="50"/>
      <c r="AF196" s="43"/>
      <c r="AG196" s="50"/>
      <c r="AH196" s="43"/>
      <c r="AI196" s="50"/>
      <c r="AJ196" s="43"/>
      <c r="AK196" s="50"/>
      <c r="AL196" s="43"/>
      <c r="AM196" s="50"/>
      <c r="AO196" s="43"/>
      <c r="AP196" s="46"/>
      <c r="AQ196" s="43"/>
      <c r="AR196" s="119"/>
      <c r="AS196" s="1"/>
      <c r="AT196" s="1"/>
    </row>
    <row r="197">
      <c r="A197" s="43"/>
      <c r="B197" s="59" t="str">
        <f>IFERROR(HYPERLINK(VLOOKUP(A197,Internal_lists_bugs!$A$2:$C$73,3,FALSE()), VLOOKUP(A197,Internal_lists_bugs!$A$2:$C$73,3,FALSE())&amp;Char(10) &amp; Char(10) &amp; VLOOKUP(A197,Internal_lists_bugs!$A$2:$Z$73,26,FALSE())),"please select a BUG ID")</f>
        <v>please select a BUG ID</v>
      </c>
      <c r="C197" s="51" t="str">
        <f>IFERROR(VLOOKUP(A197,Internal_lists_bugs!$A$2:$G2003,7,FALSE()),"please select a BUG ID")</f>
        <v>please select a BUG ID</v>
      </c>
      <c r="D197" s="43"/>
      <c r="E197" s="61"/>
      <c r="F197" s="43"/>
      <c r="G197" s="61"/>
      <c r="H197" s="43"/>
      <c r="I197" s="61"/>
      <c r="J197" s="43"/>
      <c r="K197" s="50"/>
      <c r="L197" s="43"/>
      <c r="M197" s="50"/>
      <c r="N197" s="43"/>
      <c r="O197" s="50"/>
      <c r="P197" s="43"/>
      <c r="Q197" s="50"/>
      <c r="R197" s="43"/>
      <c r="S197" s="50"/>
      <c r="T197" s="43"/>
      <c r="U197" s="50"/>
      <c r="V197" s="43"/>
      <c r="W197" s="50"/>
      <c r="X197" s="43"/>
      <c r="Y197" s="50"/>
      <c r="Z197" s="43"/>
      <c r="AA197" s="50"/>
      <c r="AB197" s="43"/>
      <c r="AC197" s="50"/>
      <c r="AD197" s="43"/>
      <c r="AE197" s="50"/>
      <c r="AF197" s="43"/>
      <c r="AG197" s="50"/>
      <c r="AH197" s="43"/>
      <c r="AI197" s="50"/>
      <c r="AJ197" s="43"/>
      <c r="AK197" s="50"/>
      <c r="AL197" s="43"/>
      <c r="AM197" s="50"/>
      <c r="AO197" s="43"/>
      <c r="AP197" s="46"/>
      <c r="AQ197" s="43"/>
      <c r="AR197" s="119"/>
      <c r="AS197" s="1"/>
      <c r="AT197" s="1"/>
    </row>
    <row r="198">
      <c r="A198" s="43"/>
      <c r="B198" s="59" t="str">
        <f>IFERROR(HYPERLINK(VLOOKUP(A198,Internal_lists_bugs!$A$2:$C$73,3,FALSE()), VLOOKUP(A198,Internal_lists_bugs!$A$2:$C$73,3,FALSE())&amp;Char(10) &amp; Char(10) &amp; VLOOKUP(A198,Internal_lists_bugs!$A$2:$Z$73,26,FALSE())),"please select a BUG ID")</f>
        <v>please select a BUG ID</v>
      </c>
      <c r="C198" s="51" t="str">
        <f>IFERROR(VLOOKUP(A198,Internal_lists_bugs!$A$2:$G2003,7,FALSE()),"please select a BUG ID")</f>
        <v>please select a BUG ID</v>
      </c>
      <c r="D198" s="43"/>
      <c r="E198" s="61"/>
      <c r="F198" s="43"/>
      <c r="G198" s="61"/>
      <c r="H198" s="43"/>
      <c r="I198" s="61"/>
      <c r="J198" s="43"/>
      <c r="K198" s="50"/>
      <c r="L198" s="43"/>
      <c r="M198" s="50"/>
      <c r="N198" s="43"/>
      <c r="O198" s="50"/>
      <c r="P198" s="43"/>
      <c r="Q198" s="50"/>
      <c r="R198" s="43"/>
      <c r="S198" s="50"/>
      <c r="T198" s="43"/>
      <c r="U198" s="50"/>
      <c r="V198" s="43"/>
      <c r="W198" s="50"/>
      <c r="X198" s="43"/>
      <c r="Y198" s="50"/>
      <c r="Z198" s="43"/>
      <c r="AA198" s="50"/>
      <c r="AB198" s="43"/>
      <c r="AC198" s="50"/>
      <c r="AD198" s="43"/>
      <c r="AE198" s="50"/>
      <c r="AF198" s="43"/>
      <c r="AG198" s="50"/>
      <c r="AH198" s="43"/>
      <c r="AI198" s="50"/>
      <c r="AJ198" s="43"/>
      <c r="AK198" s="50"/>
      <c r="AL198" s="43"/>
      <c r="AM198" s="50"/>
      <c r="AO198" s="43"/>
      <c r="AP198" s="46"/>
      <c r="AQ198" s="43"/>
      <c r="AR198" s="119"/>
      <c r="AS198" s="1"/>
      <c r="AT198" s="1"/>
    </row>
    <row r="199">
      <c r="A199" s="43"/>
      <c r="B199" s="59" t="str">
        <f>IFERROR(HYPERLINK(VLOOKUP(A199,Internal_lists_bugs!$A$2:$C$73,3,FALSE()), VLOOKUP(A199,Internal_lists_bugs!$A$2:$C$73,3,FALSE())&amp;Char(10) &amp; Char(10) &amp; VLOOKUP(A199,Internal_lists_bugs!$A$2:$Z$73,26,FALSE())),"please select a BUG ID")</f>
        <v>please select a BUG ID</v>
      </c>
      <c r="C199" s="51" t="str">
        <f>IFERROR(VLOOKUP(A199,Internal_lists_bugs!$A$2:$G2003,7,FALSE()),"please select a BUG ID")</f>
        <v>please select a BUG ID</v>
      </c>
      <c r="D199" s="43"/>
      <c r="E199" s="61"/>
      <c r="F199" s="43"/>
      <c r="G199" s="61"/>
      <c r="H199" s="43"/>
      <c r="I199" s="61"/>
      <c r="J199" s="43"/>
      <c r="K199" s="50"/>
      <c r="L199" s="43"/>
      <c r="M199" s="50"/>
      <c r="N199" s="43"/>
      <c r="O199" s="50"/>
      <c r="P199" s="43"/>
      <c r="Q199" s="50"/>
      <c r="R199" s="43"/>
      <c r="S199" s="50"/>
      <c r="T199" s="43"/>
      <c r="U199" s="50"/>
      <c r="V199" s="43"/>
      <c r="W199" s="50"/>
      <c r="X199" s="43"/>
      <c r="Y199" s="50"/>
      <c r="Z199" s="43"/>
      <c r="AA199" s="50"/>
      <c r="AB199" s="43"/>
      <c r="AC199" s="50"/>
      <c r="AD199" s="43"/>
      <c r="AE199" s="50"/>
      <c r="AF199" s="43"/>
      <c r="AG199" s="50"/>
      <c r="AH199" s="43"/>
      <c r="AI199" s="50"/>
      <c r="AJ199" s="43"/>
      <c r="AK199" s="50"/>
      <c r="AL199" s="43"/>
      <c r="AM199" s="50"/>
      <c r="AO199" s="43"/>
      <c r="AP199" s="46"/>
      <c r="AQ199" s="43"/>
      <c r="AR199" s="119"/>
      <c r="AS199" s="1"/>
      <c r="AT199" s="1"/>
    </row>
    <row r="200">
      <c r="A200" s="43"/>
      <c r="B200" s="59" t="str">
        <f>IFERROR(HYPERLINK(VLOOKUP(A200,Internal_lists_bugs!$A$2:$C$73,3,FALSE()), VLOOKUP(A200,Internal_lists_bugs!$A$2:$C$73,3,FALSE())&amp;Char(10) &amp; Char(10) &amp; VLOOKUP(A200,Internal_lists_bugs!$A$2:$Z$73,26,FALSE())),"please select a BUG ID")</f>
        <v>please select a BUG ID</v>
      </c>
      <c r="C200" s="51" t="str">
        <f>IFERROR(VLOOKUP(A200,Internal_lists_bugs!$A$2:$G2003,7,FALSE()),"please select a BUG ID")</f>
        <v>please select a BUG ID</v>
      </c>
      <c r="D200" s="43"/>
      <c r="E200" s="61"/>
      <c r="F200" s="43"/>
      <c r="G200" s="61"/>
      <c r="H200" s="43"/>
      <c r="I200" s="61"/>
      <c r="J200" s="43"/>
      <c r="K200" s="50"/>
      <c r="L200" s="43"/>
      <c r="M200" s="50"/>
      <c r="N200" s="43"/>
      <c r="O200" s="50"/>
      <c r="P200" s="43"/>
      <c r="Q200" s="50"/>
      <c r="R200" s="43"/>
      <c r="S200" s="50"/>
      <c r="T200" s="43"/>
      <c r="U200" s="50"/>
      <c r="V200" s="43"/>
      <c r="W200" s="50"/>
      <c r="X200" s="43"/>
      <c r="Y200" s="50"/>
      <c r="Z200" s="43"/>
      <c r="AA200" s="50"/>
      <c r="AB200" s="43"/>
      <c r="AC200" s="50"/>
      <c r="AD200" s="43"/>
      <c r="AE200" s="50"/>
      <c r="AF200" s="43"/>
      <c r="AG200" s="50"/>
      <c r="AH200" s="43"/>
      <c r="AI200" s="50"/>
      <c r="AJ200" s="43"/>
      <c r="AK200" s="50"/>
      <c r="AL200" s="43"/>
      <c r="AM200" s="50"/>
      <c r="AO200" s="43"/>
      <c r="AP200" s="46"/>
      <c r="AQ200" s="43"/>
      <c r="AR200" s="119"/>
      <c r="AS200" s="1"/>
      <c r="AT200" s="1"/>
    </row>
    <row r="201">
      <c r="A201" s="43"/>
      <c r="B201" s="59" t="str">
        <f>IFERROR(HYPERLINK(VLOOKUP(A201,Internal_lists_bugs!$A$2:$C$73,3,FALSE()), VLOOKUP(A201,Internal_lists_bugs!$A$2:$C$73,3,FALSE())&amp;Char(10) &amp; Char(10) &amp; VLOOKUP(A201,Internal_lists_bugs!$A$2:$Z$73,26,FALSE())),"please select a BUG ID")</f>
        <v>please select a BUG ID</v>
      </c>
      <c r="C201" s="51" t="str">
        <f>IFERROR(VLOOKUP(A201,Internal_lists_bugs!$A$2:$G2003,7,FALSE()),"please select a BUG ID")</f>
        <v>please select a BUG ID</v>
      </c>
      <c r="D201" s="43"/>
      <c r="E201" s="61"/>
      <c r="F201" s="43"/>
      <c r="G201" s="61"/>
      <c r="H201" s="43"/>
      <c r="I201" s="61"/>
      <c r="J201" s="43"/>
      <c r="K201" s="50"/>
      <c r="L201" s="43"/>
      <c r="M201" s="50"/>
      <c r="N201" s="43"/>
      <c r="O201" s="50"/>
      <c r="P201" s="43"/>
      <c r="Q201" s="50"/>
      <c r="R201" s="43"/>
      <c r="S201" s="50"/>
      <c r="T201" s="43"/>
      <c r="U201" s="50"/>
      <c r="V201" s="43"/>
      <c r="W201" s="50"/>
      <c r="X201" s="43"/>
      <c r="Y201" s="50"/>
      <c r="Z201" s="43"/>
      <c r="AA201" s="50"/>
      <c r="AB201" s="43"/>
      <c r="AC201" s="50"/>
      <c r="AD201" s="43"/>
      <c r="AE201" s="50"/>
      <c r="AF201" s="43"/>
      <c r="AG201" s="50"/>
      <c r="AH201" s="43"/>
      <c r="AI201" s="50"/>
      <c r="AJ201" s="43"/>
      <c r="AK201" s="50"/>
      <c r="AL201" s="43"/>
      <c r="AM201" s="50"/>
      <c r="AO201" s="43"/>
      <c r="AP201" s="46"/>
      <c r="AQ201" s="43"/>
      <c r="AR201" s="119"/>
      <c r="AS201" s="1"/>
      <c r="AT201" s="1"/>
    </row>
    <row r="202">
      <c r="A202" s="43"/>
      <c r="B202" s="59" t="str">
        <f>IFERROR(HYPERLINK(VLOOKUP(A202,Internal_lists_bugs!$A$2:$C$73,3,FALSE()), VLOOKUP(A202,Internal_lists_bugs!$A$2:$C$73,3,FALSE())&amp;Char(10) &amp; Char(10) &amp; VLOOKUP(A202,Internal_lists_bugs!$A$2:$Z$73,26,FALSE())),"please select a BUG ID")</f>
        <v>please select a BUG ID</v>
      </c>
      <c r="C202" s="51" t="str">
        <f>IFERROR(VLOOKUP(A202,Internal_lists_bugs!$A$2:$G2003,7,FALSE()),"please select a BUG ID")</f>
        <v>please select a BUG ID</v>
      </c>
      <c r="D202" s="43"/>
      <c r="E202" s="61"/>
      <c r="F202" s="43"/>
      <c r="G202" s="61"/>
      <c r="H202" s="43"/>
      <c r="I202" s="61"/>
      <c r="J202" s="43"/>
      <c r="K202" s="50"/>
      <c r="L202" s="43"/>
      <c r="M202" s="50"/>
      <c r="N202" s="43"/>
      <c r="O202" s="50"/>
      <c r="P202" s="43"/>
      <c r="Q202" s="50"/>
      <c r="R202" s="43"/>
      <c r="S202" s="50"/>
      <c r="T202" s="43"/>
      <c r="U202" s="50"/>
      <c r="V202" s="43"/>
      <c r="W202" s="50"/>
      <c r="X202" s="43"/>
      <c r="Y202" s="50"/>
      <c r="Z202" s="43"/>
      <c r="AA202" s="50"/>
      <c r="AB202" s="43"/>
      <c r="AC202" s="50"/>
      <c r="AD202" s="43"/>
      <c r="AE202" s="50"/>
      <c r="AF202" s="43"/>
      <c r="AG202" s="50"/>
      <c r="AH202" s="43"/>
      <c r="AI202" s="50"/>
      <c r="AJ202" s="43"/>
      <c r="AK202" s="50"/>
      <c r="AL202" s="43"/>
      <c r="AM202" s="50"/>
      <c r="AO202" s="43"/>
      <c r="AP202" s="46"/>
      <c r="AQ202" s="43"/>
      <c r="AR202" s="119"/>
      <c r="AS202" s="1"/>
      <c r="AT202" s="1"/>
    </row>
    <row r="203">
      <c r="A203" s="43"/>
      <c r="B203" s="59" t="str">
        <f>IFERROR(HYPERLINK(VLOOKUP(A203,Internal_lists_bugs!$A$2:$C$73,3,FALSE()), VLOOKUP(A203,Internal_lists_bugs!$A$2:$C$73,3,FALSE())&amp;Char(10) &amp; Char(10) &amp; VLOOKUP(A203,Internal_lists_bugs!$A$2:$Z$73,26,FALSE())),"please select a BUG ID")</f>
        <v>please select a BUG ID</v>
      </c>
      <c r="C203" s="51" t="str">
        <f>IFERROR(VLOOKUP(A203,Internal_lists_bugs!$A$2:$G2003,7,FALSE()),"please select a BUG ID")</f>
        <v>please select a BUG ID</v>
      </c>
      <c r="D203" s="43"/>
      <c r="E203" s="61"/>
      <c r="F203" s="43"/>
      <c r="G203" s="61"/>
      <c r="H203" s="43"/>
      <c r="I203" s="61"/>
      <c r="J203" s="43"/>
      <c r="K203" s="50"/>
      <c r="L203" s="43"/>
      <c r="M203" s="50"/>
      <c r="N203" s="43"/>
      <c r="O203" s="50"/>
      <c r="P203" s="43"/>
      <c r="Q203" s="50"/>
      <c r="R203" s="43"/>
      <c r="S203" s="50"/>
      <c r="T203" s="43"/>
      <c r="U203" s="50"/>
      <c r="V203" s="43"/>
      <c r="W203" s="50"/>
      <c r="X203" s="43"/>
      <c r="Y203" s="50"/>
      <c r="Z203" s="43"/>
      <c r="AA203" s="50"/>
      <c r="AB203" s="43"/>
      <c r="AC203" s="50"/>
      <c r="AD203" s="43"/>
      <c r="AE203" s="50"/>
      <c r="AF203" s="43"/>
      <c r="AG203" s="50"/>
      <c r="AH203" s="43"/>
      <c r="AI203" s="50"/>
      <c r="AJ203" s="43"/>
      <c r="AK203" s="50"/>
      <c r="AL203" s="43"/>
      <c r="AM203" s="50"/>
      <c r="AO203" s="43"/>
      <c r="AP203" s="46"/>
      <c r="AQ203" s="43"/>
      <c r="AR203" s="119"/>
      <c r="AS203" s="1"/>
      <c r="AT203" s="1"/>
    </row>
    <row r="204">
      <c r="A204" s="43"/>
      <c r="B204" s="59" t="str">
        <f>IFERROR(HYPERLINK(VLOOKUP(A204,Internal_lists_bugs!$A$2:$C$73,3,FALSE()), VLOOKUP(A204,Internal_lists_bugs!$A$2:$C$73,3,FALSE())&amp;Char(10) &amp; Char(10) &amp; VLOOKUP(A204,Internal_lists_bugs!$A$2:$Z$73,26,FALSE())),"please select a BUG ID")</f>
        <v>please select a BUG ID</v>
      </c>
      <c r="C204" s="51" t="str">
        <f>IFERROR(VLOOKUP(A204,Internal_lists_bugs!$A$2:$G2003,7,FALSE()),"please select a BUG ID")</f>
        <v>please select a BUG ID</v>
      </c>
      <c r="D204" s="43"/>
      <c r="E204" s="61"/>
      <c r="F204" s="43"/>
      <c r="G204" s="61"/>
      <c r="H204" s="43"/>
      <c r="I204" s="61"/>
      <c r="J204" s="43"/>
      <c r="K204" s="50"/>
      <c r="L204" s="43"/>
      <c r="M204" s="50"/>
      <c r="N204" s="43"/>
      <c r="O204" s="50"/>
      <c r="P204" s="43"/>
      <c r="Q204" s="50"/>
      <c r="R204" s="43"/>
      <c r="S204" s="50"/>
      <c r="T204" s="43"/>
      <c r="U204" s="50"/>
      <c r="V204" s="43"/>
      <c r="W204" s="50"/>
      <c r="X204" s="43"/>
      <c r="Y204" s="50"/>
      <c r="Z204" s="43"/>
      <c r="AA204" s="50"/>
      <c r="AB204" s="43"/>
      <c r="AC204" s="50"/>
      <c r="AD204" s="43"/>
      <c r="AE204" s="50"/>
      <c r="AF204" s="43"/>
      <c r="AG204" s="50"/>
      <c r="AH204" s="43"/>
      <c r="AI204" s="50"/>
      <c r="AJ204" s="43"/>
      <c r="AK204" s="50"/>
      <c r="AL204" s="43"/>
      <c r="AM204" s="50"/>
      <c r="AO204" s="43"/>
      <c r="AP204" s="46"/>
      <c r="AQ204" s="43"/>
      <c r="AR204" s="119"/>
      <c r="AS204" s="1"/>
      <c r="AT204" s="1"/>
    </row>
    <row r="205">
      <c r="A205" s="43"/>
      <c r="B205" s="59" t="str">
        <f>IFERROR(HYPERLINK(VLOOKUP(A205,Internal_lists_bugs!$A$2:$C$73,3,FALSE()), VLOOKUP(A205,Internal_lists_bugs!$A$2:$C$73,3,FALSE())&amp;Char(10) &amp; Char(10) &amp; VLOOKUP(A205,Internal_lists_bugs!$A$2:$Z$73,26,FALSE())),"please select a BUG ID")</f>
        <v>please select a BUG ID</v>
      </c>
      <c r="C205" s="51" t="str">
        <f>IFERROR(VLOOKUP(A205,Internal_lists_bugs!$A$2:$G2003,7,FALSE()),"please select a BUG ID")</f>
        <v>please select a BUG ID</v>
      </c>
      <c r="D205" s="43"/>
      <c r="E205" s="61"/>
      <c r="F205" s="43"/>
      <c r="G205" s="61"/>
      <c r="H205" s="43"/>
      <c r="I205" s="61"/>
      <c r="J205" s="43"/>
      <c r="K205" s="50"/>
      <c r="L205" s="43"/>
      <c r="M205" s="50"/>
      <c r="N205" s="43"/>
      <c r="O205" s="50"/>
      <c r="P205" s="43"/>
      <c r="Q205" s="50"/>
      <c r="R205" s="43"/>
      <c r="S205" s="50"/>
      <c r="T205" s="43"/>
      <c r="U205" s="50"/>
      <c r="V205" s="43"/>
      <c r="W205" s="50"/>
      <c r="X205" s="43"/>
      <c r="Y205" s="50"/>
      <c r="Z205" s="43"/>
      <c r="AA205" s="50"/>
      <c r="AB205" s="43"/>
      <c r="AC205" s="50"/>
      <c r="AD205" s="43"/>
      <c r="AE205" s="50"/>
      <c r="AF205" s="43"/>
      <c r="AG205" s="50"/>
      <c r="AH205" s="43"/>
      <c r="AI205" s="50"/>
      <c r="AJ205" s="43"/>
      <c r="AK205" s="50"/>
      <c r="AL205" s="43"/>
      <c r="AM205" s="50"/>
      <c r="AO205" s="43"/>
      <c r="AP205" s="46"/>
      <c r="AQ205" s="43"/>
      <c r="AR205" s="119"/>
      <c r="AS205" s="1"/>
      <c r="AT205" s="1"/>
    </row>
    <row r="206">
      <c r="A206" s="43"/>
      <c r="B206" s="59" t="str">
        <f>IFERROR(HYPERLINK(VLOOKUP(A206,Internal_lists_bugs!$A$2:$C$73,3,FALSE()), VLOOKUP(A206,Internal_lists_bugs!$A$2:$C$73,3,FALSE())&amp;Char(10) &amp; Char(10) &amp; VLOOKUP(A206,Internal_lists_bugs!$A$2:$Z$73,26,FALSE())),"please select a BUG ID")</f>
        <v>please select a BUG ID</v>
      </c>
      <c r="C206" s="51" t="str">
        <f>IFERROR(VLOOKUP(A206,Internal_lists_bugs!$A$2:$G2003,7,FALSE()),"please select a BUG ID")</f>
        <v>please select a BUG ID</v>
      </c>
      <c r="D206" s="43"/>
      <c r="E206" s="61"/>
      <c r="F206" s="43"/>
      <c r="G206" s="61"/>
      <c r="H206" s="43"/>
      <c r="I206" s="61"/>
      <c r="J206" s="43"/>
      <c r="K206" s="50"/>
      <c r="L206" s="43"/>
      <c r="M206" s="50"/>
      <c r="N206" s="43"/>
      <c r="O206" s="50"/>
      <c r="P206" s="43"/>
      <c r="Q206" s="50"/>
      <c r="R206" s="43"/>
      <c r="S206" s="50"/>
      <c r="T206" s="43"/>
      <c r="U206" s="50"/>
      <c r="V206" s="43"/>
      <c r="W206" s="50"/>
      <c r="X206" s="43"/>
      <c r="Y206" s="50"/>
      <c r="Z206" s="43"/>
      <c r="AA206" s="50"/>
      <c r="AB206" s="43"/>
      <c r="AC206" s="50"/>
      <c r="AD206" s="43"/>
      <c r="AE206" s="50"/>
      <c r="AF206" s="43"/>
      <c r="AG206" s="50"/>
      <c r="AH206" s="43"/>
      <c r="AI206" s="50"/>
      <c r="AJ206" s="43"/>
      <c r="AK206" s="50"/>
      <c r="AL206" s="43"/>
      <c r="AM206" s="50"/>
      <c r="AO206" s="43"/>
      <c r="AP206" s="46"/>
      <c r="AQ206" s="43"/>
      <c r="AR206" s="119"/>
      <c r="AS206" s="1"/>
      <c r="AT206" s="1"/>
    </row>
    <row r="207">
      <c r="A207" s="43"/>
      <c r="B207" s="59" t="str">
        <f>IFERROR(HYPERLINK(VLOOKUP(A207,Internal_lists_bugs!$A$2:$C$73,3,FALSE()), VLOOKUP(A207,Internal_lists_bugs!$A$2:$C$73,3,FALSE())&amp;Char(10) &amp; Char(10) &amp; VLOOKUP(A207,Internal_lists_bugs!$A$2:$Z$73,26,FALSE())),"please select a BUG ID")</f>
        <v>please select a BUG ID</v>
      </c>
      <c r="C207" s="51" t="str">
        <f>IFERROR(VLOOKUP(A207,Internal_lists_bugs!$A$2:$G2003,7,FALSE()),"please select a BUG ID")</f>
        <v>please select a BUG ID</v>
      </c>
      <c r="D207" s="43"/>
      <c r="E207" s="61"/>
      <c r="F207" s="43"/>
      <c r="G207" s="61"/>
      <c r="H207" s="43"/>
      <c r="I207" s="61"/>
      <c r="J207" s="43"/>
      <c r="K207" s="50"/>
      <c r="L207" s="43"/>
      <c r="M207" s="50"/>
      <c r="N207" s="43"/>
      <c r="O207" s="50"/>
      <c r="P207" s="43"/>
      <c r="Q207" s="50"/>
      <c r="R207" s="43"/>
      <c r="S207" s="50"/>
      <c r="T207" s="43"/>
      <c r="U207" s="50"/>
      <c r="V207" s="43"/>
      <c r="W207" s="50"/>
      <c r="X207" s="43"/>
      <c r="Y207" s="50"/>
      <c r="Z207" s="43"/>
      <c r="AA207" s="50"/>
      <c r="AB207" s="43"/>
      <c r="AC207" s="50"/>
      <c r="AD207" s="43"/>
      <c r="AE207" s="50"/>
      <c r="AF207" s="43"/>
      <c r="AG207" s="50"/>
      <c r="AH207" s="43"/>
      <c r="AI207" s="50"/>
      <c r="AJ207" s="43"/>
      <c r="AK207" s="50"/>
      <c r="AL207" s="43"/>
      <c r="AM207" s="50"/>
      <c r="AO207" s="43"/>
      <c r="AP207" s="46"/>
      <c r="AQ207" s="43"/>
      <c r="AR207" s="119"/>
      <c r="AS207" s="1"/>
      <c r="AT207" s="1"/>
    </row>
    <row r="208">
      <c r="A208" s="43"/>
      <c r="B208" s="59" t="str">
        <f>IFERROR(HYPERLINK(VLOOKUP(A208,Internal_lists_bugs!$A$2:$C$73,3,FALSE()), VLOOKUP(A208,Internal_lists_bugs!$A$2:$C$73,3,FALSE())&amp;Char(10) &amp; Char(10) &amp; VLOOKUP(A208,Internal_lists_bugs!$A$2:$Z$73,26,FALSE())),"please select a BUG ID")</f>
        <v>please select a BUG ID</v>
      </c>
      <c r="C208" s="51" t="str">
        <f>IFERROR(VLOOKUP(A208,Internal_lists_bugs!$A$2:$G2003,7,FALSE()),"please select a BUG ID")</f>
        <v>please select a BUG ID</v>
      </c>
      <c r="D208" s="43"/>
      <c r="E208" s="61"/>
      <c r="F208" s="43"/>
      <c r="G208" s="61"/>
      <c r="H208" s="43"/>
      <c r="I208" s="61"/>
      <c r="J208" s="43"/>
      <c r="K208" s="50"/>
      <c r="L208" s="43"/>
      <c r="M208" s="50"/>
      <c r="N208" s="43"/>
      <c r="O208" s="50"/>
      <c r="P208" s="43"/>
      <c r="Q208" s="50"/>
      <c r="R208" s="43"/>
      <c r="S208" s="50"/>
      <c r="T208" s="43"/>
      <c r="U208" s="50"/>
      <c r="V208" s="43"/>
      <c r="W208" s="50"/>
      <c r="X208" s="43"/>
      <c r="Y208" s="50"/>
      <c r="Z208" s="43"/>
      <c r="AA208" s="50"/>
      <c r="AB208" s="43"/>
      <c r="AC208" s="50"/>
      <c r="AD208" s="43"/>
      <c r="AE208" s="50"/>
      <c r="AF208" s="43"/>
      <c r="AG208" s="50"/>
      <c r="AH208" s="43"/>
      <c r="AI208" s="50"/>
      <c r="AJ208" s="43"/>
      <c r="AK208" s="50"/>
      <c r="AL208" s="43"/>
      <c r="AM208" s="50"/>
      <c r="AO208" s="43"/>
      <c r="AP208" s="46"/>
      <c r="AQ208" s="43"/>
      <c r="AR208" s="119"/>
      <c r="AS208" s="1"/>
      <c r="AT208" s="1"/>
    </row>
    <row r="209">
      <c r="A209" s="43"/>
      <c r="B209" s="59" t="str">
        <f>IFERROR(HYPERLINK(VLOOKUP(A209,Internal_lists_bugs!$A$2:$C$73,3,FALSE()), VLOOKUP(A209,Internal_lists_bugs!$A$2:$C$73,3,FALSE())&amp;Char(10) &amp; Char(10) &amp; VLOOKUP(A209,Internal_lists_bugs!$A$2:$Z$73,26,FALSE())),"please select a BUG ID")</f>
        <v>please select a BUG ID</v>
      </c>
      <c r="C209" s="51" t="str">
        <f>IFERROR(VLOOKUP(A209,Internal_lists_bugs!$A$2:$G2003,7,FALSE()),"please select a BUG ID")</f>
        <v>please select a BUG ID</v>
      </c>
      <c r="D209" s="43"/>
      <c r="E209" s="61"/>
      <c r="F209" s="43"/>
      <c r="G209" s="61"/>
      <c r="H209" s="43"/>
      <c r="I209" s="61"/>
      <c r="J209" s="43"/>
      <c r="K209" s="50"/>
      <c r="L209" s="43"/>
      <c r="M209" s="50"/>
      <c r="N209" s="43"/>
      <c r="O209" s="50"/>
      <c r="P209" s="43"/>
      <c r="Q209" s="50"/>
      <c r="R209" s="43"/>
      <c r="S209" s="50"/>
      <c r="T209" s="43"/>
      <c r="U209" s="50"/>
      <c r="V209" s="43"/>
      <c r="W209" s="50"/>
      <c r="X209" s="43"/>
      <c r="Y209" s="50"/>
      <c r="Z209" s="43"/>
      <c r="AA209" s="50"/>
      <c r="AB209" s="43"/>
      <c r="AC209" s="50"/>
      <c r="AD209" s="43"/>
      <c r="AE209" s="50"/>
      <c r="AF209" s="43"/>
      <c r="AG209" s="50"/>
      <c r="AH209" s="43"/>
      <c r="AI209" s="50"/>
      <c r="AJ209" s="43"/>
      <c r="AK209" s="50"/>
      <c r="AL209" s="43"/>
      <c r="AM209" s="50"/>
      <c r="AO209" s="43"/>
      <c r="AP209" s="46"/>
      <c r="AQ209" s="43"/>
      <c r="AR209" s="119"/>
      <c r="AS209" s="1"/>
      <c r="AT209" s="1"/>
    </row>
    <row r="210">
      <c r="A210" s="43"/>
      <c r="B210" s="59" t="str">
        <f>IFERROR(HYPERLINK(VLOOKUP(A210,Internal_lists_bugs!$A$2:$C$73,3,FALSE()), VLOOKUP(A210,Internal_lists_bugs!$A$2:$C$73,3,FALSE())&amp;Char(10) &amp; Char(10) &amp; VLOOKUP(A210,Internal_lists_bugs!$A$2:$Z$73,26,FALSE())),"please select a BUG ID")</f>
        <v>please select a BUG ID</v>
      </c>
      <c r="C210" s="51" t="str">
        <f>IFERROR(VLOOKUP(A210,Internal_lists_bugs!$A$2:$G2003,7,FALSE()),"please select a BUG ID")</f>
        <v>please select a BUG ID</v>
      </c>
      <c r="D210" s="43"/>
      <c r="E210" s="61"/>
      <c r="F210" s="43"/>
      <c r="G210" s="61"/>
      <c r="H210" s="43"/>
      <c r="I210" s="61"/>
      <c r="J210" s="43"/>
      <c r="K210" s="50"/>
      <c r="L210" s="43"/>
      <c r="M210" s="50"/>
      <c r="N210" s="43"/>
      <c r="O210" s="50"/>
      <c r="P210" s="43"/>
      <c r="Q210" s="50"/>
      <c r="R210" s="43"/>
      <c r="S210" s="50"/>
      <c r="T210" s="43"/>
      <c r="U210" s="50"/>
      <c r="V210" s="43"/>
      <c r="W210" s="50"/>
      <c r="X210" s="43"/>
      <c r="Y210" s="50"/>
      <c r="Z210" s="43"/>
      <c r="AA210" s="50"/>
      <c r="AB210" s="43"/>
      <c r="AC210" s="50"/>
      <c r="AD210" s="43"/>
      <c r="AE210" s="50"/>
      <c r="AF210" s="43"/>
      <c r="AG210" s="50"/>
      <c r="AH210" s="43"/>
      <c r="AI210" s="50"/>
      <c r="AJ210" s="43"/>
      <c r="AK210" s="50"/>
      <c r="AL210" s="43"/>
      <c r="AM210" s="50"/>
      <c r="AO210" s="43"/>
      <c r="AP210" s="46"/>
      <c r="AQ210" s="43"/>
      <c r="AR210" s="119"/>
      <c r="AS210" s="1"/>
      <c r="AT210" s="1"/>
    </row>
    <row r="211">
      <c r="A211" s="43"/>
      <c r="B211" s="59" t="str">
        <f>IFERROR(HYPERLINK(VLOOKUP(A211,Internal_lists_bugs!$A$2:$C$73,3,FALSE()), VLOOKUP(A211,Internal_lists_bugs!$A$2:$C$73,3,FALSE())&amp;Char(10) &amp; Char(10) &amp; VLOOKUP(A211,Internal_lists_bugs!$A$2:$Z$73,26,FALSE())),"please select a BUG ID")</f>
        <v>please select a BUG ID</v>
      </c>
      <c r="C211" s="51" t="str">
        <f>IFERROR(VLOOKUP(A211,Internal_lists_bugs!$A$2:$G2003,7,FALSE()),"please select a BUG ID")</f>
        <v>please select a BUG ID</v>
      </c>
      <c r="D211" s="43"/>
      <c r="E211" s="61"/>
      <c r="F211" s="43"/>
      <c r="G211" s="61"/>
      <c r="H211" s="43"/>
      <c r="I211" s="61"/>
      <c r="J211" s="43"/>
      <c r="K211" s="50"/>
      <c r="L211" s="43"/>
      <c r="M211" s="50"/>
      <c r="N211" s="43"/>
      <c r="O211" s="50"/>
      <c r="P211" s="43"/>
      <c r="Q211" s="50"/>
      <c r="R211" s="43"/>
      <c r="S211" s="50"/>
      <c r="T211" s="43"/>
      <c r="U211" s="50"/>
      <c r="V211" s="43"/>
      <c r="W211" s="50"/>
      <c r="X211" s="43"/>
      <c r="Y211" s="50"/>
      <c r="Z211" s="43"/>
      <c r="AA211" s="50"/>
      <c r="AB211" s="43"/>
      <c r="AC211" s="50"/>
      <c r="AD211" s="43"/>
      <c r="AE211" s="50"/>
      <c r="AF211" s="43"/>
      <c r="AG211" s="50"/>
      <c r="AH211" s="43"/>
      <c r="AI211" s="50"/>
      <c r="AJ211" s="43"/>
      <c r="AK211" s="50"/>
      <c r="AL211" s="43"/>
      <c r="AM211" s="50"/>
      <c r="AO211" s="43"/>
      <c r="AP211" s="46"/>
      <c r="AQ211" s="43"/>
      <c r="AR211" s="119"/>
      <c r="AS211" s="1"/>
      <c r="AT211" s="1"/>
    </row>
    <row r="212">
      <c r="A212" s="43"/>
      <c r="B212" s="59" t="str">
        <f>IFERROR(HYPERLINK(VLOOKUP(A212,Internal_lists_bugs!$A$2:$C$73,3,FALSE()), VLOOKUP(A212,Internal_lists_bugs!$A$2:$C$73,3,FALSE())&amp;Char(10) &amp; Char(10) &amp; VLOOKUP(A212,Internal_lists_bugs!$A$2:$Z$73,26,FALSE())),"please select a BUG ID")</f>
        <v>please select a BUG ID</v>
      </c>
      <c r="C212" s="51" t="str">
        <f>IFERROR(VLOOKUP(A212,Internal_lists_bugs!$A$2:$G2003,7,FALSE()),"please select a BUG ID")</f>
        <v>please select a BUG ID</v>
      </c>
      <c r="D212" s="43"/>
      <c r="E212" s="61"/>
      <c r="F212" s="43"/>
      <c r="G212" s="61"/>
      <c r="H212" s="43"/>
      <c r="I212" s="61"/>
      <c r="J212" s="43"/>
      <c r="K212" s="50"/>
      <c r="L212" s="43"/>
      <c r="M212" s="50"/>
      <c r="N212" s="43"/>
      <c r="O212" s="50"/>
      <c r="P212" s="43"/>
      <c r="Q212" s="50"/>
      <c r="R212" s="43"/>
      <c r="S212" s="50"/>
      <c r="T212" s="43"/>
      <c r="U212" s="50"/>
      <c r="V212" s="43"/>
      <c r="W212" s="50"/>
      <c r="X212" s="43"/>
      <c r="Y212" s="50"/>
      <c r="Z212" s="43"/>
      <c r="AA212" s="50"/>
      <c r="AB212" s="43"/>
      <c r="AC212" s="50"/>
      <c r="AD212" s="43"/>
      <c r="AE212" s="50"/>
      <c r="AF212" s="43"/>
      <c r="AG212" s="50"/>
      <c r="AH212" s="43"/>
      <c r="AI212" s="50"/>
      <c r="AJ212" s="43"/>
      <c r="AK212" s="50"/>
      <c r="AL212" s="43"/>
      <c r="AM212" s="50"/>
      <c r="AO212" s="43"/>
      <c r="AP212" s="46"/>
      <c r="AQ212" s="43"/>
      <c r="AR212" s="119"/>
      <c r="AS212" s="1"/>
      <c r="AT212" s="1"/>
    </row>
    <row r="213">
      <c r="A213" s="43"/>
      <c r="B213" s="59" t="str">
        <f>IFERROR(HYPERLINK(VLOOKUP(A213,Internal_lists_bugs!$A$2:$C$73,3,FALSE()), VLOOKUP(A213,Internal_lists_bugs!$A$2:$C$73,3,FALSE())&amp;Char(10) &amp; Char(10) &amp; VLOOKUP(A213,Internal_lists_bugs!$A$2:$Z$73,26,FALSE())),"please select a BUG ID")</f>
        <v>please select a BUG ID</v>
      </c>
      <c r="C213" s="51" t="str">
        <f>IFERROR(VLOOKUP(A213,Internal_lists_bugs!$A$2:$G2003,7,FALSE()),"please select a BUG ID")</f>
        <v>please select a BUG ID</v>
      </c>
      <c r="D213" s="43"/>
      <c r="E213" s="61"/>
      <c r="F213" s="43"/>
      <c r="G213" s="61"/>
      <c r="H213" s="43"/>
      <c r="I213" s="61"/>
      <c r="J213" s="43"/>
      <c r="K213" s="50"/>
      <c r="L213" s="43"/>
      <c r="M213" s="50"/>
      <c r="N213" s="43"/>
      <c r="O213" s="50"/>
      <c r="P213" s="43"/>
      <c r="Q213" s="50"/>
      <c r="R213" s="43"/>
      <c r="S213" s="50"/>
      <c r="T213" s="43"/>
      <c r="U213" s="50"/>
      <c r="V213" s="43"/>
      <c r="W213" s="50"/>
      <c r="X213" s="43"/>
      <c r="Y213" s="50"/>
      <c r="Z213" s="43"/>
      <c r="AA213" s="50"/>
      <c r="AB213" s="43"/>
      <c r="AC213" s="50"/>
      <c r="AD213" s="43"/>
      <c r="AE213" s="50"/>
      <c r="AF213" s="43"/>
      <c r="AG213" s="50"/>
      <c r="AH213" s="43"/>
      <c r="AI213" s="50"/>
      <c r="AJ213" s="43"/>
      <c r="AK213" s="50"/>
      <c r="AL213" s="43"/>
      <c r="AM213" s="50"/>
      <c r="AO213" s="43"/>
      <c r="AP213" s="46"/>
      <c r="AQ213" s="43"/>
      <c r="AR213" s="119"/>
      <c r="AS213" s="1"/>
      <c r="AT213" s="1"/>
    </row>
    <row r="214">
      <c r="A214" s="43"/>
      <c r="B214" s="59" t="str">
        <f>IFERROR(HYPERLINK(VLOOKUP(A214,Internal_lists_bugs!$A$2:$C$73,3,FALSE()), VLOOKUP(A214,Internal_lists_bugs!$A$2:$C$73,3,FALSE())&amp;Char(10) &amp; Char(10) &amp; VLOOKUP(A214,Internal_lists_bugs!$A$2:$Z$73,26,FALSE())),"please select a BUG ID")</f>
        <v>please select a BUG ID</v>
      </c>
      <c r="C214" s="51" t="str">
        <f>IFERROR(VLOOKUP(A214,Internal_lists_bugs!$A$2:$G2003,7,FALSE()),"please select a BUG ID")</f>
        <v>please select a BUG ID</v>
      </c>
      <c r="D214" s="43"/>
      <c r="E214" s="63"/>
      <c r="F214" s="43"/>
      <c r="G214" s="63"/>
      <c r="H214" s="43"/>
      <c r="I214" s="63"/>
      <c r="J214" s="43"/>
      <c r="K214" s="50"/>
      <c r="L214" s="43"/>
      <c r="M214" s="50"/>
      <c r="N214" s="43"/>
      <c r="O214" s="50"/>
      <c r="P214" s="43"/>
      <c r="Q214" s="50"/>
      <c r="R214" s="43"/>
      <c r="S214" s="50"/>
      <c r="T214" s="43"/>
      <c r="U214" s="50"/>
      <c r="V214" s="43"/>
      <c r="W214" s="50"/>
      <c r="X214" s="43"/>
      <c r="Y214" s="50"/>
      <c r="Z214" s="43"/>
      <c r="AA214" s="50"/>
      <c r="AB214" s="43"/>
      <c r="AC214" s="50"/>
      <c r="AD214" s="43"/>
      <c r="AE214" s="50"/>
      <c r="AF214" s="43"/>
      <c r="AG214" s="50"/>
      <c r="AH214" s="43"/>
      <c r="AI214" s="50"/>
      <c r="AJ214" s="43"/>
      <c r="AK214" s="50"/>
      <c r="AL214" s="43"/>
      <c r="AM214" s="50"/>
      <c r="AO214" s="43"/>
      <c r="AP214" s="46"/>
      <c r="AQ214" s="43"/>
      <c r="AR214" s="119"/>
      <c r="AS214" s="1"/>
      <c r="AT214" s="1"/>
    </row>
    <row r="215">
      <c r="A215" s="43"/>
      <c r="B215" s="59" t="str">
        <f>IFERROR(HYPERLINK(VLOOKUP(A215,Internal_lists_bugs!$A$2:$C$73,3,FALSE()), VLOOKUP(A215,Internal_lists_bugs!$A$2:$C$73,3,FALSE())&amp;Char(10) &amp; Char(10) &amp; VLOOKUP(A215,Internal_lists_bugs!$A$2:$Z$73,26,FALSE())),"please select a BUG ID")</f>
        <v>please select a BUG ID</v>
      </c>
      <c r="C215" s="51" t="str">
        <f>IFERROR(VLOOKUP(A215,Internal_lists_bugs!$A$2:$G2003,7,FALSE()),"please select a BUG ID")</f>
        <v>please select a BUG ID</v>
      </c>
      <c r="D215" s="43"/>
      <c r="E215" s="63"/>
      <c r="F215" s="43"/>
      <c r="G215" s="63"/>
      <c r="H215" s="43"/>
      <c r="I215" s="63"/>
      <c r="J215" s="43"/>
      <c r="K215" s="50"/>
      <c r="L215" s="43"/>
      <c r="M215" s="50"/>
      <c r="N215" s="43"/>
      <c r="O215" s="50"/>
      <c r="P215" s="43"/>
      <c r="Q215" s="50"/>
      <c r="R215" s="43"/>
      <c r="S215" s="50"/>
      <c r="T215" s="43"/>
      <c r="U215" s="50"/>
      <c r="V215" s="43"/>
      <c r="W215" s="50"/>
      <c r="X215" s="43"/>
      <c r="Y215" s="50"/>
      <c r="Z215" s="43"/>
      <c r="AA215" s="50"/>
      <c r="AB215" s="43"/>
      <c r="AC215" s="50"/>
      <c r="AD215" s="43"/>
      <c r="AE215" s="50"/>
      <c r="AF215" s="43"/>
      <c r="AG215" s="50"/>
      <c r="AH215" s="43"/>
      <c r="AI215" s="50"/>
      <c r="AJ215" s="43"/>
      <c r="AK215" s="50"/>
      <c r="AL215" s="43"/>
      <c r="AM215" s="50"/>
      <c r="AO215" s="43"/>
      <c r="AP215" s="46"/>
      <c r="AQ215" s="43"/>
      <c r="AR215" s="119"/>
      <c r="AS215" s="1"/>
      <c r="AT215" s="1"/>
    </row>
    <row r="216">
      <c r="A216" s="43"/>
      <c r="B216" s="59" t="str">
        <f>IFERROR(HYPERLINK(VLOOKUP(A216,Internal_lists_bugs!$A$2:$C$73,3,FALSE()), VLOOKUP(A216,Internal_lists_bugs!$A$2:$C$73,3,FALSE())&amp;Char(10) &amp; Char(10) &amp; VLOOKUP(A216,Internal_lists_bugs!$A$2:$Z$73,26,FALSE())),"please select a BUG ID")</f>
        <v>please select a BUG ID</v>
      </c>
      <c r="C216" s="51" t="str">
        <f>IFERROR(VLOOKUP(A216,Internal_lists_bugs!$A$2:$G2003,7,FALSE()),"please select a BUG ID")</f>
        <v>please select a BUG ID</v>
      </c>
      <c r="D216" s="43"/>
      <c r="E216" s="63"/>
      <c r="F216" s="43"/>
      <c r="G216" s="63"/>
      <c r="H216" s="43"/>
      <c r="I216" s="63"/>
      <c r="J216" s="43"/>
      <c r="K216" s="50"/>
      <c r="L216" s="43"/>
      <c r="M216" s="50"/>
      <c r="N216" s="43"/>
      <c r="O216" s="50"/>
      <c r="P216" s="43"/>
      <c r="Q216" s="50"/>
      <c r="R216" s="43"/>
      <c r="S216" s="50"/>
      <c r="T216" s="43"/>
      <c r="U216" s="50"/>
      <c r="V216" s="43"/>
      <c r="W216" s="50"/>
      <c r="X216" s="43"/>
      <c r="Y216" s="50"/>
      <c r="Z216" s="43"/>
      <c r="AA216" s="50"/>
      <c r="AB216" s="43"/>
      <c r="AC216" s="50"/>
      <c r="AD216" s="43"/>
      <c r="AE216" s="50"/>
      <c r="AF216" s="43"/>
      <c r="AG216" s="50"/>
      <c r="AH216" s="43"/>
      <c r="AI216" s="50"/>
      <c r="AJ216" s="43"/>
      <c r="AK216" s="50"/>
      <c r="AL216" s="43"/>
      <c r="AM216" s="50"/>
      <c r="AO216" s="43"/>
      <c r="AP216" s="46"/>
      <c r="AQ216" s="43"/>
      <c r="AR216" s="119"/>
      <c r="AS216" s="1"/>
      <c r="AT216" s="1"/>
    </row>
    <row r="217">
      <c r="A217" s="43"/>
      <c r="B217" s="59" t="str">
        <f>IFERROR(HYPERLINK(VLOOKUP(A217,Internal_lists_bugs!$A$2:$C$73,3,FALSE()), VLOOKUP(A217,Internal_lists_bugs!$A$2:$C$73,3,FALSE())&amp;Char(10) &amp; Char(10) &amp; VLOOKUP(A217,Internal_lists_bugs!$A$2:$Z$73,26,FALSE())),"please select a BUG ID")</f>
        <v>please select a BUG ID</v>
      </c>
      <c r="C217" s="51" t="str">
        <f>IFERROR(VLOOKUP(A217,Internal_lists_bugs!$A$2:$G2003,7,FALSE()),"please select a BUG ID")</f>
        <v>please select a BUG ID</v>
      </c>
      <c r="D217" s="43"/>
      <c r="E217" s="63"/>
      <c r="F217" s="43"/>
      <c r="G217" s="63"/>
      <c r="H217" s="43"/>
      <c r="I217" s="63"/>
      <c r="J217" s="43"/>
      <c r="K217" s="50"/>
      <c r="L217" s="43"/>
      <c r="M217" s="50"/>
      <c r="N217" s="43"/>
      <c r="O217" s="50"/>
      <c r="P217" s="43"/>
      <c r="Q217" s="50"/>
      <c r="R217" s="43"/>
      <c r="S217" s="50"/>
      <c r="T217" s="43"/>
      <c r="U217" s="50"/>
      <c r="V217" s="43"/>
      <c r="W217" s="50"/>
      <c r="X217" s="43"/>
      <c r="Y217" s="50"/>
      <c r="Z217" s="43"/>
      <c r="AA217" s="50"/>
      <c r="AB217" s="43"/>
      <c r="AC217" s="50"/>
      <c r="AD217" s="43"/>
      <c r="AE217" s="50"/>
      <c r="AF217" s="43"/>
      <c r="AG217" s="50"/>
      <c r="AH217" s="43"/>
      <c r="AI217" s="50"/>
      <c r="AJ217" s="43"/>
      <c r="AK217" s="50"/>
      <c r="AL217" s="43"/>
      <c r="AM217" s="50"/>
      <c r="AO217" s="43"/>
      <c r="AP217" s="46"/>
      <c r="AQ217" s="43"/>
      <c r="AR217" s="119"/>
      <c r="AS217" s="1"/>
      <c r="AT217" s="1"/>
    </row>
    <row r="218">
      <c r="A218" s="43"/>
      <c r="B218" s="59" t="str">
        <f>IFERROR(HYPERLINK(VLOOKUP(A218,Internal_lists_bugs!$A$2:$C$73,3,FALSE()), VLOOKUP(A218,Internal_lists_bugs!$A$2:$C$73,3,FALSE())&amp;Char(10) &amp; Char(10) &amp; VLOOKUP(A218,Internal_lists_bugs!$A$2:$Z$73,26,FALSE())),"please select a BUG ID")</f>
        <v>please select a BUG ID</v>
      </c>
      <c r="C218" s="51" t="str">
        <f>IFERROR(VLOOKUP(A218,Internal_lists_bugs!$A$2:$G2003,7,FALSE()),"please select a BUG ID")</f>
        <v>please select a BUG ID</v>
      </c>
      <c r="D218" s="43"/>
      <c r="E218" s="63"/>
      <c r="F218" s="43"/>
      <c r="G218" s="63"/>
      <c r="H218" s="43"/>
      <c r="I218" s="63"/>
      <c r="J218" s="43"/>
      <c r="K218" s="50"/>
      <c r="L218" s="43"/>
      <c r="M218" s="50"/>
      <c r="N218" s="43"/>
      <c r="O218" s="50"/>
      <c r="P218" s="43"/>
      <c r="Q218" s="50"/>
      <c r="R218" s="43"/>
      <c r="S218" s="50"/>
      <c r="T218" s="43"/>
      <c r="U218" s="50"/>
      <c r="V218" s="43"/>
      <c r="W218" s="50"/>
      <c r="X218" s="43"/>
      <c r="Y218" s="50"/>
      <c r="Z218" s="43"/>
      <c r="AA218" s="50"/>
      <c r="AB218" s="43"/>
      <c r="AC218" s="50"/>
      <c r="AD218" s="43"/>
      <c r="AE218" s="50"/>
      <c r="AF218" s="43"/>
      <c r="AG218" s="50"/>
      <c r="AH218" s="43"/>
      <c r="AI218" s="50"/>
      <c r="AJ218" s="43"/>
      <c r="AK218" s="50"/>
      <c r="AL218" s="43"/>
      <c r="AM218" s="50"/>
      <c r="AO218" s="43"/>
      <c r="AP218" s="46"/>
      <c r="AQ218" s="43"/>
      <c r="AR218" s="119"/>
      <c r="AS218" s="1"/>
      <c r="AT218" s="1"/>
    </row>
    <row r="219">
      <c r="A219" s="43"/>
      <c r="B219" s="59" t="str">
        <f>IFERROR(HYPERLINK(VLOOKUP(A219,Internal_lists_bugs!$A$2:$C$73,3,FALSE()), VLOOKUP(A219,Internal_lists_bugs!$A$2:$C$73,3,FALSE())&amp;Char(10) &amp; Char(10) &amp; VLOOKUP(A219,Internal_lists_bugs!$A$2:$Z$73,26,FALSE())),"please select a BUG ID")</f>
        <v>please select a BUG ID</v>
      </c>
      <c r="C219" s="51" t="str">
        <f>IFERROR(VLOOKUP(A219,Internal_lists_bugs!$A$2:$G2003,7,FALSE()),"please select a BUG ID")</f>
        <v>please select a BUG ID</v>
      </c>
      <c r="D219" s="43"/>
      <c r="E219" s="63"/>
      <c r="F219" s="43"/>
      <c r="G219" s="63"/>
      <c r="H219" s="43"/>
      <c r="I219" s="63"/>
      <c r="J219" s="43"/>
      <c r="K219" s="50"/>
      <c r="L219" s="43"/>
      <c r="M219" s="50"/>
      <c r="N219" s="43"/>
      <c r="O219" s="50"/>
      <c r="P219" s="43"/>
      <c r="Q219" s="50"/>
      <c r="R219" s="43"/>
      <c r="S219" s="50"/>
      <c r="T219" s="43"/>
      <c r="U219" s="50"/>
      <c r="V219" s="43"/>
      <c r="W219" s="50"/>
      <c r="X219" s="43"/>
      <c r="Y219" s="50"/>
      <c r="Z219" s="43"/>
      <c r="AA219" s="50"/>
      <c r="AB219" s="43"/>
      <c r="AC219" s="50"/>
      <c r="AD219" s="43"/>
      <c r="AE219" s="50"/>
      <c r="AF219" s="43"/>
      <c r="AG219" s="50"/>
      <c r="AH219" s="43"/>
      <c r="AI219" s="50"/>
      <c r="AJ219" s="43"/>
      <c r="AK219" s="50"/>
      <c r="AL219" s="43"/>
      <c r="AM219" s="50"/>
      <c r="AO219" s="43"/>
      <c r="AP219" s="46"/>
      <c r="AQ219" s="43"/>
      <c r="AR219" s="119"/>
      <c r="AS219" s="1"/>
      <c r="AT219" s="1"/>
    </row>
    <row r="220">
      <c r="A220" s="43"/>
      <c r="B220" s="59" t="str">
        <f>IFERROR(HYPERLINK(VLOOKUP(A220,Internal_lists_bugs!$A$2:$C$73,3,FALSE()), VLOOKUP(A220,Internal_lists_bugs!$A$2:$C$73,3,FALSE())&amp;Char(10) &amp; Char(10) &amp; VLOOKUP(A220,Internal_lists_bugs!$A$2:$Z$73,26,FALSE())),"please select a BUG ID")</f>
        <v>please select a BUG ID</v>
      </c>
      <c r="C220" s="51" t="str">
        <f>IFERROR(VLOOKUP(A220,Internal_lists_bugs!$A$2:$G2003,7,FALSE()),"please select a BUG ID")</f>
        <v>please select a BUG ID</v>
      </c>
      <c r="D220" s="43"/>
      <c r="E220" s="63"/>
      <c r="F220" s="43"/>
      <c r="G220" s="63"/>
      <c r="H220" s="43"/>
      <c r="I220" s="63"/>
      <c r="J220" s="43"/>
      <c r="K220" s="50"/>
      <c r="L220" s="43"/>
      <c r="M220" s="50"/>
      <c r="N220" s="43"/>
      <c r="O220" s="50"/>
      <c r="P220" s="43"/>
      <c r="Q220" s="50"/>
      <c r="R220" s="43"/>
      <c r="S220" s="50"/>
      <c r="T220" s="43"/>
      <c r="U220" s="50"/>
      <c r="V220" s="43"/>
      <c r="W220" s="50"/>
      <c r="X220" s="43"/>
      <c r="Y220" s="50"/>
      <c r="Z220" s="43"/>
      <c r="AA220" s="50"/>
      <c r="AB220" s="43"/>
      <c r="AC220" s="50"/>
      <c r="AD220" s="43"/>
      <c r="AE220" s="50"/>
      <c r="AF220" s="43"/>
      <c r="AG220" s="50"/>
      <c r="AH220" s="43"/>
      <c r="AI220" s="50"/>
      <c r="AJ220" s="43"/>
      <c r="AK220" s="50"/>
      <c r="AL220" s="43"/>
      <c r="AM220" s="50"/>
      <c r="AO220" s="43"/>
      <c r="AP220" s="46"/>
      <c r="AQ220" s="43"/>
      <c r="AR220" s="119"/>
      <c r="AS220" s="1"/>
      <c r="AT220" s="1"/>
    </row>
    <row r="221">
      <c r="A221" s="43"/>
      <c r="B221" s="59" t="str">
        <f>IFERROR(HYPERLINK(VLOOKUP(A221,Internal_lists_bugs!$A$2:$C$73,3,FALSE()), VLOOKUP(A221,Internal_lists_bugs!$A$2:$C$73,3,FALSE())&amp;Char(10) &amp; Char(10) &amp; VLOOKUP(A221,Internal_lists_bugs!$A$2:$Z$73,26,FALSE())),"please select a BUG ID")</f>
        <v>please select a BUG ID</v>
      </c>
      <c r="C221" s="51" t="str">
        <f>IFERROR(VLOOKUP(A221,Internal_lists_bugs!$A$2:$G2003,7,FALSE()),"please select a BUG ID")</f>
        <v>please select a BUG ID</v>
      </c>
      <c r="D221" s="43"/>
      <c r="E221" s="63"/>
      <c r="F221" s="43"/>
      <c r="G221" s="63"/>
      <c r="H221" s="43"/>
      <c r="I221" s="63"/>
      <c r="J221" s="43"/>
      <c r="K221" s="50"/>
      <c r="L221" s="43"/>
      <c r="M221" s="50"/>
      <c r="N221" s="43"/>
      <c r="O221" s="50"/>
      <c r="P221" s="43"/>
      <c r="Q221" s="50"/>
      <c r="R221" s="43"/>
      <c r="S221" s="50"/>
      <c r="T221" s="43"/>
      <c r="U221" s="50"/>
      <c r="V221" s="43"/>
      <c r="W221" s="50"/>
      <c r="X221" s="43"/>
      <c r="Y221" s="50"/>
      <c r="Z221" s="43"/>
      <c r="AA221" s="50"/>
      <c r="AB221" s="43"/>
      <c r="AC221" s="50"/>
      <c r="AD221" s="43"/>
      <c r="AE221" s="50"/>
      <c r="AF221" s="43"/>
      <c r="AG221" s="50"/>
      <c r="AH221" s="43"/>
      <c r="AI221" s="50"/>
      <c r="AJ221" s="43"/>
      <c r="AK221" s="50"/>
      <c r="AL221" s="43"/>
      <c r="AM221" s="50"/>
      <c r="AO221" s="43"/>
      <c r="AP221" s="46"/>
      <c r="AQ221" s="43"/>
      <c r="AR221" s="119"/>
      <c r="AS221" s="1"/>
      <c r="AT221" s="1"/>
    </row>
    <row r="222">
      <c r="A222" s="43"/>
      <c r="B222" s="59" t="str">
        <f>IFERROR(HYPERLINK(VLOOKUP(A222,Internal_lists_bugs!$A$2:$C$73,3,FALSE()), VLOOKUP(A222,Internal_lists_bugs!$A$2:$C$73,3,FALSE())&amp;Char(10) &amp; Char(10) &amp; VLOOKUP(A222,Internal_lists_bugs!$A$2:$Z$73,26,FALSE())),"please select a BUG ID")</f>
        <v>please select a BUG ID</v>
      </c>
      <c r="C222" s="51" t="str">
        <f>IFERROR(VLOOKUP(A222,Internal_lists_bugs!$A$2:$G2003,7,FALSE()),"please select a BUG ID")</f>
        <v>please select a BUG ID</v>
      </c>
      <c r="D222" s="43"/>
      <c r="E222" s="63"/>
      <c r="F222" s="43"/>
      <c r="G222" s="63"/>
      <c r="H222" s="43"/>
      <c r="I222" s="63"/>
      <c r="J222" s="43"/>
      <c r="K222" s="50"/>
      <c r="L222" s="43"/>
      <c r="M222" s="50"/>
      <c r="N222" s="43"/>
      <c r="O222" s="50"/>
      <c r="P222" s="43"/>
      <c r="Q222" s="50"/>
      <c r="R222" s="43"/>
      <c r="S222" s="50"/>
      <c r="T222" s="43"/>
      <c r="U222" s="50"/>
      <c r="V222" s="43"/>
      <c r="W222" s="50"/>
      <c r="X222" s="43"/>
      <c r="Y222" s="50"/>
      <c r="Z222" s="43"/>
      <c r="AA222" s="50"/>
      <c r="AB222" s="43"/>
      <c r="AC222" s="50"/>
      <c r="AD222" s="43"/>
      <c r="AE222" s="50"/>
      <c r="AF222" s="43"/>
      <c r="AG222" s="50"/>
      <c r="AH222" s="43"/>
      <c r="AI222" s="50"/>
      <c r="AJ222" s="43"/>
      <c r="AK222" s="50"/>
      <c r="AL222" s="43"/>
      <c r="AM222" s="50"/>
      <c r="AO222" s="43"/>
      <c r="AP222" s="46"/>
      <c r="AQ222" s="43"/>
      <c r="AR222" s="119"/>
      <c r="AS222" s="1"/>
      <c r="AT222" s="1"/>
    </row>
    <row r="223">
      <c r="A223" s="43"/>
      <c r="B223" s="59" t="str">
        <f>IFERROR(HYPERLINK(VLOOKUP(A223,Internal_lists_bugs!$A$2:$C$73,3,FALSE()), VLOOKUP(A223,Internal_lists_bugs!$A$2:$C$73,3,FALSE())&amp;Char(10) &amp; Char(10) &amp; VLOOKUP(A223,Internal_lists_bugs!$A$2:$Z$73,26,FALSE())),"please select a BUG ID")</f>
        <v>please select a BUG ID</v>
      </c>
      <c r="C223" s="51" t="str">
        <f>IFERROR(VLOOKUP(A223,Internal_lists_bugs!$A$2:$G2003,7,FALSE()),"please select a BUG ID")</f>
        <v>please select a BUG ID</v>
      </c>
      <c r="D223" s="43"/>
      <c r="E223" s="63"/>
      <c r="F223" s="43"/>
      <c r="G223" s="63"/>
      <c r="H223" s="43"/>
      <c r="I223" s="63"/>
      <c r="J223" s="43"/>
      <c r="K223" s="50"/>
      <c r="L223" s="43"/>
      <c r="M223" s="50"/>
      <c r="N223" s="43"/>
      <c r="O223" s="50"/>
      <c r="P223" s="43"/>
      <c r="Q223" s="50"/>
      <c r="R223" s="43"/>
      <c r="S223" s="50"/>
      <c r="T223" s="43"/>
      <c r="U223" s="50"/>
      <c r="V223" s="43"/>
      <c r="W223" s="50"/>
      <c r="X223" s="43"/>
      <c r="Y223" s="50"/>
      <c r="Z223" s="43"/>
      <c r="AA223" s="50"/>
      <c r="AB223" s="43"/>
      <c r="AC223" s="50"/>
      <c r="AD223" s="43"/>
      <c r="AE223" s="50"/>
      <c r="AF223" s="43"/>
      <c r="AG223" s="50"/>
      <c r="AH223" s="43"/>
      <c r="AI223" s="50"/>
      <c r="AJ223" s="43"/>
      <c r="AK223" s="50"/>
      <c r="AL223" s="43"/>
      <c r="AM223" s="50"/>
      <c r="AO223" s="43"/>
      <c r="AP223" s="46"/>
      <c r="AQ223" s="43"/>
      <c r="AR223" s="119"/>
      <c r="AS223" s="1"/>
      <c r="AT223" s="1"/>
    </row>
    <row r="224">
      <c r="A224" s="43"/>
      <c r="B224" s="59" t="str">
        <f>IFERROR(HYPERLINK(VLOOKUP(A224,Internal_lists_bugs!$A$2:$C$73,3,FALSE()), VLOOKUP(A224,Internal_lists_bugs!$A$2:$C$73,3,FALSE())&amp;Char(10) &amp; Char(10) &amp; VLOOKUP(A224,Internal_lists_bugs!$A$2:$Z$73,26,FALSE())),"please select a BUG ID")</f>
        <v>please select a BUG ID</v>
      </c>
      <c r="C224" s="51" t="str">
        <f>IFERROR(VLOOKUP(A224,Internal_lists_bugs!$A$2:$G2003,7,FALSE()),"please select a BUG ID")</f>
        <v>please select a BUG ID</v>
      </c>
      <c r="D224" s="43"/>
      <c r="E224" s="63"/>
      <c r="F224" s="43"/>
      <c r="G224" s="63"/>
      <c r="H224" s="43"/>
      <c r="I224" s="63"/>
      <c r="J224" s="43"/>
      <c r="K224" s="50"/>
      <c r="L224" s="43"/>
      <c r="M224" s="50"/>
      <c r="N224" s="43"/>
      <c r="O224" s="50"/>
      <c r="P224" s="43"/>
      <c r="Q224" s="50"/>
      <c r="R224" s="43"/>
      <c r="S224" s="50"/>
      <c r="T224" s="43"/>
      <c r="U224" s="50"/>
      <c r="V224" s="43"/>
      <c r="W224" s="50"/>
      <c r="X224" s="43"/>
      <c r="Y224" s="50"/>
      <c r="Z224" s="43"/>
      <c r="AA224" s="50"/>
      <c r="AB224" s="43"/>
      <c r="AC224" s="50"/>
      <c r="AD224" s="43"/>
      <c r="AE224" s="50"/>
      <c r="AF224" s="43"/>
      <c r="AG224" s="50"/>
      <c r="AH224" s="43"/>
      <c r="AI224" s="50"/>
      <c r="AJ224" s="43"/>
      <c r="AK224" s="50"/>
      <c r="AL224" s="43"/>
      <c r="AM224" s="50"/>
      <c r="AO224" s="43"/>
      <c r="AP224" s="46"/>
      <c r="AQ224" s="43"/>
      <c r="AR224" s="119"/>
      <c r="AS224" s="1"/>
      <c r="AT224" s="1"/>
    </row>
    <row r="225">
      <c r="A225" s="43"/>
      <c r="B225" s="59" t="str">
        <f>IFERROR(HYPERLINK(VLOOKUP(A225,Internal_lists_bugs!$A$2:$C$73,3,FALSE()), VLOOKUP(A225,Internal_lists_bugs!$A$2:$C$73,3,FALSE())&amp;Char(10) &amp; Char(10) &amp; VLOOKUP(A225,Internal_lists_bugs!$A$2:$Z$73,26,FALSE())),"please select a BUG ID")</f>
        <v>please select a BUG ID</v>
      </c>
      <c r="C225" s="51" t="str">
        <f>IFERROR(VLOOKUP(A225,Internal_lists_bugs!$A$2:$G2003,7,FALSE()),"please select a BUG ID")</f>
        <v>please select a BUG ID</v>
      </c>
      <c r="D225" s="43"/>
      <c r="E225" s="63"/>
      <c r="F225" s="43"/>
      <c r="G225" s="63"/>
      <c r="H225" s="43"/>
      <c r="I225" s="63"/>
      <c r="J225" s="43"/>
      <c r="K225" s="50"/>
      <c r="L225" s="43"/>
      <c r="M225" s="50"/>
      <c r="N225" s="43"/>
      <c r="O225" s="50"/>
      <c r="P225" s="43"/>
      <c r="Q225" s="50"/>
      <c r="R225" s="43"/>
      <c r="S225" s="50"/>
      <c r="T225" s="43"/>
      <c r="U225" s="50"/>
      <c r="V225" s="43"/>
      <c r="W225" s="50"/>
      <c r="X225" s="43"/>
      <c r="Y225" s="50"/>
      <c r="Z225" s="43"/>
      <c r="AA225" s="50"/>
      <c r="AB225" s="43"/>
      <c r="AC225" s="50"/>
      <c r="AD225" s="43"/>
      <c r="AE225" s="50"/>
      <c r="AF225" s="43"/>
      <c r="AG225" s="50"/>
      <c r="AH225" s="43"/>
      <c r="AI225" s="50"/>
      <c r="AJ225" s="43"/>
      <c r="AK225" s="50"/>
      <c r="AL225" s="43"/>
      <c r="AM225" s="50"/>
      <c r="AO225" s="43"/>
      <c r="AP225" s="46"/>
      <c r="AQ225" s="43"/>
      <c r="AR225" s="119"/>
      <c r="AS225" s="1"/>
      <c r="AT225" s="1"/>
    </row>
    <row r="226">
      <c r="A226" s="43"/>
      <c r="B226" s="59" t="str">
        <f>IFERROR(HYPERLINK(VLOOKUP(A226,Internal_lists_bugs!$A$2:$C$73,3,FALSE()), VLOOKUP(A226,Internal_lists_bugs!$A$2:$C$73,3,FALSE())&amp;Char(10) &amp; Char(10) &amp; VLOOKUP(A226,Internal_lists_bugs!$A$2:$Z$73,26,FALSE())),"please select a BUG ID")</f>
        <v>please select a BUG ID</v>
      </c>
      <c r="C226" s="51" t="str">
        <f>IFERROR(VLOOKUP(A226,Internal_lists_bugs!$A$2:$G2003,7,FALSE()),"please select a BUG ID")</f>
        <v>please select a BUG ID</v>
      </c>
      <c r="D226" s="43"/>
      <c r="E226" s="63"/>
      <c r="F226" s="43"/>
      <c r="G226" s="63"/>
      <c r="H226" s="43"/>
      <c r="I226" s="63"/>
      <c r="J226" s="43"/>
      <c r="K226" s="50"/>
      <c r="L226" s="43"/>
      <c r="M226" s="50"/>
      <c r="N226" s="43"/>
      <c r="O226" s="50"/>
      <c r="P226" s="43"/>
      <c r="Q226" s="50"/>
      <c r="R226" s="43"/>
      <c r="S226" s="50"/>
      <c r="T226" s="43"/>
      <c r="U226" s="50"/>
      <c r="V226" s="43"/>
      <c r="W226" s="50"/>
      <c r="X226" s="43"/>
      <c r="Y226" s="50"/>
      <c r="Z226" s="43"/>
      <c r="AA226" s="50"/>
      <c r="AB226" s="43"/>
      <c r="AC226" s="50"/>
      <c r="AD226" s="43"/>
      <c r="AE226" s="50"/>
      <c r="AF226" s="43"/>
      <c r="AG226" s="50"/>
      <c r="AH226" s="43"/>
      <c r="AI226" s="50"/>
      <c r="AJ226" s="43"/>
      <c r="AK226" s="50"/>
      <c r="AL226" s="43"/>
      <c r="AM226" s="50"/>
      <c r="AO226" s="43"/>
      <c r="AP226" s="46"/>
      <c r="AQ226" s="43"/>
      <c r="AR226" s="119"/>
      <c r="AS226" s="1"/>
      <c r="AT226" s="1"/>
    </row>
    <row r="227">
      <c r="A227" s="43"/>
      <c r="B227" s="59" t="str">
        <f>IFERROR(HYPERLINK(VLOOKUP(A227,Internal_lists_bugs!$A$2:$C$73,3,FALSE()), VLOOKUP(A227,Internal_lists_bugs!$A$2:$C$73,3,FALSE())&amp;Char(10) &amp; Char(10) &amp; VLOOKUP(A227,Internal_lists_bugs!$A$2:$Z$73,26,FALSE())),"please select a BUG ID")</f>
        <v>please select a BUG ID</v>
      </c>
      <c r="C227" s="51" t="str">
        <f>IFERROR(VLOOKUP(A227,Internal_lists_bugs!$A$2:$G2003,7,FALSE()),"please select a BUG ID")</f>
        <v>please select a BUG ID</v>
      </c>
      <c r="D227" s="43"/>
      <c r="E227" s="63"/>
      <c r="F227" s="43"/>
      <c r="G227" s="63"/>
      <c r="H227" s="43"/>
      <c r="I227" s="63"/>
      <c r="J227" s="43"/>
      <c r="K227" s="50"/>
      <c r="L227" s="43"/>
      <c r="M227" s="50"/>
      <c r="N227" s="43"/>
      <c r="O227" s="50"/>
      <c r="P227" s="43"/>
      <c r="Q227" s="50"/>
      <c r="R227" s="43"/>
      <c r="S227" s="50"/>
      <c r="T227" s="43"/>
      <c r="U227" s="50"/>
      <c r="V227" s="43"/>
      <c r="W227" s="50"/>
      <c r="X227" s="43"/>
      <c r="Y227" s="50"/>
      <c r="Z227" s="43"/>
      <c r="AA227" s="50"/>
      <c r="AB227" s="43"/>
      <c r="AC227" s="50"/>
      <c r="AD227" s="43"/>
      <c r="AE227" s="50"/>
      <c r="AF227" s="43"/>
      <c r="AG227" s="50"/>
      <c r="AH227" s="43"/>
      <c r="AI227" s="50"/>
      <c r="AJ227" s="43"/>
      <c r="AK227" s="50"/>
      <c r="AL227" s="43"/>
      <c r="AM227" s="50"/>
      <c r="AO227" s="43"/>
      <c r="AP227" s="46"/>
      <c r="AQ227" s="43"/>
      <c r="AR227" s="119"/>
      <c r="AS227" s="1"/>
      <c r="AT227" s="1"/>
    </row>
    <row r="228">
      <c r="A228" s="43"/>
      <c r="B228" s="59" t="str">
        <f>IFERROR(HYPERLINK(VLOOKUP(A228,Internal_lists_bugs!$A$2:$C$73,3,FALSE()), VLOOKUP(A228,Internal_lists_bugs!$A$2:$C$73,3,FALSE())&amp;Char(10) &amp; Char(10) &amp; VLOOKUP(A228,Internal_lists_bugs!$A$2:$Z$73,26,FALSE())),"please select a BUG ID")</f>
        <v>please select a BUG ID</v>
      </c>
      <c r="C228" s="51" t="str">
        <f>IFERROR(VLOOKUP(A228,Internal_lists_bugs!$A$2:$G2003,7,FALSE()),"please select a BUG ID")</f>
        <v>please select a BUG ID</v>
      </c>
      <c r="D228" s="43"/>
      <c r="E228" s="63"/>
      <c r="F228" s="43"/>
      <c r="G228" s="63"/>
      <c r="H228" s="43"/>
      <c r="I228" s="63"/>
      <c r="J228" s="43"/>
      <c r="K228" s="50"/>
      <c r="L228" s="43"/>
      <c r="M228" s="50"/>
      <c r="N228" s="43"/>
      <c r="O228" s="50"/>
      <c r="P228" s="43"/>
      <c r="Q228" s="50"/>
      <c r="R228" s="43"/>
      <c r="S228" s="50"/>
      <c r="T228" s="43"/>
      <c r="U228" s="50"/>
      <c r="V228" s="43"/>
      <c r="W228" s="50"/>
      <c r="X228" s="43"/>
      <c r="Y228" s="50"/>
      <c r="Z228" s="43"/>
      <c r="AA228" s="50"/>
      <c r="AB228" s="43"/>
      <c r="AC228" s="50"/>
      <c r="AD228" s="43"/>
      <c r="AE228" s="50"/>
      <c r="AF228" s="43"/>
      <c r="AG228" s="50"/>
      <c r="AH228" s="43"/>
      <c r="AI228" s="50"/>
      <c r="AJ228" s="43"/>
      <c r="AK228" s="50"/>
      <c r="AL228" s="43"/>
      <c r="AM228" s="50"/>
      <c r="AO228" s="43"/>
      <c r="AP228" s="46"/>
      <c r="AQ228" s="43"/>
      <c r="AR228" s="119"/>
      <c r="AS228" s="1"/>
      <c r="AT228" s="1"/>
    </row>
    <row r="229">
      <c r="A229" s="43"/>
      <c r="B229" s="59" t="str">
        <f>IFERROR(HYPERLINK(VLOOKUP(A229,Internal_lists_bugs!$A$2:$C$73,3,FALSE()), VLOOKUP(A229,Internal_lists_bugs!$A$2:$C$73,3,FALSE())&amp;Char(10) &amp; Char(10) &amp; VLOOKUP(A229,Internal_lists_bugs!$A$2:$Z$73,26,FALSE())),"please select a BUG ID")</f>
        <v>please select a BUG ID</v>
      </c>
      <c r="C229" s="51" t="str">
        <f>IFERROR(VLOOKUP(A229,Internal_lists_bugs!$A$2:$G2003,7,FALSE()),"please select a BUG ID")</f>
        <v>please select a BUG ID</v>
      </c>
      <c r="D229" s="43"/>
      <c r="E229" s="63"/>
      <c r="F229" s="43"/>
      <c r="G229" s="63"/>
      <c r="H229" s="43"/>
      <c r="I229" s="63"/>
      <c r="J229" s="43"/>
      <c r="K229" s="50"/>
      <c r="L229" s="43"/>
      <c r="M229" s="50"/>
      <c r="N229" s="43"/>
      <c r="O229" s="50"/>
      <c r="P229" s="43"/>
      <c r="Q229" s="50"/>
      <c r="R229" s="43"/>
      <c r="S229" s="50"/>
      <c r="T229" s="43"/>
      <c r="U229" s="50"/>
      <c r="V229" s="43"/>
      <c r="W229" s="50"/>
      <c r="X229" s="43"/>
      <c r="Y229" s="50"/>
      <c r="Z229" s="43"/>
      <c r="AA229" s="50"/>
      <c r="AB229" s="43"/>
      <c r="AC229" s="50"/>
      <c r="AD229" s="43"/>
      <c r="AE229" s="50"/>
      <c r="AF229" s="43"/>
      <c r="AG229" s="50"/>
      <c r="AH229" s="43"/>
      <c r="AI229" s="50"/>
      <c r="AJ229" s="43"/>
      <c r="AK229" s="50"/>
      <c r="AL229" s="43"/>
      <c r="AM229" s="50"/>
      <c r="AO229" s="43"/>
      <c r="AP229" s="46"/>
      <c r="AQ229" s="43"/>
      <c r="AR229" s="119"/>
      <c r="AS229" s="1"/>
      <c r="AT229" s="1"/>
    </row>
    <row r="230">
      <c r="A230" s="43"/>
      <c r="B230" s="59" t="str">
        <f>IFERROR(HYPERLINK(VLOOKUP(A230,Internal_lists_bugs!$A$2:$C$73,3,FALSE()), VLOOKUP(A230,Internal_lists_bugs!$A$2:$C$73,3,FALSE())&amp;Char(10) &amp; Char(10) &amp; VLOOKUP(A230,Internal_lists_bugs!$A$2:$Z$73,26,FALSE())),"please select a BUG ID")</f>
        <v>please select a BUG ID</v>
      </c>
      <c r="C230" s="51" t="str">
        <f>IFERROR(VLOOKUP(A230,Internal_lists_bugs!$A$2:$G2003,7,FALSE()),"please select a BUG ID")</f>
        <v>please select a BUG ID</v>
      </c>
      <c r="D230" s="43"/>
      <c r="E230" s="63"/>
      <c r="F230" s="43"/>
      <c r="G230" s="63"/>
      <c r="H230" s="43"/>
      <c r="I230" s="63"/>
      <c r="J230" s="43"/>
      <c r="K230" s="50"/>
      <c r="L230" s="43"/>
      <c r="M230" s="50"/>
      <c r="N230" s="43"/>
      <c r="O230" s="50"/>
      <c r="P230" s="43"/>
      <c r="Q230" s="50"/>
      <c r="R230" s="43"/>
      <c r="S230" s="50"/>
      <c r="T230" s="43"/>
      <c r="U230" s="50"/>
      <c r="V230" s="43"/>
      <c r="W230" s="50"/>
      <c r="X230" s="43"/>
      <c r="Y230" s="50"/>
      <c r="Z230" s="43"/>
      <c r="AA230" s="50"/>
      <c r="AB230" s="43"/>
      <c r="AC230" s="50"/>
      <c r="AD230" s="43"/>
      <c r="AE230" s="50"/>
      <c r="AF230" s="43"/>
      <c r="AG230" s="50"/>
      <c r="AH230" s="43"/>
      <c r="AI230" s="50"/>
      <c r="AJ230" s="43"/>
      <c r="AK230" s="50"/>
      <c r="AL230" s="43"/>
      <c r="AM230" s="50"/>
      <c r="AO230" s="43"/>
      <c r="AP230" s="46"/>
      <c r="AQ230" s="43"/>
      <c r="AR230" s="119"/>
      <c r="AS230" s="1"/>
      <c r="AT230" s="1"/>
    </row>
    <row r="231">
      <c r="A231" s="43"/>
      <c r="B231" s="59" t="str">
        <f>IFERROR(HYPERLINK(VLOOKUP(A231,Internal_lists_bugs!$A$2:$C$73,3,FALSE()), VLOOKUP(A231,Internal_lists_bugs!$A$2:$C$73,3,FALSE())&amp;Char(10) &amp; Char(10) &amp; VLOOKUP(A231,Internal_lists_bugs!$A$2:$Z$73,26,FALSE())),"please select a BUG ID")</f>
        <v>please select a BUG ID</v>
      </c>
      <c r="C231" s="51" t="str">
        <f>IFERROR(VLOOKUP(A231,Internal_lists_bugs!$A$2:$G2003,7,FALSE()),"please select a BUG ID")</f>
        <v>please select a BUG ID</v>
      </c>
      <c r="D231" s="43"/>
      <c r="E231" s="63"/>
      <c r="F231" s="43"/>
      <c r="G231" s="63"/>
      <c r="H231" s="43"/>
      <c r="I231" s="63"/>
      <c r="J231" s="43"/>
      <c r="K231" s="50"/>
      <c r="L231" s="43"/>
      <c r="M231" s="50"/>
      <c r="N231" s="43"/>
      <c r="O231" s="50"/>
      <c r="P231" s="43"/>
      <c r="Q231" s="50"/>
      <c r="R231" s="43"/>
      <c r="S231" s="50"/>
      <c r="T231" s="43"/>
      <c r="U231" s="50"/>
      <c r="V231" s="43"/>
      <c r="W231" s="50"/>
      <c r="X231" s="43"/>
      <c r="Y231" s="50"/>
      <c r="Z231" s="43"/>
      <c r="AA231" s="50"/>
      <c r="AB231" s="43"/>
      <c r="AC231" s="50"/>
      <c r="AD231" s="43"/>
      <c r="AE231" s="50"/>
      <c r="AF231" s="43"/>
      <c r="AG231" s="50"/>
      <c r="AH231" s="43"/>
      <c r="AI231" s="50"/>
      <c r="AJ231" s="43"/>
      <c r="AK231" s="50"/>
      <c r="AL231" s="43"/>
      <c r="AM231" s="50"/>
      <c r="AO231" s="43"/>
      <c r="AP231" s="46"/>
      <c r="AQ231" s="43"/>
      <c r="AR231" s="119"/>
      <c r="AS231" s="1"/>
      <c r="AT231" s="1"/>
    </row>
    <row r="232">
      <c r="A232" s="43"/>
      <c r="B232" s="59" t="str">
        <f>IFERROR(HYPERLINK(VLOOKUP(A232,Internal_lists_bugs!$A$2:$C$73,3,FALSE()), VLOOKUP(A232,Internal_lists_bugs!$A$2:$C$73,3,FALSE())&amp;Char(10) &amp; Char(10) &amp; VLOOKUP(A232,Internal_lists_bugs!$A$2:$Z$73,26,FALSE())),"please select a BUG ID")</f>
        <v>please select a BUG ID</v>
      </c>
      <c r="C232" s="51" t="str">
        <f>IFERROR(VLOOKUP(A232,Internal_lists_bugs!$A$2:$G2003,7,FALSE()),"please select a BUG ID")</f>
        <v>please select a BUG ID</v>
      </c>
      <c r="D232" s="43"/>
      <c r="E232" s="63"/>
      <c r="F232" s="43"/>
      <c r="G232" s="63"/>
      <c r="H232" s="43"/>
      <c r="I232" s="63"/>
      <c r="J232" s="43"/>
      <c r="K232" s="50"/>
      <c r="L232" s="43"/>
      <c r="M232" s="50"/>
      <c r="N232" s="43"/>
      <c r="O232" s="50"/>
      <c r="P232" s="43"/>
      <c r="Q232" s="50"/>
      <c r="R232" s="43"/>
      <c r="S232" s="50"/>
      <c r="T232" s="43"/>
      <c r="U232" s="50"/>
      <c r="V232" s="43"/>
      <c r="W232" s="50"/>
      <c r="X232" s="43"/>
      <c r="Y232" s="50"/>
      <c r="Z232" s="43"/>
      <c r="AA232" s="50"/>
      <c r="AB232" s="43"/>
      <c r="AC232" s="50"/>
      <c r="AD232" s="43"/>
      <c r="AE232" s="50"/>
      <c r="AF232" s="43"/>
      <c r="AG232" s="50"/>
      <c r="AH232" s="43"/>
      <c r="AI232" s="50"/>
      <c r="AJ232" s="43"/>
      <c r="AK232" s="50"/>
      <c r="AL232" s="43"/>
      <c r="AM232" s="50"/>
      <c r="AO232" s="43"/>
      <c r="AP232" s="46"/>
      <c r="AQ232" s="43"/>
      <c r="AR232" s="119"/>
      <c r="AS232" s="1"/>
      <c r="AT232" s="1"/>
    </row>
    <row r="233">
      <c r="A233" s="43"/>
      <c r="B233" s="59" t="str">
        <f>IFERROR(HYPERLINK(VLOOKUP(A233,Internal_lists_bugs!$A$2:$C$73,3,FALSE()), VLOOKUP(A233,Internal_lists_bugs!$A$2:$C$73,3,FALSE())&amp;Char(10) &amp; Char(10) &amp; VLOOKUP(A233,Internal_lists_bugs!$A$2:$Z$73,26,FALSE())),"please select a BUG ID")</f>
        <v>please select a BUG ID</v>
      </c>
      <c r="C233" s="51" t="str">
        <f>IFERROR(VLOOKUP(A233,Internal_lists_bugs!$A$2:$G2003,7,FALSE()),"please select a BUG ID")</f>
        <v>please select a BUG ID</v>
      </c>
      <c r="D233" s="43"/>
      <c r="E233" s="63"/>
      <c r="F233" s="43"/>
      <c r="G233" s="63"/>
      <c r="H233" s="43"/>
      <c r="I233" s="63"/>
      <c r="J233" s="43"/>
      <c r="K233" s="50"/>
      <c r="L233" s="43"/>
      <c r="M233" s="50"/>
      <c r="N233" s="43"/>
      <c r="O233" s="50"/>
      <c r="P233" s="43"/>
      <c r="Q233" s="50"/>
      <c r="R233" s="43"/>
      <c r="S233" s="50"/>
      <c r="T233" s="43"/>
      <c r="U233" s="50"/>
      <c r="V233" s="43"/>
      <c r="W233" s="50"/>
      <c r="X233" s="43"/>
      <c r="Y233" s="50"/>
      <c r="Z233" s="43"/>
      <c r="AA233" s="50"/>
      <c r="AB233" s="43"/>
      <c r="AC233" s="50"/>
      <c r="AD233" s="43"/>
      <c r="AE233" s="50"/>
      <c r="AF233" s="43"/>
      <c r="AG233" s="50"/>
      <c r="AH233" s="43"/>
      <c r="AI233" s="50"/>
      <c r="AJ233" s="43"/>
      <c r="AK233" s="50"/>
      <c r="AL233" s="43"/>
      <c r="AM233" s="50"/>
      <c r="AO233" s="43"/>
      <c r="AP233" s="46"/>
      <c r="AQ233" s="43"/>
      <c r="AR233" s="119"/>
      <c r="AS233" s="1"/>
      <c r="AT233" s="1"/>
    </row>
    <row r="234">
      <c r="A234" s="43"/>
      <c r="B234" s="59" t="str">
        <f>IFERROR(HYPERLINK(VLOOKUP(A234,Internal_lists_bugs!$A$2:$C$73,3,FALSE()), VLOOKUP(A234,Internal_lists_bugs!$A$2:$C$73,3,FALSE())&amp;Char(10) &amp; Char(10) &amp; VLOOKUP(A234,Internal_lists_bugs!$A$2:$Z$73,26,FALSE())),"please select a BUG ID")</f>
        <v>please select a BUG ID</v>
      </c>
      <c r="C234" s="51" t="str">
        <f>IFERROR(VLOOKUP(A234,Internal_lists_bugs!$A$2:$G2003,7,FALSE()),"please select a BUG ID")</f>
        <v>please select a BUG ID</v>
      </c>
      <c r="D234" s="43"/>
      <c r="E234" s="63"/>
      <c r="F234" s="43"/>
      <c r="G234" s="63"/>
      <c r="H234" s="43"/>
      <c r="I234" s="63"/>
      <c r="J234" s="43"/>
      <c r="K234" s="50"/>
      <c r="L234" s="43"/>
      <c r="M234" s="50"/>
      <c r="N234" s="43"/>
      <c r="O234" s="50"/>
      <c r="P234" s="43"/>
      <c r="Q234" s="50"/>
      <c r="R234" s="43"/>
      <c r="S234" s="50"/>
      <c r="T234" s="43"/>
      <c r="U234" s="50"/>
      <c r="V234" s="43"/>
      <c r="W234" s="50"/>
      <c r="X234" s="43"/>
      <c r="Y234" s="50"/>
      <c r="Z234" s="43"/>
      <c r="AA234" s="50"/>
      <c r="AB234" s="43"/>
      <c r="AC234" s="50"/>
      <c r="AD234" s="43"/>
      <c r="AE234" s="50"/>
      <c r="AF234" s="43"/>
      <c r="AG234" s="50"/>
      <c r="AH234" s="43"/>
      <c r="AI234" s="50"/>
      <c r="AJ234" s="43"/>
      <c r="AK234" s="50"/>
      <c r="AL234" s="43"/>
      <c r="AM234" s="50"/>
      <c r="AO234" s="43"/>
      <c r="AP234" s="46"/>
      <c r="AQ234" s="43"/>
      <c r="AR234" s="119"/>
      <c r="AS234" s="1"/>
      <c r="AT234" s="1"/>
    </row>
    <row r="235">
      <c r="A235" s="43"/>
      <c r="B235" s="59" t="str">
        <f>IFERROR(HYPERLINK(VLOOKUP(A235,Internal_lists_bugs!$A$2:$C$73,3,FALSE()), VLOOKUP(A235,Internal_lists_bugs!$A$2:$C$73,3,FALSE())&amp;Char(10) &amp; Char(10) &amp; VLOOKUP(A235,Internal_lists_bugs!$A$2:$Z$73,26,FALSE())),"please select a BUG ID")</f>
        <v>please select a BUG ID</v>
      </c>
      <c r="C235" s="51" t="str">
        <f>IFERROR(VLOOKUP(A235,Internal_lists_bugs!$A$2:$G2003,7,FALSE()),"please select a BUG ID")</f>
        <v>please select a BUG ID</v>
      </c>
      <c r="D235" s="43"/>
      <c r="E235" s="63"/>
      <c r="F235" s="43"/>
      <c r="G235" s="63"/>
      <c r="H235" s="43"/>
      <c r="I235" s="63"/>
      <c r="J235" s="43"/>
      <c r="K235" s="50"/>
      <c r="L235" s="43"/>
      <c r="M235" s="50"/>
      <c r="N235" s="43"/>
      <c r="O235" s="50"/>
      <c r="P235" s="43"/>
      <c r="Q235" s="50"/>
      <c r="R235" s="43"/>
      <c r="S235" s="50"/>
      <c r="T235" s="43"/>
      <c r="U235" s="50"/>
      <c r="V235" s="43"/>
      <c r="W235" s="50"/>
      <c r="X235" s="43"/>
      <c r="Y235" s="50"/>
      <c r="Z235" s="43"/>
      <c r="AA235" s="50"/>
      <c r="AB235" s="43"/>
      <c r="AC235" s="50"/>
      <c r="AD235" s="43"/>
      <c r="AE235" s="50"/>
      <c r="AF235" s="43"/>
      <c r="AG235" s="50"/>
      <c r="AH235" s="43"/>
      <c r="AI235" s="50"/>
      <c r="AJ235" s="43"/>
      <c r="AK235" s="50"/>
      <c r="AL235" s="43"/>
      <c r="AM235" s="50"/>
      <c r="AO235" s="43"/>
      <c r="AP235" s="46"/>
      <c r="AQ235" s="43"/>
      <c r="AR235" s="119"/>
      <c r="AS235" s="1"/>
      <c r="AT235" s="1"/>
    </row>
    <row r="236">
      <c r="A236" s="43"/>
      <c r="B236" s="59" t="str">
        <f>IFERROR(HYPERLINK(VLOOKUP(A236,Internal_lists_bugs!$A$2:$C$73,3,FALSE()), VLOOKUP(A236,Internal_lists_bugs!$A$2:$C$73,3,FALSE())&amp;Char(10) &amp; Char(10) &amp; VLOOKUP(A236,Internal_lists_bugs!$A$2:$Z$73,26,FALSE())),"please select a BUG ID")</f>
        <v>please select a BUG ID</v>
      </c>
      <c r="C236" s="51" t="str">
        <f>IFERROR(VLOOKUP(A236,Internal_lists_bugs!$A$2:$G2003,7,FALSE()),"please select a BUG ID")</f>
        <v>please select a BUG ID</v>
      </c>
      <c r="D236" s="43"/>
      <c r="E236" s="63"/>
      <c r="F236" s="43"/>
      <c r="G236" s="63"/>
      <c r="H236" s="43"/>
      <c r="I236" s="63"/>
      <c r="J236" s="43"/>
      <c r="K236" s="50"/>
      <c r="L236" s="43"/>
      <c r="M236" s="50"/>
      <c r="N236" s="43"/>
      <c r="O236" s="50"/>
      <c r="P236" s="43"/>
      <c r="Q236" s="50"/>
      <c r="R236" s="43"/>
      <c r="S236" s="50"/>
      <c r="T236" s="43"/>
      <c r="U236" s="50"/>
      <c r="V236" s="43"/>
      <c r="W236" s="50"/>
      <c r="X236" s="43"/>
      <c r="Y236" s="50"/>
      <c r="Z236" s="43"/>
      <c r="AA236" s="50"/>
      <c r="AB236" s="43"/>
      <c r="AC236" s="50"/>
      <c r="AD236" s="43"/>
      <c r="AE236" s="50"/>
      <c r="AF236" s="43"/>
      <c r="AG236" s="50"/>
      <c r="AH236" s="43"/>
      <c r="AI236" s="50"/>
      <c r="AJ236" s="43"/>
      <c r="AK236" s="50"/>
      <c r="AL236" s="43"/>
      <c r="AM236" s="50"/>
      <c r="AO236" s="43"/>
      <c r="AP236" s="46"/>
      <c r="AQ236" s="43"/>
      <c r="AR236" s="119"/>
      <c r="AS236" s="1"/>
      <c r="AT236" s="1"/>
    </row>
    <row r="237">
      <c r="A237" s="43"/>
      <c r="B237" s="59" t="str">
        <f>IFERROR(HYPERLINK(VLOOKUP(A237,Internal_lists_bugs!$A$2:$C$73,3,FALSE()), VLOOKUP(A237,Internal_lists_bugs!$A$2:$C$73,3,FALSE())&amp;Char(10) &amp; Char(10) &amp; VLOOKUP(A237,Internal_lists_bugs!$A$2:$Z$73,26,FALSE())),"please select a BUG ID")</f>
        <v>please select a BUG ID</v>
      </c>
      <c r="C237" s="51" t="str">
        <f>IFERROR(VLOOKUP(A237,Internal_lists_bugs!$A$2:$G2003,7,FALSE()),"please select a BUG ID")</f>
        <v>please select a BUG ID</v>
      </c>
      <c r="D237" s="43"/>
      <c r="E237" s="63"/>
      <c r="F237" s="43"/>
      <c r="G237" s="63"/>
      <c r="H237" s="43"/>
      <c r="I237" s="63"/>
      <c r="J237" s="43"/>
      <c r="K237" s="50"/>
      <c r="L237" s="43"/>
      <c r="M237" s="50"/>
      <c r="N237" s="43"/>
      <c r="O237" s="50"/>
      <c r="P237" s="43"/>
      <c r="Q237" s="50"/>
      <c r="R237" s="43"/>
      <c r="S237" s="50"/>
      <c r="T237" s="43"/>
      <c r="U237" s="50"/>
      <c r="V237" s="43"/>
      <c r="W237" s="50"/>
      <c r="X237" s="43"/>
      <c r="Y237" s="50"/>
      <c r="Z237" s="43"/>
      <c r="AA237" s="50"/>
      <c r="AB237" s="43"/>
      <c r="AC237" s="50"/>
      <c r="AD237" s="43"/>
      <c r="AE237" s="50"/>
      <c r="AF237" s="43"/>
      <c r="AG237" s="50"/>
      <c r="AH237" s="43"/>
      <c r="AI237" s="50"/>
      <c r="AJ237" s="43"/>
      <c r="AK237" s="50"/>
      <c r="AL237" s="43"/>
      <c r="AM237" s="50"/>
      <c r="AO237" s="43"/>
      <c r="AP237" s="46"/>
      <c r="AQ237" s="43"/>
      <c r="AR237" s="119"/>
      <c r="AS237" s="1"/>
      <c r="AT237" s="1"/>
    </row>
    <row r="238">
      <c r="A238" s="43"/>
      <c r="B238" s="59" t="str">
        <f>IFERROR(HYPERLINK(VLOOKUP(A238,Internal_lists_bugs!$A$2:$C$73,3,FALSE()), VLOOKUP(A238,Internal_lists_bugs!$A$2:$C$73,3,FALSE())&amp;Char(10) &amp; Char(10) &amp; VLOOKUP(A238,Internal_lists_bugs!$A$2:$Z$73,26,FALSE())),"please select a BUG ID")</f>
        <v>please select a BUG ID</v>
      </c>
      <c r="C238" s="51" t="str">
        <f>IFERROR(VLOOKUP(A238,Internal_lists_bugs!$A$2:$G2003,7,FALSE()),"please select a BUG ID")</f>
        <v>please select a BUG ID</v>
      </c>
      <c r="D238" s="43"/>
      <c r="E238" s="63"/>
      <c r="F238" s="43"/>
      <c r="G238" s="63"/>
      <c r="H238" s="43"/>
      <c r="I238" s="63"/>
      <c r="J238" s="43"/>
      <c r="K238" s="50"/>
      <c r="L238" s="43"/>
      <c r="M238" s="50"/>
      <c r="N238" s="43"/>
      <c r="O238" s="50"/>
      <c r="P238" s="43"/>
      <c r="Q238" s="50"/>
      <c r="R238" s="43"/>
      <c r="S238" s="50"/>
      <c r="T238" s="43"/>
      <c r="U238" s="50"/>
      <c r="V238" s="43"/>
      <c r="W238" s="50"/>
      <c r="X238" s="43"/>
      <c r="Y238" s="50"/>
      <c r="Z238" s="43"/>
      <c r="AA238" s="50"/>
      <c r="AB238" s="43"/>
      <c r="AC238" s="50"/>
      <c r="AD238" s="43"/>
      <c r="AE238" s="50"/>
      <c r="AF238" s="43"/>
      <c r="AG238" s="50"/>
      <c r="AH238" s="43"/>
      <c r="AI238" s="50"/>
      <c r="AJ238" s="43"/>
      <c r="AK238" s="50"/>
      <c r="AL238" s="43"/>
      <c r="AM238" s="50"/>
      <c r="AO238" s="43"/>
      <c r="AP238" s="46"/>
      <c r="AQ238" s="43"/>
      <c r="AR238" s="119"/>
      <c r="AS238" s="1"/>
      <c r="AT238" s="1"/>
    </row>
    <row r="239">
      <c r="A239" s="43"/>
      <c r="B239" s="59" t="str">
        <f>IFERROR(HYPERLINK(VLOOKUP(A239,Internal_lists_bugs!$A$2:$C$73,3,FALSE()), VLOOKUP(A239,Internal_lists_bugs!$A$2:$C$73,3,FALSE())&amp;Char(10) &amp; Char(10) &amp; VLOOKUP(A239,Internal_lists_bugs!$A$2:$Z$73,26,FALSE())),"please select a BUG ID")</f>
        <v>please select a BUG ID</v>
      </c>
      <c r="C239" s="51" t="str">
        <f>IFERROR(VLOOKUP(A239,Internal_lists_bugs!$A$2:$G2003,7,FALSE()),"please select a BUG ID")</f>
        <v>please select a BUG ID</v>
      </c>
      <c r="D239" s="43"/>
      <c r="E239" s="63"/>
      <c r="F239" s="43"/>
      <c r="G239" s="63"/>
      <c r="H239" s="43"/>
      <c r="I239" s="63"/>
      <c r="J239" s="43"/>
      <c r="K239" s="50"/>
      <c r="L239" s="43"/>
      <c r="M239" s="50"/>
      <c r="N239" s="43"/>
      <c r="O239" s="50"/>
      <c r="P239" s="43"/>
      <c r="Q239" s="50"/>
      <c r="R239" s="43"/>
      <c r="S239" s="50"/>
      <c r="T239" s="43"/>
      <c r="U239" s="50"/>
      <c r="V239" s="43"/>
      <c r="W239" s="50"/>
      <c r="X239" s="43"/>
      <c r="Y239" s="50"/>
      <c r="Z239" s="43"/>
      <c r="AA239" s="50"/>
      <c r="AB239" s="43"/>
      <c r="AC239" s="50"/>
      <c r="AD239" s="43"/>
      <c r="AE239" s="50"/>
      <c r="AF239" s="43"/>
      <c r="AG239" s="50"/>
      <c r="AH239" s="43"/>
      <c r="AI239" s="50"/>
      <c r="AJ239" s="43"/>
      <c r="AK239" s="50"/>
      <c r="AL239" s="43"/>
      <c r="AM239" s="50"/>
      <c r="AO239" s="43"/>
      <c r="AP239" s="46"/>
      <c r="AQ239" s="43"/>
      <c r="AR239" s="119"/>
      <c r="AS239" s="1"/>
      <c r="AT239" s="1"/>
    </row>
    <row r="240">
      <c r="A240" s="43"/>
      <c r="B240" s="59" t="str">
        <f>IFERROR(HYPERLINK(VLOOKUP(A240,Internal_lists_bugs!$A$2:$C$73,3,FALSE()), VLOOKUP(A240,Internal_lists_bugs!$A$2:$C$73,3,FALSE())&amp;Char(10) &amp; Char(10) &amp; VLOOKUP(A240,Internal_lists_bugs!$A$2:$Z$73,26,FALSE())),"please select a BUG ID")</f>
        <v>please select a BUG ID</v>
      </c>
      <c r="C240" s="51" t="str">
        <f>IFERROR(VLOOKUP(A240,Internal_lists_bugs!$A$2:$G2003,7,FALSE()),"please select a BUG ID")</f>
        <v>please select a BUG ID</v>
      </c>
      <c r="D240" s="43"/>
      <c r="E240" s="63"/>
      <c r="F240" s="43"/>
      <c r="G240" s="63"/>
      <c r="H240" s="43"/>
      <c r="I240" s="63"/>
      <c r="J240" s="43"/>
      <c r="K240" s="50"/>
      <c r="L240" s="43"/>
      <c r="M240" s="50"/>
      <c r="N240" s="43"/>
      <c r="O240" s="50"/>
      <c r="P240" s="43"/>
      <c r="Q240" s="50"/>
      <c r="R240" s="43"/>
      <c r="S240" s="50"/>
      <c r="T240" s="43"/>
      <c r="U240" s="50"/>
      <c r="V240" s="43"/>
      <c r="W240" s="50"/>
      <c r="X240" s="43"/>
      <c r="Y240" s="50"/>
      <c r="Z240" s="43"/>
      <c r="AA240" s="50"/>
      <c r="AB240" s="43"/>
      <c r="AC240" s="50"/>
      <c r="AD240" s="43"/>
      <c r="AE240" s="50"/>
      <c r="AF240" s="43"/>
      <c r="AG240" s="50"/>
      <c r="AH240" s="43"/>
      <c r="AI240" s="50"/>
      <c r="AJ240" s="43"/>
      <c r="AK240" s="50"/>
      <c r="AL240" s="43"/>
      <c r="AM240" s="50"/>
      <c r="AO240" s="43"/>
      <c r="AP240" s="46"/>
      <c r="AQ240" s="43"/>
      <c r="AR240" s="119"/>
      <c r="AS240" s="1"/>
      <c r="AT240" s="1"/>
    </row>
    <row r="241">
      <c r="A241" s="43"/>
      <c r="B241" s="59" t="str">
        <f>IFERROR(HYPERLINK(VLOOKUP(A241,Internal_lists_bugs!$A$2:$C$73,3,FALSE()), VLOOKUP(A241,Internal_lists_bugs!$A$2:$C$73,3,FALSE())&amp;Char(10) &amp; Char(10) &amp; VLOOKUP(A241,Internal_lists_bugs!$A$2:$Z$73,26,FALSE())),"please select a BUG ID")</f>
        <v>please select a BUG ID</v>
      </c>
      <c r="C241" s="51" t="str">
        <f>IFERROR(VLOOKUP(A241,Internal_lists_bugs!$A$2:$G2003,7,FALSE()),"please select a BUG ID")</f>
        <v>please select a BUG ID</v>
      </c>
      <c r="D241" s="43"/>
      <c r="E241" s="63"/>
      <c r="F241" s="43"/>
      <c r="G241" s="63"/>
      <c r="H241" s="43"/>
      <c r="I241" s="63"/>
      <c r="J241" s="43"/>
      <c r="K241" s="50"/>
      <c r="L241" s="43"/>
      <c r="M241" s="50"/>
      <c r="N241" s="43"/>
      <c r="O241" s="50"/>
      <c r="P241" s="43"/>
      <c r="Q241" s="50"/>
      <c r="R241" s="43"/>
      <c r="S241" s="50"/>
      <c r="T241" s="43"/>
      <c r="U241" s="50"/>
      <c r="V241" s="43"/>
      <c r="W241" s="50"/>
      <c r="X241" s="43"/>
      <c r="Y241" s="50"/>
      <c r="Z241" s="43"/>
      <c r="AA241" s="50"/>
      <c r="AB241" s="43"/>
      <c r="AC241" s="50"/>
      <c r="AD241" s="43"/>
      <c r="AE241" s="50"/>
      <c r="AF241" s="43"/>
      <c r="AG241" s="50"/>
      <c r="AH241" s="43"/>
      <c r="AI241" s="50"/>
      <c r="AJ241" s="43"/>
      <c r="AK241" s="50"/>
      <c r="AL241" s="43"/>
      <c r="AM241" s="50"/>
      <c r="AO241" s="43"/>
      <c r="AP241" s="46"/>
      <c r="AQ241" s="43"/>
      <c r="AR241" s="119"/>
      <c r="AS241" s="1"/>
      <c r="AT241" s="1"/>
    </row>
    <row r="242">
      <c r="A242" s="43"/>
      <c r="B242" s="59" t="str">
        <f>IFERROR(HYPERLINK(VLOOKUP(A242,Internal_lists_bugs!$A$2:$C$73,3,FALSE()), VLOOKUP(A242,Internal_lists_bugs!$A$2:$C$73,3,FALSE())&amp;Char(10) &amp; Char(10) &amp; VLOOKUP(A242,Internal_lists_bugs!$A$2:$Z$73,26,FALSE())),"please select a BUG ID")</f>
        <v>please select a BUG ID</v>
      </c>
      <c r="C242" s="51" t="str">
        <f>IFERROR(VLOOKUP(A242,Internal_lists_bugs!$A$2:$G2003,7,FALSE()),"please select a BUG ID")</f>
        <v>please select a BUG ID</v>
      </c>
      <c r="D242" s="43"/>
      <c r="E242" s="63"/>
      <c r="F242" s="43"/>
      <c r="G242" s="63"/>
      <c r="H242" s="43"/>
      <c r="I242" s="63"/>
      <c r="J242" s="43"/>
      <c r="K242" s="50"/>
      <c r="L242" s="43"/>
      <c r="M242" s="50"/>
      <c r="N242" s="43"/>
      <c r="O242" s="50"/>
      <c r="P242" s="43"/>
      <c r="Q242" s="50"/>
      <c r="R242" s="43"/>
      <c r="S242" s="50"/>
      <c r="T242" s="43"/>
      <c r="U242" s="50"/>
      <c r="V242" s="43"/>
      <c r="W242" s="50"/>
      <c r="X242" s="43"/>
      <c r="Y242" s="50"/>
      <c r="Z242" s="43"/>
      <c r="AA242" s="50"/>
      <c r="AB242" s="43"/>
      <c r="AC242" s="50"/>
      <c r="AD242" s="43"/>
      <c r="AE242" s="50"/>
      <c r="AF242" s="43"/>
      <c r="AG242" s="50"/>
      <c r="AH242" s="43"/>
      <c r="AI242" s="50"/>
      <c r="AJ242" s="43"/>
      <c r="AK242" s="50"/>
      <c r="AL242" s="43"/>
      <c r="AM242" s="50"/>
      <c r="AO242" s="43"/>
      <c r="AP242" s="46"/>
      <c r="AQ242" s="43"/>
      <c r="AR242" s="119"/>
      <c r="AS242" s="1"/>
      <c r="AT242" s="1"/>
    </row>
    <row r="243">
      <c r="A243" s="43"/>
      <c r="B243" s="59" t="str">
        <f>IFERROR(HYPERLINK(VLOOKUP(A243,Internal_lists_bugs!$A$2:$C$73,3,FALSE()), VLOOKUP(A243,Internal_lists_bugs!$A$2:$C$73,3,FALSE())&amp;Char(10) &amp; Char(10) &amp; VLOOKUP(A243,Internal_lists_bugs!$A$2:$Z$73,26,FALSE())),"please select a BUG ID")</f>
        <v>please select a BUG ID</v>
      </c>
      <c r="C243" s="51" t="str">
        <f>IFERROR(VLOOKUP(A243,Internal_lists_bugs!$A$2:$G2003,7,FALSE()),"please select a BUG ID")</f>
        <v>please select a BUG ID</v>
      </c>
      <c r="D243" s="43"/>
      <c r="E243" s="63"/>
      <c r="F243" s="43"/>
      <c r="G243" s="63"/>
      <c r="H243" s="43"/>
      <c r="I243" s="63"/>
      <c r="J243" s="43"/>
      <c r="K243" s="50"/>
      <c r="L243" s="43"/>
      <c r="M243" s="50"/>
      <c r="N243" s="43"/>
      <c r="O243" s="50"/>
      <c r="P243" s="43"/>
      <c r="Q243" s="50"/>
      <c r="R243" s="43"/>
      <c r="S243" s="50"/>
      <c r="T243" s="43"/>
      <c r="U243" s="50"/>
      <c r="V243" s="43"/>
      <c r="W243" s="50"/>
      <c r="X243" s="43"/>
      <c r="Y243" s="50"/>
      <c r="Z243" s="43"/>
      <c r="AA243" s="50"/>
      <c r="AB243" s="43"/>
      <c r="AC243" s="50"/>
      <c r="AD243" s="43"/>
      <c r="AE243" s="50"/>
      <c r="AF243" s="43"/>
      <c r="AG243" s="50"/>
      <c r="AH243" s="43"/>
      <c r="AI243" s="50"/>
      <c r="AJ243" s="43"/>
      <c r="AK243" s="50"/>
      <c r="AL243" s="43"/>
      <c r="AM243" s="50"/>
      <c r="AO243" s="43"/>
      <c r="AP243" s="46"/>
      <c r="AQ243" s="43"/>
      <c r="AR243" s="119"/>
      <c r="AS243" s="1"/>
      <c r="AT243" s="1"/>
    </row>
    <row r="244">
      <c r="A244" s="43"/>
      <c r="B244" s="59" t="str">
        <f>IFERROR(HYPERLINK(VLOOKUP(A244,Internal_lists_bugs!$A$2:$C$73,3,FALSE()), VLOOKUP(A244,Internal_lists_bugs!$A$2:$C$73,3,FALSE())&amp;Char(10) &amp; Char(10) &amp; VLOOKUP(A244,Internal_lists_bugs!$A$2:$Z$73,26,FALSE())),"please select a BUG ID")</f>
        <v>please select a BUG ID</v>
      </c>
      <c r="C244" s="51" t="str">
        <f>IFERROR(VLOOKUP(A244,Internal_lists_bugs!$A$2:$G2003,7,FALSE()),"please select a BUG ID")</f>
        <v>please select a BUG ID</v>
      </c>
      <c r="D244" s="43"/>
      <c r="E244" s="63"/>
      <c r="F244" s="43"/>
      <c r="G244" s="63"/>
      <c r="H244" s="43"/>
      <c r="I244" s="63"/>
      <c r="J244" s="43"/>
      <c r="K244" s="50"/>
      <c r="L244" s="43"/>
      <c r="M244" s="50"/>
      <c r="N244" s="43"/>
      <c r="O244" s="50"/>
      <c r="P244" s="43"/>
      <c r="Q244" s="50"/>
      <c r="R244" s="43"/>
      <c r="S244" s="50"/>
      <c r="T244" s="43"/>
      <c r="U244" s="50"/>
      <c r="V244" s="43"/>
      <c r="W244" s="50"/>
      <c r="X244" s="43"/>
      <c r="Y244" s="50"/>
      <c r="Z244" s="43"/>
      <c r="AA244" s="50"/>
      <c r="AB244" s="43"/>
      <c r="AC244" s="50"/>
      <c r="AD244" s="43"/>
      <c r="AE244" s="50"/>
      <c r="AF244" s="43"/>
      <c r="AG244" s="50"/>
      <c r="AH244" s="43"/>
      <c r="AI244" s="50"/>
      <c r="AJ244" s="43"/>
      <c r="AK244" s="50"/>
      <c r="AL244" s="43"/>
      <c r="AM244" s="50"/>
      <c r="AO244" s="43"/>
      <c r="AP244" s="46"/>
      <c r="AQ244" s="43"/>
      <c r="AR244" s="119"/>
      <c r="AS244" s="1"/>
      <c r="AT244" s="1"/>
    </row>
    <row r="245">
      <c r="A245" s="43"/>
      <c r="B245" s="59" t="str">
        <f>IFERROR(HYPERLINK(VLOOKUP(A245,Internal_lists_bugs!$A$2:$C$73,3,FALSE()), VLOOKUP(A245,Internal_lists_bugs!$A$2:$C$73,3,FALSE())&amp;Char(10) &amp; Char(10) &amp; VLOOKUP(A245,Internal_lists_bugs!$A$2:$Z$73,26,FALSE())),"please select a BUG ID")</f>
        <v>please select a BUG ID</v>
      </c>
      <c r="C245" s="51" t="str">
        <f>IFERROR(VLOOKUP(A245,Internal_lists_bugs!$A$2:$G2003,7,FALSE()),"please select a BUG ID")</f>
        <v>please select a BUG ID</v>
      </c>
      <c r="D245" s="43"/>
      <c r="E245" s="63"/>
      <c r="F245" s="43"/>
      <c r="G245" s="63"/>
      <c r="H245" s="43"/>
      <c r="I245" s="63"/>
      <c r="J245" s="43"/>
      <c r="K245" s="50"/>
      <c r="L245" s="43"/>
      <c r="M245" s="50"/>
      <c r="N245" s="43"/>
      <c r="O245" s="50"/>
      <c r="P245" s="43"/>
      <c r="Q245" s="50"/>
      <c r="R245" s="43"/>
      <c r="S245" s="50"/>
      <c r="T245" s="43"/>
      <c r="U245" s="50"/>
      <c r="V245" s="43"/>
      <c r="W245" s="50"/>
      <c r="X245" s="43"/>
      <c r="Y245" s="50"/>
      <c r="Z245" s="43"/>
      <c r="AA245" s="50"/>
      <c r="AB245" s="43"/>
      <c r="AC245" s="50"/>
      <c r="AD245" s="43"/>
      <c r="AE245" s="50"/>
      <c r="AF245" s="43"/>
      <c r="AG245" s="50"/>
      <c r="AH245" s="43"/>
      <c r="AI245" s="50"/>
      <c r="AJ245" s="43"/>
      <c r="AK245" s="50"/>
      <c r="AL245" s="43"/>
      <c r="AM245" s="50"/>
      <c r="AO245" s="43"/>
      <c r="AP245" s="46"/>
      <c r="AQ245" s="43"/>
      <c r="AR245" s="119"/>
      <c r="AS245" s="1"/>
      <c r="AT245" s="1"/>
    </row>
    <row r="246">
      <c r="A246" s="43"/>
      <c r="B246" s="59" t="str">
        <f>IFERROR(HYPERLINK(VLOOKUP(A246,Internal_lists_bugs!$A$2:$C$73,3,FALSE()), VLOOKUP(A246,Internal_lists_bugs!$A$2:$C$73,3,FALSE())&amp;Char(10) &amp; Char(10) &amp; VLOOKUP(A246,Internal_lists_bugs!$A$2:$Z$73,26,FALSE())),"please select a BUG ID")</f>
        <v>please select a BUG ID</v>
      </c>
      <c r="C246" s="51" t="str">
        <f>IFERROR(VLOOKUP(A246,Internal_lists_bugs!$A$2:$G2003,7,FALSE()),"please select a BUG ID")</f>
        <v>please select a BUG ID</v>
      </c>
      <c r="D246" s="43"/>
      <c r="E246" s="63"/>
      <c r="F246" s="43"/>
      <c r="G246" s="63"/>
      <c r="H246" s="43"/>
      <c r="I246" s="63"/>
      <c r="J246" s="43"/>
      <c r="K246" s="50"/>
      <c r="L246" s="43"/>
      <c r="M246" s="50"/>
      <c r="N246" s="43"/>
      <c r="O246" s="50"/>
      <c r="P246" s="43"/>
      <c r="Q246" s="50"/>
      <c r="R246" s="43"/>
      <c r="S246" s="50"/>
      <c r="T246" s="43"/>
      <c r="U246" s="50"/>
      <c r="V246" s="43"/>
      <c r="W246" s="50"/>
      <c r="X246" s="43"/>
      <c r="Y246" s="50"/>
      <c r="Z246" s="43"/>
      <c r="AA246" s="50"/>
      <c r="AB246" s="43"/>
      <c r="AC246" s="50"/>
      <c r="AD246" s="43"/>
      <c r="AE246" s="50"/>
      <c r="AF246" s="43"/>
      <c r="AG246" s="50"/>
      <c r="AH246" s="43"/>
      <c r="AI246" s="50"/>
      <c r="AJ246" s="43"/>
      <c r="AK246" s="50"/>
      <c r="AL246" s="43"/>
      <c r="AM246" s="50"/>
      <c r="AO246" s="43"/>
      <c r="AP246" s="46"/>
      <c r="AQ246" s="43"/>
      <c r="AR246" s="119"/>
      <c r="AS246" s="1"/>
      <c r="AT246" s="1"/>
    </row>
    <row r="247">
      <c r="A247" s="43"/>
      <c r="B247" s="59" t="str">
        <f>IFERROR(HYPERLINK(VLOOKUP(A247,Internal_lists_bugs!$A$2:$C$73,3,FALSE()), VLOOKUP(A247,Internal_lists_bugs!$A$2:$C$73,3,FALSE())&amp;Char(10) &amp; Char(10) &amp; VLOOKUP(A247,Internal_lists_bugs!$A$2:$Z$73,26,FALSE())),"please select a BUG ID")</f>
        <v>please select a BUG ID</v>
      </c>
      <c r="C247" s="51" t="str">
        <f>IFERROR(VLOOKUP(A247,Internal_lists_bugs!$A$2:$G2003,7,FALSE()),"please select a BUG ID")</f>
        <v>please select a BUG ID</v>
      </c>
      <c r="D247" s="43"/>
      <c r="E247" s="63"/>
      <c r="F247" s="43"/>
      <c r="G247" s="63"/>
      <c r="H247" s="43"/>
      <c r="I247" s="63"/>
      <c r="J247" s="43"/>
      <c r="K247" s="50"/>
      <c r="L247" s="43"/>
      <c r="M247" s="50"/>
      <c r="N247" s="43"/>
      <c r="O247" s="50"/>
      <c r="P247" s="43"/>
      <c r="Q247" s="50"/>
      <c r="R247" s="43"/>
      <c r="S247" s="50"/>
      <c r="T247" s="43"/>
      <c r="U247" s="50"/>
      <c r="V247" s="43"/>
      <c r="W247" s="50"/>
      <c r="X247" s="43"/>
      <c r="Y247" s="50"/>
      <c r="Z247" s="43"/>
      <c r="AA247" s="50"/>
      <c r="AB247" s="43"/>
      <c r="AC247" s="50"/>
      <c r="AD247" s="43"/>
      <c r="AE247" s="50"/>
      <c r="AF247" s="43"/>
      <c r="AG247" s="50"/>
      <c r="AH247" s="43"/>
      <c r="AI247" s="50"/>
      <c r="AJ247" s="43"/>
      <c r="AK247" s="50"/>
      <c r="AL247" s="43"/>
      <c r="AM247" s="50"/>
      <c r="AO247" s="43"/>
      <c r="AP247" s="46"/>
      <c r="AQ247" s="43"/>
      <c r="AR247" s="119"/>
      <c r="AS247" s="1"/>
      <c r="AT247" s="1"/>
    </row>
    <row r="248">
      <c r="A248" s="43"/>
      <c r="B248" s="59" t="str">
        <f>IFERROR(HYPERLINK(VLOOKUP(A248,Internal_lists_bugs!$A$2:$C$73,3,FALSE()), VLOOKUP(A248,Internal_lists_bugs!$A$2:$C$73,3,FALSE())&amp;Char(10) &amp; Char(10) &amp; VLOOKUP(A248,Internal_lists_bugs!$A$2:$Z$73,26,FALSE())),"please select a BUG ID")</f>
        <v>please select a BUG ID</v>
      </c>
      <c r="C248" s="51" t="str">
        <f>IFERROR(VLOOKUP(A248,Internal_lists_bugs!$A$2:$G2003,7,FALSE()),"please select a BUG ID")</f>
        <v>please select a BUG ID</v>
      </c>
      <c r="D248" s="43"/>
      <c r="E248" s="63"/>
      <c r="F248" s="43"/>
      <c r="G248" s="63"/>
      <c r="H248" s="43"/>
      <c r="I248" s="63"/>
      <c r="J248" s="43"/>
      <c r="K248" s="50"/>
      <c r="L248" s="43"/>
      <c r="M248" s="50"/>
      <c r="N248" s="43"/>
      <c r="O248" s="50"/>
      <c r="P248" s="43"/>
      <c r="Q248" s="50"/>
      <c r="R248" s="43"/>
      <c r="S248" s="50"/>
      <c r="T248" s="43"/>
      <c r="U248" s="50"/>
      <c r="V248" s="43"/>
      <c r="W248" s="50"/>
      <c r="X248" s="43"/>
      <c r="Y248" s="50"/>
      <c r="Z248" s="43"/>
      <c r="AA248" s="50"/>
      <c r="AB248" s="43"/>
      <c r="AC248" s="50"/>
      <c r="AD248" s="43"/>
      <c r="AE248" s="50"/>
      <c r="AF248" s="43"/>
      <c r="AG248" s="50"/>
      <c r="AH248" s="43"/>
      <c r="AI248" s="50"/>
      <c r="AJ248" s="43"/>
      <c r="AK248" s="50"/>
      <c r="AL248" s="43"/>
      <c r="AM248" s="50"/>
      <c r="AO248" s="43"/>
      <c r="AP248" s="46"/>
      <c r="AQ248" s="43"/>
      <c r="AR248" s="119"/>
      <c r="AS248" s="1"/>
      <c r="AT248" s="1"/>
    </row>
    <row r="249">
      <c r="A249" s="43"/>
      <c r="B249" s="59" t="str">
        <f>IFERROR(HYPERLINK(VLOOKUP(A249,Internal_lists_bugs!$A$2:$C$73,3,FALSE()), VLOOKUP(A249,Internal_lists_bugs!$A$2:$C$73,3,FALSE())&amp;Char(10) &amp; Char(10) &amp; VLOOKUP(A249,Internal_lists_bugs!$A$2:$Z$73,26,FALSE())),"please select a BUG ID")</f>
        <v>please select a BUG ID</v>
      </c>
      <c r="C249" s="51" t="str">
        <f>IFERROR(VLOOKUP(A249,Internal_lists_bugs!$A$2:$G2003,7,FALSE()),"please select a BUG ID")</f>
        <v>please select a BUG ID</v>
      </c>
      <c r="D249" s="43"/>
      <c r="E249" s="63"/>
      <c r="F249" s="43"/>
      <c r="G249" s="63"/>
      <c r="H249" s="43"/>
      <c r="I249" s="63"/>
      <c r="J249" s="43"/>
      <c r="K249" s="50"/>
      <c r="L249" s="43"/>
      <c r="M249" s="50"/>
      <c r="N249" s="43"/>
      <c r="O249" s="50"/>
      <c r="P249" s="43"/>
      <c r="Q249" s="50"/>
      <c r="R249" s="43"/>
      <c r="S249" s="50"/>
      <c r="T249" s="43"/>
      <c r="U249" s="50"/>
      <c r="V249" s="43"/>
      <c r="W249" s="50"/>
      <c r="X249" s="43"/>
      <c r="Y249" s="50"/>
      <c r="Z249" s="43"/>
      <c r="AA249" s="50"/>
      <c r="AB249" s="43"/>
      <c r="AC249" s="50"/>
      <c r="AD249" s="43"/>
      <c r="AE249" s="50"/>
      <c r="AF249" s="43"/>
      <c r="AG249" s="50"/>
      <c r="AH249" s="43"/>
      <c r="AI249" s="50"/>
      <c r="AJ249" s="43"/>
      <c r="AK249" s="50"/>
      <c r="AL249" s="43"/>
      <c r="AM249" s="50"/>
      <c r="AO249" s="43"/>
      <c r="AP249" s="46"/>
      <c r="AQ249" s="43"/>
      <c r="AR249" s="119"/>
      <c r="AS249" s="1"/>
      <c r="AT249" s="1"/>
    </row>
    <row r="250">
      <c r="A250" s="43"/>
      <c r="B250" s="59" t="str">
        <f>IFERROR(HYPERLINK(VLOOKUP(A250,Internal_lists_bugs!$A$2:$C$73,3,FALSE()), VLOOKUP(A250,Internal_lists_bugs!$A$2:$C$73,3,FALSE())&amp;Char(10) &amp; Char(10) &amp; VLOOKUP(A250,Internal_lists_bugs!$A$2:$Z$73,26,FALSE())),"please select a BUG ID")</f>
        <v>please select a BUG ID</v>
      </c>
      <c r="C250" s="51" t="str">
        <f>IFERROR(VLOOKUP(A250,Internal_lists_bugs!$A$2:$G2003,7,FALSE()),"please select a BUG ID")</f>
        <v>please select a BUG ID</v>
      </c>
      <c r="D250" s="43"/>
      <c r="E250" s="63"/>
      <c r="F250" s="43"/>
      <c r="G250" s="63"/>
      <c r="H250" s="43"/>
      <c r="I250" s="63"/>
      <c r="J250" s="43"/>
      <c r="K250" s="50"/>
      <c r="L250" s="43"/>
      <c r="M250" s="50"/>
      <c r="N250" s="43"/>
      <c r="O250" s="50"/>
      <c r="P250" s="43"/>
      <c r="Q250" s="50"/>
      <c r="R250" s="43"/>
      <c r="S250" s="50"/>
      <c r="T250" s="43"/>
      <c r="U250" s="50"/>
      <c r="V250" s="43"/>
      <c r="W250" s="50"/>
      <c r="X250" s="43"/>
      <c r="Y250" s="50"/>
      <c r="Z250" s="43"/>
      <c r="AA250" s="50"/>
      <c r="AB250" s="43"/>
      <c r="AC250" s="50"/>
      <c r="AD250" s="43"/>
      <c r="AE250" s="50"/>
      <c r="AF250" s="43"/>
      <c r="AG250" s="50"/>
      <c r="AH250" s="43"/>
      <c r="AI250" s="50"/>
      <c r="AJ250" s="43"/>
      <c r="AK250" s="50"/>
      <c r="AL250" s="43"/>
      <c r="AM250" s="50"/>
      <c r="AO250" s="43"/>
      <c r="AP250" s="46"/>
      <c r="AQ250" s="43"/>
      <c r="AR250" s="119"/>
      <c r="AS250" s="1"/>
      <c r="AT250" s="1"/>
    </row>
    <row r="251">
      <c r="A251" s="43"/>
      <c r="B251" s="59" t="str">
        <f>IFERROR(HYPERLINK(VLOOKUP(A251,Internal_lists_bugs!$A$2:$C$73,3,FALSE()), VLOOKUP(A251,Internal_lists_bugs!$A$2:$C$73,3,FALSE())&amp;Char(10) &amp; Char(10) &amp; VLOOKUP(A251,Internal_lists_bugs!$A$2:$Z$73,26,FALSE())),"please select a BUG ID")</f>
        <v>please select a BUG ID</v>
      </c>
      <c r="C251" s="51" t="str">
        <f>IFERROR(VLOOKUP(A251,Internal_lists_bugs!$A$2:$G2003,7,FALSE()),"please select a BUG ID")</f>
        <v>please select a BUG ID</v>
      </c>
      <c r="D251" s="43"/>
      <c r="E251" s="63"/>
      <c r="F251" s="43"/>
      <c r="G251" s="63"/>
      <c r="H251" s="43"/>
      <c r="I251" s="63"/>
      <c r="J251" s="43"/>
      <c r="K251" s="50"/>
      <c r="L251" s="43"/>
      <c r="M251" s="50"/>
      <c r="N251" s="43"/>
      <c r="O251" s="50"/>
      <c r="P251" s="43"/>
      <c r="Q251" s="50"/>
      <c r="R251" s="43"/>
      <c r="S251" s="50"/>
      <c r="T251" s="43"/>
      <c r="U251" s="50"/>
      <c r="V251" s="43"/>
      <c r="W251" s="50"/>
      <c r="X251" s="43"/>
      <c r="Y251" s="50"/>
      <c r="Z251" s="43"/>
      <c r="AA251" s="50"/>
      <c r="AB251" s="43"/>
      <c r="AC251" s="50"/>
      <c r="AD251" s="43"/>
      <c r="AE251" s="50"/>
      <c r="AF251" s="43"/>
      <c r="AG251" s="50"/>
      <c r="AH251" s="43"/>
      <c r="AI251" s="50"/>
      <c r="AJ251" s="43"/>
      <c r="AK251" s="50"/>
      <c r="AL251" s="43"/>
      <c r="AM251" s="50"/>
      <c r="AO251" s="43"/>
      <c r="AP251" s="46"/>
      <c r="AQ251" s="43"/>
      <c r="AR251" s="119"/>
      <c r="AS251" s="1"/>
      <c r="AT251" s="1"/>
    </row>
    <row r="252">
      <c r="A252" s="43"/>
      <c r="B252" s="59" t="str">
        <f>IFERROR(HYPERLINK(VLOOKUP(A252,Internal_lists_bugs!$A$2:$C$73,3,FALSE()), VLOOKUP(A252,Internal_lists_bugs!$A$2:$C$73,3,FALSE())&amp;Char(10) &amp; Char(10) &amp; VLOOKUP(A252,Internal_lists_bugs!$A$2:$Z$73,26,FALSE())),"please select a BUG ID")</f>
        <v>please select a BUG ID</v>
      </c>
      <c r="C252" s="51" t="str">
        <f>IFERROR(VLOOKUP(A252,Internal_lists_bugs!$A$2:$G2003,7,FALSE()),"please select a BUG ID")</f>
        <v>please select a BUG ID</v>
      </c>
      <c r="D252" s="43"/>
      <c r="E252" s="63"/>
      <c r="F252" s="43"/>
      <c r="G252" s="63"/>
      <c r="H252" s="43"/>
      <c r="I252" s="63"/>
      <c r="J252" s="43"/>
      <c r="K252" s="50"/>
      <c r="L252" s="43"/>
      <c r="M252" s="50"/>
      <c r="N252" s="43"/>
      <c r="O252" s="50"/>
      <c r="P252" s="43"/>
      <c r="Q252" s="50"/>
      <c r="R252" s="43"/>
      <c r="S252" s="50"/>
      <c r="T252" s="43"/>
      <c r="U252" s="50"/>
      <c r="V252" s="43"/>
      <c r="W252" s="50"/>
      <c r="X252" s="43"/>
      <c r="Y252" s="50"/>
      <c r="Z252" s="43"/>
      <c r="AA252" s="50"/>
      <c r="AB252" s="43"/>
      <c r="AC252" s="50"/>
      <c r="AD252" s="43"/>
      <c r="AE252" s="50"/>
      <c r="AF252" s="43"/>
      <c r="AG252" s="50"/>
      <c r="AH252" s="43"/>
      <c r="AI252" s="50"/>
      <c r="AJ252" s="43"/>
      <c r="AK252" s="50"/>
      <c r="AL252" s="43"/>
      <c r="AM252" s="50"/>
      <c r="AO252" s="43"/>
      <c r="AP252" s="46"/>
      <c r="AQ252" s="43"/>
      <c r="AR252" s="119"/>
      <c r="AS252" s="1"/>
      <c r="AT252" s="1"/>
    </row>
    <row r="253">
      <c r="A253" s="43"/>
      <c r="B253" s="59" t="str">
        <f>IFERROR(HYPERLINK(VLOOKUP(A253,Internal_lists_bugs!$A$2:$C$73,3,FALSE()), VLOOKUP(A253,Internal_lists_bugs!$A$2:$C$73,3,FALSE())&amp;Char(10) &amp; Char(10) &amp; VLOOKUP(A253,Internal_lists_bugs!$A$2:$Z$73,26,FALSE())),"please select a BUG ID")</f>
        <v>please select a BUG ID</v>
      </c>
      <c r="C253" s="51" t="str">
        <f>IFERROR(VLOOKUP(A253,Internal_lists_bugs!$A$2:$G2003,7,FALSE()),"please select a BUG ID")</f>
        <v>please select a BUG ID</v>
      </c>
      <c r="D253" s="43"/>
      <c r="E253" s="63"/>
      <c r="F253" s="43"/>
      <c r="G253" s="63"/>
      <c r="H253" s="43"/>
      <c r="I253" s="63"/>
      <c r="J253" s="43"/>
      <c r="K253" s="50"/>
      <c r="L253" s="43"/>
      <c r="M253" s="50"/>
      <c r="N253" s="43"/>
      <c r="O253" s="50"/>
      <c r="P253" s="43"/>
      <c r="Q253" s="50"/>
      <c r="R253" s="43"/>
      <c r="S253" s="50"/>
      <c r="T253" s="43"/>
      <c r="U253" s="50"/>
      <c r="V253" s="43"/>
      <c r="W253" s="50"/>
      <c r="X253" s="43"/>
      <c r="Y253" s="50"/>
      <c r="Z253" s="43"/>
      <c r="AA253" s="50"/>
      <c r="AB253" s="43"/>
      <c r="AC253" s="50"/>
      <c r="AD253" s="43"/>
      <c r="AE253" s="50"/>
      <c r="AF253" s="43"/>
      <c r="AG253" s="50"/>
      <c r="AH253" s="43"/>
      <c r="AI253" s="50"/>
      <c r="AJ253" s="43"/>
      <c r="AK253" s="50"/>
      <c r="AL253" s="43"/>
      <c r="AM253" s="50"/>
      <c r="AO253" s="43"/>
      <c r="AP253" s="46"/>
      <c r="AQ253" s="43"/>
      <c r="AR253" s="119"/>
      <c r="AS253" s="1"/>
      <c r="AT253" s="1"/>
    </row>
    <row r="254">
      <c r="A254" s="43"/>
      <c r="B254" s="59" t="str">
        <f>IFERROR(HYPERLINK(VLOOKUP(A254,Internal_lists_bugs!$A$2:$C$73,3,FALSE()), VLOOKUP(A254,Internal_lists_bugs!$A$2:$C$73,3,FALSE())&amp;Char(10) &amp; Char(10) &amp; VLOOKUP(A254,Internal_lists_bugs!$A$2:$Z$73,26,FALSE())),"please select a BUG ID")</f>
        <v>please select a BUG ID</v>
      </c>
      <c r="C254" s="51" t="str">
        <f>IFERROR(VLOOKUP(A254,Internal_lists_bugs!$A$2:$G2003,7,FALSE()),"please select a BUG ID")</f>
        <v>please select a BUG ID</v>
      </c>
      <c r="D254" s="43"/>
      <c r="E254" s="63"/>
      <c r="F254" s="43"/>
      <c r="G254" s="63"/>
      <c r="H254" s="43"/>
      <c r="I254" s="63"/>
      <c r="J254" s="43"/>
      <c r="K254" s="50"/>
      <c r="L254" s="43"/>
      <c r="M254" s="50"/>
      <c r="N254" s="43"/>
      <c r="O254" s="50"/>
      <c r="P254" s="43"/>
      <c r="Q254" s="50"/>
      <c r="R254" s="43"/>
      <c r="S254" s="50"/>
      <c r="T254" s="43"/>
      <c r="U254" s="50"/>
      <c r="V254" s="43"/>
      <c r="W254" s="50"/>
      <c r="X254" s="43"/>
      <c r="Y254" s="50"/>
      <c r="Z254" s="43"/>
      <c r="AA254" s="50"/>
      <c r="AB254" s="43"/>
      <c r="AC254" s="50"/>
      <c r="AD254" s="43"/>
      <c r="AE254" s="50"/>
      <c r="AF254" s="43"/>
      <c r="AG254" s="50"/>
      <c r="AH254" s="43"/>
      <c r="AI254" s="50"/>
      <c r="AJ254" s="43"/>
      <c r="AK254" s="50"/>
      <c r="AL254" s="43"/>
      <c r="AM254" s="50"/>
      <c r="AO254" s="43"/>
      <c r="AP254" s="46"/>
      <c r="AQ254" s="43"/>
      <c r="AR254" s="119"/>
      <c r="AS254" s="1"/>
      <c r="AT254" s="1"/>
    </row>
    <row r="255">
      <c r="A255" s="43"/>
      <c r="B255" s="59" t="str">
        <f>IFERROR(HYPERLINK(VLOOKUP(A255,Internal_lists_bugs!$A$2:$C$73,3,FALSE()), VLOOKUP(A255,Internal_lists_bugs!$A$2:$C$73,3,FALSE())&amp;Char(10) &amp; Char(10) &amp; VLOOKUP(A255,Internal_lists_bugs!$A$2:$Z$73,26,FALSE())),"please select a BUG ID")</f>
        <v>please select a BUG ID</v>
      </c>
      <c r="C255" s="51" t="str">
        <f>IFERROR(VLOOKUP(A255,Internal_lists_bugs!$A$2:$G2003,7,FALSE()),"please select a BUG ID")</f>
        <v>please select a BUG ID</v>
      </c>
      <c r="D255" s="43"/>
      <c r="E255" s="63"/>
      <c r="F255" s="43"/>
      <c r="G255" s="63"/>
      <c r="H255" s="43"/>
      <c r="I255" s="63"/>
      <c r="J255" s="43"/>
      <c r="K255" s="50"/>
      <c r="L255" s="43"/>
      <c r="M255" s="50"/>
      <c r="N255" s="43"/>
      <c r="O255" s="50"/>
      <c r="P255" s="43"/>
      <c r="Q255" s="50"/>
      <c r="R255" s="43"/>
      <c r="S255" s="50"/>
      <c r="T255" s="43"/>
      <c r="U255" s="50"/>
      <c r="V255" s="43"/>
      <c r="W255" s="50"/>
      <c r="X255" s="43"/>
      <c r="Y255" s="50"/>
      <c r="Z255" s="43"/>
      <c r="AA255" s="50"/>
      <c r="AB255" s="43"/>
      <c r="AC255" s="50"/>
      <c r="AD255" s="43"/>
      <c r="AE255" s="50"/>
      <c r="AF255" s="43"/>
      <c r="AG255" s="50"/>
      <c r="AH255" s="43"/>
      <c r="AI255" s="50"/>
      <c r="AJ255" s="43"/>
      <c r="AK255" s="50"/>
      <c r="AL255" s="43"/>
      <c r="AM255" s="50"/>
      <c r="AO255" s="43"/>
      <c r="AP255" s="46"/>
      <c r="AQ255" s="43"/>
      <c r="AR255" s="119"/>
      <c r="AS255" s="1"/>
      <c r="AT255" s="1"/>
    </row>
    <row r="256">
      <c r="A256" s="43"/>
      <c r="B256" s="59" t="str">
        <f>IFERROR(HYPERLINK(VLOOKUP(A256,Internal_lists_bugs!$A$2:$C$73,3,FALSE()), VLOOKUP(A256,Internal_lists_bugs!$A$2:$C$73,3,FALSE())&amp;Char(10) &amp; Char(10) &amp; VLOOKUP(A256,Internal_lists_bugs!$A$2:$Z$73,26,FALSE())),"please select a BUG ID")</f>
        <v>please select a BUG ID</v>
      </c>
      <c r="C256" s="51" t="str">
        <f>IFERROR(VLOOKUP(A256,Internal_lists_bugs!$A$2:$G2003,7,FALSE()),"please select a BUG ID")</f>
        <v>please select a BUG ID</v>
      </c>
      <c r="D256" s="43"/>
      <c r="E256" s="63"/>
      <c r="F256" s="43"/>
      <c r="G256" s="63"/>
      <c r="H256" s="43"/>
      <c r="I256" s="63"/>
      <c r="J256" s="43"/>
      <c r="K256" s="50"/>
      <c r="L256" s="43"/>
      <c r="M256" s="50"/>
      <c r="N256" s="43"/>
      <c r="O256" s="50"/>
      <c r="P256" s="43"/>
      <c r="Q256" s="50"/>
      <c r="R256" s="43"/>
      <c r="S256" s="50"/>
      <c r="T256" s="43"/>
      <c r="U256" s="50"/>
      <c r="V256" s="43"/>
      <c r="W256" s="50"/>
      <c r="X256" s="43"/>
      <c r="Y256" s="50"/>
      <c r="Z256" s="43"/>
      <c r="AA256" s="50"/>
      <c r="AB256" s="43"/>
      <c r="AC256" s="50"/>
      <c r="AD256" s="43"/>
      <c r="AE256" s="50"/>
      <c r="AF256" s="43"/>
      <c r="AG256" s="50"/>
      <c r="AH256" s="43"/>
      <c r="AI256" s="50"/>
      <c r="AJ256" s="43"/>
      <c r="AK256" s="50"/>
      <c r="AL256" s="43"/>
      <c r="AM256" s="50"/>
      <c r="AO256" s="43"/>
      <c r="AP256" s="46"/>
      <c r="AQ256" s="43"/>
      <c r="AR256" s="119"/>
      <c r="AS256" s="1"/>
      <c r="AT256" s="1"/>
    </row>
    <row r="257">
      <c r="A257" s="43"/>
      <c r="B257" s="59" t="str">
        <f>IFERROR(HYPERLINK(VLOOKUP(A257,Internal_lists_bugs!$A$2:$C$73,3,FALSE()), VLOOKUP(A257,Internal_lists_bugs!$A$2:$C$73,3,FALSE())&amp;Char(10) &amp; Char(10) &amp; VLOOKUP(A257,Internal_lists_bugs!$A$2:$Z$73,26,FALSE())),"please select a BUG ID")</f>
        <v>please select a BUG ID</v>
      </c>
      <c r="C257" s="51" t="str">
        <f>IFERROR(VLOOKUP(A257,Internal_lists_bugs!$A$2:$G2003,7,FALSE()),"please select a BUG ID")</f>
        <v>please select a BUG ID</v>
      </c>
      <c r="D257" s="43"/>
      <c r="E257" s="63"/>
      <c r="F257" s="43"/>
      <c r="G257" s="63"/>
      <c r="H257" s="43"/>
      <c r="I257" s="63"/>
      <c r="J257" s="43"/>
      <c r="K257" s="50"/>
      <c r="L257" s="43"/>
      <c r="M257" s="50"/>
      <c r="N257" s="43"/>
      <c r="O257" s="50"/>
      <c r="P257" s="43"/>
      <c r="Q257" s="50"/>
      <c r="R257" s="43"/>
      <c r="S257" s="50"/>
      <c r="T257" s="43"/>
      <c r="U257" s="50"/>
      <c r="V257" s="43"/>
      <c r="W257" s="50"/>
      <c r="X257" s="43"/>
      <c r="Y257" s="50"/>
      <c r="Z257" s="43"/>
      <c r="AA257" s="50"/>
      <c r="AB257" s="43"/>
      <c r="AC257" s="50"/>
      <c r="AD257" s="43"/>
      <c r="AE257" s="50"/>
      <c r="AF257" s="43"/>
      <c r="AG257" s="50"/>
      <c r="AH257" s="43"/>
      <c r="AI257" s="50"/>
      <c r="AJ257" s="43"/>
      <c r="AK257" s="50"/>
      <c r="AL257" s="43"/>
      <c r="AM257" s="50"/>
      <c r="AO257" s="43"/>
      <c r="AP257" s="46"/>
      <c r="AQ257" s="43"/>
      <c r="AR257" s="119"/>
      <c r="AS257" s="1"/>
      <c r="AT257" s="1"/>
    </row>
    <row r="258">
      <c r="A258" s="43"/>
      <c r="B258" s="59" t="str">
        <f>IFERROR(HYPERLINK(VLOOKUP(A258,Internal_lists_bugs!$A$2:$C$73,3,FALSE()), VLOOKUP(A258,Internal_lists_bugs!$A$2:$C$73,3,FALSE())&amp;Char(10) &amp; Char(10) &amp; VLOOKUP(A258,Internal_lists_bugs!$A$2:$Z$73,26,FALSE())),"please select a BUG ID")</f>
        <v>please select a BUG ID</v>
      </c>
      <c r="C258" s="51" t="str">
        <f>IFERROR(VLOOKUP(A258,Internal_lists_bugs!$A$2:$G2003,7,FALSE()),"please select a BUG ID")</f>
        <v>please select a BUG ID</v>
      </c>
      <c r="D258" s="43"/>
      <c r="E258" s="63"/>
      <c r="F258" s="43"/>
      <c r="G258" s="63"/>
      <c r="H258" s="43"/>
      <c r="I258" s="63"/>
      <c r="J258" s="43"/>
      <c r="K258" s="50"/>
      <c r="L258" s="43"/>
      <c r="M258" s="50"/>
      <c r="N258" s="43"/>
      <c r="O258" s="50"/>
      <c r="P258" s="43"/>
      <c r="Q258" s="50"/>
      <c r="R258" s="43"/>
      <c r="S258" s="50"/>
      <c r="T258" s="43"/>
      <c r="U258" s="50"/>
      <c r="V258" s="43"/>
      <c r="W258" s="50"/>
      <c r="X258" s="43"/>
      <c r="Y258" s="50"/>
      <c r="Z258" s="43"/>
      <c r="AA258" s="50"/>
      <c r="AB258" s="43"/>
      <c r="AC258" s="50"/>
      <c r="AD258" s="43"/>
      <c r="AE258" s="50"/>
      <c r="AF258" s="43"/>
      <c r="AG258" s="50"/>
      <c r="AH258" s="43"/>
      <c r="AI258" s="50"/>
      <c r="AJ258" s="43"/>
      <c r="AK258" s="50"/>
      <c r="AL258" s="43"/>
      <c r="AM258" s="50"/>
      <c r="AO258" s="43"/>
      <c r="AP258" s="46"/>
      <c r="AQ258" s="43"/>
      <c r="AR258" s="119"/>
      <c r="AS258" s="1"/>
      <c r="AT258" s="1"/>
    </row>
    <row r="259">
      <c r="A259" s="43"/>
      <c r="B259" s="59" t="str">
        <f>IFERROR(HYPERLINK(VLOOKUP(A259,Internal_lists_bugs!$A$2:$C$73,3,FALSE()), VLOOKUP(A259,Internal_lists_bugs!$A$2:$C$73,3,FALSE())&amp;Char(10) &amp; Char(10) &amp; VLOOKUP(A259,Internal_lists_bugs!$A$2:$Z$73,26,FALSE())),"please select a BUG ID")</f>
        <v>please select a BUG ID</v>
      </c>
      <c r="C259" s="51" t="str">
        <f>IFERROR(VLOOKUP(A259,Internal_lists_bugs!$A$2:$G2003,7,FALSE()),"please select a BUG ID")</f>
        <v>please select a BUG ID</v>
      </c>
      <c r="D259" s="43"/>
      <c r="E259" s="63"/>
      <c r="F259" s="43"/>
      <c r="G259" s="63"/>
      <c r="H259" s="43"/>
      <c r="I259" s="63"/>
      <c r="J259" s="43"/>
      <c r="K259" s="50"/>
      <c r="L259" s="43"/>
      <c r="M259" s="50"/>
      <c r="N259" s="43"/>
      <c r="O259" s="50"/>
      <c r="P259" s="43"/>
      <c r="Q259" s="50"/>
      <c r="R259" s="43"/>
      <c r="S259" s="50"/>
      <c r="T259" s="43"/>
      <c r="U259" s="50"/>
      <c r="V259" s="43"/>
      <c r="W259" s="50"/>
      <c r="X259" s="43"/>
      <c r="Y259" s="50"/>
      <c r="Z259" s="43"/>
      <c r="AA259" s="50"/>
      <c r="AB259" s="43"/>
      <c r="AC259" s="50"/>
      <c r="AD259" s="43"/>
      <c r="AE259" s="50"/>
      <c r="AF259" s="43"/>
      <c r="AG259" s="50"/>
      <c r="AH259" s="43"/>
      <c r="AI259" s="50"/>
      <c r="AJ259" s="43"/>
      <c r="AK259" s="50"/>
      <c r="AL259" s="43"/>
      <c r="AM259" s="50"/>
      <c r="AO259" s="43"/>
      <c r="AP259" s="46"/>
      <c r="AQ259" s="43"/>
      <c r="AR259" s="119"/>
      <c r="AS259" s="1"/>
      <c r="AT259" s="1"/>
    </row>
    <row r="260">
      <c r="A260" s="43"/>
      <c r="B260" s="59" t="str">
        <f>IFERROR(HYPERLINK(VLOOKUP(A260,Internal_lists_bugs!$A$2:$C$73,3,FALSE()), VLOOKUP(A260,Internal_lists_bugs!$A$2:$C$73,3,FALSE())&amp;Char(10) &amp; Char(10) &amp; VLOOKUP(A260,Internal_lists_bugs!$A$2:$Z$73,26,FALSE())),"please select a BUG ID")</f>
        <v>please select a BUG ID</v>
      </c>
      <c r="C260" s="51" t="str">
        <f>IFERROR(VLOOKUP(A260,Internal_lists_bugs!$A$2:$G2003,7,FALSE()),"please select a BUG ID")</f>
        <v>please select a BUG ID</v>
      </c>
      <c r="D260" s="43"/>
      <c r="E260" s="63"/>
      <c r="F260" s="43"/>
      <c r="G260" s="63"/>
      <c r="H260" s="43"/>
      <c r="I260" s="63"/>
      <c r="J260" s="43"/>
      <c r="K260" s="50"/>
      <c r="L260" s="43"/>
      <c r="M260" s="50"/>
      <c r="N260" s="43"/>
      <c r="O260" s="50"/>
      <c r="P260" s="43"/>
      <c r="Q260" s="50"/>
      <c r="R260" s="43"/>
      <c r="S260" s="50"/>
      <c r="T260" s="43"/>
      <c r="U260" s="50"/>
      <c r="V260" s="43"/>
      <c r="W260" s="50"/>
      <c r="X260" s="43"/>
      <c r="Y260" s="50"/>
      <c r="Z260" s="43"/>
      <c r="AA260" s="50"/>
      <c r="AB260" s="43"/>
      <c r="AC260" s="50"/>
      <c r="AD260" s="43"/>
      <c r="AE260" s="50"/>
      <c r="AF260" s="43"/>
      <c r="AG260" s="50"/>
      <c r="AH260" s="43"/>
      <c r="AI260" s="50"/>
      <c r="AJ260" s="43"/>
      <c r="AK260" s="50"/>
      <c r="AL260" s="43"/>
      <c r="AM260" s="50"/>
      <c r="AO260" s="43"/>
      <c r="AP260" s="46"/>
      <c r="AQ260" s="43"/>
      <c r="AR260" s="119"/>
      <c r="AS260" s="1"/>
      <c r="AT260" s="1"/>
    </row>
    <row r="261">
      <c r="A261" s="43"/>
      <c r="B261" s="59" t="str">
        <f>IFERROR(HYPERLINK(VLOOKUP(A261,Internal_lists_bugs!$A$2:$C$73,3,FALSE()), VLOOKUP(A261,Internal_lists_bugs!$A$2:$C$73,3,FALSE())&amp;Char(10) &amp; Char(10) &amp; VLOOKUP(A261,Internal_lists_bugs!$A$2:$Z$73,26,FALSE())),"please select a BUG ID")</f>
        <v>please select a BUG ID</v>
      </c>
      <c r="C261" s="51" t="str">
        <f>IFERROR(VLOOKUP(A261,Internal_lists_bugs!$A$2:$G2003,7,FALSE()),"please select a BUG ID")</f>
        <v>please select a BUG ID</v>
      </c>
      <c r="D261" s="43"/>
      <c r="E261" s="63"/>
      <c r="F261" s="43"/>
      <c r="G261" s="63"/>
      <c r="H261" s="43"/>
      <c r="I261" s="63"/>
      <c r="J261" s="43"/>
      <c r="K261" s="50"/>
      <c r="L261" s="43"/>
      <c r="M261" s="50"/>
      <c r="N261" s="43"/>
      <c r="O261" s="50"/>
      <c r="P261" s="43"/>
      <c r="Q261" s="50"/>
      <c r="R261" s="43"/>
      <c r="S261" s="50"/>
      <c r="T261" s="43"/>
      <c r="U261" s="50"/>
      <c r="V261" s="43"/>
      <c r="W261" s="50"/>
      <c r="X261" s="43"/>
      <c r="Y261" s="50"/>
      <c r="Z261" s="43"/>
      <c r="AA261" s="50"/>
      <c r="AB261" s="43"/>
      <c r="AC261" s="50"/>
      <c r="AD261" s="43"/>
      <c r="AE261" s="50"/>
      <c r="AF261" s="43"/>
      <c r="AG261" s="50"/>
      <c r="AH261" s="43"/>
      <c r="AI261" s="50"/>
      <c r="AJ261" s="43"/>
      <c r="AK261" s="50"/>
      <c r="AL261" s="43"/>
      <c r="AM261" s="50"/>
      <c r="AO261" s="43"/>
      <c r="AP261" s="46"/>
      <c r="AQ261" s="43"/>
      <c r="AR261" s="119"/>
      <c r="AS261" s="1"/>
      <c r="AT261" s="1"/>
    </row>
    <row r="262">
      <c r="A262" s="43"/>
      <c r="B262" s="59" t="str">
        <f>IFERROR(HYPERLINK(VLOOKUP(A262,Internal_lists_bugs!$A$2:$C$73,3,FALSE()), VLOOKUP(A262,Internal_lists_bugs!$A$2:$C$73,3,FALSE())&amp;Char(10) &amp; Char(10) &amp; VLOOKUP(A262,Internal_lists_bugs!$A$2:$Z$73,26,FALSE())),"please select a BUG ID")</f>
        <v>please select a BUG ID</v>
      </c>
      <c r="C262" s="51" t="str">
        <f>IFERROR(VLOOKUP(A262,Internal_lists_bugs!$A$2:$G2003,7,FALSE()),"please select a BUG ID")</f>
        <v>please select a BUG ID</v>
      </c>
      <c r="D262" s="43"/>
      <c r="E262" s="63"/>
      <c r="F262" s="43"/>
      <c r="G262" s="63"/>
      <c r="H262" s="43"/>
      <c r="I262" s="63"/>
      <c r="J262" s="43"/>
      <c r="K262" s="50"/>
      <c r="L262" s="43"/>
      <c r="M262" s="50"/>
      <c r="N262" s="43"/>
      <c r="O262" s="50"/>
      <c r="P262" s="43"/>
      <c r="Q262" s="50"/>
      <c r="R262" s="43"/>
      <c r="S262" s="50"/>
      <c r="T262" s="43"/>
      <c r="U262" s="50"/>
      <c r="V262" s="43"/>
      <c r="W262" s="50"/>
      <c r="X262" s="43"/>
      <c r="Y262" s="50"/>
      <c r="Z262" s="43"/>
      <c r="AA262" s="50"/>
      <c r="AB262" s="43"/>
      <c r="AC262" s="50"/>
      <c r="AD262" s="43"/>
      <c r="AE262" s="50"/>
      <c r="AF262" s="43"/>
      <c r="AG262" s="50"/>
      <c r="AH262" s="43"/>
      <c r="AI262" s="50"/>
      <c r="AJ262" s="43"/>
      <c r="AK262" s="50"/>
      <c r="AL262" s="43"/>
      <c r="AM262" s="50"/>
      <c r="AO262" s="43"/>
      <c r="AP262" s="46"/>
      <c r="AQ262" s="43"/>
      <c r="AR262" s="119"/>
      <c r="AS262" s="1"/>
      <c r="AT262" s="1"/>
    </row>
    <row r="263">
      <c r="A263" s="43"/>
      <c r="B263" s="59" t="str">
        <f>IFERROR(HYPERLINK(VLOOKUP(A263,Internal_lists_bugs!$A$2:$C$73,3,FALSE()), VLOOKUP(A263,Internal_lists_bugs!$A$2:$C$73,3,FALSE())&amp;Char(10) &amp; Char(10) &amp; VLOOKUP(A263,Internal_lists_bugs!$A$2:$Z$73,26,FALSE())),"please select a BUG ID")</f>
        <v>please select a BUG ID</v>
      </c>
      <c r="C263" s="51" t="str">
        <f>IFERROR(VLOOKUP(A263,Internal_lists_bugs!$A$2:$G2003,7,FALSE()),"please select a BUG ID")</f>
        <v>please select a BUG ID</v>
      </c>
      <c r="D263" s="43"/>
      <c r="E263" s="63"/>
      <c r="F263" s="43"/>
      <c r="G263" s="63"/>
      <c r="H263" s="43"/>
      <c r="I263" s="63"/>
      <c r="J263" s="43"/>
      <c r="K263" s="50"/>
      <c r="L263" s="43"/>
      <c r="M263" s="50"/>
      <c r="N263" s="43"/>
      <c r="O263" s="50"/>
      <c r="P263" s="43"/>
      <c r="Q263" s="50"/>
      <c r="R263" s="43"/>
      <c r="S263" s="50"/>
      <c r="T263" s="43"/>
      <c r="U263" s="50"/>
      <c r="V263" s="43"/>
      <c r="W263" s="50"/>
      <c r="X263" s="43"/>
      <c r="Y263" s="50"/>
      <c r="Z263" s="43"/>
      <c r="AA263" s="50"/>
      <c r="AB263" s="43"/>
      <c r="AC263" s="50"/>
      <c r="AD263" s="43"/>
      <c r="AE263" s="50"/>
      <c r="AF263" s="43"/>
      <c r="AG263" s="50"/>
      <c r="AH263" s="43"/>
      <c r="AI263" s="50"/>
      <c r="AJ263" s="43"/>
      <c r="AK263" s="50"/>
      <c r="AL263" s="43"/>
      <c r="AM263" s="50"/>
      <c r="AO263" s="43"/>
      <c r="AP263" s="46"/>
      <c r="AQ263" s="43"/>
      <c r="AR263" s="119"/>
      <c r="AS263" s="1"/>
      <c r="AT263" s="1"/>
    </row>
    <row r="264">
      <c r="A264" s="43"/>
      <c r="B264" s="59" t="str">
        <f>IFERROR(HYPERLINK(VLOOKUP(A264,Internal_lists_bugs!$A$2:$C$73,3,FALSE()), VLOOKUP(A264,Internal_lists_bugs!$A$2:$C$73,3,FALSE())&amp;Char(10) &amp; Char(10) &amp; VLOOKUP(A264,Internal_lists_bugs!$A$2:$Z$73,26,FALSE())),"please select a BUG ID")</f>
        <v>please select a BUG ID</v>
      </c>
      <c r="C264" s="51" t="str">
        <f>IFERROR(VLOOKUP(A264,Internal_lists_bugs!$A$2:$G2003,7,FALSE()),"please select a BUG ID")</f>
        <v>please select a BUG ID</v>
      </c>
      <c r="D264" s="43"/>
      <c r="E264" s="63"/>
      <c r="F264" s="43"/>
      <c r="G264" s="63"/>
      <c r="H264" s="43"/>
      <c r="I264" s="63"/>
      <c r="J264" s="43"/>
      <c r="K264" s="50"/>
      <c r="L264" s="43"/>
      <c r="M264" s="50"/>
      <c r="N264" s="43"/>
      <c r="O264" s="50"/>
      <c r="P264" s="43"/>
      <c r="Q264" s="50"/>
      <c r="R264" s="43"/>
      <c r="S264" s="50"/>
      <c r="T264" s="43"/>
      <c r="U264" s="50"/>
      <c r="V264" s="43"/>
      <c r="W264" s="50"/>
      <c r="X264" s="43"/>
      <c r="Y264" s="50"/>
      <c r="Z264" s="43"/>
      <c r="AA264" s="50"/>
      <c r="AB264" s="43"/>
      <c r="AC264" s="50"/>
      <c r="AD264" s="43"/>
      <c r="AE264" s="50"/>
      <c r="AF264" s="43"/>
      <c r="AG264" s="50"/>
      <c r="AH264" s="43"/>
      <c r="AI264" s="50"/>
      <c r="AJ264" s="43"/>
      <c r="AK264" s="50"/>
      <c r="AL264" s="43"/>
      <c r="AM264" s="50"/>
      <c r="AO264" s="43"/>
      <c r="AP264" s="46"/>
      <c r="AQ264" s="43"/>
      <c r="AR264" s="119"/>
      <c r="AS264" s="1"/>
      <c r="AT264" s="1"/>
    </row>
    <row r="265">
      <c r="A265" s="43"/>
      <c r="B265" s="59" t="str">
        <f>IFERROR(HYPERLINK(VLOOKUP(A265,Internal_lists_bugs!$A$2:$C$73,3,FALSE()), VLOOKUP(A265,Internal_lists_bugs!$A$2:$C$73,3,FALSE())&amp;Char(10) &amp; Char(10) &amp; VLOOKUP(A265,Internal_lists_bugs!$A$2:$Z$73,26,FALSE())),"please select a BUG ID")</f>
        <v>please select a BUG ID</v>
      </c>
      <c r="C265" s="51" t="str">
        <f>IFERROR(VLOOKUP(A265,Internal_lists_bugs!$A$2:$G2003,7,FALSE()),"please select a BUG ID")</f>
        <v>please select a BUG ID</v>
      </c>
      <c r="D265" s="43"/>
      <c r="E265" s="63"/>
      <c r="F265" s="43"/>
      <c r="G265" s="63"/>
      <c r="H265" s="43"/>
      <c r="I265" s="63"/>
      <c r="J265" s="43"/>
      <c r="K265" s="50"/>
      <c r="L265" s="43"/>
      <c r="M265" s="50"/>
      <c r="N265" s="43"/>
      <c r="O265" s="50"/>
      <c r="P265" s="43"/>
      <c r="Q265" s="50"/>
      <c r="R265" s="43"/>
      <c r="S265" s="50"/>
      <c r="T265" s="43"/>
      <c r="U265" s="50"/>
      <c r="V265" s="43"/>
      <c r="W265" s="50"/>
      <c r="X265" s="43"/>
      <c r="Y265" s="50"/>
      <c r="Z265" s="43"/>
      <c r="AA265" s="50"/>
      <c r="AB265" s="43"/>
      <c r="AC265" s="50"/>
      <c r="AD265" s="43"/>
      <c r="AE265" s="50"/>
      <c r="AF265" s="43"/>
      <c r="AG265" s="50"/>
      <c r="AH265" s="43"/>
      <c r="AI265" s="50"/>
      <c r="AJ265" s="43"/>
      <c r="AK265" s="50"/>
      <c r="AL265" s="43"/>
      <c r="AM265" s="50"/>
      <c r="AO265" s="43"/>
      <c r="AP265" s="46"/>
      <c r="AQ265" s="43"/>
      <c r="AR265" s="119"/>
      <c r="AS265" s="1"/>
      <c r="AT265" s="1"/>
    </row>
    <row r="266">
      <c r="A266" s="43"/>
      <c r="B266" s="59" t="str">
        <f>IFERROR(HYPERLINK(VLOOKUP(A266,Internal_lists_bugs!$A$2:$C$73,3,FALSE()), VLOOKUP(A266,Internal_lists_bugs!$A$2:$C$73,3,FALSE())&amp;Char(10) &amp; Char(10) &amp; VLOOKUP(A266,Internal_lists_bugs!$A$2:$Z$73,26,FALSE())),"please select a BUG ID")</f>
        <v>please select a BUG ID</v>
      </c>
      <c r="C266" s="51" t="str">
        <f>IFERROR(VLOOKUP(A266,Internal_lists_bugs!$A$2:$G2003,7,FALSE()),"please select a BUG ID")</f>
        <v>please select a BUG ID</v>
      </c>
      <c r="D266" s="43"/>
      <c r="E266" s="63"/>
      <c r="F266" s="43"/>
      <c r="G266" s="63"/>
      <c r="H266" s="43"/>
      <c r="I266" s="63"/>
      <c r="J266" s="43"/>
      <c r="K266" s="50"/>
      <c r="L266" s="43"/>
      <c r="M266" s="50"/>
      <c r="N266" s="43"/>
      <c r="O266" s="50"/>
      <c r="P266" s="43"/>
      <c r="Q266" s="50"/>
      <c r="R266" s="43"/>
      <c r="S266" s="50"/>
      <c r="T266" s="43"/>
      <c r="U266" s="50"/>
      <c r="V266" s="43"/>
      <c r="W266" s="50"/>
      <c r="X266" s="43"/>
      <c r="Y266" s="50"/>
      <c r="Z266" s="43"/>
      <c r="AA266" s="50"/>
      <c r="AB266" s="43"/>
      <c r="AC266" s="50"/>
      <c r="AD266" s="43"/>
      <c r="AE266" s="50"/>
      <c r="AF266" s="43"/>
      <c r="AG266" s="50"/>
      <c r="AH266" s="43"/>
      <c r="AI266" s="50"/>
      <c r="AJ266" s="43"/>
      <c r="AK266" s="50"/>
      <c r="AL266" s="43"/>
      <c r="AM266" s="50"/>
      <c r="AO266" s="43"/>
      <c r="AP266" s="46"/>
      <c r="AQ266" s="43"/>
      <c r="AR266" s="119"/>
      <c r="AS266" s="1"/>
      <c r="AT266" s="1"/>
    </row>
    <row r="267">
      <c r="A267" s="43"/>
      <c r="B267" s="59" t="str">
        <f>IFERROR(HYPERLINK(VLOOKUP(A267,Internal_lists_bugs!$A$2:$C$73,3,FALSE()), VLOOKUP(A267,Internal_lists_bugs!$A$2:$C$73,3,FALSE())&amp;Char(10) &amp; Char(10) &amp; VLOOKUP(A267,Internal_lists_bugs!$A$2:$Z$73,26,FALSE())),"please select a BUG ID")</f>
        <v>please select a BUG ID</v>
      </c>
      <c r="C267" s="51" t="str">
        <f>IFERROR(VLOOKUP(A267,Internal_lists_bugs!$A$2:$G2003,7,FALSE()),"please select a BUG ID")</f>
        <v>please select a BUG ID</v>
      </c>
      <c r="D267" s="43"/>
      <c r="E267" s="63"/>
      <c r="F267" s="43"/>
      <c r="G267" s="63"/>
      <c r="H267" s="43"/>
      <c r="I267" s="63"/>
      <c r="J267" s="43"/>
      <c r="K267" s="50"/>
      <c r="L267" s="43"/>
      <c r="M267" s="50"/>
      <c r="N267" s="43"/>
      <c r="O267" s="50"/>
      <c r="P267" s="43"/>
      <c r="Q267" s="50"/>
      <c r="R267" s="43"/>
      <c r="S267" s="50"/>
      <c r="T267" s="43"/>
      <c r="U267" s="50"/>
      <c r="V267" s="43"/>
      <c r="W267" s="50"/>
      <c r="X267" s="43"/>
      <c r="Y267" s="50"/>
      <c r="Z267" s="43"/>
      <c r="AA267" s="50"/>
      <c r="AB267" s="43"/>
      <c r="AC267" s="50"/>
      <c r="AD267" s="43"/>
      <c r="AE267" s="50"/>
      <c r="AF267" s="43"/>
      <c r="AG267" s="50"/>
      <c r="AH267" s="43"/>
      <c r="AI267" s="50"/>
      <c r="AJ267" s="43"/>
      <c r="AK267" s="50"/>
      <c r="AL267" s="43"/>
      <c r="AM267" s="50"/>
      <c r="AO267" s="43"/>
      <c r="AP267" s="46"/>
      <c r="AQ267" s="43"/>
      <c r="AR267" s="119"/>
      <c r="AS267" s="1"/>
      <c r="AT267" s="1"/>
    </row>
    <row r="268">
      <c r="A268" s="43"/>
      <c r="B268" s="59" t="str">
        <f>IFERROR(HYPERLINK(VLOOKUP(A268,Internal_lists_bugs!$A$2:$C$73,3,FALSE()), VLOOKUP(A268,Internal_lists_bugs!$A$2:$C$73,3,FALSE())&amp;Char(10) &amp; Char(10) &amp; VLOOKUP(A268,Internal_lists_bugs!$A$2:$Z$73,26,FALSE())),"please select a BUG ID")</f>
        <v>please select a BUG ID</v>
      </c>
      <c r="C268" s="51" t="str">
        <f>IFERROR(VLOOKUP(A268,Internal_lists_bugs!$A$2:$G2003,7,FALSE()),"please select a BUG ID")</f>
        <v>please select a BUG ID</v>
      </c>
      <c r="D268" s="43"/>
      <c r="E268" s="63"/>
      <c r="F268" s="43"/>
      <c r="G268" s="63"/>
      <c r="H268" s="43"/>
      <c r="I268" s="63"/>
      <c r="J268" s="43"/>
      <c r="K268" s="50"/>
      <c r="L268" s="43"/>
      <c r="M268" s="50"/>
      <c r="N268" s="43"/>
      <c r="O268" s="50"/>
      <c r="P268" s="43"/>
      <c r="Q268" s="50"/>
      <c r="R268" s="43"/>
      <c r="S268" s="50"/>
      <c r="T268" s="43"/>
      <c r="U268" s="50"/>
      <c r="V268" s="43"/>
      <c r="W268" s="50"/>
      <c r="X268" s="43"/>
      <c r="Y268" s="50"/>
      <c r="Z268" s="43"/>
      <c r="AA268" s="50"/>
      <c r="AB268" s="43"/>
      <c r="AC268" s="50"/>
      <c r="AD268" s="43"/>
      <c r="AE268" s="50"/>
      <c r="AF268" s="43"/>
      <c r="AG268" s="50"/>
      <c r="AH268" s="43"/>
      <c r="AI268" s="50"/>
      <c r="AJ268" s="43"/>
      <c r="AK268" s="50"/>
      <c r="AL268" s="43"/>
      <c r="AM268" s="50"/>
      <c r="AO268" s="43"/>
      <c r="AP268" s="46"/>
      <c r="AQ268" s="43"/>
      <c r="AR268" s="119"/>
      <c r="AS268" s="1"/>
      <c r="AT268" s="1"/>
    </row>
    <row r="269">
      <c r="A269" s="43"/>
      <c r="B269" s="59" t="str">
        <f>IFERROR(HYPERLINK(VLOOKUP(A269,Internal_lists_bugs!$A$2:$C$73,3,FALSE()), VLOOKUP(A269,Internal_lists_bugs!$A$2:$C$73,3,FALSE())&amp;Char(10) &amp; Char(10) &amp; VLOOKUP(A269,Internal_lists_bugs!$A$2:$Z$73,26,FALSE())),"please select a BUG ID")</f>
        <v>please select a BUG ID</v>
      </c>
      <c r="C269" s="51" t="str">
        <f>IFERROR(VLOOKUP(A269,Internal_lists_bugs!$A$2:$G2003,7,FALSE()),"please select a BUG ID")</f>
        <v>please select a BUG ID</v>
      </c>
      <c r="D269" s="43"/>
      <c r="E269" s="63"/>
      <c r="F269" s="43"/>
      <c r="G269" s="63"/>
      <c r="H269" s="43"/>
      <c r="I269" s="63"/>
      <c r="J269" s="43"/>
      <c r="K269" s="50"/>
      <c r="L269" s="43"/>
      <c r="M269" s="50"/>
      <c r="N269" s="43"/>
      <c r="O269" s="50"/>
      <c r="P269" s="43"/>
      <c r="Q269" s="50"/>
      <c r="R269" s="43"/>
      <c r="S269" s="50"/>
      <c r="T269" s="43"/>
      <c r="U269" s="50"/>
      <c r="V269" s="43"/>
      <c r="W269" s="50"/>
      <c r="X269" s="43"/>
      <c r="Y269" s="50"/>
      <c r="Z269" s="43"/>
      <c r="AA269" s="50"/>
      <c r="AB269" s="43"/>
      <c r="AC269" s="50"/>
      <c r="AD269" s="43"/>
      <c r="AE269" s="50"/>
      <c r="AF269" s="43"/>
      <c r="AG269" s="50"/>
      <c r="AH269" s="43"/>
      <c r="AI269" s="50"/>
      <c r="AJ269" s="43"/>
      <c r="AK269" s="50"/>
      <c r="AL269" s="43"/>
      <c r="AM269" s="50"/>
      <c r="AO269" s="43"/>
      <c r="AP269" s="46"/>
      <c r="AQ269" s="43"/>
      <c r="AR269" s="119"/>
      <c r="AS269" s="1"/>
      <c r="AT269" s="1"/>
    </row>
    <row r="270">
      <c r="A270" s="43"/>
      <c r="B270" s="59" t="str">
        <f>IFERROR(HYPERLINK(VLOOKUP(A270,Internal_lists_bugs!$A$2:$C$73,3,FALSE()), VLOOKUP(A270,Internal_lists_bugs!$A$2:$C$73,3,FALSE())&amp;Char(10) &amp; Char(10) &amp; VLOOKUP(A270,Internal_lists_bugs!$A$2:$Z$73,26,FALSE())),"please select a BUG ID")</f>
        <v>please select a BUG ID</v>
      </c>
      <c r="C270" s="51" t="str">
        <f>IFERROR(VLOOKUP(A270,Internal_lists_bugs!$A$2:$G2003,7,FALSE()),"please select a BUG ID")</f>
        <v>please select a BUG ID</v>
      </c>
      <c r="D270" s="43"/>
      <c r="E270" s="63"/>
      <c r="F270" s="43"/>
      <c r="G270" s="63"/>
      <c r="H270" s="43"/>
      <c r="I270" s="63"/>
      <c r="J270" s="43"/>
      <c r="K270" s="50"/>
      <c r="L270" s="43"/>
      <c r="M270" s="50"/>
      <c r="N270" s="43"/>
      <c r="O270" s="50"/>
      <c r="P270" s="43"/>
      <c r="Q270" s="50"/>
      <c r="R270" s="43"/>
      <c r="S270" s="50"/>
      <c r="T270" s="43"/>
      <c r="U270" s="50"/>
      <c r="V270" s="43"/>
      <c r="W270" s="50"/>
      <c r="X270" s="43"/>
      <c r="Y270" s="50"/>
      <c r="Z270" s="43"/>
      <c r="AA270" s="50"/>
      <c r="AB270" s="43"/>
      <c r="AC270" s="50"/>
      <c r="AD270" s="43"/>
      <c r="AE270" s="50"/>
      <c r="AF270" s="43"/>
      <c r="AG270" s="50"/>
      <c r="AH270" s="43"/>
      <c r="AI270" s="50"/>
      <c r="AJ270" s="43"/>
      <c r="AK270" s="50"/>
      <c r="AL270" s="43"/>
      <c r="AM270" s="50"/>
      <c r="AO270" s="43"/>
      <c r="AP270" s="46"/>
      <c r="AQ270" s="43"/>
      <c r="AR270" s="119"/>
      <c r="AS270" s="1"/>
      <c r="AT270" s="1"/>
    </row>
    <row r="271">
      <c r="A271" s="43"/>
      <c r="B271" s="59" t="str">
        <f>IFERROR(HYPERLINK(VLOOKUP(A271,Internal_lists_bugs!$A$2:$C$73,3,FALSE()), VLOOKUP(A271,Internal_lists_bugs!$A$2:$C$73,3,FALSE())&amp;Char(10) &amp; Char(10) &amp; VLOOKUP(A271,Internal_lists_bugs!$A$2:$Z$73,26,FALSE())),"please select a BUG ID")</f>
        <v>please select a BUG ID</v>
      </c>
      <c r="C271" s="51" t="str">
        <f>IFERROR(VLOOKUP(A271,Internal_lists_bugs!$A$2:$G2003,7,FALSE()),"please select a BUG ID")</f>
        <v>please select a BUG ID</v>
      </c>
      <c r="D271" s="43"/>
      <c r="E271" s="63"/>
      <c r="F271" s="43"/>
      <c r="G271" s="63"/>
      <c r="H271" s="43"/>
      <c r="I271" s="63"/>
      <c r="J271" s="43"/>
      <c r="K271" s="50"/>
      <c r="L271" s="43"/>
      <c r="M271" s="50"/>
      <c r="N271" s="43"/>
      <c r="O271" s="50"/>
      <c r="P271" s="43"/>
      <c r="Q271" s="50"/>
      <c r="R271" s="43"/>
      <c r="S271" s="50"/>
      <c r="T271" s="43"/>
      <c r="U271" s="50"/>
      <c r="V271" s="43"/>
      <c r="W271" s="50"/>
      <c r="X271" s="43"/>
      <c r="Y271" s="50"/>
      <c r="Z271" s="43"/>
      <c r="AA271" s="50"/>
      <c r="AB271" s="43"/>
      <c r="AC271" s="50"/>
      <c r="AD271" s="43"/>
      <c r="AE271" s="50"/>
      <c r="AF271" s="43"/>
      <c r="AG271" s="50"/>
      <c r="AH271" s="43"/>
      <c r="AI271" s="50"/>
      <c r="AJ271" s="43"/>
      <c r="AK271" s="50"/>
      <c r="AL271" s="43"/>
      <c r="AM271" s="50"/>
      <c r="AO271" s="43"/>
      <c r="AP271" s="46"/>
      <c r="AQ271" s="43"/>
      <c r="AR271" s="119"/>
      <c r="AS271" s="1"/>
      <c r="AT271" s="1"/>
    </row>
    <row r="272">
      <c r="A272" s="43"/>
      <c r="B272" s="59" t="str">
        <f>IFERROR(HYPERLINK(VLOOKUP(A272,Internal_lists_bugs!$A$2:$C$73,3,FALSE()), VLOOKUP(A272,Internal_lists_bugs!$A$2:$C$73,3,FALSE())&amp;Char(10) &amp; Char(10) &amp; VLOOKUP(A272,Internal_lists_bugs!$A$2:$Z$73,26,FALSE())),"please select a BUG ID")</f>
        <v>please select a BUG ID</v>
      </c>
      <c r="C272" s="51" t="str">
        <f>IFERROR(VLOOKUP(A272,Internal_lists_bugs!$A$2:$G2003,7,FALSE()),"please select a BUG ID")</f>
        <v>please select a BUG ID</v>
      </c>
      <c r="D272" s="43"/>
      <c r="E272" s="63"/>
      <c r="F272" s="43"/>
      <c r="G272" s="63"/>
      <c r="H272" s="43"/>
      <c r="I272" s="63"/>
      <c r="J272" s="43"/>
      <c r="K272" s="50"/>
      <c r="L272" s="43"/>
      <c r="M272" s="50"/>
      <c r="N272" s="43"/>
      <c r="O272" s="50"/>
      <c r="P272" s="43"/>
      <c r="Q272" s="50"/>
      <c r="R272" s="43"/>
      <c r="S272" s="50"/>
      <c r="T272" s="43"/>
      <c r="U272" s="50"/>
      <c r="V272" s="43"/>
      <c r="W272" s="50"/>
      <c r="X272" s="43"/>
      <c r="Y272" s="50"/>
      <c r="Z272" s="43"/>
      <c r="AA272" s="50"/>
      <c r="AB272" s="43"/>
      <c r="AC272" s="50"/>
      <c r="AD272" s="43"/>
      <c r="AE272" s="50"/>
      <c r="AF272" s="43"/>
      <c r="AG272" s="50"/>
      <c r="AH272" s="43"/>
      <c r="AI272" s="50"/>
      <c r="AJ272" s="43"/>
      <c r="AK272" s="50"/>
      <c r="AL272" s="43"/>
      <c r="AM272" s="50"/>
      <c r="AO272" s="43"/>
      <c r="AP272" s="46"/>
      <c r="AQ272" s="43"/>
      <c r="AR272" s="119"/>
      <c r="AS272" s="1"/>
      <c r="AT272" s="1"/>
    </row>
    <row r="273">
      <c r="A273" s="43"/>
      <c r="B273" s="59" t="str">
        <f>IFERROR(HYPERLINK(VLOOKUP(A273,Internal_lists_bugs!$A$2:$C$73,3,FALSE()), VLOOKUP(A273,Internal_lists_bugs!$A$2:$C$73,3,FALSE())&amp;Char(10) &amp; Char(10) &amp; VLOOKUP(A273,Internal_lists_bugs!$A$2:$Z$73,26,FALSE())),"please select a BUG ID")</f>
        <v>please select a BUG ID</v>
      </c>
      <c r="C273" s="51" t="str">
        <f>IFERROR(VLOOKUP(A273,Internal_lists_bugs!$A$2:$G2003,7,FALSE()),"please select a BUG ID")</f>
        <v>please select a BUG ID</v>
      </c>
      <c r="D273" s="43"/>
      <c r="E273" s="63"/>
      <c r="F273" s="43"/>
      <c r="G273" s="63"/>
      <c r="H273" s="43"/>
      <c r="I273" s="63"/>
      <c r="J273" s="43"/>
      <c r="K273" s="50"/>
      <c r="L273" s="43"/>
      <c r="M273" s="50"/>
      <c r="N273" s="43"/>
      <c r="O273" s="50"/>
      <c r="P273" s="43"/>
      <c r="Q273" s="50"/>
      <c r="R273" s="43"/>
      <c r="S273" s="50"/>
      <c r="T273" s="43"/>
      <c r="U273" s="50"/>
      <c r="V273" s="43"/>
      <c r="W273" s="50"/>
      <c r="X273" s="43"/>
      <c r="Y273" s="50"/>
      <c r="Z273" s="43"/>
      <c r="AA273" s="50"/>
      <c r="AB273" s="43"/>
      <c r="AC273" s="50"/>
      <c r="AD273" s="43"/>
      <c r="AE273" s="50"/>
      <c r="AF273" s="43"/>
      <c r="AG273" s="50"/>
      <c r="AH273" s="43"/>
      <c r="AI273" s="50"/>
      <c r="AJ273" s="43"/>
      <c r="AK273" s="50"/>
      <c r="AL273" s="43"/>
      <c r="AM273" s="50"/>
      <c r="AO273" s="43"/>
      <c r="AP273" s="46"/>
      <c r="AQ273" s="43"/>
      <c r="AR273" s="119"/>
      <c r="AS273" s="1"/>
      <c r="AT273" s="1"/>
    </row>
    <row r="274">
      <c r="A274" s="43"/>
      <c r="B274" s="59" t="str">
        <f>IFERROR(HYPERLINK(VLOOKUP(A274,Internal_lists_bugs!$A$2:$C$73,3,FALSE()), VLOOKUP(A274,Internal_lists_bugs!$A$2:$C$73,3,FALSE())&amp;Char(10) &amp; Char(10) &amp; VLOOKUP(A274,Internal_lists_bugs!$A$2:$Z$73,26,FALSE())),"please select a BUG ID")</f>
        <v>please select a BUG ID</v>
      </c>
      <c r="C274" s="51" t="str">
        <f>IFERROR(VLOOKUP(A274,Internal_lists_bugs!$A$2:$G2003,7,FALSE()),"please select a BUG ID")</f>
        <v>please select a BUG ID</v>
      </c>
      <c r="D274" s="43"/>
      <c r="E274" s="63"/>
      <c r="F274" s="43"/>
      <c r="G274" s="63"/>
      <c r="H274" s="43"/>
      <c r="I274" s="63"/>
      <c r="J274" s="43"/>
      <c r="K274" s="50"/>
      <c r="L274" s="43"/>
      <c r="M274" s="50"/>
      <c r="N274" s="43"/>
      <c r="O274" s="50"/>
      <c r="P274" s="43"/>
      <c r="Q274" s="50"/>
      <c r="R274" s="43"/>
      <c r="S274" s="50"/>
      <c r="T274" s="43"/>
      <c r="U274" s="50"/>
      <c r="V274" s="43"/>
      <c r="W274" s="50"/>
      <c r="X274" s="43"/>
      <c r="Y274" s="50"/>
      <c r="Z274" s="43"/>
      <c r="AA274" s="50"/>
      <c r="AB274" s="43"/>
      <c r="AC274" s="50"/>
      <c r="AD274" s="43"/>
      <c r="AE274" s="50"/>
      <c r="AF274" s="43"/>
      <c r="AG274" s="50"/>
      <c r="AH274" s="43"/>
      <c r="AI274" s="50"/>
      <c r="AJ274" s="43"/>
      <c r="AK274" s="50"/>
      <c r="AL274" s="43"/>
      <c r="AM274" s="50"/>
      <c r="AO274" s="43"/>
      <c r="AP274" s="46"/>
      <c r="AQ274" s="43"/>
      <c r="AR274" s="119"/>
      <c r="AS274" s="1"/>
      <c r="AT274" s="1"/>
    </row>
    <row r="275">
      <c r="A275" s="43"/>
      <c r="B275" s="59" t="str">
        <f>IFERROR(HYPERLINK(VLOOKUP(A275,Internal_lists_bugs!$A$2:$C$73,3,FALSE()), VLOOKUP(A275,Internal_lists_bugs!$A$2:$C$73,3,FALSE())&amp;Char(10) &amp; Char(10) &amp; VLOOKUP(A275,Internal_lists_bugs!$A$2:$Z$73,26,FALSE())),"please select a BUG ID")</f>
        <v>please select a BUG ID</v>
      </c>
      <c r="C275" s="51" t="str">
        <f>IFERROR(VLOOKUP(A275,Internal_lists_bugs!$A$2:$G2003,7,FALSE()),"please select a BUG ID")</f>
        <v>please select a BUG ID</v>
      </c>
      <c r="D275" s="43"/>
      <c r="E275" s="63"/>
      <c r="F275" s="43"/>
      <c r="G275" s="63"/>
      <c r="H275" s="43"/>
      <c r="I275" s="63"/>
      <c r="J275" s="43"/>
      <c r="K275" s="50"/>
      <c r="L275" s="43"/>
      <c r="M275" s="50"/>
      <c r="N275" s="43"/>
      <c r="O275" s="50"/>
      <c r="P275" s="43"/>
      <c r="Q275" s="50"/>
      <c r="R275" s="43"/>
      <c r="S275" s="50"/>
      <c r="T275" s="43"/>
      <c r="U275" s="50"/>
      <c r="V275" s="43"/>
      <c r="W275" s="50"/>
      <c r="X275" s="43"/>
      <c r="Y275" s="50"/>
      <c r="Z275" s="43"/>
      <c r="AA275" s="50"/>
      <c r="AB275" s="43"/>
      <c r="AC275" s="50"/>
      <c r="AD275" s="43"/>
      <c r="AE275" s="50"/>
      <c r="AF275" s="43"/>
      <c r="AG275" s="50"/>
      <c r="AH275" s="43"/>
      <c r="AI275" s="50"/>
      <c r="AJ275" s="43"/>
      <c r="AK275" s="50"/>
      <c r="AL275" s="43"/>
      <c r="AM275" s="50"/>
      <c r="AO275" s="43"/>
      <c r="AP275" s="46"/>
      <c r="AQ275" s="43"/>
      <c r="AR275" s="119"/>
      <c r="AS275" s="1"/>
      <c r="AT275" s="1"/>
    </row>
    <row r="276">
      <c r="A276" s="43"/>
      <c r="B276" s="59" t="str">
        <f>IFERROR(HYPERLINK(VLOOKUP(A276,Internal_lists_bugs!$A$2:$C$73,3,FALSE()), VLOOKUP(A276,Internal_lists_bugs!$A$2:$C$73,3,FALSE())&amp;Char(10) &amp; Char(10) &amp; VLOOKUP(A276,Internal_lists_bugs!$A$2:$Z$73,26,FALSE())),"please select a BUG ID")</f>
        <v>please select a BUG ID</v>
      </c>
      <c r="C276" s="51" t="str">
        <f>IFERROR(VLOOKUP(A276,Internal_lists_bugs!$A$2:$G2003,7,FALSE()),"please select a BUG ID")</f>
        <v>please select a BUG ID</v>
      </c>
      <c r="D276" s="43"/>
      <c r="E276" s="63"/>
      <c r="F276" s="43"/>
      <c r="G276" s="63"/>
      <c r="H276" s="43"/>
      <c r="I276" s="63"/>
      <c r="J276" s="43"/>
      <c r="K276" s="50"/>
      <c r="L276" s="43"/>
      <c r="M276" s="50"/>
      <c r="N276" s="43"/>
      <c r="O276" s="50"/>
      <c r="P276" s="43"/>
      <c r="Q276" s="50"/>
      <c r="R276" s="43"/>
      <c r="S276" s="50"/>
      <c r="T276" s="43"/>
      <c r="U276" s="50"/>
      <c r="V276" s="43"/>
      <c r="W276" s="50"/>
      <c r="X276" s="43"/>
      <c r="Y276" s="50"/>
      <c r="Z276" s="43"/>
      <c r="AA276" s="50"/>
      <c r="AB276" s="43"/>
      <c r="AC276" s="50"/>
      <c r="AD276" s="43"/>
      <c r="AE276" s="50"/>
      <c r="AF276" s="43"/>
      <c r="AG276" s="50"/>
      <c r="AH276" s="43"/>
      <c r="AI276" s="50"/>
      <c r="AJ276" s="43"/>
      <c r="AK276" s="50"/>
      <c r="AL276" s="43"/>
      <c r="AM276" s="50"/>
      <c r="AO276" s="43"/>
      <c r="AP276" s="46"/>
      <c r="AQ276" s="43"/>
      <c r="AR276" s="119"/>
      <c r="AS276" s="1"/>
      <c r="AT276" s="1"/>
    </row>
    <row r="277">
      <c r="A277" s="43"/>
      <c r="B277" s="59" t="str">
        <f>IFERROR(HYPERLINK(VLOOKUP(A277,Internal_lists_bugs!$A$2:$C$73,3,FALSE()), VLOOKUP(A277,Internal_lists_bugs!$A$2:$C$73,3,FALSE())&amp;Char(10) &amp; Char(10) &amp; VLOOKUP(A277,Internal_lists_bugs!$A$2:$Z$73,26,FALSE())),"please select a BUG ID")</f>
        <v>please select a BUG ID</v>
      </c>
      <c r="C277" s="51" t="str">
        <f>IFERROR(VLOOKUP(A277,Internal_lists_bugs!$A$2:$G2003,7,FALSE()),"please select a BUG ID")</f>
        <v>please select a BUG ID</v>
      </c>
      <c r="D277" s="43"/>
      <c r="E277" s="63"/>
      <c r="F277" s="43"/>
      <c r="G277" s="63"/>
      <c r="H277" s="43"/>
      <c r="I277" s="63"/>
      <c r="J277" s="43"/>
      <c r="K277" s="50"/>
      <c r="L277" s="43"/>
      <c r="M277" s="50"/>
      <c r="N277" s="43"/>
      <c r="O277" s="50"/>
      <c r="P277" s="43"/>
      <c r="Q277" s="50"/>
      <c r="R277" s="43"/>
      <c r="S277" s="50"/>
      <c r="T277" s="43"/>
      <c r="U277" s="50"/>
      <c r="V277" s="43"/>
      <c r="W277" s="50"/>
      <c r="X277" s="43"/>
      <c r="Y277" s="50"/>
      <c r="Z277" s="43"/>
      <c r="AA277" s="50"/>
      <c r="AB277" s="43"/>
      <c r="AC277" s="50"/>
      <c r="AD277" s="43"/>
      <c r="AE277" s="50"/>
      <c r="AF277" s="43"/>
      <c r="AG277" s="50"/>
      <c r="AH277" s="43"/>
      <c r="AI277" s="50"/>
      <c r="AJ277" s="43"/>
      <c r="AK277" s="50"/>
      <c r="AL277" s="43"/>
      <c r="AM277" s="50"/>
      <c r="AO277" s="43"/>
      <c r="AP277" s="46"/>
      <c r="AQ277" s="43"/>
      <c r="AR277" s="119"/>
      <c r="AS277" s="1"/>
      <c r="AT277" s="1"/>
    </row>
    <row r="278">
      <c r="A278" s="43"/>
      <c r="B278" s="59" t="str">
        <f>IFERROR(HYPERLINK(VLOOKUP(A278,Internal_lists_bugs!$A$2:$C$73,3,FALSE()), VLOOKUP(A278,Internal_lists_bugs!$A$2:$C$73,3,FALSE())&amp;Char(10) &amp; Char(10) &amp; VLOOKUP(A278,Internal_lists_bugs!$A$2:$Z$73,26,FALSE())),"please select a BUG ID")</f>
        <v>please select a BUG ID</v>
      </c>
      <c r="C278" s="51" t="str">
        <f>IFERROR(VLOOKUP(A278,Internal_lists_bugs!$A$2:$G2003,7,FALSE()),"please select a BUG ID")</f>
        <v>please select a BUG ID</v>
      </c>
      <c r="D278" s="43"/>
      <c r="E278" s="63"/>
      <c r="F278" s="43"/>
      <c r="G278" s="63"/>
      <c r="H278" s="43"/>
      <c r="I278" s="63"/>
      <c r="J278" s="43"/>
      <c r="K278" s="50"/>
      <c r="L278" s="43"/>
      <c r="M278" s="50"/>
      <c r="N278" s="43"/>
      <c r="O278" s="50"/>
      <c r="P278" s="43"/>
      <c r="Q278" s="50"/>
      <c r="R278" s="43"/>
      <c r="S278" s="50"/>
      <c r="T278" s="43"/>
      <c r="U278" s="50"/>
      <c r="V278" s="43"/>
      <c r="W278" s="50"/>
      <c r="X278" s="43"/>
      <c r="Y278" s="50"/>
      <c r="Z278" s="43"/>
      <c r="AA278" s="50"/>
      <c r="AB278" s="43"/>
      <c r="AC278" s="50"/>
      <c r="AD278" s="43"/>
      <c r="AE278" s="50"/>
      <c r="AF278" s="43"/>
      <c r="AG278" s="50"/>
      <c r="AH278" s="43"/>
      <c r="AI278" s="50"/>
      <c r="AJ278" s="43"/>
      <c r="AK278" s="50"/>
      <c r="AL278" s="43"/>
      <c r="AM278" s="50"/>
      <c r="AO278" s="43"/>
      <c r="AP278" s="46"/>
      <c r="AQ278" s="43"/>
      <c r="AR278" s="119"/>
      <c r="AS278" s="1"/>
      <c r="AT278" s="1"/>
    </row>
    <row r="279">
      <c r="A279" s="43"/>
      <c r="B279" s="59" t="str">
        <f>IFERROR(HYPERLINK(VLOOKUP(A279,Internal_lists_bugs!$A$2:$C$73,3,FALSE()), VLOOKUP(A279,Internal_lists_bugs!$A$2:$C$73,3,FALSE())&amp;Char(10) &amp; Char(10) &amp; VLOOKUP(A279,Internal_lists_bugs!$A$2:$Z$73,26,FALSE())),"please select a BUG ID")</f>
        <v>please select a BUG ID</v>
      </c>
      <c r="C279" s="51" t="str">
        <f>IFERROR(VLOOKUP(A279,Internal_lists_bugs!$A$2:$G2003,7,FALSE()),"please select a BUG ID")</f>
        <v>please select a BUG ID</v>
      </c>
      <c r="D279" s="43"/>
      <c r="E279" s="63"/>
      <c r="F279" s="43"/>
      <c r="G279" s="63"/>
      <c r="H279" s="43"/>
      <c r="I279" s="63"/>
      <c r="J279" s="43"/>
      <c r="K279" s="50"/>
      <c r="L279" s="43"/>
      <c r="M279" s="50"/>
      <c r="N279" s="43"/>
      <c r="O279" s="50"/>
      <c r="P279" s="43"/>
      <c r="Q279" s="50"/>
      <c r="R279" s="43"/>
      <c r="S279" s="50"/>
      <c r="T279" s="43"/>
      <c r="U279" s="50"/>
      <c r="V279" s="43"/>
      <c r="W279" s="50"/>
      <c r="X279" s="43"/>
      <c r="Y279" s="50"/>
      <c r="Z279" s="43"/>
      <c r="AA279" s="50"/>
      <c r="AB279" s="43"/>
      <c r="AC279" s="50"/>
      <c r="AD279" s="43"/>
      <c r="AE279" s="50"/>
      <c r="AF279" s="43"/>
      <c r="AG279" s="50"/>
      <c r="AH279" s="43"/>
      <c r="AI279" s="50"/>
      <c r="AJ279" s="43"/>
      <c r="AK279" s="50"/>
      <c r="AL279" s="43"/>
      <c r="AM279" s="50"/>
      <c r="AO279" s="43"/>
      <c r="AP279" s="46"/>
      <c r="AQ279" s="43"/>
      <c r="AR279" s="119"/>
      <c r="AS279" s="1"/>
      <c r="AT279" s="1"/>
    </row>
    <row r="280">
      <c r="A280" s="43"/>
      <c r="B280" s="59" t="str">
        <f>IFERROR(HYPERLINK(VLOOKUP(A280,Internal_lists_bugs!$A$2:$C$73,3,FALSE()), VLOOKUP(A280,Internal_lists_bugs!$A$2:$C$73,3,FALSE())&amp;Char(10) &amp; Char(10) &amp; VLOOKUP(A280,Internal_lists_bugs!$A$2:$Z$73,26,FALSE())),"please select a BUG ID")</f>
        <v>please select a BUG ID</v>
      </c>
      <c r="C280" s="51" t="str">
        <f>IFERROR(VLOOKUP(A280,Internal_lists_bugs!$A$2:$G2003,7,FALSE()),"please select a BUG ID")</f>
        <v>please select a BUG ID</v>
      </c>
      <c r="D280" s="43"/>
      <c r="E280" s="63"/>
      <c r="F280" s="43"/>
      <c r="G280" s="63"/>
      <c r="H280" s="43"/>
      <c r="I280" s="63"/>
      <c r="J280" s="43"/>
      <c r="K280" s="50"/>
      <c r="L280" s="43"/>
      <c r="M280" s="50"/>
      <c r="N280" s="43"/>
      <c r="O280" s="50"/>
      <c r="P280" s="43"/>
      <c r="Q280" s="50"/>
      <c r="R280" s="43"/>
      <c r="S280" s="50"/>
      <c r="T280" s="43"/>
      <c r="U280" s="50"/>
      <c r="V280" s="43"/>
      <c r="W280" s="50"/>
      <c r="X280" s="43"/>
      <c r="Y280" s="50"/>
      <c r="Z280" s="43"/>
      <c r="AA280" s="50"/>
      <c r="AB280" s="43"/>
      <c r="AC280" s="50"/>
      <c r="AD280" s="43"/>
      <c r="AE280" s="50"/>
      <c r="AF280" s="43"/>
      <c r="AG280" s="50"/>
      <c r="AH280" s="43"/>
      <c r="AI280" s="50"/>
      <c r="AJ280" s="43"/>
      <c r="AK280" s="50"/>
      <c r="AL280" s="43"/>
      <c r="AM280" s="50"/>
      <c r="AO280" s="43"/>
      <c r="AP280" s="46"/>
      <c r="AQ280" s="43"/>
      <c r="AR280" s="119"/>
      <c r="AS280" s="1"/>
      <c r="AT280" s="1"/>
    </row>
    <row r="281">
      <c r="A281" s="43"/>
      <c r="B281" s="59" t="str">
        <f>IFERROR(HYPERLINK(VLOOKUP(A281,Internal_lists_bugs!$A$2:$C$73,3,FALSE()), VLOOKUP(A281,Internal_lists_bugs!$A$2:$C$73,3,FALSE())&amp;Char(10) &amp; Char(10) &amp; VLOOKUP(A281,Internal_lists_bugs!$A$2:$Z$73,26,FALSE())),"please select a BUG ID")</f>
        <v>please select a BUG ID</v>
      </c>
      <c r="C281" s="51" t="str">
        <f>IFERROR(VLOOKUP(A281,Internal_lists_bugs!$A$2:$G2003,7,FALSE()),"please select a BUG ID")</f>
        <v>please select a BUG ID</v>
      </c>
      <c r="D281" s="43"/>
      <c r="E281" s="63"/>
      <c r="F281" s="43"/>
      <c r="G281" s="63"/>
      <c r="H281" s="43"/>
      <c r="I281" s="63"/>
      <c r="J281" s="43"/>
      <c r="K281" s="50"/>
      <c r="L281" s="43"/>
      <c r="M281" s="50"/>
      <c r="N281" s="43"/>
      <c r="O281" s="50"/>
      <c r="P281" s="43"/>
      <c r="Q281" s="50"/>
      <c r="R281" s="43"/>
      <c r="S281" s="50"/>
      <c r="T281" s="43"/>
      <c r="U281" s="50"/>
      <c r="V281" s="43"/>
      <c r="W281" s="50"/>
      <c r="X281" s="43"/>
      <c r="Y281" s="50"/>
      <c r="Z281" s="43"/>
      <c r="AA281" s="50"/>
      <c r="AB281" s="43"/>
      <c r="AC281" s="50"/>
      <c r="AD281" s="43"/>
      <c r="AE281" s="50"/>
      <c r="AF281" s="43"/>
      <c r="AG281" s="50"/>
      <c r="AH281" s="43"/>
      <c r="AI281" s="50"/>
      <c r="AJ281" s="43"/>
      <c r="AK281" s="50"/>
      <c r="AL281" s="43"/>
      <c r="AM281" s="50"/>
      <c r="AO281" s="43"/>
      <c r="AP281" s="46"/>
      <c r="AQ281" s="43"/>
      <c r="AR281" s="119"/>
      <c r="AS281" s="1"/>
      <c r="AT281" s="1"/>
    </row>
    <row r="282">
      <c r="A282" s="43"/>
      <c r="B282" s="59" t="str">
        <f>IFERROR(HYPERLINK(VLOOKUP(A282,Internal_lists_bugs!$A$2:$C$73,3,FALSE()), VLOOKUP(A282,Internal_lists_bugs!$A$2:$C$73,3,FALSE())&amp;Char(10) &amp; Char(10) &amp; VLOOKUP(A282,Internal_lists_bugs!$A$2:$Z$73,26,FALSE())),"please select a BUG ID")</f>
        <v>please select a BUG ID</v>
      </c>
      <c r="C282" s="51" t="str">
        <f>IFERROR(VLOOKUP(A282,Internal_lists_bugs!$A$2:$G2003,7,FALSE()),"please select a BUG ID")</f>
        <v>please select a BUG ID</v>
      </c>
      <c r="D282" s="43"/>
      <c r="E282" s="63"/>
      <c r="F282" s="43"/>
      <c r="G282" s="63"/>
      <c r="H282" s="43"/>
      <c r="I282" s="63"/>
      <c r="J282" s="43"/>
      <c r="K282" s="50"/>
      <c r="L282" s="43"/>
      <c r="M282" s="50"/>
      <c r="N282" s="43"/>
      <c r="O282" s="50"/>
      <c r="P282" s="43"/>
      <c r="Q282" s="50"/>
      <c r="R282" s="43"/>
      <c r="S282" s="50"/>
      <c r="T282" s="43"/>
      <c r="U282" s="50"/>
      <c r="V282" s="43"/>
      <c r="W282" s="50"/>
      <c r="X282" s="43"/>
      <c r="Y282" s="50"/>
      <c r="Z282" s="43"/>
      <c r="AA282" s="50"/>
      <c r="AB282" s="43"/>
      <c r="AC282" s="50"/>
      <c r="AD282" s="43"/>
      <c r="AE282" s="50"/>
      <c r="AF282" s="43"/>
      <c r="AG282" s="50"/>
      <c r="AH282" s="43"/>
      <c r="AI282" s="50"/>
      <c r="AJ282" s="43"/>
      <c r="AK282" s="50"/>
      <c r="AL282" s="43"/>
      <c r="AM282" s="50"/>
      <c r="AO282" s="43"/>
      <c r="AP282" s="46"/>
      <c r="AQ282" s="43"/>
      <c r="AR282" s="119"/>
      <c r="AS282" s="1"/>
      <c r="AT282" s="1"/>
    </row>
    <row r="283">
      <c r="A283" s="43"/>
      <c r="B283" s="59" t="str">
        <f>IFERROR(HYPERLINK(VLOOKUP(A283,Internal_lists_bugs!$A$2:$C$73,3,FALSE()), VLOOKUP(A283,Internal_lists_bugs!$A$2:$C$73,3,FALSE())&amp;Char(10) &amp; Char(10) &amp; VLOOKUP(A283,Internal_lists_bugs!$A$2:$Z$73,26,FALSE())),"please select a BUG ID")</f>
        <v>please select a BUG ID</v>
      </c>
      <c r="C283" s="51" t="str">
        <f>IFERROR(VLOOKUP(A283,Internal_lists_bugs!$A$2:$G2003,7,FALSE()),"please select a BUG ID")</f>
        <v>please select a BUG ID</v>
      </c>
      <c r="D283" s="43"/>
      <c r="E283" s="63"/>
      <c r="F283" s="43"/>
      <c r="G283" s="63"/>
      <c r="H283" s="43"/>
      <c r="I283" s="63"/>
      <c r="J283" s="43"/>
      <c r="K283" s="50"/>
      <c r="L283" s="43"/>
      <c r="M283" s="50"/>
      <c r="N283" s="43"/>
      <c r="O283" s="50"/>
      <c r="P283" s="43"/>
      <c r="Q283" s="50"/>
      <c r="R283" s="43"/>
      <c r="S283" s="50"/>
      <c r="T283" s="43"/>
      <c r="U283" s="50"/>
      <c r="V283" s="43"/>
      <c r="W283" s="50"/>
      <c r="X283" s="43"/>
      <c r="Y283" s="50"/>
      <c r="Z283" s="43"/>
      <c r="AA283" s="50"/>
      <c r="AB283" s="43"/>
      <c r="AC283" s="50"/>
      <c r="AD283" s="43"/>
      <c r="AE283" s="50"/>
      <c r="AF283" s="43"/>
      <c r="AG283" s="50"/>
      <c r="AH283" s="43"/>
      <c r="AI283" s="50"/>
      <c r="AJ283" s="43"/>
      <c r="AK283" s="50"/>
      <c r="AL283" s="43"/>
      <c r="AM283" s="50"/>
      <c r="AO283" s="43"/>
      <c r="AP283" s="46"/>
      <c r="AQ283" s="43"/>
      <c r="AR283" s="119"/>
      <c r="AS283" s="1"/>
      <c r="AT283" s="1"/>
    </row>
    <row r="284">
      <c r="A284" s="43"/>
      <c r="B284" s="59" t="str">
        <f>IFERROR(HYPERLINK(VLOOKUP(A284,Internal_lists_bugs!$A$2:$C$73,3,FALSE()), VLOOKUP(A284,Internal_lists_bugs!$A$2:$C$73,3,FALSE())&amp;Char(10) &amp; Char(10) &amp; VLOOKUP(A284,Internal_lists_bugs!$A$2:$Z$73,26,FALSE())),"please select a BUG ID")</f>
        <v>please select a BUG ID</v>
      </c>
      <c r="C284" s="51" t="str">
        <f>IFERROR(VLOOKUP(A284,Internal_lists_bugs!$A$2:$G2003,7,FALSE()),"please select a BUG ID")</f>
        <v>please select a BUG ID</v>
      </c>
      <c r="D284" s="43"/>
      <c r="E284" s="63"/>
      <c r="F284" s="43"/>
      <c r="G284" s="63"/>
      <c r="H284" s="43"/>
      <c r="I284" s="63"/>
      <c r="J284" s="43"/>
      <c r="K284" s="50"/>
      <c r="L284" s="43"/>
      <c r="M284" s="50"/>
      <c r="N284" s="43"/>
      <c r="O284" s="50"/>
      <c r="P284" s="43"/>
      <c r="Q284" s="50"/>
      <c r="R284" s="43"/>
      <c r="S284" s="50"/>
      <c r="T284" s="43"/>
      <c r="U284" s="50"/>
      <c r="V284" s="43"/>
      <c r="W284" s="50"/>
      <c r="X284" s="43"/>
      <c r="Y284" s="50"/>
      <c r="Z284" s="43"/>
      <c r="AA284" s="50"/>
      <c r="AB284" s="43"/>
      <c r="AC284" s="50"/>
      <c r="AD284" s="43"/>
      <c r="AE284" s="50"/>
      <c r="AF284" s="43"/>
      <c r="AG284" s="50"/>
      <c r="AH284" s="43"/>
      <c r="AI284" s="50"/>
      <c r="AJ284" s="43"/>
      <c r="AK284" s="50"/>
      <c r="AL284" s="43"/>
      <c r="AM284" s="50"/>
      <c r="AO284" s="43"/>
      <c r="AP284" s="46"/>
      <c r="AQ284" s="43"/>
      <c r="AR284" s="119"/>
      <c r="AS284" s="1"/>
      <c r="AT284" s="1"/>
    </row>
    <row r="285">
      <c r="A285" s="43"/>
      <c r="B285" s="59" t="str">
        <f>IFERROR(HYPERLINK(VLOOKUP(A285,Internal_lists_bugs!$A$2:$C$73,3,FALSE()), VLOOKUP(A285,Internal_lists_bugs!$A$2:$C$73,3,FALSE())&amp;Char(10) &amp; Char(10) &amp; VLOOKUP(A285,Internal_lists_bugs!$A$2:$Z$73,26,FALSE())),"please select a BUG ID")</f>
        <v>please select a BUG ID</v>
      </c>
      <c r="C285" s="51" t="str">
        <f>IFERROR(VLOOKUP(A285,Internal_lists_bugs!$A$2:$G2003,7,FALSE()),"please select a BUG ID")</f>
        <v>please select a BUG ID</v>
      </c>
      <c r="D285" s="43"/>
      <c r="E285" s="63"/>
      <c r="F285" s="43"/>
      <c r="G285" s="63"/>
      <c r="H285" s="43"/>
      <c r="I285" s="63"/>
      <c r="J285" s="43"/>
      <c r="K285" s="50"/>
      <c r="L285" s="43"/>
      <c r="M285" s="50"/>
      <c r="N285" s="43"/>
      <c r="O285" s="50"/>
      <c r="P285" s="43"/>
      <c r="Q285" s="50"/>
      <c r="R285" s="43"/>
      <c r="S285" s="50"/>
      <c r="T285" s="43"/>
      <c r="U285" s="50"/>
      <c r="V285" s="43"/>
      <c r="W285" s="50"/>
      <c r="X285" s="43"/>
      <c r="Y285" s="50"/>
      <c r="Z285" s="43"/>
      <c r="AA285" s="50"/>
      <c r="AB285" s="43"/>
      <c r="AC285" s="50"/>
      <c r="AD285" s="43"/>
      <c r="AE285" s="50"/>
      <c r="AF285" s="43"/>
      <c r="AG285" s="50"/>
      <c r="AH285" s="43"/>
      <c r="AI285" s="50"/>
      <c r="AJ285" s="43"/>
      <c r="AK285" s="50"/>
      <c r="AL285" s="43"/>
      <c r="AM285" s="50"/>
      <c r="AO285" s="43"/>
      <c r="AP285" s="46"/>
      <c r="AQ285" s="43"/>
      <c r="AR285" s="119"/>
      <c r="AS285" s="1"/>
      <c r="AT285" s="1"/>
    </row>
    <row r="286">
      <c r="A286" s="43"/>
      <c r="B286" s="59" t="str">
        <f>IFERROR(HYPERLINK(VLOOKUP(A286,Internal_lists_bugs!$A$2:$C$73,3,FALSE()), VLOOKUP(A286,Internal_lists_bugs!$A$2:$C$73,3,FALSE())&amp;Char(10) &amp; Char(10) &amp; VLOOKUP(A286,Internal_lists_bugs!$A$2:$Z$73,26,FALSE())),"please select a BUG ID")</f>
        <v>please select a BUG ID</v>
      </c>
      <c r="C286" s="51" t="str">
        <f>IFERROR(VLOOKUP(A286,Internal_lists_bugs!$A$2:$G2003,7,FALSE()),"please select a BUG ID")</f>
        <v>please select a BUG ID</v>
      </c>
      <c r="D286" s="43"/>
      <c r="E286" s="63"/>
      <c r="F286" s="43"/>
      <c r="G286" s="63"/>
      <c r="H286" s="43"/>
      <c r="I286" s="63"/>
      <c r="J286" s="43"/>
      <c r="K286" s="50"/>
      <c r="L286" s="43"/>
      <c r="M286" s="50"/>
      <c r="N286" s="43"/>
      <c r="O286" s="50"/>
      <c r="P286" s="43"/>
      <c r="Q286" s="50"/>
      <c r="R286" s="43"/>
      <c r="S286" s="50"/>
      <c r="T286" s="43"/>
      <c r="U286" s="50"/>
      <c r="V286" s="43"/>
      <c r="W286" s="50"/>
      <c r="X286" s="43"/>
      <c r="Y286" s="50"/>
      <c r="Z286" s="43"/>
      <c r="AA286" s="50"/>
      <c r="AB286" s="43"/>
      <c r="AC286" s="50"/>
      <c r="AD286" s="43"/>
      <c r="AE286" s="50"/>
      <c r="AF286" s="43"/>
      <c r="AG286" s="50"/>
      <c r="AH286" s="43"/>
      <c r="AI286" s="50"/>
      <c r="AJ286" s="43"/>
      <c r="AK286" s="50"/>
      <c r="AL286" s="43"/>
      <c r="AM286" s="50"/>
      <c r="AO286" s="43"/>
      <c r="AP286" s="46"/>
      <c r="AQ286" s="43"/>
      <c r="AR286" s="119"/>
      <c r="AS286" s="1"/>
      <c r="AT286" s="1"/>
    </row>
    <row r="287">
      <c r="A287" s="43"/>
      <c r="B287" s="59" t="str">
        <f>IFERROR(HYPERLINK(VLOOKUP(A287,Internal_lists_bugs!$A$2:$C$73,3,FALSE()), VLOOKUP(A287,Internal_lists_bugs!$A$2:$C$73,3,FALSE())&amp;Char(10) &amp; Char(10) &amp; VLOOKUP(A287,Internal_lists_bugs!$A$2:$Z$73,26,FALSE())),"please select a BUG ID")</f>
        <v>please select a BUG ID</v>
      </c>
      <c r="C287" s="51" t="str">
        <f>IFERROR(VLOOKUP(A287,Internal_lists_bugs!$A$2:$G2003,7,FALSE()),"please select a BUG ID")</f>
        <v>please select a BUG ID</v>
      </c>
      <c r="D287" s="43"/>
      <c r="E287" s="63"/>
      <c r="F287" s="43"/>
      <c r="G287" s="63"/>
      <c r="H287" s="43"/>
      <c r="I287" s="63"/>
      <c r="J287" s="43"/>
      <c r="K287" s="50"/>
      <c r="L287" s="43"/>
      <c r="M287" s="50"/>
      <c r="N287" s="43"/>
      <c r="O287" s="50"/>
      <c r="P287" s="43"/>
      <c r="Q287" s="50"/>
      <c r="R287" s="43"/>
      <c r="S287" s="50"/>
      <c r="T287" s="43"/>
      <c r="U287" s="50"/>
      <c r="V287" s="43"/>
      <c r="W287" s="50"/>
      <c r="X287" s="43"/>
      <c r="Y287" s="50"/>
      <c r="Z287" s="43"/>
      <c r="AA287" s="50"/>
      <c r="AB287" s="43"/>
      <c r="AC287" s="50"/>
      <c r="AD287" s="43"/>
      <c r="AE287" s="50"/>
      <c r="AF287" s="43"/>
      <c r="AG287" s="50"/>
      <c r="AH287" s="43"/>
      <c r="AI287" s="50"/>
      <c r="AJ287" s="43"/>
      <c r="AK287" s="50"/>
      <c r="AL287" s="43"/>
      <c r="AM287" s="50"/>
      <c r="AO287" s="43"/>
      <c r="AP287" s="46"/>
      <c r="AQ287" s="43"/>
      <c r="AR287" s="119"/>
      <c r="AS287" s="1"/>
      <c r="AT287" s="1"/>
    </row>
    <row r="288">
      <c r="A288" s="43"/>
      <c r="B288" s="59" t="str">
        <f>IFERROR(HYPERLINK(VLOOKUP(A288,Internal_lists_bugs!$A$2:$C$73,3,FALSE()), VLOOKUP(A288,Internal_lists_bugs!$A$2:$C$73,3,FALSE())&amp;Char(10) &amp; Char(10) &amp; VLOOKUP(A288,Internal_lists_bugs!$A$2:$Z$73,26,FALSE())),"please select a BUG ID")</f>
        <v>please select a BUG ID</v>
      </c>
      <c r="C288" s="51" t="str">
        <f>IFERROR(VLOOKUP(A288,Internal_lists_bugs!$A$2:$G2003,7,FALSE()),"please select a BUG ID")</f>
        <v>please select a BUG ID</v>
      </c>
      <c r="D288" s="43"/>
      <c r="E288" s="63"/>
      <c r="F288" s="43"/>
      <c r="G288" s="63"/>
      <c r="H288" s="43"/>
      <c r="I288" s="63"/>
      <c r="J288" s="43"/>
      <c r="K288" s="50"/>
      <c r="L288" s="43"/>
      <c r="M288" s="50"/>
      <c r="N288" s="43"/>
      <c r="O288" s="50"/>
      <c r="P288" s="43"/>
      <c r="Q288" s="50"/>
      <c r="R288" s="43"/>
      <c r="S288" s="50"/>
      <c r="T288" s="43"/>
      <c r="U288" s="50"/>
      <c r="V288" s="43"/>
      <c r="W288" s="50"/>
      <c r="X288" s="43"/>
      <c r="Y288" s="50"/>
      <c r="Z288" s="43"/>
      <c r="AA288" s="50"/>
      <c r="AB288" s="43"/>
      <c r="AC288" s="50"/>
      <c r="AD288" s="43"/>
      <c r="AE288" s="50"/>
      <c r="AF288" s="43"/>
      <c r="AG288" s="50"/>
      <c r="AH288" s="43"/>
      <c r="AI288" s="50"/>
      <c r="AJ288" s="43"/>
      <c r="AK288" s="50"/>
      <c r="AL288" s="43"/>
      <c r="AM288" s="50"/>
      <c r="AO288" s="43"/>
      <c r="AP288" s="46"/>
      <c r="AQ288" s="43"/>
      <c r="AR288" s="119"/>
      <c r="AS288" s="1"/>
      <c r="AT288" s="1"/>
    </row>
    <row r="289">
      <c r="A289" s="43"/>
      <c r="B289" s="59" t="str">
        <f>IFERROR(HYPERLINK(VLOOKUP(A289,Internal_lists_bugs!$A$2:$C$73,3,FALSE()), VLOOKUP(A289,Internal_lists_bugs!$A$2:$C$73,3,FALSE())&amp;Char(10) &amp; Char(10) &amp; VLOOKUP(A289,Internal_lists_bugs!$A$2:$Z$73,26,FALSE())),"please select a BUG ID")</f>
        <v>please select a BUG ID</v>
      </c>
      <c r="C289" s="51" t="str">
        <f>IFERROR(VLOOKUP(A289,Internal_lists_bugs!$A$2:$G2003,7,FALSE()),"please select a BUG ID")</f>
        <v>please select a BUG ID</v>
      </c>
      <c r="D289" s="43"/>
      <c r="E289" s="63"/>
      <c r="F289" s="43"/>
      <c r="G289" s="63"/>
      <c r="H289" s="43"/>
      <c r="I289" s="63"/>
      <c r="J289" s="43"/>
      <c r="K289" s="50"/>
      <c r="L289" s="43"/>
      <c r="M289" s="50"/>
      <c r="N289" s="43"/>
      <c r="O289" s="50"/>
      <c r="P289" s="43"/>
      <c r="Q289" s="50"/>
      <c r="R289" s="43"/>
      <c r="S289" s="50"/>
      <c r="T289" s="43"/>
      <c r="U289" s="50"/>
      <c r="V289" s="43"/>
      <c r="W289" s="50"/>
      <c r="X289" s="43"/>
      <c r="Y289" s="50"/>
      <c r="Z289" s="43"/>
      <c r="AA289" s="50"/>
      <c r="AB289" s="43"/>
      <c r="AC289" s="50"/>
      <c r="AD289" s="43"/>
      <c r="AE289" s="50"/>
      <c r="AF289" s="43"/>
      <c r="AG289" s="50"/>
      <c r="AH289" s="43"/>
      <c r="AI289" s="50"/>
      <c r="AJ289" s="43"/>
      <c r="AK289" s="50"/>
      <c r="AL289" s="43"/>
      <c r="AM289" s="50"/>
      <c r="AO289" s="43"/>
      <c r="AP289" s="46"/>
      <c r="AQ289" s="43"/>
      <c r="AR289" s="119"/>
      <c r="AS289" s="1"/>
      <c r="AT289" s="1"/>
    </row>
    <row r="290">
      <c r="A290" s="43"/>
      <c r="B290" s="59" t="str">
        <f>IFERROR(HYPERLINK(VLOOKUP(A290,Internal_lists_bugs!$A$2:$C$73,3,FALSE()), VLOOKUP(A290,Internal_lists_bugs!$A$2:$C$73,3,FALSE())&amp;Char(10) &amp; Char(10) &amp; VLOOKUP(A290,Internal_lists_bugs!$A$2:$Z$73,26,FALSE())),"please select a BUG ID")</f>
        <v>please select a BUG ID</v>
      </c>
      <c r="C290" s="51" t="str">
        <f>IFERROR(VLOOKUP(A290,Internal_lists_bugs!$A$2:$G2003,7,FALSE()),"please select a BUG ID")</f>
        <v>please select a BUG ID</v>
      </c>
      <c r="D290" s="43"/>
      <c r="E290" s="63"/>
      <c r="F290" s="43"/>
      <c r="G290" s="63"/>
      <c r="H290" s="43"/>
      <c r="I290" s="63"/>
      <c r="J290" s="43"/>
      <c r="K290" s="50"/>
      <c r="L290" s="43"/>
      <c r="M290" s="50"/>
      <c r="N290" s="43"/>
      <c r="O290" s="50"/>
      <c r="P290" s="43"/>
      <c r="Q290" s="50"/>
      <c r="R290" s="43"/>
      <c r="S290" s="50"/>
      <c r="T290" s="43"/>
      <c r="U290" s="50"/>
      <c r="V290" s="43"/>
      <c r="W290" s="50"/>
      <c r="X290" s="43"/>
      <c r="Y290" s="50"/>
      <c r="Z290" s="43"/>
      <c r="AA290" s="50"/>
      <c r="AB290" s="43"/>
      <c r="AC290" s="50"/>
      <c r="AD290" s="43"/>
      <c r="AE290" s="50"/>
      <c r="AF290" s="43"/>
      <c r="AG290" s="50"/>
      <c r="AH290" s="43"/>
      <c r="AI290" s="50"/>
      <c r="AJ290" s="43"/>
      <c r="AK290" s="50"/>
      <c r="AL290" s="43"/>
      <c r="AM290" s="50"/>
      <c r="AO290" s="43"/>
      <c r="AP290" s="46"/>
      <c r="AQ290" s="43"/>
      <c r="AR290" s="119"/>
      <c r="AS290" s="1"/>
      <c r="AT290" s="1"/>
    </row>
    <row r="291">
      <c r="A291" s="43"/>
      <c r="B291" s="59" t="str">
        <f>IFERROR(HYPERLINK(VLOOKUP(A291,Internal_lists_bugs!$A$2:$C$73,3,FALSE()), VLOOKUP(A291,Internal_lists_bugs!$A$2:$C$73,3,FALSE())&amp;Char(10) &amp; Char(10) &amp; VLOOKUP(A291,Internal_lists_bugs!$A$2:$Z$73,26,FALSE())),"please select a BUG ID")</f>
        <v>please select a BUG ID</v>
      </c>
      <c r="C291" s="51" t="str">
        <f>IFERROR(VLOOKUP(A291,Internal_lists_bugs!$A$2:$G2003,7,FALSE()),"please select a BUG ID")</f>
        <v>please select a BUG ID</v>
      </c>
      <c r="D291" s="43"/>
      <c r="E291" s="63"/>
      <c r="F291" s="43"/>
      <c r="G291" s="63"/>
      <c r="H291" s="43"/>
      <c r="I291" s="63"/>
      <c r="J291" s="43"/>
      <c r="K291" s="50"/>
      <c r="L291" s="43"/>
      <c r="M291" s="50"/>
      <c r="N291" s="43"/>
      <c r="O291" s="50"/>
      <c r="P291" s="43"/>
      <c r="Q291" s="50"/>
      <c r="R291" s="43"/>
      <c r="S291" s="50"/>
      <c r="T291" s="43"/>
      <c r="U291" s="50"/>
      <c r="V291" s="43"/>
      <c r="W291" s="50"/>
      <c r="X291" s="43"/>
      <c r="Y291" s="50"/>
      <c r="Z291" s="43"/>
      <c r="AA291" s="50"/>
      <c r="AB291" s="43"/>
      <c r="AC291" s="50"/>
      <c r="AD291" s="43"/>
      <c r="AE291" s="50"/>
      <c r="AF291" s="43"/>
      <c r="AG291" s="50"/>
      <c r="AH291" s="43"/>
      <c r="AI291" s="50"/>
      <c r="AJ291" s="43"/>
      <c r="AK291" s="50"/>
      <c r="AL291" s="43"/>
      <c r="AM291" s="50"/>
      <c r="AO291" s="43"/>
      <c r="AP291" s="46"/>
      <c r="AQ291" s="43"/>
      <c r="AR291" s="119"/>
      <c r="AS291" s="1"/>
      <c r="AT291" s="1"/>
    </row>
    <row r="292">
      <c r="A292" s="43"/>
      <c r="B292" s="59" t="str">
        <f>IFERROR(HYPERLINK(VLOOKUP(A292,Internal_lists_bugs!$A$2:$C$73,3,FALSE()), VLOOKUP(A292,Internal_lists_bugs!$A$2:$C$73,3,FALSE())&amp;Char(10) &amp; Char(10) &amp; VLOOKUP(A292,Internal_lists_bugs!$A$2:$Z$73,26,FALSE())),"please select a BUG ID")</f>
        <v>please select a BUG ID</v>
      </c>
      <c r="C292" s="51" t="str">
        <f>IFERROR(VLOOKUP(A292,Internal_lists_bugs!$A$2:$G2003,7,FALSE()),"please select a BUG ID")</f>
        <v>please select a BUG ID</v>
      </c>
      <c r="D292" s="43"/>
      <c r="E292" s="63"/>
      <c r="F292" s="43"/>
      <c r="G292" s="63"/>
      <c r="H292" s="43"/>
      <c r="I292" s="63"/>
      <c r="J292" s="43"/>
      <c r="K292" s="50"/>
      <c r="L292" s="43"/>
      <c r="M292" s="50"/>
      <c r="N292" s="43"/>
      <c r="O292" s="50"/>
      <c r="P292" s="43"/>
      <c r="Q292" s="50"/>
      <c r="R292" s="43"/>
      <c r="S292" s="50"/>
      <c r="T292" s="43"/>
      <c r="U292" s="50"/>
      <c r="V292" s="43"/>
      <c r="W292" s="50"/>
      <c r="X292" s="43"/>
      <c r="Y292" s="50"/>
      <c r="Z292" s="43"/>
      <c r="AA292" s="50"/>
      <c r="AB292" s="43"/>
      <c r="AC292" s="50"/>
      <c r="AD292" s="43"/>
      <c r="AE292" s="50"/>
      <c r="AF292" s="43"/>
      <c r="AG292" s="50"/>
      <c r="AH292" s="43"/>
      <c r="AI292" s="50"/>
      <c r="AJ292" s="43"/>
      <c r="AK292" s="50"/>
      <c r="AL292" s="43"/>
      <c r="AM292" s="50"/>
      <c r="AO292" s="43"/>
      <c r="AP292" s="46"/>
      <c r="AQ292" s="43"/>
      <c r="AR292" s="119"/>
      <c r="AS292" s="1"/>
      <c r="AT292" s="1"/>
    </row>
    <row r="293">
      <c r="A293" s="43"/>
      <c r="B293" s="59" t="str">
        <f>IFERROR(HYPERLINK(VLOOKUP(A293,Internal_lists_bugs!$A$2:$C$73,3,FALSE()), VLOOKUP(A293,Internal_lists_bugs!$A$2:$C$73,3,FALSE())&amp;Char(10) &amp; Char(10) &amp; VLOOKUP(A293,Internal_lists_bugs!$A$2:$Z$73,26,FALSE())),"please select a BUG ID")</f>
        <v>please select a BUG ID</v>
      </c>
      <c r="C293" s="51" t="str">
        <f>IFERROR(VLOOKUP(A293,Internal_lists_bugs!$A$2:$G2003,7,FALSE()),"please select a BUG ID")</f>
        <v>please select a BUG ID</v>
      </c>
      <c r="D293" s="43"/>
      <c r="E293" s="63"/>
      <c r="F293" s="43"/>
      <c r="G293" s="63"/>
      <c r="H293" s="43"/>
      <c r="I293" s="63"/>
      <c r="J293" s="43"/>
      <c r="K293" s="50"/>
      <c r="L293" s="43"/>
      <c r="M293" s="50"/>
      <c r="N293" s="43"/>
      <c r="O293" s="50"/>
      <c r="P293" s="43"/>
      <c r="Q293" s="50"/>
      <c r="R293" s="43"/>
      <c r="S293" s="50"/>
      <c r="T293" s="43"/>
      <c r="U293" s="50"/>
      <c r="V293" s="43"/>
      <c r="W293" s="50"/>
      <c r="X293" s="43"/>
      <c r="Y293" s="50"/>
      <c r="Z293" s="43"/>
      <c r="AA293" s="50"/>
      <c r="AB293" s="43"/>
      <c r="AC293" s="50"/>
      <c r="AD293" s="43"/>
      <c r="AE293" s="50"/>
      <c r="AF293" s="43"/>
      <c r="AG293" s="50"/>
      <c r="AH293" s="43"/>
      <c r="AI293" s="50"/>
      <c r="AJ293" s="43"/>
      <c r="AK293" s="50"/>
      <c r="AL293" s="43"/>
      <c r="AM293" s="50"/>
      <c r="AO293" s="43"/>
      <c r="AP293" s="46"/>
      <c r="AQ293" s="43"/>
      <c r="AR293" s="119"/>
      <c r="AS293" s="1"/>
      <c r="AT293" s="1"/>
    </row>
    <row r="294">
      <c r="A294" s="43"/>
      <c r="B294" s="59" t="str">
        <f>IFERROR(HYPERLINK(VLOOKUP(A294,Internal_lists_bugs!$A$2:$C$73,3,FALSE()), VLOOKUP(A294,Internal_lists_bugs!$A$2:$C$73,3,FALSE())&amp;Char(10) &amp; Char(10) &amp; VLOOKUP(A294,Internal_lists_bugs!$A$2:$Z$73,26,FALSE())),"please select a BUG ID")</f>
        <v>please select a BUG ID</v>
      </c>
      <c r="C294" s="51" t="str">
        <f>IFERROR(VLOOKUP(A294,Internal_lists_bugs!$A$2:$G2003,7,FALSE()),"please select a BUG ID")</f>
        <v>please select a BUG ID</v>
      </c>
      <c r="D294" s="43"/>
      <c r="E294" s="63"/>
      <c r="F294" s="43"/>
      <c r="G294" s="63"/>
      <c r="H294" s="43"/>
      <c r="I294" s="63"/>
      <c r="J294" s="43"/>
      <c r="K294" s="50"/>
      <c r="L294" s="43"/>
      <c r="M294" s="50"/>
      <c r="N294" s="43"/>
      <c r="O294" s="50"/>
      <c r="P294" s="43"/>
      <c r="Q294" s="50"/>
      <c r="R294" s="43"/>
      <c r="S294" s="50"/>
      <c r="T294" s="43"/>
      <c r="U294" s="50"/>
      <c r="V294" s="43"/>
      <c r="W294" s="50"/>
      <c r="X294" s="43"/>
      <c r="Y294" s="50"/>
      <c r="Z294" s="43"/>
      <c r="AA294" s="50"/>
      <c r="AB294" s="43"/>
      <c r="AC294" s="50"/>
      <c r="AD294" s="43"/>
      <c r="AE294" s="50"/>
      <c r="AF294" s="43"/>
      <c r="AG294" s="50"/>
      <c r="AH294" s="43"/>
      <c r="AI294" s="50"/>
      <c r="AJ294" s="43"/>
      <c r="AK294" s="50"/>
      <c r="AL294" s="43"/>
      <c r="AM294" s="50"/>
      <c r="AO294" s="43"/>
      <c r="AP294" s="46"/>
      <c r="AQ294" s="43"/>
      <c r="AR294" s="119"/>
      <c r="AS294" s="1"/>
      <c r="AT294" s="1"/>
    </row>
    <row r="295">
      <c r="A295" s="43"/>
      <c r="B295" s="59" t="str">
        <f>IFERROR(HYPERLINK(VLOOKUP(A295,Internal_lists_bugs!$A$2:$C$73,3,FALSE()), VLOOKUP(A295,Internal_lists_bugs!$A$2:$C$73,3,FALSE())&amp;Char(10) &amp; Char(10) &amp; VLOOKUP(A295,Internal_lists_bugs!$A$2:$Z$73,26,FALSE())),"please select a BUG ID")</f>
        <v>please select a BUG ID</v>
      </c>
      <c r="C295" s="51" t="str">
        <f>IFERROR(VLOOKUP(A295,Internal_lists_bugs!$A$2:$G2003,7,FALSE()),"please select a BUG ID")</f>
        <v>please select a BUG ID</v>
      </c>
      <c r="D295" s="43"/>
      <c r="E295" s="63"/>
      <c r="F295" s="43"/>
      <c r="G295" s="63"/>
      <c r="H295" s="43"/>
      <c r="I295" s="63"/>
      <c r="J295" s="43"/>
      <c r="K295" s="50"/>
      <c r="L295" s="43"/>
      <c r="M295" s="50"/>
      <c r="N295" s="43"/>
      <c r="O295" s="50"/>
      <c r="P295" s="43"/>
      <c r="Q295" s="50"/>
      <c r="R295" s="43"/>
      <c r="S295" s="50"/>
      <c r="T295" s="43"/>
      <c r="U295" s="50"/>
      <c r="V295" s="43"/>
      <c r="W295" s="50"/>
      <c r="X295" s="43"/>
      <c r="Y295" s="50"/>
      <c r="Z295" s="43"/>
      <c r="AA295" s="50"/>
      <c r="AB295" s="43"/>
      <c r="AC295" s="50"/>
      <c r="AD295" s="43"/>
      <c r="AE295" s="50"/>
      <c r="AF295" s="43"/>
      <c r="AG295" s="50"/>
      <c r="AH295" s="43"/>
      <c r="AI295" s="50"/>
      <c r="AJ295" s="43"/>
      <c r="AK295" s="50"/>
      <c r="AL295" s="43"/>
      <c r="AM295" s="50"/>
      <c r="AO295" s="43"/>
      <c r="AP295" s="46"/>
      <c r="AQ295" s="43"/>
      <c r="AR295" s="119"/>
      <c r="AS295" s="1"/>
      <c r="AT295" s="1"/>
    </row>
    <row r="296">
      <c r="A296" s="43"/>
      <c r="B296" s="59" t="str">
        <f>IFERROR(HYPERLINK(VLOOKUP(A296,Internal_lists_bugs!$A$2:$C$73,3,FALSE()), VLOOKUP(A296,Internal_lists_bugs!$A$2:$C$73,3,FALSE())&amp;Char(10) &amp; Char(10) &amp; VLOOKUP(A296,Internal_lists_bugs!$A$2:$Z$73,26,FALSE())),"please select a BUG ID")</f>
        <v>please select a BUG ID</v>
      </c>
      <c r="C296" s="51" t="str">
        <f>IFERROR(VLOOKUP(A296,Internal_lists_bugs!$A$2:$G2003,7,FALSE()),"please select a BUG ID")</f>
        <v>please select a BUG ID</v>
      </c>
      <c r="D296" s="43"/>
      <c r="E296" s="63"/>
      <c r="F296" s="43"/>
      <c r="G296" s="63"/>
      <c r="H296" s="43"/>
      <c r="I296" s="63"/>
      <c r="J296" s="43"/>
      <c r="K296" s="50"/>
      <c r="L296" s="43"/>
      <c r="M296" s="50"/>
      <c r="N296" s="43"/>
      <c r="O296" s="50"/>
      <c r="P296" s="43"/>
      <c r="Q296" s="50"/>
      <c r="R296" s="43"/>
      <c r="S296" s="50"/>
      <c r="T296" s="43"/>
      <c r="U296" s="50"/>
      <c r="V296" s="43"/>
      <c r="W296" s="50"/>
      <c r="X296" s="43"/>
      <c r="Y296" s="50"/>
      <c r="Z296" s="43"/>
      <c r="AA296" s="50"/>
      <c r="AB296" s="43"/>
      <c r="AC296" s="50"/>
      <c r="AD296" s="43"/>
      <c r="AE296" s="50"/>
      <c r="AF296" s="43"/>
      <c r="AG296" s="50"/>
      <c r="AH296" s="43"/>
      <c r="AI296" s="50"/>
      <c r="AJ296" s="43"/>
      <c r="AK296" s="50"/>
      <c r="AL296" s="43"/>
      <c r="AM296" s="50"/>
      <c r="AO296" s="43"/>
      <c r="AP296" s="46"/>
      <c r="AQ296" s="43"/>
      <c r="AR296" s="119"/>
      <c r="AS296" s="1"/>
      <c r="AT296" s="1"/>
    </row>
    <row r="297">
      <c r="A297" s="43"/>
      <c r="B297" s="59" t="str">
        <f>IFERROR(HYPERLINK(VLOOKUP(A297,Internal_lists_bugs!$A$2:$C$73,3,FALSE()), VLOOKUP(A297,Internal_lists_bugs!$A$2:$C$73,3,FALSE())&amp;Char(10) &amp; Char(10) &amp; VLOOKUP(A297,Internal_lists_bugs!$A$2:$Z$73,26,FALSE())),"please select a BUG ID")</f>
        <v>please select a BUG ID</v>
      </c>
      <c r="C297" s="51" t="str">
        <f>IFERROR(VLOOKUP(A297,Internal_lists_bugs!$A$2:$G2003,7,FALSE()),"please select a BUG ID")</f>
        <v>please select a BUG ID</v>
      </c>
      <c r="D297" s="43"/>
      <c r="E297" s="63"/>
      <c r="F297" s="43"/>
      <c r="G297" s="63"/>
      <c r="H297" s="43"/>
      <c r="I297" s="63"/>
      <c r="J297" s="43"/>
      <c r="K297" s="50"/>
      <c r="L297" s="43"/>
      <c r="M297" s="50"/>
      <c r="N297" s="43"/>
      <c r="O297" s="50"/>
      <c r="P297" s="43"/>
      <c r="Q297" s="50"/>
      <c r="R297" s="43"/>
      <c r="S297" s="50"/>
      <c r="T297" s="43"/>
      <c r="U297" s="50"/>
      <c r="V297" s="43"/>
      <c r="W297" s="50"/>
      <c r="X297" s="43"/>
      <c r="Y297" s="50"/>
      <c r="Z297" s="43"/>
      <c r="AA297" s="50"/>
      <c r="AB297" s="43"/>
      <c r="AC297" s="50"/>
      <c r="AD297" s="43"/>
      <c r="AE297" s="50"/>
      <c r="AF297" s="43"/>
      <c r="AG297" s="50"/>
      <c r="AH297" s="43"/>
      <c r="AI297" s="50"/>
      <c r="AJ297" s="43"/>
      <c r="AK297" s="50"/>
      <c r="AL297" s="43"/>
      <c r="AM297" s="50"/>
      <c r="AO297" s="43"/>
      <c r="AP297" s="46"/>
      <c r="AQ297" s="43"/>
      <c r="AR297" s="119"/>
      <c r="AS297" s="1"/>
      <c r="AT297" s="1"/>
    </row>
    <row r="298">
      <c r="A298" s="43"/>
      <c r="B298" s="59" t="str">
        <f>IFERROR(HYPERLINK(VLOOKUP(A298,Internal_lists_bugs!$A$2:$C$73,3,FALSE()), VLOOKUP(A298,Internal_lists_bugs!$A$2:$C$73,3,FALSE())&amp;Char(10) &amp; Char(10) &amp; VLOOKUP(A298,Internal_lists_bugs!$A$2:$Z$73,26,FALSE())),"please select a BUG ID")</f>
        <v>please select a BUG ID</v>
      </c>
      <c r="C298" s="51" t="str">
        <f>IFERROR(VLOOKUP(A298,Internal_lists_bugs!$A$2:$G2003,7,FALSE()),"please select a BUG ID")</f>
        <v>please select a BUG ID</v>
      </c>
      <c r="D298" s="43"/>
      <c r="E298" s="63"/>
      <c r="F298" s="43"/>
      <c r="G298" s="63"/>
      <c r="H298" s="43"/>
      <c r="I298" s="63"/>
      <c r="J298" s="43"/>
      <c r="K298" s="50"/>
      <c r="L298" s="43"/>
      <c r="M298" s="50"/>
      <c r="N298" s="43"/>
      <c r="O298" s="50"/>
      <c r="P298" s="43"/>
      <c r="Q298" s="50"/>
      <c r="R298" s="43"/>
      <c r="S298" s="50"/>
      <c r="T298" s="43"/>
      <c r="U298" s="50"/>
      <c r="V298" s="43"/>
      <c r="W298" s="50"/>
      <c r="X298" s="43"/>
      <c r="Y298" s="50"/>
      <c r="Z298" s="43"/>
      <c r="AA298" s="50"/>
      <c r="AB298" s="43"/>
      <c r="AC298" s="50"/>
      <c r="AD298" s="43"/>
      <c r="AE298" s="50"/>
      <c r="AF298" s="43"/>
      <c r="AG298" s="50"/>
      <c r="AH298" s="43"/>
      <c r="AI298" s="50"/>
      <c r="AJ298" s="43"/>
      <c r="AK298" s="50"/>
      <c r="AL298" s="43"/>
      <c r="AM298" s="50"/>
      <c r="AO298" s="43"/>
      <c r="AP298" s="46"/>
      <c r="AQ298" s="43"/>
      <c r="AR298" s="119"/>
      <c r="AS298" s="1"/>
      <c r="AT298" s="1"/>
    </row>
    <row r="299">
      <c r="A299" s="43"/>
      <c r="B299" s="59" t="str">
        <f>IFERROR(HYPERLINK(VLOOKUP(A299,Internal_lists_bugs!$A$2:$C$73,3,FALSE()), VLOOKUP(A299,Internal_lists_bugs!$A$2:$C$73,3,FALSE())&amp;Char(10) &amp; Char(10) &amp; VLOOKUP(A299,Internal_lists_bugs!$A$2:$Z$73,26,FALSE())),"please select a BUG ID")</f>
        <v>please select a BUG ID</v>
      </c>
      <c r="C299" s="51" t="str">
        <f>IFERROR(VLOOKUP(A299,Internal_lists_bugs!$A$2:$G2003,7,FALSE()),"please select a BUG ID")</f>
        <v>please select a BUG ID</v>
      </c>
      <c r="D299" s="43"/>
      <c r="E299" s="63"/>
      <c r="F299" s="43"/>
      <c r="G299" s="63"/>
      <c r="H299" s="43"/>
      <c r="I299" s="63"/>
      <c r="J299" s="43"/>
      <c r="K299" s="50"/>
      <c r="L299" s="43"/>
      <c r="M299" s="50"/>
      <c r="N299" s="43"/>
      <c r="O299" s="50"/>
      <c r="P299" s="43"/>
      <c r="Q299" s="50"/>
      <c r="R299" s="43"/>
      <c r="S299" s="50"/>
      <c r="T299" s="43"/>
      <c r="U299" s="50"/>
      <c r="V299" s="43"/>
      <c r="W299" s="50"/>
      <c r="X299" s="43"/>
      <c r="Y299" s="50"/>
      <c r="Z299" s="43"/>
      <c r="AA299" s="50"/>
      <c r="AB299" s="43"/>
      <c r="AC299" s="50"/>
      <c r="AD299" s="43"/>
      <c r="AE299" s="50"/>
      <c r="AF299" s="43"/>
      <c r="AG299" s="50"/>
      <c r="AH299" s="43"/>
      <c r="AI299" s="50"/>
      <c r="AJ299" s="43"/>
      <c r="AK299" s="50"/>
      <c r="AL299" s="43"/>
      <c r="AM299" s="50"/>
      <c r="AO299" s="43"/>
      <c r="AP299" s="46"/>
      <c r="AQ299" s="43"/>
      <c r="AR299" s="119"/>
      <c r="AS299" s="1"/>
      <c r="AT299" s="1"/>
    </row>
    <row r="300">
      <c r="A300" s="43"/>
      <c r="B300" s="59" t="str">
        <f>IFERROR(HYPERLINK(VLOOKUP(A300,Internal_lists_bugs!$A$2:$C$73,3,FALSE()), VLOOKUP(A300,Internal_lists_bugs!$A$2:$C$73,3,FALSE())&amp;Char(10) &amp; Char(10) &amp; VLOOKUP(A300,Internal_lists_bugs!$A$2:$Z$73,26,FALSE())),"please select a BUG ID")</f>
        <v>please select a BUG ID</v>
      </c>
      <c r="C300" s="51" t="str">
        <f>IFERROR(VLOOKUP(A300,Internal_lists_bugs!$A$2:$G2003,7,FALSE()),"please select a BUG ID")</f>
        <v>please select a BUG ID</v>
      </c>
      <c r="D300" s="43"/>
      <c r="E300" s="63"/>
      <c r="F300" s="43"/>
      <c r="G300" s="63"/>
      <c r="H300" s="43"/>
      <c r="I300" s="63"/>
      <c r="J300" s="43"/>
      <c r="K300" s="50"/>
      <c r="L300" s="43"/>
      <c r="M300" s="50"/>
      <c r="N300" s="43"/>
      <c r="O300" s="50"/>
      <c r="P300" s="43"/>
      <c r="Q300" s="50"/>
      <c r="R300" s="43"/>
      <c r="S300" s="50"/>
      <c r="T300" s="43"/>
      <c r="U300" s="50"/>
      <c r="V300" s="43"/>
      <c r="W300" s="50"/>
      <c r="X300" s="43"/>
      <c r="Y300" s="50"/>
      <c r="Z300" s="43"/>
      <c r="AA300" s="50"/>
      <c r="AB300" s="43"/>
      <c r="AC300" s="50"/>
      <c r="AD300" s="43"/>
      <c r="AE300" s="50"/>
      <c r="AF300" s="43"/>
      <c r="AG300" s="50"/>
      <c r="AH300" s="43"/>
      <c r="AI300" s="50"/>
      <c r="AJ300" s="43"/>
      <c r="AK300" s="50"/>
      <c r="AL300" s="43"/>
      <c r="AM300" s="50"/>
      <c r="AO300" s="43"/>
      <c r="AP300" s="46"/>
      <c r="AQ300" s="43"/>
      <c r="AR300" s="119"/>
      <c r="AS300" s="1"/>
      <c r="AT300" s="1"/>
    </row>
    <row r="301">
      <c r="A301" s="43"/>
      <c r="B301" s="59" t="str">
        <f>IFERROR(HYPERLINK(VLOOKUP(A301,Internal_lists_bugs!$A$2:$C$73,3,FALSE()), VLOOKUP(A301,Internal_lists_bugs!$A$2:$C$73,3,FALSE())&amp;Char(10) &amp; Char(10) &amp; VLOOKUP(A301,Internal_lists_bugs!$A$2:$Z$73,26,FALSE())),"please select a BUG ID")</f>
        <v>please select a BUG ID</v>
      </c>
      <c r="C301" s="51" t="str">
        <f>IFERROR(VLOOKUP(A301,Internal_lists_bugs!$A$2:$G2003,7,FALSE()),"please select a BUG ID")</f>
        <v>please select a BUG ID</v>
      </c>
      <c r="D301" s="43"/>
      <c r="E301" s="63"/>
      <c r="F301" s="43"/>
      <c r="G301" s="63"/>
      <c r="H301" s="43"/>
      <c r="I301" s="63"/>
      <c r="J301" s="43"/>
      <c r="K301" s="50"/>
      <c r="L301" s="43"/>
      <c r="M301" s="50"/>
      <c r="N301" s="43"/>
      <c r="O301" s="50"/>
      <c r="P301" s="43"/>
      <c r="Q301" s="50"/>
      <c r="R301" s="43"/>
      <c r="S301" s="50"/>
      <c r="T301" s="43"/>
      <c r="U301" s="50"/>
      <c r="V301" s="43"/>
      <c r="W301" s="50"/>
      <c r="X301" s="43"/>
      <c r="Y301" s="50"/>
      <c r="Z301" s="43"/>
      <c r="AA301" s="50"/>
      <c r="AB301" s="43"/>
      <c r="AC301" s="50"/>
      <c r="AD301" s="43"/>
      <c r="AE301" s="50"/>
      <c r="AF301" s="43"/>
      <c r="AG301" s="50"/>
      <c r="AH301" s="43"/>
      <c r="AI301" s="50"/>
      <c r="AJ301" s="43"/>
      <c r="AK301" s="50"/>
      <c r="AL301" s="43"/>
      <c r="AM301" s="50"/>
      <c r="AO301" s="43"/>
      <c r="AP301" s="46"/>
      <c r="AQ301" s="43"/>
      <c r="AR301" s="119"/>
      <c r="AS301" s="1"/>
      <c r="AT301" s="1"/>
    </row>
    <row r="302">
      <c r="A302" s="43"/>
      <c r="B302" s="59" t="str">
        <f>IFERROR(HYPERLINK(VLOOKUP(A302,Internal_lists_bugs!$A$2:$C$73,3,FALSE()), VLOOKUP(A302,Internal_lists_bugs!$A$2:$C$73,3,FALSE())&amp;Char(10) &amp; Char(10) &amp; VLOOKUP(A302,Internal_lists_bugs!$A$2:$Z$73,26,FALSE())),"please select a BUG ID")</f>
        <v>please select a BUG ID</v>
      </c>
      <c r="C302" s="51" t="str">
        <f>IFERROR(VLOOKUP(A302,Internal_lists_bugs!$A$2:$G2003,7,FALSE()),"please select a BUG ID")</f>
        <v>please select a BUG ID</v>
      </c>
      <c r="D302" s="43"/>
      <c r="E302" s="63"/>
      <c r="F302" s="43"/>
      <c r="G302" s="63"/>
      <c r="H302" s="43"/>
      <c r="I302" s="63"/>
      <c r="J302" s="43"/>
      <c r="K302" s="50"/>
      <c r="L302" s="43"/>
      <c r="M302" s="50"/>
      <c r="N302" s="43"/>
      <c r="O302" s="50"/>
      <c r="P302" s="43"/>
      <c r="Q302" s="50"/>
      <c r="R302" s="43"/>
      <c r="S302" s="50"/>
      <c r="T302" s="43"/>
      <c r="U302" s="50"/>
      <c r="V302" s="43"/>
      <c r="W302" s="50"/>
      <c r="X302" s="43"/>
      <c r="Y302" s="50"/>
      <c r="Z302" s="43"/>
      <c r="AA302" s="50"/>
      <c r="AB302" s="43"/>
      <c r="AC302" s="50"/>
      <c r="AD302" s="43"/>
      <c r="AE302" s="50"/>
      <c r="AF302" s="43"/>
      <c r="AG302" s="50"/>
      <c r="AH302" s="43"/>
      <c r="AI302" s="50"/>
      <c r="AJ302" s="43"/>
      <c r="AK302" s="50"/>
      <c r="AL302" s="43"/>
      <c r="AM302" s="50"/>
      <c r="AO302" s="43"/>
      <c r="AP302" s="46"/>
      <c r="AQ302" s="43"/>
      <c r="AR302" s="119"/>
      <c r="AS302" s="1"/>
      <c r="AT302" s="1"/>
    </row>
    <row r="303">
      <c r="A303" s="43"/>
      <c r="B303" s="59" t="str">
        <f>IFERROR(HYPERLINK(VLOOKUP(A303,Internal_lists_bugs!$A$2:$C$73,3,FALSE()), VLOOKUP(A303,Internal_lists_bugs!$A$2:$C$73,3,FALSE())&amp;Char(10) &amp; Char(10) &amp; VLOOKUP(A303,Internal_lists_bugs!$A$2:$Z$73,26,FALSE())),"please select a BUG ID")</f>
        <v>please select a BUG ID</v>
      </c>
      <c r="C303" s="51" t="str">
        <f>IFERROR(VLOOKUP(A303,Internal_lists_bugs!$A$2:$G2003,7,FALSE()),"please select a BUG ID")</f>
        <v>please select a BUG ID</v>
      </c>
      <c r="D303" s="43"/>
      <c r="E303" s="63"/>
      <c r="F303" s="43"/>
      <c r="G303" s="63"/>
      <c r="H303" s="43"/>
      <c r="I303" s="63"/>
      <c r="J303" s="43"/>
      <c r="K303" s="50"/>
      <c r="L303" s="43"/>
      <c r="M303" s="50"/>
      <c r="N303" s="43"/>
      <c r="O303" s="50"/>
      <c r="P303" s="43"/>
      <c r="Q303" s="50"/>
      <c r="R303" s="43"/>
      <c r="S303" s="50"/>
      <c r="T303" s="43"/>
      <c r="U303" s="50"/>
      <c r="V303" s="43"/>
      <c r="W303" s="50"/>
      <c r="X303" s="43"/>
      <c r="Y303" s="50"/>
      <c r="Z303" s="43"/>
      <c r="AA303" s="50"/>
      <c r="AB303" s="43"/>
      <c r="AC303" s="50"/>
      <c r="AD303" s="43"/>
      <c r="AE303" s="50"/>
      <c r="AF303" s="43"/>
      <c r="AG303" s="50"/>
      <c r="AH303" s="43"/>
      <c r="AI303" s="50"/>
      <c r="AJ303" s="43"/>
      <c r="AK303" s="50"/>
      <c r="AL303" s="43"/>
      <c r="AM303" s="50"/>
      <c r="AO303" s="43"/>
      <c r="AP303" s="46"/>
      <c r="AQ303" s="43"/>
      <c r="AR303" s="119"/>
      <c r="AS303" s="1"/>
      <c r="AT303" s="1"/>
    </row>
    <row r="304">
      <c r="A304" s="43"/>
      <c r="B304" s="59" t="str">
        <f>IFERROR(HYPERLINK(VLOOKUP(A304,Internal_lists_bugs!$A$2:$C$73,3,FALSE()), VLOOKUP(A304,Internal_lists_bugs!$A$2:$C$73,3,FALSE())&amp;Char(10) &amp; Char(10) &amp; VLOOKUP(A304,Internal_lists_bugs!$A$2:$Z$73,26,FALSE())),"please select a BUG ID")</f>
        <v>please select a BUG ID</v>
      </c>
      <c r="C304" s="51" t="str">
        <f>IFERROR(VLOOKUP(A304,Internal_lists_bugs!$A$2:$G2003,7,FALSE()),"please select a BUG ID")</f>
        <v>please select a BUG ID</v>
      </c>
      <c r="D304" s="43"/>
      <c r="E304" s="63"/>
      <c r="F304" s="43"/>
      <c r="G304" s="63"/>
      <c r="H304" s="43"/>
      <c r="I304" s="63"/>
      <c r="J304" s="43"/>
      <c r="K304" s="50"/>
      <c r="L304" s="43"/>
      <c r="M304" s="50"/>
      <c r="N304" s="43"/>
      <c r="O304" s="50"/>
      <c r="P304" s="43"/>
      <c r="Q304" s="50"/>
      <c r="R304" s="43"/>
      <c r="S304" s="50"/>
      <c r="T304" s="43"/>
      <c r="U304" s="50"/>
      <c r="V304" s="43"/>
      <c r="W304" s="50"/>
      <c r="X304" s="43"/>
      <c r="Y304" s="50"/>
      <c r="Z304" s="43"/>
      <c r="AA304" s="50"/>
      <c r="AB304" s="43"/>
      <c r="AC304" s="50"/>
      <c r="AD304" s="43"/>
      <c r="AE304" s="50"/>
      <c r="AF304" s="43"/>
      <c r="AG304" s="50"/>
      <c r="AH304" s="43"/>
      <c r="AI304" s="50"/>
      <c r="AJ304" s="43"/>
      <c r="AK304" s="50"/>
      <c r="AL304" s="43"/>
      <c r="AM304" s="50"/>
      <c r="AO304" s="43"/>
      <c r="AP304" s="46"/>
      <c r="AQ304" s="43"/>
      <c r="AR304" s="119"/>
      <c r="AS304" s="1"/>
      <c r="AT304" s="1"/>
    </row>
    <row r="305">
      <c r="A305" s="43"/>
      <c r="B305" s="59" t="str">
        <f>IFERROR(HYPERLINK(VLOOKUP(A305,Internal_lists_bugs!$A$2:$C$73,3,FALSE()), VLOOKUP(A305,Internal_lists_bugs!$A$2:$C$73,3,FALSE())&amp;Char(10) &amp; Char(10) &amp; VLOOKUP(A305,Internal_lists_bugs!$A$2:$Z$73,26,FALSE())),"please select a BUG ID")</f>
        <v>please select a BUG ID</v>
      </c>
      <c r="C305" s="51" t="str">
        <f>IFERROR(VLOOKUP(A305,Internal_lists_bugs!$A$2:$G2003,7,FALSE()),"please select a BUG ID")</f>
        <v>please select a BUG ID</v>
      </c>
      <c r="D305" s="43"/>
      <c r="E305" s="63"/>
      <c r="F305" s="43"/>
      <c r="G305" s="63"/>
      <c r="H305" s="43"/>
      <c r="I305" s="63"/>
      <c r="J305" s="43"/>
      <c r="K305" s="50"/>
      <c r="L305" s="43"/>
      <c r="M305" s="50"/>
      <c r="N305" s="43"/>
      <c r="O305" s="50"/>
      <c r="P305" s="43"/>
      <c r="Q305" s="50"/>
      <c r="R305" s="43"/>
      <c r="S305" s="50"/>
      <c r="T305" s="43"/>
      <c r="U305" s="50"/>
      <c r="V305" s="43"/>
      <c r="W305" s="50"/>
      <c r="X305" s="43"/>
      <c r="Y305" s="50"/>
      <c r="Z305" s="43"/>
      <c r="AA305" s="50"/>
      <c r="AB305" s="43"/>
      <c r="AC305" s="50"/>
      <c r="AD305" s="43"/>
      <c r="AE305" s="50"/>
      <c r="AF305" s="43"/>
      <c r="AG305" s="50"/>
      <c r="AH305" s="43"/>
      <c r="AI305" s="50"/>
      <c r="AJ305" s="43"/>
      <c r="AK305" s="50"/>
      <c r="AL305" s="43"/>
      <c r="AM305" s="50"/>
      <c r="AO305" s="43"/>
      <c r="AP305" s="46"/>
      <c r="AQ305" s="43"/>
      <c r="AR305" s="119"/>
      <c r="AS305" s="1"/>
      <c r="AT305" s="1"/>
    </row>
    <row r="306">
      <c r="A306" s="43"/>
      <c r="B306" s="59" t="str">
        <f>IFERROR(HYPERLINK(VLOOKUP(A306,Internal_lists_bugs!$A$2:$C$73,3,FALSE()), VLOOKUP(A306,Internal_lists_bugs!$A$2:$C$73,3,FALSE())&amp;Char(10) &amp; Char(10) &amp; VLOOKUP(A306,Internal_lists_bugs!$A$2:$Z$73,26,FALSE())),"please select a BUG ID")</f>
        <v>please select a BUG ID</v>
      </c>
      <c r="C306" s="51" t="str">
        <f>IFERROR(VLOOKUP(A306,Internal_lists_bugs!$A$2:$G2003,7,FALSE()),"please select a BUG ID")</f>
        <v>please select a BUG ID</v>
      </c>
      <c r="D306" s="43"/>
      <c r="E306" s="63"/>
      <c r="F306" s="43"/>
      <c r="G306" s="63"/>
      <c r="H306" s="43"/>
      <c r="I306" s="63"/>
      <c r="J306" s="43"/>
      <c r="K306" s="50"/>
      <c r="L306" s="43"/>
      <c r="M306" s="50"/>
      <c r="N306" s="43"/>
      <c r="O306" s="50"/>
      <c r="P306" s="43"/>
      <c r="Q306" s="50"/>
      <c r="R306" s="43"/>
      <c r="S306" s="50"/>
      <c r="T306" s="43"/>
      <c r="U306" s="50"/>
      <c r="V306" s="43"/>
      <c r="W306" s="50"/>
      <c r="X306" s="43"/>
      <c r="Y306" s="50"/>
      <c r="Z306" s="43"/>
      <c r="AA306" s="50"/>
      <c r="AB306" s="43"/>
      <c r="AC306" s="50"/>
      <c r="AD306" s="43"/>
      <c r="AE306" s="50"/>
      <c r="AF306" s="43"/>
      <c r="AG306" s="50"/>
      <c r="AH306" s="43"/>
      <c r="AI306" s="50"/>
      <c r="AJ306" s="43"/>
      <c r="AK306" s="50"/>
      <c r="AL306" s="43"/>
      <c r="AM306" s="50"/>
      <c r="AO306" s="43"/>
      <c r="AP306" s="46"/>
      <c r="AQ306" s="43"/>
      <c r="AR306" s="119"/>
      <c r="AS306" s="1"/>
      <c r="AT306" s="1"/>
    </row>
    <row r="307">
      <c r="A307" s="43"/>
      <c r="B307" s="59" t="str">
        <f>IFERROR(HYPERLINK(VLOOKUP(A307,Internal_lists_bugs!$A$2:$C$73,3,FALSE()), VLOOKUP(A307,Internal_lists_bugs!$A$2:$C$73,3,FALSE())&amp;Char(10) &amp; Char(10) &amp; VLOOKUP(A307,Internal_lists_bugs!$A$2:$Z$73,26,FALSE())),"please select a BUG ID")</f>
        <v>please select a BUG ID</v>
      </c>
      <c r="C307" s="51" t="str">
        <f>IFERROR(VLOOKUP(A307,Internal_lists_bugs!$A$2:$G2003,7,FALSE()),"please select a BUG ID")</f>
        <v>please select a BUG ID</v>
      </c>
      <c r="D307" s="43"/>
      <c r="E307" s="63"/>
      <c r="F307" s="43"/>
      <c r="G307" s="63"/>
      <c r="H307" s="43"/>
      <c r="I307" s="63"/>
      <c r="J307" s="43"/>
      <c r="K307" s="50"/>
      <c r="L307" s="43"/>
      <c r="M307" s="50"/>
      <c r="N307" s="43"/>
      <c r="O307" s="50"/>
      <c r="P307" s="43"/>
      <c r="Q307" s="50"/>
      <c r="R307" s="43"/>
      <c r="S307" s="50"/>
      <c r="T307" s="43"/>
      <c r="U307" s="50"/>
      <c r="V307" s="43"/>
      <c r="W307" s="50"/>
      <c r="X307" s="43"/>
      <c r="Y307" s="50"/>
      <c r="Z307" s="43"/>
      <c r="AA307" s="50"/>
      <c r="AB307" s="43"/>
      <c r="AC307" s="50"/>
      <c r="AD307" s="43"/>
      <c r="AE307" s="50"/>
      <c r="AF307" s="43"/>
      <c r="AG307" s="50"/>
      <c r="AH307" s="43"/>
      <c r="AI307" s="50"/>
      <c r="AJ307" s="43"/>
      <c r="AK307" s="50"/>
      <c r="AL307" s="43"/>
      <c r="AM307" s="50"/>
      <c r="AO307" s="43"/>
      <c r="AP307" s="46"/>
      <c r="AQ307" s="43"/>
      <c r="AR307" s="119"/>
      <c r="AS307" s="1"/>
      <c r="AT307" s="1"/>
    </row>
    <row r="308">
      <c r="A308" s="43"/>
      <c r="B308" s="59" t="str">
        <f>IFERROR(HYPERLINK(VLOOKUP(A308,Internal_lists_bugs!$A$2:$C$73,3,FALSE()), VLOOKUP(A308,Internal_lists_bugs!$A$2:$C$73,3,FALSE())&amp;Char(10) &amp; Char(10) &amp; VLOOKUP(A308,Internal_lists_bugs!$A$2:$Z$73,26,FALSE())),"please select a BUG ID")</f>
        <v>please select a BUG ID</v>
      </c>
      <c r="C308" s="51" t="str">
        <f>IFERROR(VLOOKUP(A308,Internal_lists_bugs!$A$2:$G2003,7,FALSE()),"please select a BUG ID")</f>
        <v>please select a BUG ID</v>
      </c>
      <c r="D308" s="43"/>
      <c r="E308" s="63"/>
      <c r="F308" s="43"/>
      <c r="G308" s="63"/>
      <c r="H308" s="43"/>
      <c r="I308" s="63"/>
      <c r="J308" s="43"/>
      <c r="K308" s="50"/>
      <c r="L308" s="43"/>
      <c r="M308" s="50"/>
      <c r="N308" s="43"/>
      <c r="O308" s="50"/>
      <c r="P308" s="43"/>
      <c r="Q308" s="50"/>
      <c r="R308" s="43"/>
      <c r="S308" s="50"/>
      <c r="T308" s="43"/>
      <c r="U308" s="50"/>
      <c r="V308" s="43"/>
      <c r="W308" s="50"/>
      <c r="X308" s="43"/>
      <c r="Y308" s="50"/>
      <c r="Z308" s="43"/>
      <c r="AA308" s="50"/>
      <c r="AB308" s="43"/>
      <c r="AC308" s="50"/>
      <c r="AD308" s="43"/>
      <c r="AE308" s="50"/>
      <c r="AF308" s="43"/>
      <c r="AG308" s="50"/>
      <c r="AH308" s="43"/>
      <c r="AI308" s="50"/>
      <c r="AJ308" s="43"/>
      <c r="AK308" s="50"/>
      <c r="AL308" s="43"/>
      <c r="AM308" s="50"/>
      <c r="AO308" s="43"/>
      <c r="AP308" s="46"/>
      <c r="AQ308" s="43"/>
      <c r="AR308" s="119"/>
      <c r="AS308" s="1"/>
      <c r="AT308" s="1"/>
    </row>
    <row r="309">
      <c r="A309" s="43"/>
      <c r="B309" s="59" t="str">
        <f>IFERROR(HYPERLINK(VLOOKUP(A309,Internal_lists_bugs!$A$2:$C$73,3,FALSE()), VLOOKUP(A309,Internal_lists_bugs!$A$2:$C$73,3,FALSE())&amp;Char(10) &amp; Char(10) &amp; VLOOKUP(A309,Internal_lists_bugs!$A$2:$Z$73,26,FALSE())),"please select a BUG ID")</f>
        <v>please select a BUG ID</v>
      </c>
      <c r="C309" s="51" t="str">
        <f>IFERROR(VLOOKUP(A309,Internal_lists_bugs!$A$2:$G2003,7,FALSE()),"please select a BUG ID")</f>
        <v>please select a BUG ID</v>
      </c>
      <c r="D309" s="43"/>
      <c r="E309" s="63"/>
      <c r="F309" s="43"/>
      <c r="G309" s="63"/>
      <c r="H309" s="43"/>
      <c r="I309" s="63"/>
      <c r="J309" s="43"/>
      <c r="K309" s="50"/>
      <c r="L309" s="43"/>
      <c r="M309" s="50"/>
      <c r="N309" s="43"/>
      <c r="O309" s="50"/>
      <c r="P309" s="43"/>
      <c r="Q309" s="50"/>
      <c r="R309" s="43"/>
      <c r="S309" s="50"/>
      <c r="T309" s="43"/>
      <c r="U309" s="50"/>
      <c r="V309" s="43"/>
      <c r="W309" s="50"/>
      <c r="X309" s="43"/>
      <c r="Y309" s="50"/>
      <c r="Z309" s="43"/>
      <c r="AA309" s="50"/>
      <c r="AB309" s="43"/>
      <c r="AC309" s="50"/>
      <c r="AD309" s="43"/>
      <c r="AE309" s="50"/>
      <c r="AF309" s="43"/>
      <c r="AG309" s="50"/>
      <c r="AH309" s="43"/>
      <c r="AI309" s="50"/>
      <c r="AJ309" s="43"/>
      <c r="AK309" s="50"/>
      <c r="AL309" s="43"/>
      <c r="AM309" s="50"/>
      <c r="AO309" s="43"/>
      <c r="AP309" s="46"/>
      <c r="AQ309" s="43"/>
      <c r="AR309" s="119"/>
      <c r="AS309" s="1"/>
      <c r="AT309" s="1"/>
    </row>
    <row r="310">
      <c r="A310" s="43"/>
      <c r="B310" s="59" t="str">
        <f>IFERROR(HYPERLINK(VLOOKUP(A310,Internal_lists_bugs!$A$2:$C$73,3,FALSE()), VLOOKUP(A310,Internal_lists_bugs!$A$2:$C$73,3,FALSE())&amp;Char(10) &amp; Char(10) &amp; VLOOKUP(A310,Internal_lists_bugs!$A$2:$Z$73,26,FALSE())),"please select a BUG ID")</f>
        <v>please select a BUG ID</v>
      </c>
      <c r="C310" s="51" t="str">
        <f>IFERROR(VLOOKUP(A310,Internal_lists_bugs!$A$2:$G2003,7,FALSE()),"please select a BUG ID")</f>
        <v>please select a BUG ID</v>
      </c>
      <c r="D310" s="43"/>
      <c r="E310" s="63"/>
      <c r="F310" s="43"/>
      <c r="G310" s="63"/>
      <c r="H310" s="43"/>
      <c r="I310" s="63"/>
      <c r="J310" s="43"/>
      <c r="K310" s="50"/>
      <c r="L310" s="43"/>
      <c r="M310" s="50"/>
      <c r="N310" s="43"/>
      <c r="O310" s="50"/>
      <c r="P310" s="43"/>
      <c r="Q310" s="50"/>
      <c r="R310" s="43"/>
      <c r="S310" s="50"/>
      <c r="T310" s="43"/>
      <c r="U310" s="50"/>
      <c r="V310" s="43"/>
      <c r="W310" s="50"/>
      <c r="X310" s="43"/>
      <c r="Y310" s="50"/>
      <c r="Z310" s="43"/>
      <c r="AA310" s="50"/>
      <c r="AB310" s="43"/>
      <c r="AC310" s="50"/>
      <c r="AD310" s="43"/>
      <c r="AE310" s="50"/>
      <c r="AF310" s="43"/>
      <c r="AG310" s="50"/>
      <c r="AH310" s="43"/>
      <c r="AI310" s="50"/>
      <c r="AJ310" s="43"/>
      <c r="AK310" s="50"/>
      <c r="AL310" s="43"/>
      <c r="AM310" s="50"/>
      <c r="AO310" s="43"/>
      <c r="AP310" s="46"/>
      <c r="AQ310" s="43"/>
      <c r="AR310" s="119"/>
      <c r="AS310" s="1"/>
      <c r="AT310" s="1"/>
    </row>
    <row r="311">
      <c r="A311" s="43"/>
      <c r="B311" s="59" t="str">
        <f>IFERROR(HYPERLINK(VLOOKUP(A311,Internal_lists_bugs!$A$2:$C$73,3,FALSE()), VLOOKUP(A311,Internal_lists_bugs!$A$2:$C$73,3,FALSE())&amp;Char(10) &amp; Char(10) &amp; VLOOKUP(A311,Internal_lists_bugs!$A$2:$Z$73,26,FALSE())),"please select a BUG ID")</f>
        <v>please select a BUG ID</v>
      </c>
      <c r="C311" s="51" t="str">
        <f>IFERROR(VLOOKUP(A311,Internal_lists_bugs!$A$2:$G2003,7,FALSE()),"please select a BUG ID")</f>
        <v>please select a BUG ID</v>
      </c>
      <c r="D311" s="43"/>
      <c r="E311" s="63"/>
      <c r="F311" s="43"/>
      <c r="G311" s="63"/>
      <c r="H311" s="43"/>
      <c r="I311" s="63"/>
      <c r="J311" s="43"/>
      <c r="K311" s="50"/>
      <c r="L311" s="43"/>
      <c r="M311" s="50"/>
      <c r="N311" s="43"/>
      <c r="O311" s="50"/>
      <c r="P311" s="43"/>
      <c r="Q311" s="50"/>
      <c r="R311" s="43"/>
      <c r="S311" s="50"/>
      <c r="T311" s="43"/>
      <c r="U311" s="50"/>
      <c r="V311" s="43"/>
      <c r="W311" s="50"/>
      <c r="X311" s="43"/>
      <c r="Y311" s="50"/>
      <c r="Z311" s="43"/>
      <c r="AA311" s="50"/>
      <c r="AB311" s="43"/>
      <c r="AC311" s="50"/>
      <c r="AD311" s="43"/>
      <c r="AE311" s="50"/>
      <c r="AF311" s="43"/>
      <c r="AG311" s="50"/>
      <c r="AH311" s="43"/>
      <c r="AI311" s="50"/>
      <c r="AJ311" s="43"/>
      <c r="AK311" s="50"/>
      <c r="AL311" s="43"/>
      <c r="AM311" s="50"/>
      <c r="AO311" s="43"/>
      <c r="AP311" s="46"/>
      <c r="AQ311" s="43"/>
      <c r="AR311" s="119"/>
      <c r="AS311" s="1"/>
      <c r="AT311" s="1"/>
    </row>
    <row r="312">
      <c r="A312" s="43"/>
      <c r="B312" s="59" t="str">
        <f>IFERROR(HYPERLINK(VLOOKUP(A312,Internal_lists_bugs!$A$2:$C$73,3,FALSE()), VLOOKUP(A312,Internal_lists_bugs!$A$2:$C$73,3,FALSE())&amp;Char(10) &amp; Char(10) &amp; VLOOKUP(A312,Internal_lists_bugs!$A$2:$Z$73,26,FALSE())),"please select a BUG ID")</f>
        <v>please select a BUG ID</v>
      </c>
      <c r="C312" s="51" t="str">
        <f>IFERROR(VLOOKUP(A312,Internal_lists_bugs!$A$2:$G2003,7,FALSE()),"please select a BUG ID")</f>
        <v>please select a BUG ID</v>
      </c>
      <c r="D312" s="43"/>
      <c r="E312" s="63"/>
      <c r="F312" s="43"/>
      <c r="G312" s="63"/>
      <c r="H312" s="43"/>
      <c r="I312" s="63"/>
      <c r="J312" s="43"/>
      <c r="K312" s="50"/>
      <c r="L312" s="43"/>
      <c r="M312" s="50"/>
      <c r="N312" s="43"/>
      <c r="O312" s="50"/>
      <c r="P312" s="43"/>
      <c r="Q312" s="50"/>
      <c r="R312" s="43"/>
      <c r="S312" s="50"/>
      <c r="T312" s="43"/>
      <c r="U312" s="50"/>
      <c r="V312" s="43"/>
      <c r="W312" s="50"/>
      <c r="X312" s="43"/>
      <c r="Y312" s="50"/>
      <c r="Z312" s="43"/>
      <c r="AA312" s="50"/>
      <c r="AB312" s="43"/>
      <c r="AC312" s="50"/>
      <c r="AD312" s="43"/>
      <c r="AE312" s="50"/>
      <c r="AF312" s="43"/>
      <c r="AG312" s="50"/>
      <c r="AH312" s="43"/>
      <c r="AI312" s="50"/>
      <c r="AJ312" s="43"/>
      <c r="AK312" s="50"/>
      <c r="AL312" s="43"/>
      <c r="AM312" s="50"/>
      <c r="AO312" s="43"/>
      <c r="AP312" s="46"/>
      <c r="AQ312" s="43"/>
      <c r="AR312" s="119"/>
      <c r="AS312" s="1"/>
      <c r="AT312" s="1"/>
    </row>
    <row r="313">
      <c r="A313" s="43"/>
      <c r="B313" s="59" t="str">
        <f>IFERROR(HYPERLINK(VLOOKUP(A313,Internal_lists_bugs!$A$2:$C$73,3,FALSE()), VLOOKUP(A313,Internal_lists_bugs!$A$2:$C$73,3,FALSE())&amp;Char(10) &amp; Char(10) &amp; VLOOKUP(A313,Internal_lists_bugs!$A$2:$Z$73,26,FALSE())),"please select a BUG ID")</f>
        <v>please select a BUG ID</v>
      </c>
      <c r="C313" s="51" t="str">
        <f>IFERROR(VLOOKUP(A313,Internal_lists_bugs!$A$2:$G2003,7,FALSE()),"please select a BUG ID")</f>
        <v>please select a BUG ID</v>
      </c>
      <c r="D313" s="43"/>
      <c r="E313" s="63"/>
      <c r="F313" s="43"/>
      <c r="G313" s="63"/>
      <c r="H313" s="43"/>
      <c r="I313" s="63"/>
      <c r="J313" s="43"/>
      <c r="K313" s="50"/>
      <c r="L313" s="43"/>
      <c r="M313" s="50"/>
      <c r="N313" s="43"/>
      <c r="O313" s="50"/>
      <c r="P313" s="43"/>
      <c r="Q313" s="50"/>
      <c r="R313" s="43"/>
      <c r="S313" s="50"/>
      <c r="T313" s="43"/>
      <c r="U313" s="50"/>
      <c r="V313" s="43"/>
      <c r="W313" s="50"/>
      <c r="X313" s="43"/>
      <c r="Y313" s="50"/>
      <c r="Z313" s="43"/>
      <c r="AA313" s="50"/>
      <c r="AB313" s="43"/>
      <c r="AC313" s="50"/>
      <c r="AD313" s="43"/>
      <c r="AE313" s="50"/>
      <c r="AF313" s="43"/>
      <c r="AG313" s="50"/>
      <c r="AH313" s="43"/>
      <c r="AI313" s="50"/>
      <c r="AJ313" s="43"/>
      <c r="AK313" s="50"/>
      <c r="AL313" s="43"/>
      <c r="AM313" s="50"/>
      <c r="AO313" s="43"/>
      <c r="AP313" s="46"/>
      <c r="AQ313" s="43"/>
      <c r="AR313" s="119"/>
      <c r="AS313" s="1"/>
      <c r="AT313" s="1"/>
    </row>
    <row r="314">
      <c r="A314" s="43"/>
      <c r="B314" s="59" t="str">
        <f>IFERROR(HYPERLINK(VLOOKUP(A314,Internal_lists_bugs!$A$2:$C$73,3,FALSE()), VLOOKUP(A314,Internal_lists_bugs!$A$2:$C$73,3,FALSE())&amp;Char(10) &amp; Char(10) &amp; VLOOKUP(A314,Internal_lists_bugs!$A$2:$Z$73,26,FALSE())),"please select a BUG ID")</f>
        <v>please select a BUG ID</v>
      </c>
      <c r="C314" s="51" t="str">
        <f>IFERROR(VLOOKUP(A314,Internal_lists_bugs!$A$2:$G2003,7,FALSE()),"please select a BUG ID")</f>
        <v>please select a BUG ID</v>
      </c>
      <c r="D314" s="43"/>
      <c r="E314" s="63"/>
      <c r="F314" s="43"/>
      <c r="G314" s="63"/>
      <c r="H314" s="43"/>
      <c r="I314" s="63"/>
      <c r="J314" s="43"/>
      <c r="K314" s="50"/>
      <c r="L314" s="43"/>
      <c r="M314" s="50"/>
      <c r="N314" s="43"/>
      <c r="O314" s="50"/>
      <c r="P314" s="43"/>
      <c r="Q314" s="50"/>
      <c r="R314" s="43"/>
      <c r="S314" s="50"/>
      <c r="T314" s="43"/>
      <c r="U314" s="50"/>
      <c r="V314" s="43"/>
      <c r="W314" s="50"/>
      <c r="X314" s="43"/>
      <c r="Y314" s="50"/>
      <c r="Z314" s="43"/>
      <c r="AA314" s="50"/>
      <c r="AB314" s="43"/>
      <c r="AC314" s="50"/>
      <c r="AD314" s="43"/>
      <c r="AE314" s="50"/>
      <c r="AF314" s="43"/>
      <c r="AG314" s="50"/>
      <c r="AH314" s="43"/>
      <c r="AI314" s="50"/>
      <c r="AJ314" s="43"/>
      <c r="AK314" s="50"/>
      <c r="AL314" s="43"/>
      <c r="AM314" s="50"/>
      <c r="AO314" s="43"/>
      <c r="AP314" s="46"/>
      <c r="AQ314" s="43"/>
      <c r="AR314" s="119"/>
      <c r="AS314" s="1"/>
      <c r="AT314" s="1"/>
    </row>
    <row r="315">
      <c r="A315" s="43"/>
      <c r="B315" s="59" t="str">
        <f>IFERROR(HYPERLINK(VLOOKUP(A315,Internal_lists_bugs!$A$2:$C$73,3,FALSE()), VLOOKUP(A315,Internal_lists_bugs!$A$2:$C$73,3,FALSE())&amp;Char(10) &amp; Char(10) &amp; VLOOKUP(A315,Internal_lists_bugs!$A$2:$Z$73,26,FALSE())),"please select a BUG ID")</f>
        <v>please select a BUG ID</v>
      </c>
      <c r="C315" s="51" t="str">
        <f>IFERROR(VLOOKUP(A315,Internal_lists_bugs!$A$2:$G2003,7,FALSE()),"please select a BUG ID")</f>
        <v>please select a BUG ID</v>
      </c>
      <c r="D315" s="43"/>
      <c r="E315" s="63"/>
      <c r="F315" s="43"/>
      <c r="G315" s="63"/>
      <c r="H315" s="43"/>
      <c r="I315" s="63"/>
      <c r="J315" s="43"/>
      <c r="K315" s="50"/>
      <c r="L315" s="43"/>
      <c r="M315" s="50"/>
      <c r="N315" s="43"/>
      <c r="O315" s="50"/>
      <c r="P315" s="43"/>
      <c r="Q315" s="50"/>
      <c r="R315" s="43"/>
      <c r="S315" s="50"/>
      <c r="T315" s="43"/>
      <c r="U315" s="50"/>
      <c r="V315" s="43"/>
      <c r="W315" s="50"/>
      <c r="X315" s="43"/>
      <c r="Y315" s="50"/>
      <c r="Z315" s="43"/>
      <c r="AA315" s="50"/>
      <c r="AB315" s="43"/>
      <c r="AC315" s="50"/>
      <c r="AD315" s="43"/>
      <c r="AE315" s="50"/>
      <c r="AF315" s="43"/>
      <c r="AG315" s="50"/>
      <c r="AH315" s="43"/>
      <c r="AI315" s="50"/>
      <c r="AJ315" s="43"/>
      <c r="AK315" s="50"/>
      <c r="AL315" s="43"/>
      <c r="AM315" s="50"/>
      <c r="AO315" s="43"/>
      <c r="AP315" s="46"/>
      <c r="AQ315" s="43"/>
      <c r="AR315" s="119"/>
      <c r="AS315" s="1"/>
      <c r="AT315" s="1"/>
    </row>
    <row r="316">
      <c r="A316" s="43"/>
      <c r="B316" s="59" t="str">
        <f>IFERROR(HYPERLINK(VLOOKUP(A316,Internal_lists_bugs!$A$2:$C$73,3,FALSE()), VLOOKUP(A316,Internal_lists_bugs!$A$2:$C$73,3,FALSE())&amp;Char(10) &amp; Char(10) &amp; VLOOKUP(A316,Internal_lists_bugs!$A$2:$Z$73,26,FALSE())),"please select a BUG ID")</f>
        <v>please select a BUG ID</v>
      </c>
      <c r="C316" s="51" t="str">
        <f>IFERROR(VLOOKUP(A316,Internal_lists_bugs!$A$2:$G2003,7,FALSE()),"please select a BUG ID")</f>
        <v>please select a BUG ID</v>
      </c>
      <c r="D316" s="43"/>
      <c r="E316" s="63"/>
      <c r="F316" s="43"/>
      <c r="G316" s="63"/>
      <c r="H316" s="43"/>
      <c r="I316" s="63"/>
      <c r="J316" s="43"/>
      <c r="K316" s="50"/>
      <c r="L316" s="43"/>
      <c r="M316" s="50"/>
      <c r="N316" s="43"/>
      <c r="O316" s="50"/>
      <c r="P316" s="43"/>
      <c r="Q316" s="50"/>
      <c r="R316" s="43"/>
      <c r="S316" s="50"/>
      <c r="T316" s="43"/>
      <c r="U316" s="50"/>
      <c r="V316" s="43"/>
      <c r="W316" s="50"/>
      <c r="X316" s="43"/>
      <c r="Y316" s="50"/>
      <c r="Z316" s="43"/>
      <c r="AA316" s="50"/>
      <c r="AB316" s="43"/>
      <c r="AC316" s="50"/>
      <c r="AD316" s="43"/>
      <c r="AE316" s="50"/>
      <c r="AF316" s="43"/>
      <c r="AG316" s="50"/>
      <c r="AH316" s="43"/>
      <c r="AI316" s="50"/>
      <c r="AJ316" s="43"/>
      <c r="AK316" s="50"/>
      <c r="AL316" s="43"/>
      <c r="AM316" s="50"/>
      <c r="AO316" s="43"/>
      <c r="AP316" s="46"/>
      <c r="AQ316" s="43"/>
      <c r="AR316" s="119"/>
      <c r="AS316" s="1"/>
      <c r="AT316" s="1"/>
    </row>
    <row r="317">
      <c r="A317" s="43"/>
      <c r="B317" s="59" t="str">
        <f>IFERROR(HYPERLINK(VLOOKUP(A317,Internal_lists_bugs!$A$2:$C$73,3,FALSE()), VLOOKUP(A317,Internal_lists_bugs!$A$2:$C$73,3,FALSE())&amp;Char(10) &amp; Char(10) &amp; VLOOKUP(A317,Internal_lists_bugs!$A$2:$Z$73,26,FALSE())),"please select a BUG ID")</f>
        <v>please select a BUG ID</v>
      </c>
      <c r="C317" s="51" t="str">
        <f>IFERROR(VLOOKUP(A317,Internal_lists_bugs!$A$2:$G2003,7,FALSE()),"please select a BUG ID")</f>
        <v>please select a BUG ID</v>
      </c>
      <c r="D317" s="43"/>
      <c r="E317" s="63"/>
      <c r="F317" s="43"/>
      <c r="G317" s="63"/>
      <c r="H317" s="43"/>
      <c r="I317" s="63"/>
      <c r="J317" s="43"/>
      <c r="K317" s="50"/>
      <c r="L317" s="43"/>
      <c r="M317" s="50"/>
      <c r="N317" s="43"/>
      <c r="O317" s="50"/>
      <c r="P317" s="43"/>
      <c r="Q317" s="50"/>
      <c r="R317" s="43"/>
      <c r="S317" s="50"/>
      <c r="T317" s="43"/>
      <c r="U317" s="50"/>
      <c r="V317" s="43"/>
      <c r="W317" s="50"/>
      <c r="X317" s="43"/>
      <c r="Y317" s="50"/>
      <c r="Z317" s="43"/>
      <c r="AA317" s="50"/>
      <c r="AB317" s="43"/>
      <c r="AC317" s="50"/>
      <c r="AD317" s="43"/>
      <c r="AE317" s="50"/>
      <c r="AF317" s="43"/>
      <c r="AG317" s="50"/>
      <c r="AH317" s="43"/>
      <c r="AI317" s="50"/>
      <c r="AJ317" s="43"/>
      <c r="AK317" s="50"/>
      <c r="AL317" s="43"/>
      <c r="AM317" s="50"/>
      <c r="AO317" s="43"/>
      <c r="AP317" s="46"/>
      <c r="AQ317" s="43"/>
      <c r="AR317" s="119"/>
      <c r="AS317" s="1"/>
      <c r="AT317" s="1"/>
    </row>
    <row r="318">
      <c r="A318" s="43"/>
      <c r="B318" s="59" t="str">
        <f>IFERROR(HYPERLINK(VLOOKUP(A318,Internal_lists_bugs!$A$2:$C$73,3,FALSE()), VLOOKUP(A318,Internal_lists_bugs!$A$2:$C$73,3,FALSE())&amp;Char(10) &amp; Char(10) &amp; VLOOKUP(A318,Internal_lists_bugs!$A$2:$Z$73,26,FALSE())),"please select a BUG ID")</f>
        <v>please select a BUG ID</v>
      </c>
      <c r="C318" s="51" t="str">
        <f>IFERROR(VLOOKUP(A318,Internal_lists_bugs!$A$2:$G2003,7,FALSE()),"please select a BUG ID")</f>
        <v>please select a BUG ID</v>
      </c>
      <c r="D318" s="43"/>
      <c r="E318" s="63"/>
      <c r="F318" s="43"/>
      <c r="G318" s="63"/>
      <c r="H318" s="43"/>
      <c r="I318" s="63"/>
      <c r="J318" s="43"/>
      <c r="K318" s="50"/>
      <c r="L318" s="43"/>
      <c r="M318" s="50"/>
      <c r="N318" s="43"/>
      <c r="O318" s="50"/>
      <c r="P318" s="43"/>
      <c r="Q318" s="50"/>
      <c r="R318" s="43"/>
      <c r="S318" s="50"/>
      <c r="T318" s="43"/>
      <c r="U318" s="50"/>
      <c r="V318" s="43"/>
      <c r="W318" s="50"/>
      <c r="X318" s="43"/>
      <c r="Y318" s="50"/>
      <c r="Z318" s="43"/>
      <c r="AA318" s="50"/>
      <c r="AB318" s="43"/>
      <c r="AC318" s="50"/>
      <c r="AD318" s="43"/>
      <c r="AE318" s="50"/>
      <c r="AF318" s="43"/>
      <c r="AG318" s="50"/>
      <c r="AH318" s="43"/>
      <c r="AI318" s="50"/>
      <c r="AJ318" s="43"/>
      <c r="AK318" s="50"/>
      <c r="AL318" s="43"/>
      <c r="AM318" s="50"/>
      <c r="AO318" s="43"/>
      <c r="AP318" s="46"/>
      <c r="AQ318" s="43"/>
      <c r="AR318" s="119"/>
      <c r="AS318" s="1"/>
      <c r="AT318" s="1"/>
    </row>
    <row r="319">
      <c r="A319" s="43"/>
      <c r="B319" s="59" t="str">
        <f>IFERROR(HYPERLINK(VLOOKUP(A319,Internal_lists_bugs!$A$2:$C$73,3,FALSE()), VLOOKUP(A319,Internal_lists_bugs!$A$2:$C$73,3,FALSE())&amp;Char(10) &amp; Char(10) &amp; VLOOKUP(A319,Internal_lists_bugs!$A$2:$Z$73,26,FALSE())),"please select a BUG ID")</f>
        <v>please select a BUG ID</v>
      </c>
      <c r="C319" s="51" t="str">
        <f>IFERROR(VLOOKUP(A319,Internal_lists_bugs!$A$2:$G2003,7,FALSE()),"please select a BUG ID")</f>
        <v>please select a BUG ID</v>
      </c>
      <c r="D319" s="43"/>
      <c r="E319" s="63"/>
      <c r="F319" s="43"/>
      <c r="G319" s="63"/>
      <c r="H319" s="43"/>
      <c r="I319" s="63"/>
      <c r="J319" s="43"/>
      <c r="K319" s="50"/>
      <c r="L319" s="43"/>
      <c r="M319" s="50"/>
      <c r="N319" s="43"/>
      <c r="O319" s="50"/>
      <c r="P319" s="43"/>
      <c r="Q319" s="50"/>
      <c r="R319" s="43"/>
      <c r="S319" s="50"/>
      <c r="T319" s="43"/>
      <c r="U319" s="50"/>
      <c r="V319" s="43"/>
      <c r="W319" s="50"/>
      <c r="X319" s="43"/>
      <c r="Y319" s="50"/>
      <c r="Z319" s="43"/>
      <c r="AA319" s="50"/>
      <c r="AB319" s="43"/>
      <c r="AC319" s="50"/>
      <c r="AD319" s="43"/>
      <c r="AE319" s="50"/>
      <c r="AF319" s="43"/>
      <c r="AG319" s="50"/>
      <c r="AH319" s="43"/>
      <c r="AI319" s="50"/>
      <c r="AJ319" s="43"/>
      <c r="AK319" s="50"/>
      <c r="AL319" s="43"/>
      <c r="AM319" s="50"/>
      <c r="AO319" s="43"/>
      <c r="AP319" s="46"/>
      <c r="AQ319" s="43"/>
      <c r="AR319" s="119"/>
      <c r="AS319" s="1"/>
      <c r="AT319" s="1"/>
    </row>
    <row r="320">
      <c r="A320" s="43"/>
      <c r="B320" s="59" t="str">
        <f>IFERROR(HYPERLINK(VLOOKUP(A320,Internal_lists_bugs!$A$2:$C$73,3,FALSE()), VLOOKUP(A320,Internal_lists_bugs!$A$2:$C$73,3,FALSE())&amp;Char(10) &amp; Char(10) &amp; VLOOKUP(A320,Internal_lists_bugs!$A$2:$Z$73,26,FALSE())),"please select a BUG ID")</f>
        <v>please select a BUG ID</v>
      </c>
      <c r="C320" s="51" t="str">
        <f>IFERROR(VLOOKUP(A320,Internal_lists_bugs!$A$2:$G2003,7,FALSE()),"please select a BUG ID")</f>
        <v>please select a BUG ID</v>
      </c>
      <c r="D320" s="43"/>
      <c r="E320" s="63"/>
      <c r="F320" s="43"/>
      <c r="G320" s="63"/>
      <c r="H320" s="43"/>
      <c r="I320" s="63"/>
      <c r="J320" s="43"/>
      <c r="K320" s="50"/>
      <c r="L320" s="43"/>
      <c r="M320" s="50"/>
      <c r="N320" s="43"/>
      <c r="O320" s="50"/>
      <c r="P320" s="43"/>
      <c r="Q320" s="50"/>
      <c r="R320" s="43"/>
      <c r="S320" s="50"/>
      <c r="T320" s="43"/>
      <c r="U320" s="50"/>
      <c r="V320" s="43"/>
      <c r="W320" s="50"/>
      <c r="X320" s="43"/>
      <c r="Y320" s="50"/>
      <c r="Z320" s="43"/>
      <c r="AA320" s="50"/>
      <c r="AB320" s="43"/>
      <c r="AC320" s="50"/>
      <c r="AD320" s="43"/>
      <c r="AE320" s="50"/>
      <c r="AF320" s="43"/>
      <c r="AG320" s="50"/>
      <c r="AH320" s="43"/>
      <c r="AI320" s="50"/>
      <c r="AJ320" s="43"/>
      <c r="AK320" s="50"/>
      <c r="AL320" s="43"/>
      <c r="AM320" s="50"/>
      <c r="AO320" s="43"/>
      <c r="AP320" s="46"/>
      <c r="AQ320" s="43"/>
      <c r="AR320" s="119"/>
      <c r="AS320" s="1"/>
      <c r="AT320" s="1"/>
    </row>
    <row r="321">
      <c r="A321" s="43"/>
      <c r="B321" s="59" t="str">
        <f>IFERROR(HYPERLINK(VLOOKUP(A321,Internal_lists_bugs!$A$2:$C$73,3,FALSE()), VLOOKUP(A321,Internal_lists_bugs!$A$2:$C$73,3,FALSE())&amp;Char(10) &amp; Char(10) &amp; VLOOKUP(A321,Internal_lists_bugs!$A$2:$Z$73,26,FALSE())),"please select a BUG ID")</f>
        <v>please select a BUG ID</v>
      </c>
      <c r="C321" s="51" t="str">
        <f>IFERROR(VLOOKUP(A321,Internal_lists_bugs!$A$2:$G2003,7,FALSE()),"please select a BUG ID")</f>
        <v>please select a BUG ID</v>
      </c>
      <c r="D321" s="43"/>
      <c r="E321" s="63"/>
      <c r="F321" s="43"/>
      <c r="G321" s="63"/>
      <c r="H321" s="43"/>
      <c r="I321" s="63"/>
      <c r="J321" s="43"/>
      <c r="K321" s="50"/>
      <c r="L321" s="43"/>
      <c r="M321" s="50"/>
      <c r="N321" s="43"/>
      <c r="O321" s="50"/>
      <c r="P321" s="43"/>
      <c r="Q321" s="50"/>
      <c r="R321" s="43"/>
      <c r="S321" s="50"/>
      <c r="T321" s="43"/>
      <c r="U321" s="50"/>
      <c r="V321" s="43"/>
      <c r="W321" s="50"/>
      <c r="X321" s="43"/>
      <c r="Y321" s="50"/>
      <c r="Z321" s="43"/>
      <c r="AA321" s="50"/>
      <c r="AB321" s="43"/>
      <c r="AC321" s="50"/>
      <c r="AD321" s="43"/>
      <c r="AE321" s="50"/>
      <c r="AF321" s="43"/>
      <c r="AG321" s="50"/>
      <c r="AH321" s="43"/>
      <c r="AI321" s="50"/>
      <c r="AJ321" s="43"/>
      <c r="AK321" s="50"/>
      <c r="AL321" s="43"/>
      <c r="AM321" s="50"/>
      <c r="AO321" s="43"/>
      <c r="AP321" s="46"/>
      <c r="AQ321" s="43"/>
      <c r="AR321" s="119"/>
      <c r="AS321" s="1"/>
      <c r="AT321" s="1"/>
    </row>
    <row r="322">
      <c r="A322" s="43"/>
      <c r="B322" s="59" t="str">
        <f>IFERROR(HYPERLINK(VLOOKUP(A322,Internal_lists_bugs!$A$2:$C$73,3,FALSE()), VLOOKUP(A322,Internal_lists_bugs!$A$2:$C$73,3,FALSE())&amp;Char(10) &amp; Char(10) &amp; VLOOKUP(A322,Internal_lists_bugs!$A$2:$Z$73,26,FALSE())),"please select a BUG ID")</f>
        <v>please select a BUG ID</v>
      </c>
      <c r="C322" s="51" t="str">
        <f>IFERROR(VLOOKUP(A322,Internal_lists_bugs!$A$2:$G2003,7,FALSE()),"please select a BUG ID")</f>
        <v>please select a BUG ID</v>
      </c>
      <c r="D322" s="43"/>
      <c r="E322" s="63"/>
      <c r="F322" s="43"/>
      <c r="G322" s="63"/>
      <c r="H322" s="43"/>
      <c r="I322" s="63"/>
      <c r="J322" s="43"/>
      <c r="K322" s="50"/>
      <c r="L322" s="43"/>
      <c r="M322" s="50"/>
      <c r="N322" s="43"/>
      <c r="O322" s="50"/>
      <c r="P322" s="43"/>
      <c r="Q322" s="50"/>
      <c r="R322" s="43"/>
      <c r="S322" s="50"/>
      <c r="T322" s="43"/>
      <c r="U322" s="50"/>
      <c r="V322" s="43"/>
      <c r="W322" s="50"/>
      <c r="X322" s="43"/>
      <c r="Y322" s="50"/>
      <c r="Z322" s="43"/>
      <c r="AA322" s="50"/>
      <c r="AB322" s="43"/>
      <c r="AC322" s="50"/>
      <c r="AD322" s="43"/>
      <c r="AE322" s="50"/>
      <c r="AF322" s="43"/>
      <c r="AG322" s="50"/>
      <c r="AH322" s="43"/>
      <c r="AI322" s="50"/>
      <c r="AJ322" s="43"/>
      <c r="AK322" s="50"/>
      <c r="AL322" s="43"/>
      <c r="AM322" s="50"/>
      <c r="AO322" s="43"/>
      <c r="AP322" s="46"/>
      <c r="AQ322" s="43"/>
      <c r="AR322" s="119"/>
      <c r="AS322" s="1"/>
      <c r="AT322" s="1"/>
    </row>
    <row r="323">
      <c r="A323" s="43"/>
      <c r="B323" s="59" t="str">
        <f>IFERROR(HYPERLINK(VLOOKUP(A323,Internal_lists_bugs!$A$2:$C$73,3,FALSE()), VLOOKUP(A323,Internal_lists_bugs!$A$2:$C$73,3,FALSE())&amp;Char(10) &amp; Char(10) &amp; VLOOKUP(A323,Internal_lists_bugs!$A$2:$Z$73,26,FALSE())),"please select a BUG ID")</f>
        <v>please select a BUG ID</v>
      </c>
      <c r="C323" s="51" t="str">
        <f>IFERROR(VLOOKUP(A323,Internal_lists_bugs!$A$2:$G2003,7,FALSE()),"please select a BUG ID")</f>
        <v>please select a BUG ID</v>
      </c>
      <c r="D323" s="43"/>
      <c r="E323" s="63"/>
      <c r="F323" s="43"/>
      <c r="G323" s="63"/>
      <c r="H323" s="43"/>
      <c r="I323" s="63"/>
      <c r="J323" s="43"/>
      <c r="K323" s="50"/>
      <c r="L323" s="43"/>
      <c r="M323" s="50"/>
      <c r="N323" s="43"/>
      <c r="O323" s="50"/>
      <c r="P323" s="43"/>
      <c r="Q323" s="50"/>
      <c r="R323" s="43"/>
      <c r="S323" s="50"/>
      <c r="T323" s="43"/>
      <c r="U323" s="50"/>
      <c r="V323" s="43"/>
      <c r="W323" s="50"/>
      <c r="X323" s="43"/>
      <c r="Y323" s="50"/>
      <c r="Z323" s="43"/>
      <c r="AA323" s="50"/>
      <c r="AB323" s="43"/>
      <c r="AC323" s="50"/>
      <c r="AD323" s="43"/>
      <c r="AE323" s="50"/>
      <c r="AF323" s="43"/>
      <c r="AG323" s="50"/>
      <c r="AH323" s="43"/>
      <c r="AI323" s="50"/>
      <c r="AJ323" s="43"/>
      <c r="AK323" s="50"/>
      <c r="AL323" s="43"/>
      <c r="AM323" s="50"/>
      <c r="AO323" s="43"/>
      <c r="AP323" s="46"/>
      <c r="AQ323" s="43"/>
      <c r="AR323" s="119"/>
      <c r="AS323" s="1"/>
      <c r="AT323" s="1"/>
    </row>
    <row r="324">
      <c r="A324" s="43"/>
      <c r="B324" s="59" t="str">
        <f>IFERROR(HYPERLINK(VLOOKUP(A324,Internal_lists_bugs!$A$2:$C$73,3,FALSE()), VLOOKUP(A324,Internal_lists_bugs!$A$2:$C$73,3,FALSE())&amp;Char(10) &amp; Char(10) &amp; VLOOKUP(A324,Internal_lists_bugs!$A$2:$Z$73,26,FALSE())),"please select a BUG ID")</f>
        <v>please select a BUG ID</v>
      </c>
      <c r="C324" s="51" t="str">
        <f>IFERROR(VLOOKUP(A324,Internal_lists_bugs!$A$2:$G2003,7,FALSE()),"please select a BUG ID")</f>
        <v>please select a BUG ID</v>
      </c>
      <c r="D324" s="43"/>
      <c r="E324" s="63"/>
      <c r="F324" s="43"/>
      <c r="G324" s="63"/>
      <c r="H324" s="43"/>
      <c r="I324" s="63"/>
      <c r="J324" s="43"/>
      <c r="K324" s="50"/>
      <c r="L324" s="43"/>
      <c r="M324" s="50"/>
      <c r="N324" s="43"/>
      <c r="O324" s="50"/>
      <c r="P324" s="43"/>
      <c r="Q324" s="50"/>
      <c r="R324" s="43"/>
      <c r="S324" s="50"/>
      <c r="T324" s="43"/>
      <c r="U324" s="50"/>
      <c r="V324" s="43"/>
      <c r="W324" s="50"/>
      <c r="X324" s="43"/>
      <c r="Y324" s="50"/>
      <c r="Z324" s="43"/>
      <c r="AA324" s="50"/>
      <c r="AB324" s="43"/>
      <c r="AC324" s="50"/>
      <c r="AD324" s="43"/>
      <c r="AE324" s="50"/>
      <c r="AF324" s="43"/>
      <c r="AG324" s="50"/>
      <c r="AH324" s="43"/>
      <c r="AI324" s="50"/>
      <c r="AJ324" s="43"/>
      <c r="AK324" s="50"/>
      <c r="AL324" s="43"/>
      <c r="AM324" s="50"/>
      <c r="AO324" s="43"/>
      <c r="AP324" s="46"/>
      <c r="AQ324" s="43"/>
      <c r="AR324" s="119"/>
      <c r="AS324" s="1"/>
      <c r="AT324" s="1"/>
    </row>
    <row r="325">
      <c r="A325" s="43"/>
      <c r="B325" s="59" t="str">
        <f>IFERROR(HYPERLINK(VLOOKUP(A325,Internal_lists_bugs!$A$2:$C$73,3,FALSE()), VLOOKUP(A325,Internal_lists_bugs!$A$2:$C$73,3,FALSE())&amp;Char(10) &amp; Char(10) &amp; VLOOKUP(A325,Internal_lists_bugs!$A$2:$Z$73,26,FALSE())),"please select a BUG ID")</f>
        <v>please select a BUG ID</v>
      </c>
      <c r="C325" s="51" t="str">
        <f>IFERROR(VLOOKUP(A325,Internal_lists_bugs!$A$2:$G2003,7,FALSE()),"please select a BUG ID")</f>
        <v>please select a BUG ID</v>
      </c>
      <c r="D325" s="43"/>
      <c r="E325" s="63"/>
      <c r="F325" s="43"/>
      <c r="G325" s="63"/>
      <c r="H325" s="43"/>
      <c r="I325" s="63"/>
      <c r="J325" s="43"/>
      <c r="K325" s="50"/>
      <c r="L325" s="43"/>
      <c r="M325" s="50"/>
      <c r="N325" s="43"/>
      <c r="O325" s="50"/>
      <c r="P325" s="43"/>
      <c r="Q325" s="50"/>
      <c r="R325" s="43"/>
      <c r="S325" s="50"/>
      <c r="T325" s="43"/>
      <c r="U325" s="50"/>
      <c r="V325" s="43"/>
      <c r="W325" s="50"/>
      <c r="X325" s="43"/>
      <c r="Y325" s="50"/>
      <c r="Z325" s="43"/>
      <c r="AA325" s="50"/>
      <c r="AB325" s="43"/>
      <c r="AC325" s="50"/>
      <c r="AD325" s="43"/>
      <c r="AE325" s="50"/>
      <c r="AF325" s="43"/>
      <c r="AG325" s="50"/>
      <c r="AH325" s="43"/>
      <c r="AI325" s="50"/>
      <c r="AJ325" s="43"/>
      <c r="AK325" s="50"/>
      <c r="AL325" s="43"/>
      <c r="AM325" s="50"/>
      <c r="AO325" s="43"/>
      <c r="AP325" s="46"/>
      <c r="AQ325" s="43"/>
      <c r="AR325" s="119"/>
      <c r="AS325" s="1"/>
      <c r="AT325" s="1"/>
    </row>
    <row r="326">
      <c r="A326" s="43"/>
      <c r="B326" s="59" t="str">
        <f>IFERROR(HYPERLINK(VLOOKUP(A326,Internal_lists_bugs!$A$2:$C$73,3,FALSE()), VLOOKUP(A326,Internal_lists_bugs!$A$2:$C$73,3,FALSE())&amp;Char(10) &amp; Char(10) &amp; VLOOKUP(A326,Internal_lists_bugs!$A$2:$Z$73,26,FALSE())),"please select a BUG ID")</f>
        <v>please select a BUG ID</v>
      </c>
      <c r="C326" s="51" t="str">
        <f>IFERROR(VLOOKUP(A326,Internal_lists_bugs!$A$2:$G2003,7,FALSE()),"please select a BUG ID")</f>
        <v>please select a BUG ID</v>
      </c>
      <c r="D326" s="43"/>
      <c r="E326" s="63"/>
      <c r="F326" s="43"/>
      <c r="G326" s="63"/>
      <c r="H326" s="43"/>
      <c r="I326" s="63"/>
      <c r="J326" s="43"/>
      <c r="K326" s="50"/>
      <c r="L326" s="43"/>
      <c r="M326" s="50"/>
      <c r="N326" s="43"/>
      <c r="O326" s="50"/>
      <c r="P326" s="43"/>
      <c r="Q326" s="50"/>
      <c r="R326" s="43"/>
      <c r="S326" s="50"/>
      <c r="T326" s="43"/>
      <c r="U326" s="50"/>
      <c r="V326" s="43"/>
      <c r="W326" s="50"/>
      <c r="X326" s="43"/>
      <c r="Y326" s="50"/>
      <c r="Z326" s="43"/>
      <c r="AA326" s="50"/>
      <c r="AB326" s="43"/>
      <c r="AC326" s="50"/>
      <c r="AD326" s="43"/>
      <c r="AE326" s="50"/>
      <c r="AF326" s="43"/>
      <c r="AG326" s="50"/>
      <c r="AH326" s="43"/>
      <c r="AI326" s="50"/>
      <c r="AJ326" s="43"/>
      <c r="AK326" s="50"/>
      <c r="AL326" s="43"/>
      <c r="AM326" s="50"/>
      <c r="AO326" s="43"/>
      <c r="AP326" s="46"/>
      <c r="AQ326" s="43"/>
      <c r="AR326" s="119"/>
      <c r="AS326" s="1"/>
      <c r="AT326" s="1"/>
    </row>
    <row r="327">
      <c r="A327" s="43"/>
      <c r="B327" s="59" t="str">
        <f>IFERROR(HYPERLINK(VLOOKUP(A327,Internal_lists_bugs!$A$2:$C$73,3,FALSE()), VLOOKUP(A327,Internal_lists_bugs!$A$2:$C$73,3,FALSE())&amp;Char(10) &amp; Char(10) &amp; VLOOKUP(A327,Internal_lists_bugs!$A$2:$Z$73,26,FALSE())),"please select a BUG ID")</f>
        <v>please select a BUG ID</v>
      </c>
      <c r="C327" s="51" t="str">
        <f>IFERROR(VLOOKUP(A327,Internal_lists_bugs!$A$2:$G2003,7,FALSE()),"please select a BUG ID")</f>
        <v>please select a BUG ID</v>
      </c>
      <c r="D327" s="43"/>
      <c r="E327" s="63"/>
      <c r="F327" s="43"/>
      <c r="G327" s="63"/>
      <c r="H327" s="43"/>
      <c r="I327" s="63"/>
      <c r="J327" s="43"/>
      <c r="K327" s="50"/>
      <c r="L327" s="43"/>
      <c r="M327" s="50"/>
      <c r="N327" s="43"/>
      <c r="O327" s="50"/>
      <c r="P327" s="43"/>
      <c r="Q327" s="50"/>
      <c r="R327" s="43"/>
      <c r="S327" s="50"/>
      <c r="T327" s="43"/>
      <c r="U327" s="50"/>
      <c r="V327" s="43"/>
      <c r="W327" s="50"/>
      <c r="X327" s="43"/>
      <c r="Y327" s="50"/>
      <c r="Z327" s="43"/>
      <c r="AA327" s="50"/>
      <c r="AB327" s="43"/>
      <c r="AC327" s="50"/>
      <c r="AD327" s="43"/>
      <c r="AE327" s="50"/>
      <c r="AF327" s="43"/>
      <c r="AG327" s="50"/>
      <c r="AH327" s="43"/>
      <c r="AI327" s="50"/>
      <c r="AJ327" s="43"/>
      <c r="AK327" s="50"/>
      <c r="AL327" s="43"/>
      <c r="AM327" s="50"/>
      <c r="AO327" s="43"/>
      <c r="AP327" s="46"/>
      <c r="AQ327" s="43"/>
      <c r="AR327" s="119"/>
      <c r="AS327" s="1"/>
      <c r="AT327" s="1"/>
    </row>
    <row r="328">
      <c r="A328" s="43"/>
      <c r="B328" s="59" t="str">
        <f>IFERROR(HYPERLINK(VLOOKUP(A328,Internal_lists_bugs!$A$2:$C$73,3,FALSE()), VLOOKUP(A328,Internal_lists_bugs!$A$2:$C$73,3,FALSE())&amp;Char(10) &amp; Char(10) &amp; VLOOKUP(A328,Internal_lists_bugs!$A$2:$Z$73,26,FALSE())),"please select a BUG ID")</f>
        <v>please select a BUG ID</v>
      </c>
      <c r="C328" s="51" t="str">
        <f>IFERROR(VLOOKUP(A328,Internal_lists_bugs!$A$2:$G2003,7,FALSE()),"please select a BUG ID")</f>
        <v>please select a BUG ID</v>
      </c>
      <c r="D328" s="43"/>
      <c r="E328" s="63"/>
      <c r="F328" s="43"/>
      <c r="G328" s="63"/>
      <c r="H328" s="43"/>
      <c r="I328" s="63"/>
      <c r="J328" s="43"/>
      <c r="K328" s="50"/>
      <c r="L328" s="43"/>
      <c r="M328" s="50"/>
      <c r="N328" s="43"/>
      <c r="O328" s="50"/>
      <c r="P328" s="43"/>
      <c r="Q328" s="50"/>
      <c r="R328" s="43"/>
      <c r="S328" s="50"/>
      <c r="T328" s="43"/>
      <c r="U328" s="50"/>
      <c r="V328" s="43"/>
      <c r="W328" s="50"/>
      <c r="X328" s="43"/>
      <c r="Y328" s="50"/>
      <c r="Z328" s="43"/>
      <c r="AA328" s="50"/>
      <c r="AB328" s="43"/>
      <c r="AC328" s="50"/>
      <c r="AD328" s="43"/>
      <c r="AE328" s="50"/>
      <c r="AF328" s="43"/>
      <c r="AG328" s="50"/>
      <c r="AH328" s="43"/>
      <c r="AI328" s="50"/>
      <c r="AJ328" s="43"/>
      <c r="AK328" s="50"/>
      <c r="AL328" s="43"/>
      <c r="AM328" s="50"/>
      <c r="AO328" s="43"/>
      <c r="AP328" s="46"/>
      <c r="AQ328" s="43"/>
      <c r="AR328" s="119"/>
      <c r="AS328" s="1"/>
      <c r="AT328" s="1"/>
    </row>
    <row r="329">
      <c r="A329" s="43"/>
      <c r="B329" s="59" t="str">
        <f>IFERROR(HYPERLINK(VLOOKUP(A329,Internal_lists_bugs!$A$2:$C$73,3,FALSE()), VLOOKUP(A329,Internal_lists_bugs!$A$2:$C$73,3,FALSE())&amp;Char(10) &amp; Char(10) &amp; VLOOKUP(A329,Internal_lists_bugs!$A$2:$Z$73,26,FALSE())),"please select a BUG ID")</f>
        <v>please select a BUG ID</v>
      </c>
      <c r="C329" s="51" t="str">
        <f>IFERROR(VLOOKUP(A329,Internal_lists_bugs!$A$2:$G2003,7,FALSE()),"please select a BUG ID")</f>
        <v>please select a BUG ID</v>
      </c>
      <c r="D329" s="43"/>
      <c r="E329" s="63"/>
      <c r="F329" s="43"/>
      <c r="G329" s="63"/>
      <c r="H329" s="43"/>
      <c r="I329" s="63"/>
      <c r="J329" s="43"/>
      <c r="K329" s="50"/>
      <c r="L329" s="43"/>
      <c r="M329" s="50"/>
      <c r="N329" s="43"/>
      <c r="O329" s="50"/>
      <c r="P329" s="43"/>
      <c r="Q329" s="50"/>
      <c r="R329" s="43"/>
      <c r="S329" s="50"/>
      <c r="T329" s="43"/>
      <c r="U329" s="50"/>
      <c r="V329" s="43"/>
      <c r="W329" s="50"/>
      <c r="X329" s="43"/>
      <c r="Y329" s="50"/>
      <c r="Z329" s="43"/>
      <c r="AA329" s="50"/>
      <c r="AB329" s="43"/>
      <c r="AC329" s="50"/>
      <c r="AD329" s="43"/>
      <c r="AE329" s="50"/>
      <c r="AF329" s="43"/>
      <c r="AG329" s="50"/>
      <c r="AH329" s="43"/>
      <c r="AI329" s="50"/>
      <c r="AJ329" s="43"/>
      <c r="AK329" s="50"/>
      <c r="AL329" s="43"/>
      <c r="AM329" s="50"/>
      <c r="AO329" s="43"/>
      <c r="AP329" s="46"/>
      <c r="AQ329" s="43"/>
      <c r="AR329" s="119"/>
      <c r="AS329" s="1"/>
      <c r="AT329" s="1"/>
    </row>
    <row r="330">
      <c r="A330" s="43"/>
      <c r="B330" s="59" t="str">
        <f>IFERROR(HYPERLINK(VLOOKUP(A330,Internal_lists_bugs!$A$2:$C$73,3,FALSE()), VLOOKUP(A330,Internal_lists_bugs!$A$2:$C$73,3,FALSE())&amp;Char(10) &amp; Char(10) &amp; VLOOKUP(A330,Internal_lists_bugs!$A$2:$Z$73,26,FALSE())),"please select a BUG ID")</f>
        <v>please select a BUG ID</v>
      </c>
      <c r="C330" s="51" t="str">
        <f>IFERROR(VLOOKUP(A330,Internal_lists_bugs!$A$2:$G2003,7,FALSE()),"please select a BUG ID")</f>
        <v>please select a BUG ID</v>
      </c>
      <c r="D330" s="43"/>
      <c r="E330" s="63"/>
      <c r="F330" s="43"/>
      <c r="G330" s="63"/>
      <c r="H330" s="43"/>
      <c r="I330" s="63"/>
      <c r="J330" s="43"/>
      <c r="K330" s="50"/>
      <c r="L330" s="43"/>
      <c r="M330" s="50"/>
      <c r="N330" s="43"/>
      <c r="O330" s="50"/>
      <c r="P330" s="43"/>
      <c r="Q330" s="50"/>
      <c r="R330" s="43"/>
      <c r="S330" s="50"/>
      <c r="T330" s="43"/>
      <c r="U330" s="50"/>
      <c r="V330" s="43"/>
      <c r="W330" s="50"/>
      <c r="X330" s="43"/>
      <c r="Y330" s="50"/>
      <c r="Z330" s="43"/>
      <c r="AA330" s="50"/>
      <c r="AB330" s="43"/>
      <c r="AC330" s="50"/>
      <c r="AD330" s="43"/>
      <c r="AE330" s="50"/>
      <c r="AF330" s="43"/>
      <c r="AG330" s="50"/>
      <c r="AH330" s="43"/>
      <c r="AI330" s="50"/>
      <c r="AJ330" s="43"/>
      <c r="AK330" s="50"/>
      <c r="AL330" s="43"/>
      <c r="AM330" s="50"/>
      <c r="AO330" s="43"/>
      <c r="AP330" s="46"/>
      <c r="AQ330" s="43"/>
      <c r="AR330" s="119"/>
      <c r="AS330" s="1"/>
      <c r="AT330" s="1"/>
    </row>
    <row r="331">
      <c r="A331" s="43"/>
      <c r="B331" s="59" t="str">
        <f>IFERROR(HYPERLINK(VLOOKUP(A331,Internal_lists_bugs!$A$2:$C$73,3,FALSE()), VLOOKUP(A331,Internal_lists_bugs!$A$2:$C$73,3,FALSE())&amp;Char(10) &amp; Char(10) &amp; VLOOKUP(A331,Internal_lists_bugs!$A$2:$Z$73,26,FALSE())),"please select a BUG ID")</f>
        <v>please select a BUG ID</v>
      </c>
      <c r="C331" s="51" t="str">
        <f>IFERROR(VLOOKUP(A331,Internal_lists_bugs!$A$2:$G2003,7,FALSE()),"please select a BUG ID")</f>
        <v>please select a BUG ID</v>
      </c>
      <c r="D331" s="43"/>
      <c r="E331" s="63"/>
      <c r="F331" s="43"/>
      <c r="G331" s="63"/>
      <c r="H331" s="43"/>
      <c r="I331" s="63"/>
      <c r="J331" s="43"/>
      <c r="K331" s="50"/>
      <c r="L331" s="43"/>
      <c r="M331" s="50"/>
      <c r="N331" s="43"/>
      <c r="O331" s="50"/>
      <c r="P331" s="43"/>
      <c r="Q331" s="50"/>
      <c r="R331" s="43"/>
      <c r="S331" s="50"/>
      <c r="T331" s="43"/>
      <c r="U331" s="50"/>
      <c r="V331" s="43"/>
      <c r="W331" s="50"/>
      <c r="X331" s="43"/>
      <c r="Y331" s="50"/>
      <c r="Z331" s="43"/>
      <c r="AA331" s="50"/>
      <c r="AB331" s="43"/>
      <c r="AC331" s="50"/>
      <c r="AD331" s="43"/>
      <c r="AE331" s="50"/>
      <c r="AF331" s="43"/>
      <c r="AG331" s="50"/>
      <c r="AH331" s="43"/>
      <c r="AI331" s="50"/>
      <c r="AJ331" s="43"/>
      <c r="AK331" s="50"/>
      <c r="AL331" s="43"/>
      <c r="AM331" s="50"/>
      <c r="AO331" s="43"/>
      <c r="AP331" s="46"/>
      <c r="AQ331" s="43"/>
      <c r="AR331" s="119"/>
      <c r="AS331" s="1"/>
      <c r="AT331" s="1"/>
    </row>
    <row r="332">
      <c r="A332" s="43"/>
      <c r="B332" s="59" t="str">
        <f>IFERROR(HYPERLINK(VLOOKUP(A332,Internal_lists_bugs!$A$2:$C$73,3,FALSE()), VLOOKUP(A332,Internal_lists_bugs!$A$2:$C$73,3,FALSE())&amp;Char(10) &amp; Char(10) &amp; VLOOKUP(A332,Internal_lists_bugs!$A$2:$Z$73,26,FALSE())),"please select a BUG ID")</f>
        <v>please select a BUG ID</v>
      </c>
      <c r="C332" s="51" t="str">
        <f>IFERROR(VLOOKUP(A332,Internal_lists_bugs!$A$2:$G2003,7,FALSE()),"please select a BUG ID")</f>
        <v>please select a BUG ID</v>
      </c>
      <c r="D332" s="43"/>
      <c r="E332" s="63"/>
      <c r="F332" s="43"/>
      <c r="G332" s="63"/>
      <c r="H332" s="43"/>
      <c r="I332" s="63"/>
      <c r="J332" s="43"/>
      <c r="K332" s="50"/>
      <c r="L332" s="43"/>
      <c r="M332" s="50"/>
      <c r="N332" s="43"/>
      <c r="O332" s="50"/>
      <c r="P332" s="43"/>
      <c r="Q332" s="50"/>
      <c r="R332" s="43"/>
      <c r="S332" s="50"/>
      <c r="T332" s="43"/>
      <c r="U332" s="50"/>
      <c r="V332" s="43"/>
      <c r="W332" s="50"/>
      <c r="X332" s="43"/>
      <c r="Y332" s="50"/>
      <c r="Z332" s="43"/>
      <c r="AA332" s="50"/>
      <c r="AB332" s="43"/>
      <c r="AC332" s="50"/>
      <c r="AD332" s="43"/>
      <c r="AE332" s="50"/>
      <c r="AF332" s="43"/>
      <c r="AG332" s="50"/>
      <c r="AH332" s="43"/>
      <c r="AI332" s="50"/>
      <c r="AJ332" s="43"/>
      <c r="AK332" s="50"/>
      <c r="AL332" s="43"/>
      <c r="AM332" s="50"/>
      <c r="AO332" s="43"/>
      <c r="AP332" s="46"/>
      <c r="AQ332" s="43"/>
      <c r="AR332" s="119"/>
      <c r="AS332" s="1"/>
      <c r="AT332" s="1"/>
    </row>
    <row r="333">
      <c r="A333" s="43"/>
      <c r="B333" s="59" t="str">
        <f>IFERROR(HYPERLINK(VLOOKUP(A333,Internal_lists_bugs!$A$2:$C$73,3,FALSE()), VLOOKUP(A333,Internal_lists_bugs!$A$2:$C$73,3,FALSE())&amp;Char(10) &amp; Char(10) &amp; VLOOKUP(A333,Internal_lists_bugs!$A$2:$Z$73,26,FALSE())),"please select a BUG ID")</f>
        <v>please select a BUG ID</v>
      </c>
      <c r="C333" s="51" t="str">
        <f>IFERROR(VLOOKUP(A333,Internal_lists_bugs!$A$2:$G2003,7,FALSE()),"please select a BUG ID")</f>
        <v>please select a BUG ID</v>
      </c>
      <c r="D333" s="43"/>
      <c r="E333" s="63"/>
      <c r="F333" s="43"/>
      <c r="G333" s="63"/>
      <c r="H333" s="43"/>
      <c r="I333" s="63"/>
      <c r="J333" s="43"/>
      <c r="K333" s="50"/>
      <c r="L333" s="43"/>
      <c r="M333" s="50"/>
      <c r="N333" s="43"/>
      <c r="O333" s="50"/>
      <c r="P333" s="43"/>
      <c r="Q333" s="50"/>
      <c r="R333" s="43"/>
      <c r="S333" s="50"/>
      <c r="T333" s="43"/>
      <c r="U333" s="50"/>
      <c r="V333" s="43"/>
      <c r="W333" s="50"/>
      <c r="X333" s="43"/>
      <c r="Y333" s="50"/>
      <c r="Z333" s="43"/>
      <c r="AA333" s="50"/>
      <c r="AB333" s="43"/>
      <c r="AC333" s="50"/>
      <c r="AD333" s="43"/>
      <c r="AE333" s="50"/>
      <c r="AF333" s="43"/>
      <c r="AG333" s="50"/>
      <c r="AH333" s="43"/>
      <c r="AI333" s="50"/>
      <c r="AJ333" s="43"/>
      <c r="AK333" s="50"/>
      <c r="AL333" s="43"/>
      <c r="AM333" s="50"/>
      <c r="AO333" s="43"/>
      <c r="AP333" s="46"/>
      <c r="AQ333" s="43"/>
      <c r="AR333" s="119"/>
      <c r="AS333" s="1"/>
      <c r="AT333" s="1"/>
    </row>
    <row r="334">
      <c r="A334" s="43"/>
      <c r="B334" s="59" t="str">
        <f>IFERROR(HYPERLINK(VLOOKUP(A334,Internal_lists_bugs!$A$2:$C$73,3,FALSE()), VLOOKUP(A334,Internal_lists_bugs!$A$2:$C$73,3,FALSE())&amp;Char(10) &amp; Char(10) &amp; VLOOKUP(A334,Internal_lists_bugs!$A$2:$Z$73,26,FALSE())),"please select a BUG ID")</f>
        <v>please select a BUG ID</v>
      </c>
      <c r="C334" s="51" t="str">
        <f>IFERROR(VLOOKUP(A334,Internal_lists_bugs!$A$2:$G2003,7,FALSE()),"please select a BUG ID")</f>
        <v>please select a BUG ID</v>
      </c>
      <c r="D334" s="43"/>
      <c r="E334" s="63"/>
      <c r="F334" s="43"/>
      <c r="G334" s="63"/>
      <c r="H334" s="43"/>
      <c r="I334" s="63"/>
      <c r="J334" s="43"/>
      <c r="K334" s="50"/>
      <c r="L334" s="43"/>
      <c r="M334" s="50"/>
      <c r="N334" s="43"/>
      <c r="O334" s="50"/>
      <c r="P334" s="43"/>
      <c r="Q334" s="50"/>
      <c r="R334" s="43"/>
      <c r="S334" s="50"/>
      <c r="T334" s="43"/>
      <c r="U334" s="50"/>
      <c r="V334" s="43"/>
      <c r="W334" s="50"/>
      <c r="X334" s="43"/>
      <c r="Y334" s="50"/>
      <c r="Z334" s="43"/>
      <c r="AA334" s="50"/>
      <c r="AB334" s="43"/>
      <c r="AC334" s="50"/>
      <c r="AD334" s="43"/>
      <c r="AE334" s="50"/>
      <c r="AF334" s="43"/>
      <c r="AG334" s="50"/>
      <c r="AH334" s="43"/>
      <c r="AI334" s="50"/>
      <c r="AJ334" s="43"/>
      <c r="AK334" s="50"/>
      <c r="AL334" s="43"/>
      <c r="AM334" s="50"/>
      <c r="AO334" s="43"/>
      <c r="AP334" s="46"/>
      <c r="AQ334" s="43"/>
      <c r="AR334" s="119"/>
      <c r="AS334" s="1"/>
      <c r="AT334" s="1"/>
    </row>
    <row r="335">
      <c r="A335" s="43"/>
      <c r="B335" s="59" t="str">
        <f>IFERROR(HYPERLINK(VLOOKUP(A335,Internal_lists_bugs!$A$2:$C$73,3,FALSE()), VLOOKUP(A335,Internal_lists_bugs!$A$2:$C$73,3,FALSE())&amp;Char(10) &amp; Char(10) &amp; VLOOKUP(A335,Internal_lists_bugs!$A$2:$Z$73,26,FALSE())),"please select a BUG ID")</f>
        <v>please select a BUG ID</v>
      </c>
      <c r="C335" s="51" t="str">
        <f>IFERROR(VLOOKUP(A335,Internal_lists_bugs!$A$2:$G2003,7,FALSE()),"please select a BUG ID")</f>
        <v>please select a BUG ID</v>
      </c>
      <c r="D335" s="43"/>
      <c r="E335" s="63"/>
      <c r="F335" s="43"/>
      <c r="G335" s="63"/>
      <c r="H335" s="43"/>
      <c r="I335" s="63"/>
      <c r="J335" s="43"/>
      <c r="K335" s="50"/>
      <c r="L335" s="43"/>
      <c r="M335" s="50"/>
      <c r="N335" s="43"/>
      <c r="O335" s="50"/>
      <c r="P335" s="43"/>
      <c r="Q335" s="50"/>
      <c r="R335" s="43"/>
      <c r="S335" s="50"/>
      <c r="T335" s="43"/>
      <c r="U335" s="50"/>
      <c r="V335" s="43"/>
      <c r="W335" s="50"/>
      <c r="X335" s="43"/>
      <c r="Y335" s="50"/>
      <c r="Z335" s="43"/>
      <c r="AA335" s="50"/>
      <c r="AB335" s="43"/>
      <c r="AC335" s="50"/>
      <c r="AD335" s="43"/>
      <c r="AE335" s="50"/>
      <c r="AF335" s="43"/>
      <c r="AG335" s="50"/>
      <c r="AH335" s="43"/>
      <c r="AI335" s="50"/>
      <c r="AJ335" s="43"/>
      <c r="AK335" s="50"/>
      <c r="AL335" s="43"/>
      <c r="AM335" s="50"/>
      <c r="AO335" s="43"/>
      <c r="AP335" s="46"/>
      <c r="AQ335" s="43"/>
      <c r="AR335" s="119"/>
      <c r="AS335" s="1"/>
      <c r="AT335" s="1"/>
    </row>
    <row r="336">
      <c r="A336" s="43"/>
      <c r="B336" s="59" t="str">
        <f>IFERROR(HYPERLINK(VLOOKUP(A336,Internal_lists_bugs!$A$2:$C$73,3,FALSE()), VLOOKUP(A336,Internal_lists_bugs!$A$2:$C$73,3,FALSE())&amp;Char(10) &amp; Char(10) &amp; VLOOKUP(A336,Internal_lists_bugs!$A$2:$Z$73,26,FALSE())),"please select a BUG ID")</f>
        <v>please select a BUG ID</v>
      </c>
      <c r="C336" s="51" t="str">
        <f>IFERROR(VLOOKUP(A336,Internal_lists_bugs!$A$2:$G2003,7,FALSE()),"please select a BUG ID")</f>
        <v>please select a BUG ID</v>
      </c>
      <c r="D336" s="43"/>
      <c r="E336" s="63"/>
      <c r="F336" s="43"/>
      <c r="G336" s="63"/>
      <c r="H336" s="43"/>
      <c r="I336" s="63"/>
      <c r="J336" s="43"/>
      <c r="K336" s="50"/>
      <c r="L336" s="43"/>
      <c r="M336" s="50"/>
      <c r="N336" s="43"/>
      <c r="O336" s="50"/>
      <c r="P336" s="43"/>
      <c r="Q336" s="50"/>
      <c r="R336" s="43"/>
      <c r="S336" s="50"/>
      <c r="T336" s="43"/>
      <c r="U336" s="50"/>
      <c r="V336" s="43"/>
      <c r="W336" s="50"/>
      <c r="X336" s="43"/>
      <c r="Y336" s="50"/>
      <c r="Z336" s="43"/>
      <c r="AA336" s="50"/>
      <c r="AB336" s="43"/>
      <c r="AC336" s="50"/>
      <c r="AD336" s="43"/>
      <c r="AE336" s="50"/>
      <c r="AF336" s="43"/>
      <c r="AG336" s="50"/>
      <c r="AH336" s="43"/>
      <c r="AI336" s="50"/>
      <c r="AJ336" s="43"/>
      <c r="AK336" s="50"/>
      <c r="AL336" s="43"/>
      <c r="AM336" s="50"/>
      <c r="AO336" s="43"/>
      <c r="AP336" s="46"/>
      <c r="AQ336" s="43"/>
      <c r="AR336" s="119"/>
      <c r="AS336" s="1"/>
      <c r="AT336" s="1"/>
    </row>
    <row r="337">
      <c r="A337" s="43"/>
      <c r="B337" s="59" t="str">
        <f>IFERROR(HYPERLINK(VLOOKUP(A337,Internal_lists_bugs!$A$2:$C$73,3,FALSE()), VLOOKUP(A337,Internal_lists_bugs!$A$2:$C$73,3,FALSE())&amp;Char(10) &amp; Char(10) &amp; VLOOKUP(A337,Internal_lists_bugs!$A$2:$Z$73,26,FALSE())),"please select a BUG ID")</f>
        <v>please select a BUG ID</v>
      </c>
      <c r="C337" s="51" t="str">
        <f>IFERROR(VLOOKUP(A337,Internal_lists_bugs!$A$2:$G2003,7,FALSE()),"please select a BUG ID")</f>
        <v>please select a BUG ID</v>
      </c>
      <c r="D337" s="43"/>
      <c r="E337" s="63"/>
      <c r="F337" s="43"/>
      <c r="G337" s="63"/>
      <c r="H337" s="43"/>
      <c r="I337" s="63"/>
      <c r="J337" s="43"/>
      <c r="K337" s="50"/>
      <c r="L337" s="43"/>
      <c r="M337" s="50"/>
      <c r="N337" s="43"/>
      <c r="O337" s="50"/>
      <c r="P337" s="43"/>
      <c r="Q337" s="50"/>
      <c r="R337" s="43"/>
      <c r="S337" s="50"/>
      <c r="T337" s="43"/>
      <c r="U337" s="50"/>
      <c r="V337" s="43"/>
      <c r="W337" s="50"/>
      <c r="X337" s="43"/>
      <c r="Y337" s="50"/>
      <c r="Z337" s="43"/>
      <c r="AA337" s="50"/>
      <c r="AB337" s="43"/>
      <c r="AC337" s="50"/>
      <c r="AD337" s="43"/>
      <c r="AE337" s="50"/>
      <c r="AF337" s="43"/>
      <c r="AG337" s="50"/>
      <c r="AH337" s="43"/>
      <c r="AI337" s="50"/>
      <c r="AJ337" s="43"/>
      <c r="AK337" s="50"/>
      <c r="AL337" s="43"/>
      <c r="AM337" s="50"/>
      <c r="AO337" s="43"/>
      <c r="AP337" s="46"/>
      <c r="AQ337" s="43"/>
      <c r="AR337" s="119"/>
      <c r="AS337" s="1"/>
      <c r="AT337" s="1"/>
    </row>
    <row r="338">
      <c r="A338" s="43"/>
      <c r="B338" s="59" t="str">
        <f>IFERROR(HYPERLINK(VLOOKUP(A338,Internal_lists_bugs!$A$2:$C$73,3,FALSE()), VLOOKUP(A338,Internal_lists_bugs!$A$2:$C$73,3,FALSE())&amp;Char(10) &amp; Char(10) &amp; VLOOKUP(A338,Internal_lists_bugs!$A$2:$Z$73,26,FALSE())),"please select a BUG ID")</f>
        <v>please select a BUG ID</v>
      </c>
      <c r="C338" s="51" t="str">
        <f>IFERROR(VLOOKUP(A338,Internal_lists_bugs!$A$2:$G2003,7,FALSE()),"please select a BUG ID")</f>
        <v>please select a BUG ID</v>
      </c>
      <c r="D338" s="43"/>
      <c r="E338" s="63"/>
      <c r="F338" s="43"/>
      <c r="G338" s="63"/>
      <c r="H338" s="43"/>
      <c r="I338" s="63"/>
      <c r="J338" s="43"/>
      <c r="K338" s="50"/>
      <c r="L338" s="43"/>
      <c r="M338" s="50"/>
      <c r="N338" s="43"/>
      <c r="O338" s="50"/>
      <c r="P338" s="43"/>
      <c r="Q338" s="50"/>
      <c r="R338" s="43"/>
      <c r="S338" s="50"/>
      <c r="T338" s="43"/>
      <c r="U338" s="50"/>
      <c r="V338" s="43"/>
      <c r="W338" s="50"/>
      <c r="X338" s="43"/>
      <c r="Y338" s="50"/>
      <c r="Z338" s="43"/>
      <c r="AA338" s="50"/>
      <c r="AB338" s="43"/>
      <c r="AC338" s="50"/>
      <c r="AD338" s="43"/>
      <c r="AE338" s="50"/>
      <c r="AF338" s="43"/>
      <c r="AG338" s="50"/>
      <c r="AH338" s="43"/>
      <c r="AI338" s="50"/>
      <c r="AJ338" s="43"/>
      <c r="AK338" s="50"/>
      <c r="AL338" s="43"/>
      <c r="AM338" s="50"/>
      <c r="AO338" s="43"/>
      <c r="AP338" s="46"/>
      <c r="AQ338" s="43"/>
      <c r="AR338" s="119"/>
      <c r="AS338" s="1"/>
      <c r="AT338" s="1"/>
    </row>
    <row r="339">
      <c r="A339" s="43"/>
      <c r="B339" s="59" t="str">
        <f>IFERROR(HYPERLINK(VLOOKUP(A339,Internal_lists_bugs!$A$2:$C$73,3,FALSE()), VLOOKUP(A339,Internal_lists_bugs!$A$2:$C$73,3,FALSE())&amp;Char(10) &amp; Char(10) &amp; VLOOKUP(A339,Internal_lists_bugs!$A$2:$Z$73,26,FALSE())),"please select a BUG ID")</f>
        <v>please select a BUG ID</v>
      </c>
      <c r="C339" s="51" t="str">
        <f>IFERROR(VLOOKUP(A339,Internal_lists_bugs!$A$2:$G2003,7,FALSE()),"please select a BUG ID")</f>
        <v>please select a BUG ID</v>
      </c>
      <c r="D339" s="43"/>
      <c r="E339" s="63"/>
      <c r="F339" s="43"/>
      <c r="G339" s="63"/>
      <c r="H339" s="43"/>
      <c r="I339" s="63"/>
      <c r="J339" s="43"/>
      <c r="K339" s="50"/>
      <c r="L339" s="43"/>
      <c r="M339" s="50"/>
      <c r="N339" s="43"/>
      <c r="O339" s="50"/>
      <c r="P339" s="43"/>
      <c r="Q339" s="50"/>
      <c r="R339" s="43"/>
      <c r="S339" s="50"/>
      <c r="T339" s="43"/>
      <c r="U339" s="50"/>
      <c r="V339" s="43"/>
      <c r="W339" s="50"/>
      <c r="X339" s="43"/>
      <c r="Y339" s="50"/>
      <c r="Z339" s="43"/>
      <c r="AA339" s="50"/>
      <c r="AB339" s="43"/>
      <c r="AC339" s="50"/>
      <c r="AD339" s="43"/>
      <c r="AE339" s="50"/>
      <c r="AF339" s="43"/>
      <c r="AG339" s="50"/>
      <c r="AH339" s="43"/>
      <c r="AI339" s="50"/>
      <c r="AJ339" s="43"/>
      <c r="AK339" s="50"/>
      <c r="AL339" s="43"/>
      <c r="AM339" s="50"/>
      <c r="AO339" s="43"/>
      <c r="AP339" s="46"/>
      <c r="AQ339" s="43"/>
      <c r="AR339" s="119"/>
      <c r="AS339" s="1"/>
      <c r="AT339" s="1"/>
    </row>
    <row r="340">
      <c r="A340" s="43"/>
      <c r="B340" s="59" t="str">
        <f>IFERROR(HYPERLINK(VLOOKUP(A340,Internal_lists_bugs!$A$2:$C$73,3,FALSE()), VLOOKUP(A340,Internal_lists_bugs!$A$2:$C$73,3,FALSE())&amp;Char(10) &amp; Char(10) &amp; VLOOKUP(A340,Internal_lists_bugs!$A$2:$Z$73,26,FALSE())),"please select a BUG ID")</f>
        <v>please select a BUG ID</v>
      </c>
      <c r="C340" s="51" t="str">
        <f>IFERROR(VLOOKUP(A340,Internal_lists_bugs!$A$2:$G2003,7,FALSE()),"please select a BUG ID")</f>
        <v>please select a BUG ID</v>
      </c>
      <c r="D340" s="43"/>
      <c r="E340" s="63"/>
      <c r="F340" s="43"/>
      <c r="G340" s="63"/>
      <c r="H340" s="43"/>
      <c r="I340" s="63"/>
      <c r="J340" s="43"/>
      <c r="K340" s="50"/>
      <c r="L340" s="43"/>
      <c r="M340" s="50"/>
      <c r="N340" s="43"/>
      <c r="O340" s="50"/>
      <c r="P340" s="43"/>
      <c r="Q340" s="50"/>
      <c r="R340" s="43"/>
      <c r="S340" s="50"/>
      <c r="T340" s="43"/>
      <c r="U340" s="50"/>
      <c r="V340" s="43"/>
      <c r="W340" s="50"/>
      <c r="X340" s="43"/>
      <c r="Y340" s="50"/>
      <c r="Z340" s="43"/>
      <c r="AA340" s="50"/>
      <c r="AB340" s="43"/>
      <c r="AC340" s="50"/>
      <c r="AD340" s="43"/>
      <c r="AE340" s="50"/>
      <c r="AF340" s="43"/>
      <c r="AG340" s="50"/>
      <c r="AH340" s="43"/>
      <c r="AI340" s="50"/>
      <c r="AJ340" s="43"/>
      <c r="AK340" s="50"/>
      <c r="AL340" s="43"/>
      <c r="AM340" s="50"/>
      <c r="AO340" s="43"/>
      <c r="AP340" s="46"/>
      <c r="AQ340" s="43"/>
      <c r="AR340" s="119"/>
      <c r="AS340" s="1"/>
      <c r="AT340" s="1"/>
    </row>
    <row r="341">
      <c r="A341" s="43"/>
      <c r="B341" s="59" t="str">
        <f>IFERROR(HYPERLINK(VLOOKUP(A341,Internal_lists_bugs!$A$2:$C$73,3,FALSE()), VLOOKUP(A341,Internal_lists_bugs!$A$2:$C$73,3,FALSE())&amp;Char(10) &amp; Char(10) &amp; VLOOKUP(A341,Internal_lists_bugs!$A$2:$Z$73,26,FALSE())),"please select a BUG ID")</f>
        <v>please select a BUG ID</v>
      </c>
      <c r="C341" s="51" t="str">
        <f>IFERROR(VLOOKUP(A341,Internal_lists_bugs!$A$2:$G2003,7,FALSE()),"please select a BUG ID")</f>
        <v>please select a BUG ID</v>
      </c>
      <c r="D341" s="43"/>
      <c r="E341" s="63"/>
      <c r="F341" s="43"/>
      <c r="G341" s="63"/>
      <c r="H341" s="43"/>
      <c r="I341" s="63"/>
      <c r="J341" s="43"/>
      <c r="K341" s="50"/>
      <c r="L341" s="43"/>
      <c r="M341" s="50"/>
      <c r="N341" s="43"/>
      <c r="O341" s="50"/>
      <c r="P341" s="43"/>
      <c r="Q341" s="50"/>
      <c r="R341" s="43"/>
      <c r="S341" s="50"/>
      <c r="T341" s="43"/>
      <c r="U341" s="50"/>
      <c r="V341" s="43"/>
      <c r="W341" s="50"/>
      <c r="X341" s="43"/>
      <c r="Y341" s="50"/>
      <c r="Z341" s="43"/>
      <c r="AA341" s="50"/>
      <c r="AB341" s="43"/>
      <c r="AC341" s="50"/>
      <c r="AD341" s="43"/>
      <c r="AE341" s="50"/>
      <c r="AF341" s="43"/>
      <c r="AG341" s="50"/>
      <c r="AH341" s="43"/>
      <c r="AI341" s="50"/>
      <c r="AJ341" s="43"/>
      <c r="AK341" s="50"/>
      <c r="AL341" s="43"/>
      <c r="AM341" s="50"/>
      <c r="AO341" s="43"/>
      <c r="AP341" s="46"/>
      <c r="AQ341" s="43"/>
      <c r="AR341" s="119"/>
      <c r="AS341" s="1"/>
      <c r="AT341" s="1"/>
    </row>
    <row r="342">
      <c r="A342" s="43"/>
      <c r="B342" s="59" t="str">
        <f>IFERROR(HYPERLINK(VLOOKUP(A342,Internal_lists_bugs!$A$2:$C$73,3,FALSE()), VLOOKUP(A342,Internal_lists_bugs!$A$2:$C$73,3,FALSE())&amp;Char(10) &amp; Char(10) &amp; VLOOKUP(A342,Internal_lists_bugs!$A$2:$Z$73,26,FALSE())),"please select a BUG ID")</f>
        <v>please select a BUG ID</v>
      </c>
      <c r="C342" s="51" t="str">
        <f>IFERROR(VLOOKUP(A342,Internal_lists_bugs!$A$2:$G2003,7,FALSE()),"please select a BUG ID")</f>
        <v>please select a BUG ID</v>
      </c>
      <c r="D342" s="43"/>
      <c r="E342" s="63"/>
      <c r="F342" s="43"/>
      <c r="G342" s="63"/>
      <c r="H342" s="43"/>
      <c r="I342" s="63"/>
      <c r="J342" s="43"/>
      <c r="K342" s="50"/>
      <c r="L342" s="43"/>
      <c r="M342" s="50"/>
      <c r="N342" s="43"/>
      <c r="O342" s="50"/>
      <c r="P342" s="43"/>
      <c r="Q342" s="50"/>
      <c r="R342" s="43"/>
      <c r="S342" s="50"/>
      <c r="T342" s="43"/>
      <c r="U342" s="50"/>
      <c r="V342" s="43"/>
      <c r="W342" s="50"/>
      <c r="X342" s="43"/>
      <c r="Y342" s="50"/>
      <c r="Z342" s="43"/>
      <c r="AA342" s="50"/>
      <c r="AB342" s="43"/>
      <c r="AC342" s="50"/>
      <c r="AD342" s="43"/>
      <c r="AE342" s="50"/>
      <c r="AF342" s="43"/>
      <c r="AG342" s="50"/>
      <c r="AH342" s="43"/>
      <c r="AI342" s="50"/>
      <c r="AJ342" s="43"/>
      <c r="AK342" s="50"/>
      <c r="AL342" s="43"/>
      <c r="AM342" s="50"/>
      <c r="AO342" s="43"/>
      <c r="AP342" s="46"/>
      <c r="AQ342" s="43"/>
      <c r="AR342" s="119"/>
      <c r="AS342" s="1"/>
      <c r="AT342" s="1"/>
    </row>
    <row r="343">
      <c r="A343" s="43"/>
      <c r="B343" s="59" t="str">
        <f>IFERROR(HYPERLINK(VLOOKUP(A343,Internal_lists_bugs!$A$2:$C$73,3,FALSE()), VLOOKUP(A343,Internal_lists_bugs!$A$2:$C$73,3,FALSE())&amp;Char(10) &amp; Char(10) &amp; VLOOKUP(A343,Internal_lists_bugs!$A$2:$Z$73,26,FALSE())),"please select a BUG ID")</f>
        <v>please select a BUG ID</v>
      </c>
      <c r="C343" s="51" t="str">
        <f>IFERROR(VLOOKUP(A343,Internal_lists_bugs!$A$2:$G2003,7,FALSE()),"please select a BUG ID")</f>
        <v>please select a BUG ID</v>
      </c>
      <c r="D343" s="43"/>
      <c r="E343" s="63"/>
      <c r="F343" s="43"/>
      <c r="G343" s="63"/>
      <c r="H343" s="43"/>
      <c r="I343" s="63"/>
      <c r="J343" s="43"/>
      <c r="K343" s="50"/>
      <c r="L343" s="43"/>
      <c r="M343" s="50"/>
      <c r="N343" s="43"/>
      <c r="O343" s="50"/>
      <c r="P343" s="43"/>
      <c r="Q343" s="50"/>
      <c r="R343" s="43"/>
      <c r="S343" s="50"/>
      <c r="T343" s="43"/>
      <c r="U343" s="50"/>
      <c r="V343" s="43"/>
      <c r="W343" s="50"/>
      <c r="X343" s="43"/>
      <c r="Y343" s="50"/>
      <c r="Z343" s="43"/>
      <c r="AA343" s="50"/>
      <c r="AB343" s="43"/>
      <c r="AC343" s="50"/>
      <c r="AD343" s="43"/>
      <c r="AE343" s="50"/>
      <c r="AF343" s="43"/>
      <c r="AG343" s="50"/>
      <c r="AH343" s="43"/>
      <c r="AI343" s="50"/>
      <c r="AJ343" s="43"/>
      <c r="AK343" s="50"/>
      <c r="AL343" s="43"/>
      <c r="AM343" s="50"/>
      <c r="AO343" s="43"/>
      <c r="AP343" s="46"/>
      <c r="AQ343" s="43"/>
      <c r="AR343" s="119"/>
      <c r="AS343" s="1"/>
      <c r="AT343" s="1"/>
    </row>
    <row r="344">
      <c r="A344" s="43"/>
      <c r="B344" s="59" t="str">
        <f>IFERROR(HYPERLINK(VLOOKUP(A344,Internal_lists_bugs!$A$2:$C$73,3,FALSE()), VLOOKUP(A344,Internal_lists_bugs!$A$2:$C$73,3,FALSE())&amp;Char(10) &amp; Char(10) &amp; VLOOKUP(A344,Internal_lists_bugs!$A$2:$Z$73,26,FALSE())),"please select a BUG ID")</f>
        <v>please select a BUG ID</v>
      </c>
      <c r="C344" s="51" t="str">
        <f>IFERROR(VLOOKUP(A344,Internal_lists_bugs!$A$2:$G2003,7,FALSE()),"please select a BUG ID")</f>
        <v>please select a BUG ID</v>
      </c>
      <c r="D344" s="43"/>
      <c r="E344" s="63"/>
      <c r="F344" s="43"/>
      <c r="G344" s="63"/>
      <c r="H344" s="43"/>
      <c r="I344" s="63"/>
      <c r="J344" s="43"/>
      <c r="K344" s="50"/>
      <c r="L344" s="43"/>
      <c r="M344" s="50"/>
      <c r="N344" s="43"/>
      <c r="O344" s="50"/>
      <c r="P344" s="43"/>
      <c r="Q344" s="50"/>
      <c r="R344" s="43"/>
      <c r="S344" s="50"/>
      <c r="T344" s="43"/>
      <c r="U344" s="50"/>
      <c r="V344" s="43"/>
      <c r="W344" s="50"/>
      <c r="X344" s="43"/>
      <c r="Y344" s="50"/>
      <c r="Z344" s="43"/>
      <c r="AA344" s="50"/>
      <c r="AB344" s="43"/>
      <c r="AC344" s="50"/>
      <c r="AD344" s="43"/>
      <c r="AE344" s="50"/>
      <c r="AF344" s="43"/>
      <c r="AG344" s="50"/>
      <c r="AH344" s="43"/>
      <c r="AI344" s="50"/>
      <c r="AJ344" s="43"/>
      <c r="AK344" s="50"/>
      <c r="AL344" s="43"/>
      <c r="AM344" s="50"/>
      <c r="AO344" s="43"/>
      <c r="AP344" s="46"/>
      <c r="AQ344" s="43"/>
      <c r="AR344" s="119"/>
      <c r="AS344" s="1"/>
      <c r="AT344" s="1"/>
    </row>
    <row r="345">
      <c r="A345" s="43"/>
      <c r="B345" s="59" t="str">
        <f>IFERROR(HYPERLINK(VLOOKUP(A345,Internal_lists_bugs!$A$2:$C$73,3,FALSE()), VLOOKUP(A345,Internal_lists_bugs!$A$2:$C$73,3,FALSE())&amp;Char(10) &amp; Char(10) &amp; VLOOKUP(A345,Internal_lists_bugs!$A$2:$Z$73,26,FALSE())),"please select a BUG ID")</f>
        <v>please select a BUG ID</v>
      </c>
      <c r="C345" s="51" t="str">
        <f>IFERROR(VLOOKUP(A345,Internal_lists_bugs!$A$2:$G2003,7,FALSE()),"please select a BUG ID")</f>
        <v>please select a BUG ID</v>
      </c>
      <c r="D345" s="43"/>
      <c r="E345" s="63"/>
      <c r="F345" s="43"/>
      <c r="G345" s="63"/>
      <c r="H345" s="43"/>
      <c r="I345" s="63"/>
      <c r="J345" s="43"/>
      <c r="K345" s="50"/>
      <c r="L345" s="43"/>
      <c r="M345" s="50"/>
      <c r="N345" s="43"/>
      <c r="O345" s="50"/>
      <c r="P345" s="43"/>
      <c r="Q345" s="50"/>
      <c r="R345" s="43"/>
      <c r="S345" s="50"/>
      <c r="T345" s="43"/>
      <c r="U345" s="50"/>
      <c r="V345" s="43"/>
      <c r="W345" s="50"/>
      <c r="X345" s="43"/>
      <c r="Y345" s="50"/>
      <c r="Z345" s="43"/>
      <c r="AA345" s="50"/>
      <c r="AB345" s="43"/>
      <c r="AC345" s="50"/>
      <c r="AD345" s="43"/>
      <c r="AE345" s="50"/>
      <c r="AF345" s="43"/>
      <c r="AG345" s="50"/>
      <c r="AH345" s="43"/>
      <c r="AI345" s="50"/>
      <c r="AJ345" s="43"/>
      <c r="AK345" s="50"/>
      <c r="AL345" s="43"/>
      <c r="AM345" s="50"/>
      <c r="AO345" s="43"/>
      <c r="AP345" s="46"/>
      <c r="AQ345" s="43"/>
      <c r="AR345" s="119"/>
      <c r="AS345" s="1"/>
      <c r="AT345" s="1"/>
    </row>
    <row r="346">
      <c r="A346" s="43"/>
      <c r="B346" s="59" t="str">
        <f>IFERROR(HYPERLINK(VLOOKUP(A346,Internal_lists_bugs!$A$2:$C$73,3,FALSE()), VLOOKUP(A346,Internal_lists_bugs!$A$2:$C$73,3,FALSE())&amp;Char(10) &amp; Char(10) &amp; VLOOKUP(A346,Internal_lists_bugs!$A$2:$Z$73,26,FALSE())),"please select a BUG ID")</f>
        <v>please select a BUG ID</v>
      </c>
      <c r="C346" s="51" t="str">
        <f>IFERROR(VLOOKUP(A346,Internal_lists_bugs!$A$2:$G2003,7,FALSE()),"please select a BUG ID")</f>
        <v>please select a BUG ID</v>
      </c>
      <c r="D346" s="43"/>
      <c r="E346" s="63"/>
      <c r="F346" s="43"/>
      <c r="G346" s="63"/>
      <c r="H346" s="43"/>
      <c r="I346" s="63"/>
      <c r="J346" s="43"/>
      <c r="K346" s="50"/>
      <c r="L346" s="43"/>
      <c r="M346" s="50"/>
      <c r="N346" s="43"/>
      <c r="O346" s="50"/>
      <c r="P346" s="43"/>
      <c r="Q346" s="50"/>
      <c r="R346" s="43"/>
      <c r="S346" s="50"/>
      <c r="T346" s="43"/>
      <c r="U346" s="50"/>
      <c r="V346" s="43"/>
      <c r="W346" s="50"/>
      <c r="X346" s="43"/>
      <c r="Y346" s="50"/>
      <c r="Z346" s="43"/>
      <c r="AA346" s="50"/>
      <c r="AB346" s="43"/>
      <c r="AC346" s="50"/>
      <c r="AD346" s="43"/>
      <c r="AE346" s="50"/>
      <c r="AF346" s="43"/>
      <c r="AG346" s="50"/>
      <c r="AH346" s="43"/>
      <c r="AI346" s="50"/>
      <c r="AJ346" s="43"/>
      <c r="AK346" s="50"/>
      <c r="AL346" s="43"/>
      <c r="AM346" s="50"/>
      <c r="AO346" s="43"/>
      <c r="AP346" s="46"/>
      <c r="AQ346" s="43"/>
      <c r="AR346" s="119"/>
      <c r="AS346" s="1"/>
      <c r="AT346" s="1"/>
    </row>
    <row r="347">
      <c r="A347" s="43"/>
      <c r="B347" s="59" t="str">
        <f>IFERROR(HYPERLINK(VLOOKUP(A347,Internal_lists_bugs!$A$2:$C$73,3,FALSE()), VLOOKUP(A347,Internal_lists_bugs!$A$2:$C$73,3,FALSE())&amp;Char(10) &amp; Char(10) &amp; VLOOKUP(A347,Internal_lists_bugs!$A$2:$Z$73,26,FALSE())),"please select a BUG ID")</f>
        <v>please select a BUG ID</v>
      </c>
      <c r="C347" s="51" t="str">
        <f>IFERROR(VLOOKUP(A347,Internal_lists_bugs!$A$2:$G2003,7,FALSE()),"please select a BUG ID")</f>
        <v>please select a BUG ID</v>
      </c>
      <c r="D347" s="43"/>
      <c r="E347" s="63"/>
      <c r="F347" s="43"/>
      <c r="G347" s="63"/>
      <c r="H347" s="43"/>
      <c r="I347" s="63"/>
      <c r="J347" s="43"/>
      <c r="K347" s="50"/>
      <c r="L347" s="43"/>
      <c r="M347" s="50"/>
      <c r="N347" s="43"/>
      <c r="O347" s="50"/>
      <c r="P347" s="43"/>
      <c r="Q347" s="50"/>
      <c r="R347" s="43"/>
      <c r="S347" s="50"/>
      <c r="T347" s="43"/>
      <c r="U347" s="50"/>
      <c r="V347" s="43"/>
      <c r="W347" s="50"/>
      <c r="X347" s="43"/>
      <c r="Y347" s="50"/>
      <c r="Z347" s="43"/>
      <c r="AA347" s="50"/>
      <c r="AB347" s="43"/>
      <c r="AC347" s="50"/>
      <c r="AD347" s="43"/>
      <c r="AE347" s="50"/>
      <c r="AF347" s="43"/>
      <c r="AG347" s="50"/>
      <c r="AH347" s="43"/>
      <c r="AI347" s="50"/>
      <c r="AJ347" s="43"/>
      <c r="AK347" s="50"/>
      <c r="AL347" s="43"/>
      <c r="AM347" s="50"/>
      <c r="AO347" s="43"/>
      <c r="AP347" s="46"/>
      <c r="AQ347" s="43"/>
      <c r="AR347" s="119"/>
      <c r="AS347" s="1"/>
      <c r="AT347" s="1"/>
    </row>
    <row r="348">
      <c r="A348" s="43"/>
      <c r="B348" s="59" t="str">
        <f>IFERROR(HYPERLINK(VLOOKUP(A348,Internal_lists_bugs!$A$2:$C$73,3,FALSE()), VLOOKUP(A348,Internal_lists_bugs!$A$2:$C$73,3,FALSE())&amp;Char(10) &amp; Char(10) &amp; VLOOKUP(A348,Internal_lists_bugs!$A$2:$Z$73,26,FALSE())),"please select a BUG ID")</f>
        <v>please select a BUG ID</v>
      </c>
      <c r="C348" s="51" t="str">
        <f>IFERROR(VLOOKUP(A348,Internal_lists_bugs!$A$2:$G2003,7,FALSE()),"please select a BUG ID")</f>
        <v>please select a BUG ID</v>
      </c>
      <c r="D348" s="43"/>
      <c r="E348" s="63"/>
      <c r="F348" s="43"/>
      <c r="G348" s="63"/>
      <c r="H348" s="43"/>
      <c r="I348" s="63"/>
      <c r="J348" s="43"/>
      <c r="K348" s="50"/>
      <c r="L348" s="43"/>
      <c r="M348" s="50"/>
      <c r="N348" s="43"/>
      <c r="O348" s="50"/>
      <c r="P348" s="43"/>
      <c r="Q348" s="50"/>
      <c r="R348" s="43"/>
      <c r="S348" s="50"/>
      <c r="T348" s="43"/>
      <c r="U348" s="50"/>
      <c r="V348" s="43"/>
      <c r="W348" s="50"/>
      <c r="X348" s="43"/>
      <c r="Y348" s="50"/>
      <c r="Z348" s="43"/>
      <c r="AA348" s="50"/>
      <c r="AB348" s="43"/>
      <c r="AC348" s="50"/>
      <c r="AD348" s="43"/>
      <c r="AE348" s="50"/>
      <c r="AF348" s="43"/>
      <c r="AG348" s="50"/>
      <c r="AH348" s="43"/>
      <c r="AI348" s="50"/>
      <c r="AJ348" s="43"/>
      <c r="AK348" s="50"/>
      <c r="AL348" s="43"/>
      <c r="AM348" s="50"/>
      <c r="AO348" s="43"/>
      <c r="AP348" s="46"/>
      <c r="AQ348" s="43"/>
      <c r="AR348" s="119"/>
      <c r="AS348" s="1"/>
      <c r="AT348" s="1"/>
    </row>
    <row r="349">
      <c r="A349" s="43"/>
      <c r="B349" s="59" t="str">
        <f>IFERROR(HYPERLINK(VLOOKUP(A349,Internal_lists_bugs!$A$2:$C$73,3,FALSE()), VLOOKUP(A349,Internal_lists_bugs!$A$2:$C$73,3,FALSE())&amp;Char(10) &amp; Char(10) &amp; VLOOKUP(A349,Internal_lists_bugs!$A$2:$Z$73,26,FALSE())),"please select a BUG ID")</f>
        <v>please select a BUG ID</v>
      </c>
      <c r="C349" s="51" t="str">
        <f>IFERROR(VLOOKUP(A349,Internal_lists_bugs!$A$2:$G2003,7,FALSE()),"please select a BUG ID")</f>
        <v>please select a BUG ID</v>
      </c>
      <c r="D349" s="43"/>
      <c r="E349" s="63"/>
      <c r="F349" s="43"/>
      <c r="G349" s="63"/>
      <c r="H349" s="43"/>
      <c r="I349" s="63"/>
      <c r="J349" s="43"/>
      <c r="K349" s="50"/>
      <c r="L349" s="43"/>
      <c r="M349" s="50"/>
      <c r="N349" s="43"/>
      <c r="O349" s="50"/>
      <c r="P349" s="43"/>
      <c r="Q349" s="50"/>
      <c r="R349" s="43"/>
      <c r="S349" s="50"/>
      <c r="T349" s="43"/>
      <c r="U349" s="50"/>
      <c r="V349" s="43"/>
      <c r="W349" s="50"/>
      <c r="X349" s="43"/>
      <c r="Y349" s="50"/>
      <c r="Z349" s="43"/>
      <c r="AA349" s="50"/>
      <c r="AB349" s="43"/>
      <c r="AC349" s="50"/>
      <c r="AD349" s="43"/>
      <c r="AE349" s="50"/>
      <c r="AF349" s="43"/>
      <c r="AG349" s="50"/>
      <c r="AH349" s="43"/>
      <c r="AI349" s="50"/>
      <c r="AJ349" s="43"/>
      <c r="AK349" s="50"/>
      <c r="AL349" s="43"/>
      <c r="AM349" s="50"/>
      <c r="AO349" s="43"/>
      <c r="AP349" s="46"/>
      <c r="AQ349" s="43"/>
      <c r="AR349" s="119"/>
      <c r="AS349" s="1"/>
      <c r="AT349" s="1"/>
    </row>
    <row r="350">
      <c r="A350" s="43"/>
      <c r="B350" s="59" t="str">
        <f>IFERROR(HYPERLINK(VLOOKUP(A350,Internal_lists_bugs!$A$2:$C$73,3,FALSE()), VLOOKUP(A350,Internal_lists_bugs!$A$2:$C$73,3,FALSE())&amp;Char(10) &amp; Char(10) &amp; VLOOKUP(A350,Internal_lists_bugs!$A$2:$Z$73,26,FALSE())),"please select a BUG ID")</f>
        <v>please select a BUG ID</v>
      </c>
      <c r="C350" s="51" t="str">
        <f>IFERROR(VLOOKUP(A350,Internal_lists_bugs!$A$2:$G2003,7,FALSE()),"please select a BUG ID")</f>
        <v>please select a BUG ID</v>
      </c>
      <c r="D350" s="43"/>
      <c r="E350" s="63"/>
      <c r="F350" s="43"/>
      <c r="G350" s="63"/>
      <c r="H350" s="43"/>
      <c r="I350" s="63"/>
      <c r="J350" s="43"/>
      <c r="K350" s="50"/>
      <c r="L350" s="43"/>
      <c r="M350" s="50"/>
      <c r="N350" s="43"/>
      <c r="O350" s="50"/>
      <c r="P350" s="43"/>
      <c r="Q350" s="50"/>
      <c r="R350" s="43"/>
      <c r="S350" s="50"/>
      <c r="T350" s="43"/>
      <c r="U350" s="50"/>
      <c r="V350" s="43"/>
      <c r="W350" s="50"/>
      <c r="X350" s="43"/>
      <c r="Y350" s="50"/>
      <c r="Z350" s="43"/>
      <c r="AA350" s="50"/>
      <c r="AB350" s="43"/>
      <c r="AC350" s="50"/>
      <c r="AD350" s="43"/>
      <c r="AE350" s="50"/>
      <c r="AF350" s="43"/>
      <c r="AG350" s="50"/>
      <c r="AH350" s="43"/>
      <c r="AI350" s="50"/>
      <c r="AJ350" s="43"/>
      <c r="AK350" s="50"/>
      <c r="AL350" s="43"/>
      <c r="AM350" s="50"/>
      <c r="AO350" s="43"/>
      <c r="AP350" s="46"/>
      <c r="AQ350" s="43"/>
      <c r="AR350" s="119"/>
      <c r="AS350" s="1"/>
      <c r="AT350" s="1"/>
    </row>
    <row r="351">
      <c r="A351" s="43"/>
      <c r="B351" s="59" t="str">
        <f>IFERROR(HYPERLINK(VLOOKUP(A351,Internal_lists_bugs!$A$2:$C$73,3,FALSE()), VLOOKUP(A351,Internal_lists_bugs!$A$2:$C$73,3,FALSE())&amp;Char(10) &amp; Char(10) &amp; VLOOKUP(A351,Internal_lists_bugs!$A$2:$Z$73,26,FALSE())),"please select a BUG ID")</f>
        <v>please select a BUG ID</v>
      </c>
      <c r="C351" s="51" t="str">
        <f>IFERROR(VLOOKUP(A351,Internal_lists_bugs!$A$2:$G2003,7,FALSE()),"please select a BUG ID")</f>
        <v>please select a BUG ID</v>
      </c>
      <c r="D351" s="43"/>
      <c r="E351" s="63"/>
      <c r="F351" s="43"/>
      <c r="G351" s="63"/>
      <c r="H351" s="43"/>
      <c r="I351" s="63"/>
      <c r="J351" s="43"/>
      <c r="K351" s="50"/>
      <c r="L351" s="43"/>
      <c r="M351" s="50"/>
      <c r="N351" s="43"/>
      <c r="O351" s="50"/>
      <c r="P351" s="43"/>
      <c r="Q351" s="50"/>
      <c r="R351" s="43"/>
      <c r="S351" s="50"/>
      <c r="T351" s="43"/>
      <c r="U351" s="50"/>
      <c r="V351" s="43"/>
      <c r="W351" s="50"/>
      <c r="X351" s="43"/>
      <c r="Y351" s="50"/>
      <c r="Z351" s="43"/>
      <c r="AA351" s="50"/>
      <c r="AB351" s="43"/>
      <c r="AC351" s="50"/>
      <c r="AD351" s="43"/>
      <c r="AE351" s="50"/>
      <c r="AF351" s="43"/>
      <c r="AG351" s="50"/>
      <c r="AH351" s="43"/>
      <c r="AI351" s="50"/>
      <c r="AJ351" s="43"/>
      <c r="AK351" s="50"/>
      <c r="AL351" s="43"/>
      <c r="AM351" s="50"/>
      <c r="AO351" s="43"/>
      <c r="AP351" s="46"/>
      <c r="AQ351" s="43"/>
      <c r="AR351" s="119"/>
      <c r="AS351" s="1"/>
      <c r="AT351" s="1"/>
    </row>
    <row r="352">
      <c r="A352" s="43"/>
      <c r="B352" s="59" t="str">
        <f>IFERROR(HYPERLINK(VLOOKUP(A352,Internal_lists_bugs!$A$2:$C$73,3,FALSE()), VLOOKUP(A352,Internal_lists_bugs!$A$2:$C$73,3,FALSE())&amp;Char(10) &amp; Char(10) &amp; VLOOKUP(A352,Internal_lists_bugs!$A$2:$Z$73,26,FALSE())),"please select a BUG ID")</f>
        <v>please select a BUG ID</v>
      </c>
      <c r="C352" s="51" t="str">
        <f>IFERROR(VLOOKUP(A352,Internal_lists_bugs!$A$2:$G2003,7,FALSE()),"please select a BUG ID")</f>
        <v>please select a BUG ID</v>
      </c>
      <c r="D352" s="43"/>
      <c r="E352" s="63"/>
      <c r="F352" s="43"/>
      <c r="G352" s="63"/>
      <c r="H352" s="43"/>
      <c r="I352" s="63"/>
      <c r="J352" s="43"/>
      <c r="K352" s="50"/>
      <c r="L352" s="43"/>
      <c r="M352" s="50"/>
      <c r="N352" s="43"/>
      <c r="O352" s="50"/>
      <c r="P352" s="43"/>
      <c r="Q352" s="50"/>
      <c r="R352" s="43"/>
      <c r="S352" s="50"/>
      <c r="T352" s="43"/>
      <c r="U352" s="50"/>
      <c r="V352" s="43"/>
      <c r="W352" s="50"/>
      <c r="X352" s="43"/>
      <c r="Y352" s="50"/>
      <c r="Z352" s="43"/>
      <c r="AA352" s="50"/>
      <c r="AB352" s="43"/>
      <c r="AC352" s="50"/>
      <c r="AD352" s="43"/>
      <c r="AE352" s="50"/>
      <c r="AF352" s="43"/>
      <c r="AG352" s="50"/>
      <c r="AH352" s="43"/>
      <c r="AI352" s="50"/>
      <c r="AJ352" s="43"/>
      <c r="AK352" s="50"/>
      <c r="AL352" s="43"/>
      <c r="AM352" s="50"/>
      <c r="AO352" s="43"/>
      <c r="AP352" s="46"/>
      <c r="AQ352" s="43"/>
      <c r="AR352" s="119"/>
      <c r="AS352" s="1"/>
      <c r="AT352" s="1"/>
    </row>
    <row r="353">
      <c r="A353" s="43"/>
      <c r="B353" s="59" t="str">
        <f>IFERROR(HYPERLINK(VLOOKUP(A353,Internal_lists_bugs!$A$2:$C$73,3,FALSE()), VLOOKUP(A353,Internal_lists_bugs!$A$2:$C$73,3,FALSE())&amp;Char(10) &amp; Char(10) &amp; VLOOKUP(A353,Internal_lists_bugs!$A$2:$Z$73,26,FALSE())),"please select a BUG ID")</f>
        <v>please select a BUG ID</v>
      </c>
      <c r="C353" s="51" t="str">
        <f>IFERROR(VLOOKUP(A353,Internal_lists_bugs!$A$2:$G2003,7,FALSE()),"please select a BUG ID")</f>
        <v>please select a BUG ID</v>
      </c>
      <c r="D353" s="43"/>
      <c r="E353" s="63"/>
      <c r="F353" s="43"/>
      <c r="G353" s="63"/>
      <c r="H353" s="43"/>
      <c r="I353" s="63"/>
      <c r="J353" s="43"/>
      <c r="K353" s="50"/>
      <c r="L353" s="43"/>
      <c r="M353" s="50"/>
      <c r="N353" s="43"/>
      <c r="O353" s="50"/>
      <c r="P353" s="43"/>
      <c r="Q353" s="50"/>
      <c r="R353" s="43"/>
      <c r="S353" s="50"/>
      <c r="T353" s="43"/>
      <c r="U353" s="50"/>
      <c r="V353" s="43"/>
      <c r="W353" s="50"/>
      <c r="X353" s="43"/>
      <c r="Y353" s="50"/>
      <c r="Z353" s="43"/>
      <c r="AA353" s="50"/>
      <c r="AB353" s="43"/>
      <c r="AC353" s="50"/>
      <c r="AD353" s="43"/>
      <c r="AE353" s="50"/>
      <c r="AF353" s="43"/>
      <c r="AG353" s="50"/>
      <c r="AH353" s="43"/>
      <c r="AI353" s="50"/>
      <c r="AJ353" s="43"/>
      <c r="AK353" s="50"/>
      <c r="AL353" s="43"/>
      <c r="AM353" s="50"/>
      <c r="AO353" s="43"/>
      <c r="AP353" s="46"/>
      <c r="AQ353" s="43"/>
      <c r="AR353" s="119"/>
      <c r="AS353" s="1"/>
      <c r="AT353" s="1"/>
    </row>
    <row r="354">
      <c r="A354" s="43"/>
      <c r="B354" s="59" t="str">
        <f>IFERROR(HYPERLINK(VLOOKUP(A354,Internal_lists_bugs!$A$2:$C$73,3,FALSE()), VLOOKUP(A354,Internal_lists_bugs!$A$2:$C$73,3,FALSE())&amp;Char(10) &amp; Char(10) &amp; VLOOKUP(A354,Internal_lists_bugs!$A$2:$Z$73,26,FALSE())),"please select a BUG ID")</f>
        <v>please select a BUG ID</v>
      </c>
      <c r="C354" s="51" t="str">
        <f>IFERROR(VLOOKUP(A354,Internal_lists_bugs!$A$2:$G2003,7,FALSE()),"please select a BUG ID")</f>
        <v>please select a BUG ID</v>
      </c>
      <c r="D354" s="43"/>
      <c r="E354" s="63"/>
      <c r="F354" s="43"/>
      <c r="G354" s="63"/>
      <c r="H354" s="43"/>
      <c r="I354" s="63"/>
      <c r="J354" s="43"/>
      <c r="K354" s="50"/>
      <c r="L354" s="43"/>
      <c r="M354" s="50"/>
      <c r="N354" s="43"/>
      <c r="O354" s="50"/>
      <c r="P354" s="43"/>
      <c r="Q354" s="50"/>
      <c r="R354" s="43"/>
      <c r="S354" s="50"/>
      <c r="T354" s="43"/>
      <c r="U354" s="50"/>
      <c r="V354" s="43"/>
      <c r="W354" s="50"/>
      <c r="X354" s="43"/>
      <c r="Y354" s="50"/>
      <c r="Z354" s="43"/>
      <c r="AA354" s="50"/>
      <c r="AB354" s="43"/>
      <c r="AC354" s="50"/>
      <c r="AD354" s="43"/>
      <c r="AE354" s="50"/>
      <c r="AF354" s="43"/>
      <c r="AG354" s="50"/>
      <c r="AH354" s="43"/>
      <c r="AI354" s="50"/>
      <c r="AJ354" s="43"/>
      <c r="AK354" s="50"/>
      <c r="AL354" s="43"/>
      <c r="AM354" s="50"/>
      <c r="AO354" s="43"/>
      <c r="AP354" s="46"/>
      <c r="AQ354" s="43"/>
      <c r="AR354" s="119"/>
      <c r="AS354" s="1"/>
      <c r="AT354" s="1"/>
    </row>
    <row r="355">
      <c r="A355" s="43"/>
      <c r="B355" s="59" t="str">
        <f>IFERROR(HYPERLINK(VLOOKUP(A355,Internal_lists_bugs!$A$2:$C$73,3,FALSE()), VLOOKUP(A355,Internal_lists_bugs!$A$2:$C$73,3,FALSE())&amp;Char(10) &amp; Char(10) &amp; VLOOKUP(A355,Internal_lists_bugs!$A$2:$Z$73,26,FALSE())),"please select a BUG ID")</f>
        <v>please select a BUG ID</v>
      </c>
      <c r="C355" s="51" t="str">
        <f>IFERROR(VLOOKUP(A355,Internal_lists_bugs!$A$2:$G2003,7,FALSE()),"please select a BUG ID")</f>
        <v>please select a BUG ID</v>
      </c>
      <c r="D355" s="43"/>
      <c r="E355" s="63"/>
      <c r="F355" s="43"/>
      <c r="G355" s="63"/>
      <c r="H355" s="43"/>
      <c r="I355" s="63"/>
      <c r="J355" s="43"/>
      <c r="K355" s="50"/>
      <c r="L355" s="43"/>
      <c r="M355" s="50"/>
      <c r="N355" s="43"/>
      <c r="O355" s="50"/>
      <c r="P355" s="43"/>
      <c r="Q355" s="50"/>
      <c r="R355" s="43"/>
      <c r="S355" s="50"/>
      <c r="T355" s="43"/>
      <c r="U355" s="50"/>
      <c r="V355" s="43"/>
      <c r="W355" s="50"/>
      <c r="X355" s="43"/>
      <c r="Y355" s="50"/>
      <c r="Z355" s="43"/>
      <c r="AA355" s="50"/>
      <c r="AB355" s="43"/>
      <c r="AC355" s="50"/>
      <c r="AD355" s="43"/>
      <c r="AE355" s="50"/>
      <c r="AF355" s="43"/>
      <c r="AG355" s="50"/>
      <c r="AH355" s="43"/>
      <c r="AI355" s="50"/>
      <c r="AJ355" s="43"/>
      <c r="AK355" s="50"/>
      <c r="AL355" s="43"/>
      <c r="AM355" s="50"/>
      <c r="AO355" s="43"/>
      <c r="AP355" s="46"/>
      <c r="AQ355" s="43"/>
      <c r="AR355" s="119"/>
      <c r="AS355" s="1"/>
      <c r="AT355" s="1"/>
    </row>
    <row r="356">
      <c r="A356" s="43"/>
      <c r="B356" s="59" t="str">
        <f>IFERROR(HYPERLINK(VLOOKUP(A356,Internal_lists_bugs!$A$2:$C$73,3,FALSE()), VLOOKUP(A356,Internal_lists_bugs!$A$2:$C$73,3,FALSE())&amp;Char(10) &amp; Char(10) &amp; VLOOKUP(A356,Internal_lists_bugs!$A$2:$Z$73,26,FALSE())),"please select a BUG ID")</f>
        <v>please select a BUG ID</v>
      </c>
      <c r="C356" s="51" t="str">
        <f>IFERROR(VLOOKUP(A356,Internal_lists_bugs!$A$2:$G2003,7,FALSE()),"please select a BUG ID")</f>
        <v>please select a BUG ID</v>
      </c>
      <c r="D356" s="43"/>
      <c r="E356" s="63"/>
      <c r="F356" s="43"/>
      <c r="G356" s="63"/>
      <c r="H356" s="43"/>
      <c r="I356" s="63"/>
      <c r="J356" s="43"/>
      <c r="K356" s="50"/>
      <c r="L356" s="43"/>
      <c r="M356" s="50"/>
      <c r="N356" s="43"/>
      <c r="O356" s="50"/>
      <c r="P356" s="43"/>
      <c r="Q356" s="50"/>
      <c r="R356" s="43"/>
      <c r="S356" s="50"/>
      <c r="T356" s="43"/>
      <c r="U356" s="50"/>
      <c r="V356" s="43"/>
      <c r="W356" s="50"/>
      <c r="X356" s="43"/>
      <c r="Y356" s="50"/>
      <c r="Z356" s="43"/>
      <c r="AA356" s="50"/>
      <c r="AB356" s="43"/>
      <c r="AC356" s="50"/>
      <c r="AD356" s="43"/>
      <c r="AE356" s="50"/>
      <c r="AF356" s="43"/>
      <c r="AG356" s="50"/>
      <c r="AH356" s="43"/>
      <c r="AI356" s="50"/>
      <c r="AJ356" s="43"/>
      <c r="AK356" s="50"/>
      <c r="AL356" s="43"/>
      <c r="AM356" s="50"/>
      <c r="AO356" s="43"/>
      <c r="AP356" s="46"/>
      <c r="AQ356" s="43"/>
      <c r="AR356" s="119"/>
      <c r="AS356" s="1"/>
      <c r="AT356" s="1"/>
    </row>
    <row r="357">
      <c r="A357" s="43"/>
      <c r="B357" s="59" t="str">
        <f>IFERROR(HYPERLINK(VLOOKUP(A357,Internal_lists_bugs!$A$2:$C$73,3,FALSE()), VLOOKUP(A357,Internal_lists_bugs!$A$2:$C$73,3,FALSE())&amp;Char(10) &amp; Char(10) &amp; VLOOKUP(A357,Internal_lists_bugs!$A$2:$Z$73,26,FALSE())),"please select a BUG ID")</f>
        <v>please select a BUG ID</v>
      </c>
      <c r="C357" s="51" t="str">
        <f>IFERROR(VLOOKUP(A357,Internal_lists_bugs!$A$2:$G2003,7,FALSE()),"please select a BUG ID")</f>
        <v>please select a BUG ID</v>
      </c>
      <c r="D357" s="43"/>
      <c r="E357" s="63"/>
      <c r="F357" s="43"/>
      <c r="G357" s="63"/>
      <c r="H357" s="43"/>
      <c r="I357" s="63"/>
      <c r="J357" s="43"/>
      <c r="K357" s="50"/>
      <c r="L357" s="43"/>
      <c r="M357" s="50"/>
      <c r="N357" s="43"/>
      <c r="O357" s="50"/>
      <c r="P357" s="43"/>
      <c r="Q357" s="50"/>
      <c r="R357" s="43"/>
      <c r="S357" s="50"/>
      <c r="T357" s="43"/>
      <c r="U357" s="50"/>
      <c r="V357" s="43"/>
      <c r="W357" s="50"/>
      <c r="X357" s="43"/>
      <c r="Y357" s="50"/>
      <c r="Z357" s="43"/>
      <c r="AA357" s="50"/>
      <c r="AB357" s="43"/>
      <c r="AC357" s="50"/>
      <c r="AD357" s="43"/>
      <c r="AE357" s="50"/>
      <c r="AF357" s="43"/>
      <c r="AG357" s="50"/>
      <c r="AH357" s="43"/>
      <c r="AI357" s="50"/>
      <c r="AJ357" s="43"/>
      <c r="AK357" s="50"/>
      <c r="AL357" s="43"/>
      <c r="AM357" s="50"/>
      <c r="AO357" s="43"/>
      <c r="AP357" s="46"/>
      <c r="AQ357" s="43"/>
      <c r="AR357" s="119"/>
      <c r="AS357" s="1"/>
      <c r="AT357" s="1"/>
    </row>
    <row r="358">
      <c r="A358" s="43"/>
      <c r="B358" s="59" t="str">
        <f>IFERROR(HYPERLINK(VLOOKUP(A358,Internal_lists_bugs!$A$2:$C$73,3,FALSE()), VLOOKUP(A358,Internal_lists_bugs!$A$2:$C$73,3,FALSE())&amp;Char(10) &amp; Char(10) &amp; VLOOKUP(A358,Internal_lists_bugs!$A$2:$Z$73,26,FALSE())),"please select a BUG ID")</f>
        <v>please select a BUG ID</v>
      </c>
      <c r="C358" s="51" t="str">
        <f>IFERROR(VLOOKUP(A358,Internal_lists_bugs!$A$2:$G2003,7,FALSE()),"please select a BUG ID")</f>
        <v>please select a BUG ID</v>
      </c>
      <c r="D358" s="43"/>
      <c r="E358" s="63"/>
      <c r="F358" s="43"/>
      <c r="G358" s="63"/>
      <c r="H358" s="43"/>
      <c r="I358" s="63"/>
      <c r="J358" s="43"/>
      <c r="K358" s="50"/>
      <c r="L358" s="43"/>
      <c r="M358" s="50"/>
      <c r="N358" s="43"/>
      <c r="O358" s="50"/>
      <c r="P358" s="43"/>
      <c r="Q358" s="50"/>
      <c r="R358" s="43"/>
      <c r="S358" s="50"/>
      <c r="T358" s="43"/>
      <c r="U358" s="50"/>
      <c r="V358" s="43"/>
      <c r="W358" s="50"/>
      <c r="X358" s="43"/>
      <c r="Y358" s="50"/>
      <c r="Z358" s="43"/>
      <c r="AA358" s="50"/>
      <c r="AB358" s="43"/>
      <c r="AC358" s="50"/>
      <c r="AD358" s="43"/>
      <c r="AE358" s="50"/>
      <c r="AF358" s="43"/>
      <c r="AG358" s="50"/>
      <c r="AH358" s="43"/>
      <c r="AI358" s="50"/>
      <c r="AJ358" s="43"/>
      <c r="AK358" s="50"/>
      <c r="AL358" s="43"/>
      <c r="AM358" s="50"/>
      <c r="AO358" s="43"/>
      <c r="AP358" s="46"/>
      <c r="AQ358" s="43"/>
      <c r="AR358" s="119"/>
      <c r="AS358" s="1"/>
      <c r="AT358" s="1"/>
    </row>
    <row r="359">
      <c r="A359" s="43"/>
      <c r="B359" s="59" t="str">
        <f>IFERROR(HYPERLINK(VLOOKUP(A359,Internal_lists_bugs!$A$2:$C$73,3,FALSE()), VLOOKUP(A359,Internal_lists_bugs!$A$2:$C$73,3,FALSE())&amp;Char(10) &amp; Char(10) &amp; VLOOKUP(A359,Internal_lists_bugs!$A$2:$Z$73,26,FALSE())),"please select a BUG ID")</f>
        <v>please select a BUG ID</v>
      </c>
      <c r="C359" s="51" t="str">
        <f>IFERROR(VLOOKUP(A359,Internal_lists_bugs!$A$2:$G2003,7,FALSE()),"please select a BUG ID")</f>
        <v>please select a BUG ID</v>
      </c>
      <c r="D359" s="43"/>
      <c r="E359" s="63"/>
      <c r="F359" s="43"/>
      <c r="G359" s="63"/>
      <c r="H359" s="43"/>
      <c r="I359" s="63"/>
      <c r="J359" s="43"/>
      <c r="K359" s="50"/>
      <c r="L359" s="43"/>
      <c r="M359" s="50"/>
      <c r="N359" s="43"/>
      <c r="O359" s="50"/>
      <c r="P359" s="43"/>
      <c r="Q359" s="50"/>
      <c r="R359" s="43"/>
      <c r="S359" s="50"/>
      <c r="T359" s="43"/>
      <c r="U359" s="50"/>
      <c r="V359" s="43"/>
      <c r="W359" s="50"/>
      <c r="X359" s="43"/>
      <c r="Y359" s="50"/>
      <c r="Z359" s="43"/>
      <c r="AA359" s="50"/>
      <c r="AB359" s="43"/>
      <c r="AC359" s="50"/>
      <c r="AD359" s="43"/>
      <c r="AE359" s="50"/>
      <c r="AF359" s="43"/>
      <c r="AG359" s="50"/>
      <c r="AH359" s="43"/>
      <c r="AI359" s="50"/>
      <c r="AJ359" s="43"/>
      <c r="AK359" s="50"/>
      <c r="AL359" s="43"/>
      <c r="AM359" s="50"/>
      <c r="AO359" s="43"/>
      <c r="AP359" s="46"/>
      <c r="AQ359" s="43"/>
      <c r="AR359" s="119"/>
      <c r="AS359" s="1"/>
      <c r="AT359" s="1"/>
    </row>
    <row r="360">
      <c r="A360" s="43"/>
      <c r="B360" s="59" t="str">
        <f>IFERROR(HYPERLINK(VLOOKUP(A360,Internal_lists_bugs!$A$2:$C$73,3,FALSE()), VLOOKUP(A360,Internal_lists_bugs!$A$2:$C$73,3,FALSE())&amp;Char(10) &amp; Char(10) &amp; VLOOKUP(A360,Internal_lists_bugs!$A$2:$Z$73,26,FALSE())),"please select a BUG ID")</f>
        <v>please select a BUG ID</v>
      </c>
      <c r="C360" s="51" t="str">
        <f>IFERROR(VLOOKUP(A360,Internal_lists_bugs!$A$2:$G2003,7,FALSE()),"please select a BUG ID")</f>
        <v>please select a BUG ID</v>
      </c>
      <c r="D360" s="43"/>
      <c r="E360" s="63"/>
      <c r="F360" s="43"/>
      <c r="G360" s="63"/>
      <c r="H360" s="43"/>
      <c r="I360" s="63"/>
      <c r="J360" s="43"/>
      <c r="K360" s="50"/>
      <c r="L360" s="43"/>
      <c r="M360" s="50"/>
      <c r="N360" s="43"/>
      <c r="O360" s="50"/>
      <c r="P360" s="43"/>
      <c r="Q360" s="50"/>
      <c r="R360" s="43"/>
      <c r="S360" s="50"/>
      <c r="T360" s="43"/>
      <c r="U360" s="50"/>
      <c r="V360" s="43"/>
      <c r="W360" s="50"/>
      <c r="X360" s="43"/>
      <c r="Y360" s="50"/>
      <c r="Z360" s="43"/>
      <c r="AA360" s="50"/>
      <c r="AB360" s="43"/>
      <c r="AC360" s="50"/>
      <c r="AD360" s="43"/>
      <c r="AE360" s="50"/>
      <c r="AF360" s="43"/>
      <c r="AG360" s="50"/>
      <c r="AH360" s="43"/>
      <c r="AI360" s="50"/>
      <c r="AJ360" s="43"/>
      <c r="AK360" s="50"/>
      <c r="AL360" s="43"/>
      <c r="AM360" s="50"/>
      <c r="AO360" s="43"/>
      <c r="AP360" s="46"/>
      <c r="AQ360" s="43"/>
      <c r="AR360" s="119"/>
      <c r="AS360" s="1"/>
      <c r="AT360" s="1"/>
    </row>
    <row r="361">
      <c r="A361" s="43"/>
      <c r="B361" s="59" t="str">
        <f>IFERROR(HYPERLINK(VLOOKUP(A361,Internal_lists_bugs!$A$2:$C$73,3,FALSE()), VLOOKUP(A361,Internal_lists_bugs!$A$2:$C$73,3,FALSE())&amp;Char(10) &amp; Char(10) &amp; VLOOKUP(A361,Internal_lists_bugs!$A$2:$Z$73,26,FALSE())),"please select a BUG ID")</f>
        <v>please select a BUG ID</v>
      </c>
      <c r="C361" s="51" t="str">
        <f>IFERROR(VLOOKUP(A361,Internal_lists_bugs!$A$2:$G2003,7,FALSE()),"please select a BUG ID")</f>
        <v>please select a BUG ID</v>
      </c>
      <c r="D361" s="43"/>
      <c r="E361" s="63"/>
      <c r="F361" s="43"/>
      <c r="G361" s="63"/>
      <c r="H361" s="43"/>
      <c r="I361" s="63"/>
      <c r="J361" s="43"/>
      <c r="K361" s="50"/>
      <c r="L361" s="43"/>
      <c r="M361" s="50"/>
      <c r="N361" s="43"/>
      <c r="O361" s="50"/>
      <c r="P361" s="43"/>
      <c r="Q361" s="50"/>
      <c r="R361" s="43"/>
      <c r="S361" s="50"/>
      <c r="T361" s="43"/>
      <c r="U361" s="50"/>
      <c r="V361" s="43"/>
      <c r="W361" s="50"/>
      <c r="X361" s="43"/>
      <c r="Y361" s="50"/>
      <c r="Z361" s="43"/>
      <c r="AA361" s="50"/>
      <c r="AB361" s="43"/>
      <c r="AC361" s="50"/>
      <c r="AD361" s="43"/>
      <c r="AE361" s="50"/>
      <c r="AF361" s="43"/>
      <c r="AG361" s="50"/>
      <c r="AH361" s="43"/>
      <c r="AI361" s="50"/>
      <c r="AJ361" s="43"/>
      <c r="AK361" s="50"/>
      <c r="AL361" s="43"/>
      <c r="AM361" s="50"/>
      <c r="AO361" s="43"/>
      <c r="AP361" s="46"/>
      <c r="AQ361" s="43"/>
      <c r="AR361" s="119"/>
      <c r="AS361" s="1"/>
      <c r="AT361" s="1"/>
    </row>
    <row r="362">
      <c r="A362" s="43"/>
      <c r="B362" s="59" t="str">
        <f>IFERROR(HYPERLINK(VLOOKUP(A362,Internal_lists_bugs!$A$2:$C$73,3,FALSE()), VLOOKUP(A362,Internal_lists_bugs!$A$2:$C$73,3,FALSE())&amp;Char(10) &amp; Char(10) &amp; VLOOKUP(A362,Internal_lists_bugs!$A$2:$Z$73,26,FALSE())),"please select a BUG ID")</f>
        <v>please select a BUG ID</v>
      </c>
      <c r="C362" s="51" t="str">
        <f>IFERROR(VLOOKUP(A362,Internal_lists_bugs!$A$2:$G2003,7,FALSE()),"please select a BUG ID")</f>
        <v>please select a BUG ID</v>
      </c>
      <c r="D362" s="43"/>
      <c r="E362" s="63"/>
      <c r="F362" s="43"/>
      <c r="G362" s="63"/>
      <c r="H362" s="43"/>
      <c r="I362" s="63"/>
      <c r="J362" s="43"/>
      <c r="K362" s="50"/>
      <c r="L362" s="43"/>
      <c r="M362" s="50"/>
      <c r="N362" s="43"/>
      <c r="O362" s="50"/>
      <c r="P362" s="43"/>
      <c r="Q362" s="50"/>
      <c r="R362" s="43"/>
      <c r="S362" s="50"/>
      <c r="T362" s="43"/>
      <c r="U362" s="50"/>
      <c r="V362" s="43"/>
      <c r="W362" s="50"/>
      <c r="X362" s="43"/>
      <c r="Y362" s="50"/>
      <c r="Z362" s="43"/>
      <c r="AA362" s="50"/>
      <c r="AB362" s="43"/>
      <c r="AC362" s="50"/>
      <c r="AD362" s="43"/>
      <c r="AE362" s="50"/>
      <c r="AF362" s="43"/>
      <c r="AG362" s="50"/>
      <c r="AH362" s="43"/>
      <c r="AI362" s="50"/>
      <c r="AJ362" s="43"/>
      <c r="AK362" s="50"/>
      <c r="AL362" s="43"/>
      <c r="AM362" s="50"/>
      <c r="AO362" s="43"/>
      <c r="AP362" s="46"/>
      <c r="AQ362" s="43"/>
      <c r="AR362" s="119"/>
      <c r="AS362" s="1"/>
      <c r="AT362" s="1"/>
    </row>
    <row r="363">
      <c r="A363" s="43"/>
      <c r="B363" s="59" t="str">
        <f>IFERROR(HYPERLINK(VLOOKUP(A363,Internal_lists_bugs!$A$2:$C$73,3,FALSE()), VLOOKUP(A363,Internal_lists_bugs!$A$2:$C$73,3,FALSE())&amp;Char(10) &amp; Char(10) &amp; VLOOKUP(A363,Internal_lists_bugs!$A$2:$Z$73,26,FALSE())),"please select a BUG ID")</f>
        <v>please select a BUG ID</v>
      </c>
      <c r="C363" s="51" t="str">
        <f>IFERROR(VLOOKUP(A363,Internal_lists_bugs!$A$2:$G2003,7,FALSE()),"please select a BUG ID")</f>
        <v>please select a BUG ID</v>
      </c>
      <c r="D363" s="43"/>
      <c r="E363" s="63"/>
      <c r="F363" s="43"/>
      <c r="G363" s="63"/>
      <c r="H363" s="43"/>
      <c r="I363" s="63"/>
      <c r="J363" s="43"/>
      <c r="K363" s="50"/>
      <c r="L363" s="43"/>
      <c r="M363" s="50"/>
      <c r="N363" s="43"/>
      <c r="O363" s="50"/>
      <c r="P363" s="43"/>
      <c r="Q363" s="50"/>
      <c r="R363" s="43"/>
      <c r="S363" s="50"/>
      <c r="T363" s="43"/>
      <c r="U363" s="50"/>
      <c r="V363" s="43"/>
      <c r="W363" s="50"/>
      <c r="X363" s="43"/>
      <c r="Y363" s="50"/>
      <c r="Z363" s="43"/>
      <c r="AA363" s="50"/>
      <c r="AB363" s="43"/>
      <c r="AC363" s="50"/>
      <c r="AD363" s="43"/>
      <c r="AE363" s="50"/>
      <c r="AF363" s="43"/>
      <c r="AG363" s="50"/>
      <c r="AH363" s="43"/>
      <c r="AI363" s="50"/>
      <c r="AJ363" s="43"/>
      <c r="AK363" s="50"/>
      <c r="AL363" s="43"/>
      <c r="AM363" s="50"/>
      <c r="AO363" s="43"/>
      <c r="AP363" s="46"/>
      <c r="AQ363" s="43"/>
      <c r="AR363" s="119"/>
      <c r="AS363" s="1"/>
      <c r="AT363" s="1"/>
    </row>
    <row r="364">
      <c r="A364" s="43"/>
      <c r="B364" s="59" t="str">
        <f>IFERROR(HYPERLINK(VLOOKUP(A364,Internal_lists_bugs!$A$2:$C$73,3,FALSE()), VLOOKUP(A364,Internal_lists_bugs!$A$2:$C$73,3,FALSE())&amp;Char(10) &amp; Char(10) &amp; VLOOKUP(A364,Internal_lists_bugs!$A$2:$Z$73,26,FALSE())),"please select a BUG ID")</f>
        <v>please select a BUG ID</v>
      </c>
      <c r="C364" s="51" t="str">
        <f>IFERROR(VLOOKUP(A364,Internal_lists_bugs!$A$2:$G2003,7,FALSE()),"please select a BUG ID")</f>
        <v>please select a BUG ID</v>
      </c>
      <c r="D364" s="43"/>
      <c r="E364" s="63"/>
      <c r="F364" s="43"/>
      <c r="G364" s="63"/>
      <c r="H364" s="43"/>
      <c r="I364" s="63"/>
      <c r="J364" s="43"/>
      <c r="K364" s="50"/>
      <c r="L364" s="43"/>
      <c r="M364" s="50"/>
      <c r="N364" s="43"/>
      <c r="O364" s="50"/>
      <c r="P364" s="43"/>
      <c r="Q364" s="50"/>
      <c r="R364" s="43"/>
      <c r="S364" s="50"/>
      <c r="T364" s="43"/>
      <c r="U364" s="50"/>
      <c r="V364" s="43"/>
      <c r="W364" s="50"/>
      <c r="X364" s="43"/>
      <c r="Y364" s="50"/>
      <c r="Z364" s="43"/>
      <c r="AA364" s="50"/>
      <c r="AB364" s="43"/>
      <c r="AC364" s="50"/>
      <c r="AD364" s="43"/>
      <c r="AE364" s="50"/>
      <c r="AF364" s="43"/>
      <c r="AG364" s="50"/>
      <c r="AH364" s="43"/>
      <c r="AI364" s="50"/>
      <c r="AJ364" s="43"/>
      <c r="AK364" s="50"/>
      <c r="AL364" s="43"/>
      <c r="AM364" s="50"/>
      <c r="AO364" s="43"/>
      <c r="AP364" s="46"/>
      <c r="AQ364" s="43"/>
      <c r="AR364" s="119"/>
      <c r="AS364" s="1"/>
      <c r="AT364" s="1"/>
    </row>
    <row r="365">
      <c r="A365" s="43"/>
      <c r="B365" s="59" t="str">
        <f>IFERROR(HYPERLINK(VLOOKUP(A365,Internal_lists_bugs!$A$2:$C$73,3,FALSE()), VLOOKUP(A365,Internal_lists_bugs!$A$2:$C$73,3,FALSE())&amp;Char(10) &amp; Char(10) &amp; VLOOKUP(A365,Internal_lists_bugs!$A$2:$Z$73,26,FALSE())),"please select a BUG ID")</f>
        <v>please select a BUG ID</v>
      </c>
      <c r="C365" s="51" t="str">
        <f>IFERROR(VLOOKUP(A365,Internal_lists_bugs!$A$2:$G2003,7,FALSE()),"please select a BUG ID")</f>
        <v>please select a BUG ID</v>
      </c>
      <c r="D365" s="43"/>
      <c r="E365" s="63"/>
      <c r="F365" s="43"/>
      <c r="G365" s="63"/>
      <c r="H365" s="43"/>
      <c r="I365" s="63"/>
      <c r="J365" s="43"/>
      <c r="K365" s="50"/>
      <c r="L365" s="43"/>
      <c r="M365" s="50"/>
      <c r="N365" s="43"/>
      <c r="O365" s="50"/>
      <c r="P365" s="43"/>
      <c r="Q365" s="50"/>
      <c r="R365" s="43"/>
      <c r="S365" s="50"/>
      <c r="T365" s="43"/>
      <c r="U365" s="50"/>
      <c r="V365" s="43"/>
      <c r="W365" s="50"/>
      <c r="X365" s="43"/>
      <c r="Y365" s="50"/>
      <c r="Z365" s="43"/>
      <c r="AA365" s="50"/>
      <c r="AB365" s="43"/>
      <c r="AC365" s="50"/>
      <c r="AD365" s="43"/>
      <c r="AE365" s="50"/>
      <c r="AF365" s="43"/>
      <c r="AG365" s="50"/>
      <c r="AH365" s="43"/>
      <c r="AI365" s="50"/>
      <c r="AJ365" s="43"/>
      <c r="AK365" s="50"/>
      <c r="AL365" s="43"/>
      <c r="AM365" s="50"/>
      <c r="AO365" s="43"/>
      <c r="AP365" s="46"/>
      <c r="AQ365" s="43"/>
      <c r="AR365" s="119"/>
      <c r="AS365" s="1"/>
      <c r="AT365" s="1"/>
    </row>
    <row r="366">
      <c r="A366" s="43"/>
      <c r="B366" s="59" t="str">
        <f>IFERROR(HYPERLINK(VLOOKUP(A366,Internal_lists_bugs!$A$2:$C$73,3,FALSE()), VLOOKUP(A366,Internal_lists_bugs!$A$2:$C$73,3,FALSE())&amp;Char(10) &amp; Char(10) &amp; VLOOKUP(A366,Internal_lists_bugs!$A$2:$Z$73,26,FALSE())),"please select a BUG ID")</f>
        <v>please select a BUG ID</v>
      </c>
      <c r="C366" s="51" t="str">
        <f>IFERROR(VLOOKUP(A366,Internal_lists_bugs!$A$2:$G2003,7,FALSE()),"please select a BUG ID")</f>
        <v>please select a BUG ID</v>
      </c>
      <c r="D366" s="43"/>
      <c r="E366" s="63"/>
      <c r="F366" s="43"/>
      <c r="G366" s="63"/>
      <c r="H366" s="43"/>
      <c r="I366" s="63"/>
      <c r="J366" s="43"/>
      <c r="K366" s="50"/>
      <c r="L366" s="43"/>
      <c r="M366" s="50"/>
      <c r="N366" s="43"/>
      <c r="O366" s="50"/>
      <c r="P366" s="43"/>
      <c r="Q366" s="50"/>
      <c r="R366" s="43"/>
      <c r="S366" s="50"/>
      <c r="T366" s="43"/>
      <c r="U366" s="50"/>
      <c r="V366" s="43"/>
      <c r="W366" s="50"/>
      <c r="X366" s="43"/>
      <c r="Y366" s="50"/>
      <c r="Z366" s="43"/>
      <c r="AA366" s="50"/>
      <c r="AB366" s="43"/>
      <c r="AC366" s="50"/>
      <c r="AD366" s="43"/>
      <c r="AE366" s="50"/>
      <c r="AF366" s="43"/>
      <c r="AG366" s="50"/>
      <c r="AH366" s="43"/>
      <c r="AI366" s="50"/>
      <c r="AJ366" s="43"/>
      <c r="AK366" s="50"/>
      <c r="AL366" s="43"/>
      <c r="AM366" s="50"/>
      <c r="AO366" s="43"/>
      <c r="AP366" s="46"/>
      <c r="AQ366" s="43"/>
      <c r="AR366" s="119"/>
      <c r="AS366" s="1"/>
      <c r="AT366" s="1"/>
    </row>
    <row r="367">
      <c r="A367" s="43"/>
      <c r="B367" s="59" t="str">
        <f>IFERROR(HYPERLINK(VLOOKUP(A367,Internal_lists_bugs!$A$2:$C$73,3,FALSE()), VLOOKUP(A367,Internal_lists_bugs!$A$2:$C$73,3,FALSE())&amp;Char(10) &amp; Char(10) &amp; VLOOKUP(A367,Internal_lists_bugs!$A$2:$Z$73,26,FALSE())),"please select a BUG ID")</f>
        <v>please select a BUG ID</v>
      </c>
      <c r="C367" s="51" t="str">
        <f>IFERROR(VLOOKUP(A367,Internal_lists_bugs!$A$2:$G2003,7,FALSE()),"please select a BUG ID")</f>
        <v>please select a BUG ID</v>
      </c>
      <c r="D367" s="43"/>
      <c r="E367" s="63"/>
      <c r="F367" s="43"/>
      <c r="G367" s="63"/>
      <c r="H367" s="43"/>
      <c r="I367" s="63"/>
      <c r="J367" s="43"/>
      <c r="K367" s="50"/>
      <c r="L367" s="43"/>
      <c r="M367" s="50"/>
      <c r="N367" s="43"/>
      <c r="O367" s="50"/>
      <c r="P367" s="43"/>
      <c r="Q367" s="50"/>
      <c r="R367" s="43"/>
      <c r="S367" s="50"/>
      <c r="T367" s="43"/>
      <c r="U367" s="50"/>
      <c r="V367" s="43"/>
      <c r="W367" s="50"/>
      <c r="X367" s="43"/>
      <c r="Y367" s="50"/>
      <c r="Z367" s="43"/>
      <c r="AA367" s="50"/>
      <c r="AB367" s="43"/>
      <c r="AC367" s="50"/>
      <c r="AD367" s="43"/>
      <c r="AE367" s="50"/>
      <c r="AF367" s="43"/>
      <c r="AG367" s="50"/>
      <c r="AH367" s="43"/>
      <c r="AI367" s="50"/>
      <c r="AJ367" s="43"/>
      <c r="AK367" s="50"/>
      <c r="AL367" s="43"/>
      <c r="AM367" s="50"/>
      <c r="AO367" s="43"/>
      <c r="AP367" s="46"/>
      <c r="AQ367" s="43"/>
      <c r="AR367" s="119"/>
      <c r="AS367" s="1"/>
      <c r="AT367" s="1"/>
    </row>
    <row r="368">
      <c r="A368" s="43"/>
      <c r="B368" s="59" t="str">
        <f>IFERROR(HYPERLINK(VLOOKUP(A368,Internal_lists_bugs!$A$2:$C$73,3,FALSE()), VLOOKUP(A368,Internal_lists_bugs!$A$2:$C$73,3,FALSE())&amp;Char(10) &amp; Char(10) &amp; VLOOKUP(A368,Internal_lists_bugs!$A$2:$Z$73,26,FALSE())),"please select a BUG ID")</f>
        <v>please select a BUG ID</v>
      </c>
      <c r="C368" s="51" t="str">
        <f>IFERROR(VLOOKUP(A368,Internal_lists_bugs!$A$2:$G2003,7,FALSE()),"please select a BUG ID")</f>
        <v>please select a BUG ID</v>
      </c>
      <c r="D368" s="43"/>
      <c r="E368" s="63"/>
      <c r="F368" s="43"/>
      <c r="G368" s="63"/>
      <c r="H368" s="43"/>
      <c r="I368" s="63"/>
      <c r="J368" s="43"/>
      <c r="K368" s="50"/>
      <c r="L368" s="43"/>
      <c r="M368" s="50"/>
      <c r="N368" s="43"/>
      <c r="O368" s="50"/>
      <c r="P368" s="43"/>
      <c r="Q368" s="50"/>
      <c r="R368" s="43"/>
      <c r="S368" s="50"/>
      <c r="T368" s="43"/>
      <c r="U368" s="50"/>
      <c r="V368" s="43"/>
      <c r="W368" s="50"/>
      <c r="X368" s="43"/>
      <c r="Y368" s="50"/>
      <c r="Z368" s="43"/>
      <c r="AA368" s="50"/>
      <c r="AB368" s="43"/>
      <c r="AC368" s="50"/>
      <c r="AD368" s="43"/>
      <c r="AE368" s="50"/>
      <c r="AF368" s="43"/>
      <c r="AG368" s="50"/>
      <c r="AH368" s="43"/>
      <c r="AI368" s="50"/>
      <c r="AJ368" s="43"/>
      <c r="AK368" s="50"/>
      <c r="AL368" s="43"/>
      <c r="AM368" s="50"/>
      <c r="AO368" s="43"/>
      <c r="AP368" s="46"/>
      <c r="AQ368" s="43"/>
      <c r="AR368" s="119"/>
      <c r="AS368" s="1"/>
      <c r="AT368" s="1"/>
    </row>
    <row r="369">
      <c r="A369" s="43"/>
      <c r="B369" s="59" t="str">
        <f>IFERROR(HYPERLINK(VLOOKUP(A369,Internal_lists_bugs!$A$2:$C$73,3,FALSE()), VLOOKUP(A369,Internal_lists_bugs!$A$2:$C$73,3,FALSE())&amp;Char(10) &amp; Char(10) &amp; VLOOKUP(A369,Internal_lists_bugs!$A$2:$Z$73,26,FALSE())),"please select a BUG ID")</f>
        <v>please select a BUG ID</v>
      </c>
      <c r="C369" s="51" t="str">
        <f>IFERROR(VLOOKUP(A369,Internal_lists_bugs!$A$2:$G2003,7,FALSE()),"please select a BUG ID")</f>
        <v>please select a BUG ID</v>
      </c>
      <c r="D369" s="43"/>
      <c r="E369" s="63"/>
      <c r="F369" s="43"/>
      <c r="G369" s="63"/>
      <c r="H369" s="43"/>
      <c r="I369" s="63"/>
      <c r="J369" s="43"/>
      <c r="K369" s="50"/>
      <c r="L369" s="43"/>
      <c r="M369" s="50"/>
      <c r="N369" s="43"/>
      <c r="O369" s="50"/>
      <c r="P369" s="43"/>
      <c r="Q369" s="50"/>
      <c r="R369" s="43"/>
      <c r="S369" s="50"/>
      <c r="T369" s="43"/>
      <c r="U369" s="50"/>
      <c r="V369" s="43"/>
      <c r="W369" s="50"/>
      <c r="X369" s="43"/>
      <c r="Y369" s="50"/>
      <c r="Z369" s="43"/>
      <c r="AA369" s="50"/>
      <c r="AB369" s="43"/>
      <c r="AC369" s="50"/>
      <c r="AD369" s="43"/>
      <c r="AE369" s="50"/>
      <c r="AF369" s="43"/>
      <c r="AG369" s="50"/>
      <c r="AH369" s="43"/>
      <c r="AI369" s="50"/>
      <c r="AJ369" s="43"/>
      <c r="AK369" s="50"/>
      <c r="AL369" s="43"/>
      <c r="AM369" s="50"/>
      <c r="AO369" s="43"/>
      <c r="AP369" s="46"/>
      <c r="AQ369" s="43"/>
      <c r="AR369" s="119"/>
      <c r="AS369" s="1"/>
      <c r="AT369" s="1"/>
    </row>
    <row r="370">
      <c r="A370" s="43"/>
      <c r="B370" s="59" t="str">
        <f>IFERROR(HYPERLINK(VLOOKUP(A370,Internal_lists_bugs!$A$2:$C$73,3,FALSE()), VLOOKUP(A370,Internal_lists_bugs!$A$2:$C$73,3,FALSE())&amp;Char(10) &amp; Char(10) &amp; VLOOKUP(A370,Internal_lists_bugs!$A$2:$Z$73,26,FALSE())),"please select a BUG ID")</f>
        <v>please select a BUG ID</v>
      </c>
      <c r="C370" s="51" t="str">
        <f>IFERROR(VLOOKUP(A370,Internal_lists_bugs!$A$2:$G2003,7,FALSE()),"please select a BUG ID")</f>
        <v>please select a BUG ID</v>
      </c>
      <c r="D370" s="43"/>
      <c r="E370" s="63"/>
      <c r="F370" s="43"/>
      <c r="G370" s="63"/>
      <c r="H370" s="43"/>
      <c r="I370" s="63"/>
      <c r="J370" s="43"/>
      <c r="K370" s="50"/>
      <c r="L370" s="43"/>
      <c r="M370" s="50"/>
      <c r="N370" s="43"/>
      <c r="O370" s="50"/>
      <c r="P370" s="43"/>
      <c r="Q370" s="50"/>
      <c r="R370" s="43"/>
      <c r="S370" s="50"/>
      <c r="T370" s="43"/>
      <c r="U370" s="50"/>
      <c r="V370" s="43"/>
      <c r="W370" s="50"/>
      <c r="X370" s="43"/>
      <c r="Y370" s="50"/>
      <c r="Z370" s="43"/>
      <c r="AA370" s="50"/>
      <c r="AB370" s="43"/>
      <c r="AC370" s="50"/>
      <c r="AD370" s="43"/>
      <c r="AE370" s="50"/>
      <c r="AF370" s="43"/>
      <c r="AG370" s="50"/>
      <c r="AH370" s="43"/>
      <c r="AI370" s="50"/>
      <c r="AJ370" s="43"/>
      <c r="AK370" s="50"/>
      <c r="AL370" s="43"/>
      <c r="AM370" s="50"/>
      <c r="AO370" s="43"/>
      <c r="AP370" s="46"/>
      <c r="AQ370" s="43"/>
      <c r="AR370" s="119"/>
      <c r="AS370" s="1"/>
      <c r="AT370" s="1"/>
    </row>
    <row r="371">
      <c r="A371" s="43"/>
      <c r="B371" s="59" t="str">
        <f>IFERROR(HYPERLINK(VLOOKUP(A371,Internal_lists_bugs!$A$2:$C$73,3,FALSE()), VLOOKUP(A371,Internal_lists_bugs!$A$2:$C$73,3,FALSE())&amp;Char(10) &amp; Char(10) &amp; VLOOKUP(A371,Internal_lists_bugs!$A$2:$Z$73,26,FALSE())),"please select a BUG ID")</f>
        <v>please select a BUG ID</v>
      </c>
      <c r="C371" s="51" t="str">
        <f>IFERROR(VLOOKUP(A371,Internal_lists_bugs!$A$2:$G2003,7,FALSE()),"please select a BUG ID")</f>
        <v>please select a BUG ID</v>
      </c>
      <c r="D371" s="43"/>
      <c r="E371" s="63"/>
      <c r="F371" s="43"/>
      <c r="G371" s="63"/>
      <c r="H371" s="43"/>
      <c r="I371" s="63"/>
      <c r="J371" s="43"/>
      <c r="K371" s="50"/>
      <c r="L371" s="43"/>
      <c r="M371" s="50"/>
      <c r="N371" s="43"/>
      <c r="O371" s="50"/>
      <c r="P371" s="43"/>
      <c r="Q371" s="50"/>
      <c r="R371" s="43"/>
      <c r="S371" s="50"/>
      <c r="T371" s="43"/>
      <c r="U371" s="50"/>
      <c r="V371" s="43"/>
      <c r="W371" s="50"/>
      <c r="X371" s="43"/>
      <c r="Y371" s="50"/>
      <c r="Z371" s="43"/>
      <c r="AA371" s="50"/>
      <c r="AB371" s="43"/>
      <c r="AC371" s="50"/>
      <c r="AD371" s="43"/>
      <c r="AE371" s="50"/>
      <c r="AF371" s="43"/>
      <c r="AG371" s="50"/>
      <c r="AH371" s="43"/>
      <c r="AI371" s="50"/>
      <c r="AJ371" s="43"/>
      <c r="AK371" s="50"/>
      <c r="AL371" s="43"/>
      <c r="AM371" s="50"/>
      <c r="AO371" s="43"/>
      <c r="AP371" s="46"/>
      <c r="AQ371" s="43"/>
      <c r="AR371" s="119"/>
      <c r="AS371" s="1"/>
      <c r="AT371" s="1"/>
    </row>
    <row r="372">
      <c r="A372" s="43"/>
      <c r="B372" s="59" t="str">
        <f>IFERROR(HYPERLINK(VLOOKUP(A372,Internal_lists_bugs!$A$2:$C$73,3,FALSE()), VLOOKUP(A372,Internal_lists_bugs!$A$2:$C$73,3,FALSE())&amp;Char(10) &amp; Char(10) &amp; VLOOKUP(A372,Internal_lists_bugs!$A$2:$Z$73,26,FALSE())),"please select a BUG ID")</f>
        <v>please select a BUG ID</v>
      </c>
      <c r="C372" s="51" t="str">
        <f>IFERROR(VLOOKUP(A372,Internal_lists_bugs!$A$2:$G2003,7,FALSE()),"please select a BUG ID")</f>
        <v>please select a BUG ID</v>
      </c>
      <c r="D372" s="43"/>
      <c r="E372" s="63"/>
      <c r="F372" s="43"/>
      <c r="G372" s="63"/>
      <c r="H372" s="43"/>
      <c r="I372" s="63"/>
      <c r="J372" s="43"/>
      <c r="K372" s="50"/>
      <c r="L372" s="43"/>
      <c r="M372" s="50"/>
      <c r="N372" s="43"/>
      <c r="O372" s="50"/>
      <c r="P372" s="43"/>
      <c r="Q372" s="50"/>
      <c r="R372" s="43"/>
      <c r="S372" s="50"/>
      <c r="T372" s="43"/>
      <c r="U372" s="50"/>
      <c r="V372" s="43"/>
      <c r="W372" s="50"/>
      <c r="X372" s="43"/>
      <c r="Y372" s="50"/>
      <c r="Z372" s="43"/>
      <c r="AA372" s="50"/>
      <c r="AB372" s="43"/>
      <c r="AC372" s="50"/>
      <c r="AD372" s="43"/>
      <c r="AE372" s="50"/>
      <c r="AF372" s="43"/>
      <c r="AG372" s="50"/>
      <c r="AH372" s="43"/>
      <c r="AI372" s="50"/>
      <c r="AJ372" s="43"/>
      <c r="AK372" s="50"/>
      <c r="AL372" s="43"/>
      <c r="AM372" s="50"/>
      <c r="AO372" s="43"/>
      <c r="AP372" s="46"/>
      <c r="AQ372" s="43"/>
      <c r="AR372" s="119"/>
      <c r="AS372" s="1"/>
      <c r="AT372" s="1"/>
    </row>
    <row r="373">
      <c r="A373" s="43"/>
      <c r="B373" s="59" t="str">
        <f>IFERROR(HYPERLINK(VLOOKUP(A373,Internal_lists_bugs!$A$2:$C$73,3,FALSE()), VLOOKUP(A373,Internal_lists_bugs!$A$2:$C$73,3,FALSE())&amp;Char(10) &amp; Char(10) &amp; VLOOKUP(A373,Internal_lists_bugs!$A$2:$Z$73,26,FALSE())),"please select a BUG ID")</f>
        <v>please select a BUG ID</v>
      </c>
      <c r="C373" s="51" t="str">
        <f>IFERROR(VLOOKUP(A373,Internal_lists_bugs!$A$2:$G2003,7,FALSE()),"please select a BUG ID")</f>
        <v>please select a BUG ID</v>
      </c>
      <c r="D373" s="43"/>
      <c r="E373" s="63"/>
      <c r="F373" s="43"/>
      <c r="G373" s="63"/>
      <c r="H373" s="43"/>
      <c r="I373" s="63"/>
      <c r="J373" s="43"/>
      <c r="K373" s="50"/>
      <c r="L373" s="43"/>
      <c r="M373" s="50"/>
      <c r="N373" s="43"/>
      <c r="O373" s="50"/>
      <c r="P373" s="43"/>
      <c r="Q373" s="50"/>
      <c r="R373" s="43"/>
      <c r="S373" s="50"/>
      <c r="T373" s="43"/>
      <c r="U373" s="50"/>
      <c r="V373" s="43"/>
      <c r="W373" s="50"/>
      <c r="X373" s="43"/>
      <c r="Y373" s="50"/>
      <c r="Z373" s="43"/>
      <c r="AA373" s="50"/>
      <c r="AB373" s="43"/>
      <c r="AC373" s="50"/>
      <c r="AD373" s="43"/>
      <c r="AE373" s="50"/>
      <c r="AF373" s="43"/>
      <c r="AG373" s="50"/>
      <c r="AH373" s="43"/>
      <c r="AI373" s="50"/>
      <c r="AJ373" s="43"/>
      <c r="AK373" s="50"/>
      <c r="AL373" s="43"/>
      <c r="AM373" s="50"/>
      <c r="AO373" s="43"/>
      <c r="AP373" s="46"/>
      <c r="AQ373" s="43"/>
      <c r="AR373" s="119"/>
      <c r="AS373" s="1"/>
      <c r="AT373" s="1"/>
    </row>
    <row r="374">
      <c r="A374" s="43"/>
      <c r="B374" s="59" t="str">
        <f>IFERROR(HYPERLINK(VLOOKUP(A374,Internal_lists_bugs!$A$2:$C$73,3,FALSE()), VLOOKUP(A374,Internal_lists_bugs!$A$2:$C$73,3,FALSE())&amp;Char(10) &amp; Char(10) &amp; VLOOKUP(A374,Internal_lists_bugs!$A$2:$Z$73,26,FALSE())),"please select a BUG ID")</f>
        <v>please select a BUG ID</v>
      </c>
      <c r="C374" s="51" t="str">
        <f>IFERROR(VLOOKUP(A374,Internal_lists_bugs!$A$2:$G2003,7,FALSE()),"please select a BUG ID")</f>
        <v>please select a BUG ID</v>
      </c>
      <c r="D374" s="43"/>
      <c r="E374" s="63"/>
      <c r="F374" s="43"/>
      <c r="G374" s="63"/>
      <c r="H374" s="43"/>
      <c r="I374" s="63"/>
      <c r="J374" s="43"/>
      <c r="K374" s="50"/>
      <c r="L374" s="43"/>
      <c r="M374" s="50"/>
      <c r="N374" s="43"/>
      <c r="O374" s="50"/>
      <c r="P374" s="43"/>
      <c r="Q374" s="50"/>
      <c r="R374" s="43"/>
      <c r="S374" s="50"/>
      <c r="T374" s="43"/>
      <c r="U374" s="50"/>
      <c r="V374" s="43"/>
      <c r="W374" s="50"/>
      <c r="X374" s="43"/>
      <c r="Y374" s="50"/>
      <c r="Z374" s="43"/>
      <c r="AA374" s="50"/>
      <c r="AB374" s="43"/>
      <c r="AC374" s="50"/>
      <c r="AD374" s="43"/>
      <c r="AE374" s="50"/>
      <c r="AF374" s="43"/>
      <c r="AG374" s="50"/>
      <c r="AH374" s="43"/>
      <c r="AI374" s="50"/>
      <c r="AJ374" s="43"/>
      <c r="AK374" s="50"/>
      <c r="AL374" s="43"/>
      <c r="AM374" s="50"/>
      <c r="AO374" s="43"/>
      <c r="AP374" s="46"/>
      <c r="AQ374" s="43"/>
      <c r="AR374" s="119"/>
      <c r="AS374" s="1"/>
      <c r="AT374" s="1"/>
    </row>
    <row r="375">
      <c r="A375" s="43"/>
      <c r="B375" s="59" t="str">
        <f>IFERROR(HYPERLINK(VLOOKUP(A375,Internal_lists_bugs!$A$2:$C$73,3,FALSE()), VLOOKUP(A375,Internal_lists_bugs!$A$2:$C$73,3,FALSE())&amp;Char(10) &amp; Char(10) &amp; VLOOKUP(A375,Internal_lists_bugs!$A$2:$Z$73,26,FALSE())),"please select a BUG ID")</f>
        <v>please select a BUG ID</v>
      </c>
      <c r="C375" s="51" t="str">
        <f>IFERROR(VLOOKUP(A375,Internal_lists_bugs!$A$2:$G2003,7,FALSE()),"please select a BUG ID")</f>
        <v>please select a BUG ID</v>
      </c>
      <c r="D375" s="43"/>
      <c r="E375" s="63"/>
      <c r="F375" s="43"/>
      <c r="G375" s="63"/>
      <c r="H375" s="43"/>
      <c r="I375" s="63"/>
      <c r="J375" s="43"/>
      <c r="K375" s="50"/>
      <c r="L375" s="43"/>
      <c r="M375" s="50"/>
      <c r="N375" s="43"/>
      <c r="O375" s="50"/>
      <c r="P375" s="43"/>
      <c r="Q375" s="50"/>
      <c r="R375" s="43"/>
      <c r="S375" s="50"/>
      <c r="T375" s="43"/>
      <c r="U375" s="50"/>
      <c r="V375" s="43"/>
      <c r="W375" s="50"/>
      <c r="X375" s="43"/>
      <c r="Y375" s="50"/>
      <c r="Z375" s="43"/>
      <c r="AA375" s="50"/>
      <c r="AB375" s="43"/>
      <c r="AC375" s="50"/>
      <c r="AD375" s="43"/>
      <c r="AE375" s="50"/>
      <c r="AF375" s="43"/>
      <c r="AG375" s="50"/>
      <c r="AH375" s="43"/>
      <c r="AI375" s="50"/>
      <c r="AJ375" s="43"/>
      <c r="AK375" s="50"/>
      <c r="AL375" s="43"/>
      <c r="AM375" s="50"/>
      <c r="AO375" s="43"/>
      <c r="AP375" s="46"/>
      <c r="AQ375" s="43"/>
      <c r="AR375" s="119"/>
      <c r="AS375" s="1"/>
      <c r="AT375" s="1"/>
    </row>
    <row r="376">
      <c r="A376" s="43"/>
      <c r="B376" s="59" t="str">
        <f>IFERROR(HYPERLINK(VLOOKUP(A376,Internal_lists_bugs!$A$2:$C$73,3,FALSE()), VLOOKUP(A376,Internal_lists_bugs!$A$2:$C$73,3,FALSE())&amp;Char(10) &amp; Char(10) &amp; VLOOKUP(A376,Internal_lists_bugs!$A$2:$Z$73,26,FALSE())),"please select a BUG ID")</f>
        <v>please select a BUG ID</v>
      </c>
      <c r="C376" s="51" t="str">
        <f>IFERROR(VLOOKUP(A376,Internal_lists_bugs!$A$2:$G2003,7,FALSE()),"please select a BUG ID")</f>
        <v>please select a BUG ID</v>
      </c>
      <c r="D376" s="43"/>
      <c r="E376" s="63"/>
      <c r="F376" s="43"/>
      <c r="G376" s="63"/>
      <c r="H376" s="43"/>
      <c r="I376" s="63"/>
      <c r="J376" s="43"/>
      <c r="K376" s="50"/>
      <c r="L376" s="43"/>
      <c r="M376" s="50"/>
      <c r="N376" s="43"/>
      <c r="O376" s="50"/>
      <c r="P376" s="43"/>
      <c r="Q376" s="50"/>
      <c r="R376" s="43"/>
      <c r="S376" s="50"/>
      <c r="T376" s="43"/>
      <c r="U376" s="50"/>
      <c r="V376" s="43"/>
      <c r="W376" s="50"/>
      <c r="X376" s="43"/>
      <c r="Y376" s="50"/>
      <c r="Z376" s="43"/>
      <c r="AA376" s="50"/>
      <c r="AB376" s="43"/>
      <c r="AC376" s="50"/>
      <c r="AD376" s="43"/>
      <c r="AE376" s="50"/>
      <c r="AF376" s="43"/>
      <c r="AG376" s="50"/>
      <c r="AH376" s="43"/>
      <c r="AI376" s="50"/>
      <c r="AJ376" s="43"/>
      <c r="AK376" s="50"/>
      <c r="AL376" s="43"/>
      <c r="AM376" s="50"/>
      <c r="AO376" s="43"/>
      <c r="AP376" s="46"/>
      <c r="AQ376" s="43"/>
      <c r="AR376" s="119"/>
      <c r="AS376" s="1"/>
      <c r="AT376" s="1"/>
    </row>
    <row r="377">
      <c r="A377" s="43"/>
      <c r="B377" s="59" t="str">
        <f>IFERROR(HYPERLINK(VLOOKUP(A377,Internal_lists_bugs!$A$2:$C$73,3,FALSE()), VLOOKUP(A377,Internal_lists_bugs!$A$2:$C$73,3,FALSE())&amp;Char(10) &amp; Char(10) &amp; VLOOKUP(A377,Internal_lists_bugs!$A$2:$Z$73,26,FALSE())),"please select a BUG ID")</f>
        <v>please select a BUG ID</v>
      </c>
      <c r="C377" s="51" t="str">
        <f>IFERROR(VLOOKUP(A377,Internal_lists_bugs!$A$2:$G2003,7,FALSE()),"please select a BUG ID")</f>
        <v>please select a BUG ID</v>
      </c>
      <c r="D377" s="43"/>
      <c r="E377" s="63"/>
      <c r="F377" s="43"/>
      <c r="G377" s="63"/>
      <c r="H377" s="43"/>
      <c r="I377" s="63"/>
      <c r="J377" s="43"/>
      <c r="K377" s="50"/>
      <c r="L377" s="43"/>
      <c r="M377" s="50"/>
      <c r="N377" s="43"/>
      <c r="O377" s="50"/>
      <c r="P377" s="43"/>
      <c r="Q377" s="50"/>
      <c r="R377" s="43"/>
      <c r="S377" s="50"/>
      <c r="T377" s="43"/>
      <c r="U377" s="50"/>
      <c r="V377" s="43"/>
      <c r="W377" s="50"/>
      <c r="X377" s="43"/>
      <c r="Y377" s="50"/>
      <c r="Z377" s="43"/>
      <c r="AA377" s="50"/>
      <c r="AB377" s="43"/>
      <c r="AC377" s="50"/>
      <c r="AD377" s="43"/>
      <c r="AE377" s="50"/>
      <c r="AF377" s="43"/>
      <c r="AG377" s="50"/>
      <c r="AH377" s="43"/>
      <c r="AI377" s="50"/>
      <c r="AJ377" s="43"/>
      <c r="AK377" s="50"/>
      <c r="AL377" s="43"/>
      <c r="AM377" s="50"/>
      <c r="AO377" s="43"/>
      <c r="AP377" s="46"/>
      <c r="AQ377" s="43"/>
      <c r="AR377" s="119"/>
      <c r="AS377" s="1"/>
      <c r="AT377" s="1"/>
    </row>
    <row r="378">
      <c r="A378" s="43"/>
      <c r="B378" s="59" t="str">
        <f>IFERROR(HYPERLINK(VLOOKUP(A378,Internal_lists_bugs!$A$2:$C$73,3,FALSE()), VLOOKUP(A378,Internal_lists_bugs!$A$2:$C$73,3,FALSE())&amp;Char(10) &amp; Char(10) &amp; VLOOKUP(A378,Internal_lists_bugs!$A$2:$Z$73,26,FALSE())),"please select a BUG ID")</f>
        <v>please select a BUG ID</v>
      </c>
      <c r="C378" s="51" t="str">
        <f>IFERROR(VLOOKUP(A378,Internal_lists_bugs!$A$2:$G2003,7,FALSE()),"please select a BUG ID")</f>
        <v>please select a BUG ID</v>
      </c>
      <c r="D378" s="43"/>
      <c r="E378" s="63"/>
      <c r="F378" s="43"/>
      <c r="G378" s="63"/>
      <c r="H378" s="43"/>
      <c r="I378" s="63"/>
      <c r="J378" s="43"/>
      <c r="K378" s="50"/>
      <c r="L378" s="43"/>
      <c r="M378" s="50"/>
      <c r="N378" s="43"/>
      <c r="O378" s="50"/>
      <c r="P378" s="43"/>
      <c r="Q378" s="50"/>
      <c r="R378" s="43"/>
      <c r="S378" s="50"/>
      <c r="T378" s="43"/>
      <c r="U378" s="50"/>
      <c r="V378" s="43"/>
      <c r="W378" s="50"/>
      <c r="X378" s="43"/>
      <c r="Y378" s="50"/>
      <c r="Z378" s="43"/>
      <c r="AA378" s="50"/>
      <c r="AB378" s="43"/>
      <c r="AC378" s="50"/>
      <c r="AD378" s="43"/>
      <c r="AE378" s="50"/>
      <c r="AF378" s="43"/>
      <c r="AG378" s="50"/>
      <c r="AH378" s="43"/>
      <c r="AI378" s="50"/>
      <c r="AJ378" s="43"/>
      <c r="AK378" s="50"/>
      <c r="AL378" s="43"/>
      <c r="AM378" s="50"/>
      <c r="AO378" s="43"/>
      <c r="AP378" s="46"/>
      <c r="AQ378" s="43"/>
      <c r="AR378" s="119"/>
      <c r="AS378" s="1"/>
      <c r="AT378" s="1"/>
    </row>
    <row r="379">
      <c r="A379" s="43"/>
      <c r="B379" s="59" t="str">
        <f>IFERROR(HYPERLINK(VLOOKUP(A379,Internal_lists_bugs!$A$2:$C$73,3,FALSE()), VLOOKUP(A379,Internal_lists_bugs!$A$2:$C$73,3,FALSE())&amp;Char(10) &amp; Char(10) &amp; VLOOKUP(A379,Internal_lists_bugs!$A$2:$Z$73,26,FALSE())),"please select a BUG ID")</f>
        <v>please select a BUG ID</v>
      </c>
      <c r="C379" s="51" t="str">
        <f>IFERROR(VLOOKUP(A379,Internal_lists_bugs!$A$2:$G2003,7,FALSE()),"please select a BUG ID")</f>
        <v>please select a BUG ID</v>
      </c>
      <c r="D379" s="43"/>
      <c r="E379" s="63"/>
      <c r="F379" s="43"/>
      <c r="G379" s="63"/>
      <c r="H379" s="43"/>
      <c r="I379" s="63"/>
      <c r="J379" s="43"/>
      <c r="K379" s="50"/>
      <c r="L379" s="43"/>
      <c r="M379" s="50"/>
      <c r="N379" s="43"/>
      <c r="O379" s="50"/>
      <c r="P379" s="43"/>
      <c r="Q379" s="50"/>
      <c r="R379" s="43"/>
      <c r="S379" s="50"/>
      <c r="T379" s="43"/>
      <c r="U379" s="50"/>
      <c r="V379" s="43"/>
      <c r="W379" s="50"/>
      <c r="X379" s="43"/>
      <c r="Y379" s="50"/>
      <c r="Z379" s="43"/>
      <c r="AA379" s="50"/>
      <c r="AB379" s="43"/>
      <c r="AC379" s="50"/>
      <c r="AD379" s="43"/>
      <c r="AE379" s="50"/>
      <c r="AF379" s="43"/>
      <c r="AG379" s="50"/>
      <c r="AH379" s="43"/>
      <c r="AI379" s="50"/>
      <c r="AJ379" s="43"/>
      <c r="AK379" s="50"/>
      <c r="AL379" s="43"/>
      <c r="AM379" s="50"/>
      <c r="AO379" s="43"/>
      <c r="AP379" s="46"/>
      <c r="AQ379" s="43"/>
      <c r="AR379" s="119"/>
      <c r="AS379" s="1"/>
      <c r="AT379" s="1"/>
    </row>
    <row r="380">
      <c r="A380" s="43"/>
      <c r="B380" s="59" t="str">
        <f>IFERROR(HYPERLINK(VLOOKUP(A380,Internal_lists_bugs!$A$2:$C$73,3,FALSE()), VLOOKUP(A380,Internal_lists_bugs!$A$2:$C$73,3,FALSE())&amp;Char(10) &amp; Char(10) &amp; VLOOKUP(A380,Internal_lists_bugs!$A$2:$Z$73,26,FALSE())),"please select a BUG ID")</f>
        <v>please select a BUG ID</v>
      </c>
      <c r="C380" s="51" t="str">
        <f>IFERROR(VLOOKUP(A380,Internal_lists_bugs!$A$2:$G2003,7,FALSE()),"please select a BUG ID")</f>
        <v>please select a BUG ID</v>
      </c>
      <c r="D380" s="43"/>
      <c r="E380" s="63"/>
      <c r="F380" s="43"/>
      <c r="G380" s="63"/>
      <c r="H380" s="43"/>
      <c r="I380" s="63"/>
      <c r="J380" s="43"/>
      <c r="K380" s="50"/>
      <c r="L380" s="43"/>
      <c r="M380" s="50"/>
      <c r="N380" s="43"/>
      <c r="O380" s="50"/>
      <c r="P380" s="43"/>
      <c r="Q380" s="50"/>
      <c r="R380" s="43"/>
      <c r="S380" s="50"/>
      <c r="T380" s="43"/>
      <c r="U380" s="50"/>
      <c r="V380" s="43"/>
      <c r="W380" s="50"/>
      <c r="X380" s="43"/>
      <c r="Y380" s="50"/>
      <c r="Z380" s="43"/>
      <c r="AA380" s="50"/>
      <c r="AB380" s="43"/>
      <c r="AC380" s="50"/>
      <c r="AD380" s="43"/>
      <c r="AE380" s="50"/>
      <c r="AF380" s="43"/>
      <c r="AG380" s="50"/>
      <c r="AH380" s="43"/>
      <c r="AI380" s="50"/>
      <c r="AJ380" s="43"/>
      <c r="AK380" s="50"/>
      <c r="AL380" s="43"/>
      <c r="AM380" s="50"/>
      <c r="AO380" s="43"/>
      <c r="AP380" s="46"/>
      <c r="AQ380" s="43"/>
      <c r="AR380" s="119"/>
      <c r="AS380" s="1"/>
      <c r="AT380" s="1"/>
    </row>
    <row r="381">
      <c r="A381" s="43"/>
      <c r="B381" s="59" t="str">
        <f>IFERROR(HYPERLINK(VLOOKUP(A381,Internal_lists_bugs!$A$2:$C$73,3,FALSE()), VLOOKUP(A381,Internal_lists_bugs!$A$2:$C$73,3,FALSE())&amp;Char(10) &amp; Char(10) &amp; VLOOKUP(A381,Internal_lists_bugs!$A$2:$Z$73,26,FALSE())),"please select a BUG ID")</f>
        <v>please select a BUG ID</v>
      </c>
      <c r="C381" s="51" t="str">
        <f>IFERROR(VLOOKUP(A381,Internal_lists_bugs!$A$2:$G2003,7,FALSE()),"please select a BUG ID")</f>
        <v>please select a BUG ID</v>
      </c>
      <c r="D381" s="43"/>
      <c r="E381" s="63"/>
      <c r="F381" s="43"/>
      <c r="G381" s="63"/>
      <c r="H381" s="43"/>
      <c r="I381" s="63"/>
      <c r="J381" s="43"/>
      <c r="K381" s="50"/>
      <c r="L381" s="43"/>
      <c r="M381" s="50"/>
      <c r="N381" s="43"/>
      <c r="O381" s="50"/>
      <c r="P381" s="43"/>
      <c r="Q381" s="50"/>
      <c r="R381" s="43"/>
      <c r="S381" s="50"/>
      <c r="T381" s="43"/>
      <c r="U381" s="50"/>
      <c r="V381" s="43"/>
      <c r="W381" s="50"/>
      <c r="X381" s="43"/>
      <c r="Y381" s="50"/>
      <c r="Z381" s="43"/>
      <c r="AA381" s="50"/>
      <c r="AB381" s="43"/>
      <c r="AC381" s="50"/>
      <c r="AD381" s="43"/>
      <c r="AE381" s="50"/>
      <c r="AF381" s="43"/>
      <c r="AG381" s="50"/>
      <c r="AH381" s="43"/>
      <c r="AI381" s="50"/>
      <c r="AJ381" s="43"/>
      <c r="AK381" s="50"/>
      <c r="AL381" s="43"/>
      <c r="AM381" s="50"/>
      <c r="AO381" s="43"/>
      <c r="AP381" s="46"/>
      <c r="AQ381" s="43"/>
      <c r="AR381" s="119"/>
      <c r="AS381" s="1"/>
      <c r="AT381" s="1"/>
    </row>
    <row r="382">
      <c r="A382" s="43"/>
      <c r="B382" s="59" t="str">
        <f>IFERROR(HYPERLINK(VLOOKUP(A382,Internal_lists_bugs!$A$2:$C$73,3,FALSE()), VLOOKUP(A382,Internal_lists_bugs!$A$2:$C$73,3,FALSE())&amp;Char(10) &amp; Char(10) &amp; VLOOKUP(A382,Internal_lists_bugs!$A$2:$Z$73,26,FALSE())),"please select a BUG ID")</f>
        <v>please select a BUG ID</v>
      </c>
      <c r="C382" s="51" t="str">
        <f>IFERROR(VLOOKUP(A382,Internal_lists_bugs!$A$2:$G2003,7,FALSE()),"please select a BUG ID")</f>
        <v>please select a BUG ID</v>
      </c>
      <c r="D382" s="43"/>
      <c r="E382" s="63"/>
      <c r="F382" s="43"/>
      <c r="G382" s="63"/>
      <c r="H382" s="43"/>
      <c r="I382" s="63"/>
      <c r="J382" s="43"/>
      <c r="K382" s="50"/>
      <c r="L382" s="43"/>
      <c r="M382" s="50"/>
      <c r="N382" s="43"/>
      <c r="O382" s="50"/>
      <c r="P382" s="43"/>
      <c r="Q382" s="50"/>
      <c r="R382" s="43"/>
      <c r="S382" s="50"/>
      <c r="T382" s="43"/>
      <c r="U382" s="50"/>
      <c r="V382" s="43"/>
      <c r="W382" s="50"/>
      <c r="X382" s="43"/>
      <c r="Y382" s="50"/>
      <c r="Z382" s="43"/>
      <c r="AA382" s="50"/>
      <c r="AB382" s="43"/>
      <c r="AC382" s="50"/>
      <c r="AD382" s="43"/>
      <c r="AE382" s="50"/>
      <c r="AF382" s="43"/>
      <c r="AG382" s="50"/>
      <c r="AH382" s="43"/>
      <c r="AI382" s="50"/>
      <c r="AJ382" s="43"/>
      <c r="AK382" s="50"/>
      <c r="AL382" s="43"/>
      <c r="AM382" s="50"/>
      <c r="AO382" s="43"/>
      <c r="AP382" s="46"/>
      <c r="AQ382" s="43"/>
      <c r="AR382" s="119"/>
      <c r="AS382" s="1"/>
      <c r="AT382" s="1"/>
    </row>
    <row r="383">
      <c r="A383" s="43"/>
      <c r="B383" s="59" t="str">
        <f>IFERROR(HYPERLINK(VLOOKUP(A383,Internal_lists_bugs!$A$2:$C$73,3,FALSE()), VLOOKUP(A383,Internal_lists_bugs!$A$2:$C$73,3,FALSE())&amp;Char(10) &amp; Char(10) &amp; VLOOKUP(A383,Internal_lists_bugs!$A$2:$Z$73,26,FALSE())),"please select a BUG ID")</f>
        <v>please select a BUG ID</v>
      </c>
      <c r="C383" s="51" t="str">
        <f>IFERROR(VLOOKUP(A383,Internal_lists_bugs!$A$2:$G2003,7,FALSE()),"please select a BUG ID")</f>
        <v>please select a BUG ID</v>
      </c>
      <c r="D383" s="43"/>
      <c r="E383" s="63"/>
      <c r="F383" s="43"/>
      <c r="G383" s="63"/>
      <c r="H383" s="43"/>
      <c r="I383" s="63"/>
      <c r="J383" s="43"/>
      <c r="K383" s="50"/>
      <c r="L383" s="43"/>
      <c r="M383" s="50"/>
      <c r="N383" s="43"/>
      <c r="O383" s="50"/>
      <c r="P383" s="43"/>
      <c r="Q383" s="50"/>
      <c r="R383" s="43"/>
      <c r="S383" s="50"/>
      <c r="T383" s="43"/>
      <c r="U383" s="50"/>
      <c r="V383" s="43"/>
      <c r="W383" s="50"/>
      <c r="X383" s="43"/>
      <c r="Y383" s="50"/>
      <c r="Z383" s="43"/>
      <c r="AA383" s="50"/>
      <c r="AB383" s="43"/>
      <c r="AC383" s="50"/>
      <c r="AD383" s="43"/>
      <c r="AE383" s="50"/>
      <c r="AF383" s="43"/>
      <c r="AG383" s="50"/>
      <c r="AH383" s="43"/>
      <c r="AI383" s="50"/>
      <c r="AJ383" s="43"/>
      <c r="AK383" s="50"/>
      <c r="AL383" s="43"/>
      <c r="AM383" s="50"/>
      <c r="AO383" s="43"/>
      <c r="AP383" s="46"/>
      <c r="AQ383" s="43"/>
      <c r="AR383" s="119"/>
      <c r="AS383" s="1"/>
      <c r="AT383" s="1"/>
    </row>
    <row r="384">
      <c r="A384" s="43"/>
      <c r="B384" s="59" t="str">
        <f>IFERROR(HYPERLINK(VLOOKUP(A384,Internal_lists_bugs!$A$2:$C$73,3,FALSE()), VLOOKUP(A384,Internal_lists_bugs!$A$2:$C$73,3,FALSE())&amp;Char(10) &amp; Char(10) &amp; VLOOKUP(A384,Internal_lists_bugs!$A$2:$Z$73,26,FALSE())),"please select a BUG ID")</f>
        <v>please select a BUG ID</v>
      </c>
      <c r="C384" s="51" t="str">
        <f>IFERROR(VLOOKUP(A384,Internal_lists_bugs!$A$2:$G2003,7,FALSE()),"please select a BUG ID")</f>
        <v>please select a BUG ID</v>
      </c>
      <c r="D384" s="43"/>
      <c r="E384" s="63"/>
      <c r="F384" s="43"/>
      <c r="G384" s="63"/>
      <c r="H384" s="43"/>
      <c r="I384" s="63"/>
      <c r="J384" s="43"/>
      <c r="K384" s="50"/>
      <c r="L384" s="43"/>
      <c r="M384" s="50"/>
      <c r="N384" s="43"/>
      <c r="O384" s="50"/>
      <c r="P384" s="43"/>
      <c r="Q384" s="50"/>
      <c r="R384" s="43"/>
      <c r="S384" s="50"/>
      <c r="T384" s="43"/>
      <c r="U384" s="50"/>
      <c r="V384" s="43"/>
      <c r="W384" s="50"/>
      <c r="X384" s="43"/>
      <c r="Y384" s="50"/>
      <c r="Z384" s="43"/>
      <c r="AA384" s="50"/>
      <c r="AB384" s="43"/>
      <c r="AC384" s="50"/>
      <c r="AD384" s="43"/>
      <c r="AE384" s="50"/>
      <c r="AF384" s="43"/>
      <c r="AG384" s="50"/>
      <c r="AH384" s="43"/>
      <c r="AI384" s="50"/>
      <c r="AJ384" s="43"/>
      <c r="AK384" s="50"/>
      <c r="AL384" s="43"/>
      <c r="AM384" s="50"/>
      <c r="AO384" s="43"/>
      <c r="AP384" s="46"/>
      <c r="AQ384" s="43"/>
      <c r="AR384" s="119"/>
      <c r="AS384" s="1"/>
      <c r="AT384" s="1"/>
    </row>
    <row r="385">
      <c r="A385" s="43"/>
      <c r="B385" s="59" t="str">
        <f>IFERROR(HYPERLINK(VLOOKUP(A385,Internal_lists_bugs!$A$2:$C$73,3,FALSE()), VLOOKUP(A385,Internal_lists_bugs!$A$2:$C$73,3,FALSE())&amp;Char(10) &amp; Char(10) &amp; VLOOKUP(A385,Internal_lists_bugs!$A$2:$Z$73,26,FALSE())),"please select a BUG ID")</f>
        <v>please select a BUG ID</v>
      </c>
      <c r="C385" s="51" t="str">
        <f>IFERROR(VLOOKUP(A385,Internal_lists_bugs!$A$2:$G2003,7,FALSE()),"please select a BUG ID")</f>
        <v>please select a BUG ID</v>
      </c>
      <c r="D385" s="43"/>
      <c r="E385" s="63"/>
      <c r="F385" s="43"/>
      <c r="G385" s="63"/>
      <c r="H385" s="43"/>
      <c r="I385" s="63"/>
      <c r="J385" s="43"/>
      <c r="K385" s="50"/>
      <c r="L385" s="43"/>
      <c r="M385" s="50"/>
      <c r="N385" s="43"/>
      <c r="O385" s="50"/>
      <c r="P385" s="43"/>
      <c r="Q385" s="50"/>
      <c r="R385" s="43"/>
      <c r="S385" s="50"/>
      <c r="T385" s="43"/>
      <c r="U385" s="50"/>
      <c r="V385" s="43"/>
      <c r="W385" s="50"/>
      <c r="X385" s="43"/>
      <c r="Y385" s="50"/>
      <c r="Z385" s="43"/>
      <c r="AA385" s="50"/>
      <c r="AB385" s="43"/>
      <c r="AC385" s="50"/>
      <c r="AD385" s="43"/>
      <c r="AE385" s="50"/>
      <c r="AF385" s="43"/>
      <c r="AG385" s="50"/>
      <c r="AH385" s="43"/>
      <c r="AI385" s="50"/>
      <c r="AJ385" s="43"/>
      <c r="AK385" s="50"/>
      <c r="AL385" s="43"/>
      <c r="AM385" s="50"/>
      <c r="AO385" s="43"/>
      <c r="AP385" s="46"/>
      <c r="AQ385" s="43"/>
      <c r="AR385" s="119"/>
      <c r="AS385" s="1"/>
      <c r="AT385" s="1"/>
    </row>
    <row r="386">
      <c r="A386" s="43"/>
      <c r="B386" s="59" t="str">
        <f>IFERROR(HYPERLINK(VLOOKUP(A386,Internal_lists_bugs!$A$2:$C$73,3,FALSE()), VLOOKUP(A386,Internal_lists_bugs!$A$2:$C$73,3,FALSE())&amp;Char(10) &amp; Char(10) &amp; VLOOKUP(A386,Internal_lists_bugs!$A$2:$Z$73,26,FALSE())),"please select a BUG ID")</f>
        <v>please select a BUG ID</v>
      </c>
      <c r="C386" s="51" t="str">
        <f>IFERROR(VLOOKUP(A386,Internal_lists_bugs!$A$2:$G2003,7,FALSE()),"please select a BUG ID")</f>
        <v>please select a BUG ID</v>
      </c>
      <c r="D386" s="43"/>
      <c r="E386" s="63"/>
      <c r="F386" s="43"/>
      <c r="G386" s="63"/>
      <c r="H386" s="43"/>
      <c r="I386" s="63"/>
      <c r="J386" s="43"/>
      <c r="K386" s="50"/>
      <c r="L386" s="43"/>
      <c r="M386" s="50"/>
      <c r="N386" s="43"/>
      <c r="O386" s="50"/>
      <c r="P386" s="43"/>
      <c r="Q386" s="50"/>
      <c r="R386" s="43"/>
      <c r="S386" s="50"/>
      <c r="T386" s="43"/>
      <c r="U386" s="50"/>
      <c r="V386" s="43"/>
      <c r="W386" s="50"/>
      <c r="X386" s="43"/>
      <c r="Y386" s="50"/>
      <c r="Z386" s="43"/>
      <c r="AA386" s="50"/>
      <c r="AB386" s="43"/>
      <c r="AC386" s="50"/>
      <c r="AD386" s="43"/>
      <c r="AE386" s="50"/>
      <c r="AF386" s="43"/>
      <c r="AG386" s="50"/>
      <c r="AH386" s="43"/>
      <c r="AI386" s="50"/>
      <c r="AJ386" s="43"/>
      <c r="AK386" s="50"/>
      <c r="AL386" s="43"/>
      <c r="AM386" s="50"/>
      <c r="AO386" s="43"/>
      <c r="AP386" s="46"/>
      <c r="AQ386" s="43"/>
      <c r="AR386" s="119"/>
      <c r="AS386" s="1"/>
      <c r="AT386" s="1"/>
    </row>
    <row r="387">
      <c r="A387" s="43"/>
      <c r="B387" s="59" t="str">
        <f>IFERROR(HYPERLINK(VLOOKUP(A387,Internal_lists_bugs!$A$2:$C$73,3,FALSE()), VLOOKUP(A387,Internal_lists_bugs!$A$2:$C$73,3,FALSE())&amp;Char(10) &amp; Char(10) &amp; VLOOKUP(A387,Internal_lists_bugs!$A$2:$Z$73,26,FALSE())),"please select a BUG ID")</f>
        <v>please select a BUG ID</v>
      </c>
      <c r="C387" s="51" t="str">
        <f>IFERROR(VLOOKUP(A387,Internal_lists_bugs!$A$2:$G2003,7,FALSE()),"please select a BUG ID")</f>
        <v>please select a BUG ID</v>
      </c>
      <c r="D387" s="43"/>
      <c r="E387" s="63"/>
      <c r="F387" s="43"/>
      <c r="G387" s="63"/>
      <c r="H387" s="43"/>
      <c r="I387" s="63"/>
      <c r="J387" s="43"/>
      <c r="K387" s="50"/>
      <c r="L387" s="43"/>
      <c r="M387" s="50"/>
      <c r="N387" s="43"/>
      <c r="O387" s="50"/>
      <c r="P387" s="43"/>
      <c r="Q387" s="50"/>
      <c r="R387" s="43"/>
      <c r="S387" s="50"/>
      <c r="T387" s="43"/>
      <c r="U387" s="50"/>
      <c r="V387" s="43"/>
      <c r="W387" s="50"/>
      <c r="X387" s="43"/>
      <c r="Y387" s="50"/>
      <c r="Z387" s="43"/>
      <c r="AA387" s="50"/>
      <c r="AB387" s="43"/>
      <c r="AC387" s="50"/>
      <c r="AD387" s="43"/>
      <c r="AE387" s="50"/>
      <c r="AF387" s="43"/>
      <c r="AG387" s="50"/>
      <c r="AH387" s="43"/>
      <c r="AI387" s="50"/>
      <c r="AJ387" s="43"/>
      <c r="AK387" s="50"/>
      <c r="AL387" s="43"/>
      <c r="AM387" s="50"/>
      <c r="AO387" s="43"/>
      <c r="AP387" s="46"/>
      <c r="AQ387" s="43"/>
      <c r="AR387" s="119"/>
      <c r="AS387" s="1"/>
      <c r="AT387" s="1"/>
    </row>
    <row r="388">
      <c r="A388" s="43"/>
      <c r="B388" s="59" t="str">
        <f>IFERROR(HYPERLINK(VLOOKUP(A388,Internal_lists_bugs!$A$2:$C$73,3,FALSE()), VLOOKUP(A388,Internal_lists_bugs!$A$2:$C$73,3,FALSE())&amp;Char(10) &amp; Char(10) &amp; VLOOKUP(A388,Internal_lists_bugs!$A$2:$Z$73,26,FALSE())),"please select a BUG ID")</f>
        <v>please select a BUG ID</v>
      </c>
      <c r="C388" s="51" t="str">
        <f>IFERROR(VLOOKUP(A388,Internal_lists_bugs!$A$2:$G2003,7,FALSE()),"please select a BUG ID")</f>
        <v>please select a BUG ID</v>
      </c>
      <c r="D388" s="43"/>
      <c r="E388" s="63"/>
      <c r="F388" s="43"/>
      <c r="G388" s="63"/>
      <c r="H388" s="43"/>
      <c r="I388" s="63"/>
      <c r="J388" s="43"/>
      <c r="K388" s="50"/>
      <c r="L388" s="43"/>
      <c r="M388" s="50"/>
      <c r="N388" s="43"/>
      <c r="O388" s="50"/>
      <c r="P388" s="43"/>
      <c r="Q388" s="50"/>
      <c r="R388" s="43"/>
      <c r="S388" s="50"/>
      <c r="T388" s="43"/>
      <c r="U388" s="50"/>
      <c r="V388" s="43"/>
      <c r="W388" s="50"/>
      <c r="X388" s="43"/>
      <c r="Y388" s="50"/>
      <c r="Z388" s="43"/>
      <c r="AA388" s="50"/>
      <c r="AB388" s="43"/>
      <c r="AC388" s="50"/>
      <c r="AD388" s="43"/>
      <c r="AE388" s="50"/>
      <c r="AF388" s="43"/>
      <c r="AG388" s="50"/>
      <c r="AH388" s="43"/>
      <c r="AI388" s="50"/>
      <c r="AJ388" s="43"/>
      <c r="AK388" s="50"/>
      <c r="AL388" s="43"/>
      <c r="AM388" s="50"/>
      <c r="AO388" s="43"/>
      <c r="AP388" s="46"/>
      <c r="AQ388" s="43"/>
      <c r="AR388" s="119"/>
      <c r="AS388" s="1"/>
      <c r="AT388" s="1"/>
    </row>
    <row r="389">
      <c r="A389" s="43"/>
      <c r="B389" s="59" t="str">
        <f>IFERROR(HYPERLINK(VLOOKUP(A389,Internal_lists_bugs!$A$2:$C$73,3,FALSE()), VLOOKUP(A389,Internal_lists_bugs!$A$2:$C$73,3,FALSE())&amp;Char(10) &amp; Char(10) &amp; VLOOKUP(A389,Internal_lists_bugs!$A$2:$Z$73,26,FALSE())),"please select a BUG ID")</f>
        <v>please select a BUG ID</v>
      </c>
      <c r="C389" s="51" t="str">
        <f>IFERROR(VLOOKUP(A389,Internal_lists_bugs!$A$2:$G2003,7,FALSE()),"please select a BUG ID")</f>
        <v>please select a BUG ID</v>
      </c>
      <c r="D389" s="43"/>
      <c r="E389" s="63"/>
      <c r="F389" s="43"/>
      <c r="G389" s="63"/>
      <c r="H389" s="43"/>
      <c r="I389" s="63"/>
      <c r="J389" s="43"/>
      <c r="K389" s="50"/>
      <c r="L389" s="43"/>
      <c r="M389" s="50"/>
      <c r="N389" s="43"/>
      <c r="O389" s="50"/>
      <c r="P389" s="43"/>
      <c r="Q389" s="50"/>
      <c r="R389" s="43"/>
      <c r="S389" s="50"/>
      <c r="T389" s="43"/>
      <c r="U389" s="50"/>
      <c r="V389" s="43"/>
      <c r="W389" s="50"/>
      <c r="X389" s="43"/>
      <c r="Y389" s="50"/>
      <c r="Z389" s="43"/>
      <c r="AA389" s="50"/>
      <c r="AB389" s="43"/>
      <c r="AC389" s="50"/>
      <c r="AD389" s="43"/>
      <c r="AE389" s="50"/>
      <c r="AF389" s="43"/>
      <c r="AG389" s="50"/>
      <c r="AH389" s="43"/>
      <c r="AI389" s="50"/>
      <c r="AJ389" s="43"/>
      <c r="AK389" s="50"/>
      <c r="AL389" s="43"/>
      <c r="AM389" s="50"/>
      <c r="AO389" s="43"/>
      <c r="AP389" s="46"/>
      <c r="AQ389" s="43"/>
      <c r="AR389" s="119"/>
      <c r="AS389" s="1"/>
      <c r="AT389" s="1"/>
    </row>
    <row r="390">
      <c r="A390" s="43"/>
      <c r="B390" s="59" t="str">
        <f>IFERROR(HYPERLINK(VLOOKUP(A390,Internal_lists_bugs!$A$2:$C$73,3,FALSE()), VLOOKUP(A390,Internal_lists_bugs!$A$2:$C$73,3,FALSE())&amp;Char(10) &amp; Char(10) &amp; VLOOKUP(A390,Internal_lists_bugs!$A$2:$Z$73,26,FALSE())),"please select a BUG ID")</f>
        <v>please select a BUG ID</v>
      </c>
      <c r="C390" s="51" t="str">
        <f>IFERROR(VLOOKUP(A390,Internal_lists_bugs!$A$2:$G2003,7,FALSE()),"please select a BUG ID")</f>
        <v>please select a BUG ID</v>
      </c>
      <c r="D390" s="43"/>
      <c r="E390" s="63"/>
      <c r="F390" s="43"/>
      <c r="G390" s="63"/>
      <c r="H390" s="43"/>
      <c r="I390" s="63"/>
      <c r="J390" s="43"/>
      <c r="K390" s="50"/>
      <c r="L390" s="43"/>
      <c r="M390" s="50"/>
      <c r="N390" s="43"/>
      <c r="O390" s="50"/>
      <c r="P390" s="43"/>
      <c r="Q390" s="50"/>
      <c r="R390" s="43"/>
      <c r="S390" s="50"/>
      <c r="T390" s="43"/>
      <c r="U390" s="50"/>
      <c r="V390" s="43"/>
      <c r="W390" s="50"/>
      <c r="X390" s="43"/>
      <c r="Y390" s="50"/>
      <c r="Z390" s="43"/>
      <c r="AA390" s="50"/>
      <c r="AB390" s="43"/>
      <c r="AC390" s="50"/>
      <c r="AD390" s="43"/>
      <c r="AE390" s="50"/>
      <c r="AF390" s="43"/>
      <c r="AG390" s="50"/>
      <c r="AH390" s="43"/>
      <c r="AI390" s="50"/>
      <c r="AJ390" s="43"/>
      <c r="AK390" s="50"/>
      <c r="AL390" s="43"/>
      <c r="AM390" s="50"/>
      <c r="AO390" s="43"/>
      <c r="AP390" s="46"/>
      <c r="AQ390" s="43"/>
      <c r="AR390" s="119"/>
      <c r="AS390" s="1"/>
      <c r="AT390" s="1"/>
    </row>
    <row r="391">
      <c r="A391" s="43"/>
      <c r="B391" s="59" t="str">
        <f>IFERROR(HYPERLINK(VLOOKUP(A391,Internal_lists_bugs!$A$2:$C$73,3,FALSE()), VLOOKUP(A391,Internal_lists_bugs!$A$2:$C$73,3,FALSE())&amp;Char(10) &amp; Char(10) &amp; VLOOKUP(A391,Internal_lists_bugs!$A$2:$Z$73,26,FALSE())),"please select a BUG ID")</f>
        <v>please select a BUG ID</v>
      </c>
      <c r="C391" s="51" t="str">
        <f>IFERROR(VLOOKUP(A391,Internal_lists_bugs!$A$2:$G2003,7,FALSE()),"please select a BUG ID")</f>
        <v>please select a BUG ID</v>
      </c>
      <c r="D391" s="43"/>
      <c r="E391" s="63"/>
      <c r="F391" s="43"/>
      <c r="G391" s="63"/>
      <c r="H391" s="43"/>
      <c r="I391" s="63"/>
      <c r="J391" s="43"/>
      <c r="K391" s="50"/>
      <c r="L391" s="43"/>
      <c r="M391" s="50"/>
      <c r="N391" s="43"/>
      <c r="O391" s="50"/>
      <c r="P391" s="43"/>
      <c r="Q391" s="50"/>
      <c r="R391" s="43"/>
      <c r="S391" s="50"/>
      <c r="T391" s="43"/>
      <c r="U391" s="50"/>
      <c r="V391" s="43"/>
      <c r="W391" s="50"/>
      <c r="X391" s="43"/>
      <c r="Y391" s="50"/>
      <c r="Z391" s="43"/>
      <c r="AA391" s="50"/>
      <c r="AB391" s="43"/>
      <c r="AC391" s="50"/>
      <c r="AD391" s="43"/>
      <c r="AE391" s="50"/>
      <c r="AF391" s="43"/>
      <c r="AG391" s="50"/>
      <c r="AH391" s="43"/>
      <c r="AI391" s="50"/>
      <c r="AJ391" s="43"/>
      <c r="AK391" s="50"/>
      <c r="AL391" s="43"/>
      <c r="AM391" s="50"/>
      <c r="AO391" s="43"/>
      <c r="AP391" s="46"/>
      <c r="AQ391" s="43"/>
      <c r="AR391" s="119"/>
      <c r="AS391" s="1"/>
      <c r="AT391" s="1"/>
    </row>
    <row r="392">
      <c r="A392" s="43"/>
      <c r="B392" s="59" t="str">
        <f>IFERROR(HYPERLINK(VLOOKUP(A392,Internal_lists_bugs!$A$2:$C$73,3,FALSE()), VLOOKUP(A392,Internal_lists_bugs!$A$2:$C$73,3,FALSE())&amp;Char(10) &amp; Char(10) &amp; VLOOKUP(A392,Internal_lists_bugs!$A$2:$Z$73,26,FALSE())),"please select a BUG ID")</f>
        <v>please select a BUG ID</v>
      </c>
      <c r="C392" s="51" t="str">
        <f>IFERROR(VLOOKUP(A392,Internal_lists_bugs!$A$2:$G2003,7,FALSE()),"please select a BUG ID")</f>
        <v>please select a BUG ID</v>
      </c>
      <c r="D392" s="43"/>
      <c r="E392" s="63"/>
      <c r="F392" s="43"/>
      <c r="G392" s="63"/>
      <c r="H392" s="43"/>
      <c r="I392" s="63"/>
      <c r="J392" s="43"/>
      <c r="K392" s="50"/>
      <c r="L392" s="43"/>
      <c r="M392" s="50"/>
      <c r="N392" s="43"/>
      <c r="O392" s="50"/>
      <c r="P392" s="43"/>
      <c r="Q392" s="50"/>
      <c r="R392" s="43"/>
      <c r="S392" s="50"/>
      <c r="T392" s="43"/>
      <c r="U392" s="50"/>
      <c r="V392" s="43"/>
      <c r="W392" s="50"/>
      <c r="X392" s="43"/>
      <c r="Y392" s="50"/>
      <c r="Z392" s="43"/>
      <c r="AA392" s="50"/>
      <c r="AB392" s="43"/>
      <c r="AC392" s="50"/>
      <c r="AD392" s="43"/>
      <c r="AE392" s="50"/>
      <c r="AF392" s="43"/>
      <c r="AG392" s="50"/>
      <c r="AH392" s="43"/>
      <c r="AI392" s="50"/>
      <c r="AJ392" s="43"/>
      <c r="AK392" s="50"/>
      <c r="AL392" s="43"/>
      <c r="AM392" s="50"/>
      <c r="AO392" s="43"/>
      <c r="AP392" s="46"/>
      <c r="AQ392" s="43"/>
      <c r="AR392" s="119"/>
      <c r="AS392" s="1"/>
      <c r="AT392" s="1"/>
    </row>
    <row r="393">
      <c r="A393" s="43"/>
      <c r="B393" s="59" t="str">
        <f>IFERROR(HYPERLINK(VLOOKUP(A393,Internal_lists_bugs!$A$2:$C$73,3,FALSE()), VLOOKUP(A393,Internal_lists_bugs!$A$2:$C$73,3,FALSE())&amp;Char(10) &amp; Char(10) &amp; VLOOKUP(A393,Internal_lists_bugs!$A$2:$Z$73,26,FALSE())),"please select a BUG ID")</f>
        <v>please select a BUG ID</v>
      </c>
      <c r="C393" s="51" t="str">
        <f>IFERROR(VLOOKUP(A393,Internal_lists_bugs!$A$2:$G2003,7,FALSE()),"please select a BUG ID")</f>
        <v>please select a BUG ID</v>
      </c>
      <c r="D393" s="43"/>
      <c r="E393" s="63"/>
      <c r="F393" s="43"/>
      <c r="G393" s="63"/>
      <c r="H393" s="43"/>
      <c r="I393" s="63"/>
      <c r="J393" s="43"/>
      <c r="K393" s="50"/>
      <c r="L393" s="43"/>
      <c r="M393" s="50"/>
      <c r="N393" s="43"/>
      <c r="O393" s="50"/>
      <c r="P393" s="43"/>
      <c r="Q393" s="50"/>
      <c r="R393" s="43"/>
      <c r="S393" s="50"/>
      <c r="T393" s="43"/>
      <c r="U393" s="50"/>
      <c r="V393" s="43"/>
      <c r="W393" s="50"/>
      <c r="X393" s="43"/>
      <c r="Y393" s="50"/>
      <c r="Z393" s="43"/>
      <c r="AA393" s="50"/>
      <c r="AB393" s="43"/>
      <c r="AC393" s="50"/>
      <c r="AD393" s="43"/>
      <c r="AE393" s="50"/>
      <c r="AF393" s="43"/>
      <c r="AG393" s="50"/>
      <c r="AH393" s="43"/>
      <c r="AI393" s="50"/>
      <c r="AJ393" s="43"/>
      <c r="AK393" s="50"/>
      <c r="AL393" s="43"/>
      <c r="AM393" s="50"/>
      <c r="AO393" s="43"/>
      <c r="AP393" s="46"/>
      <c r="AQ393" s="43"/>
      <c r="AR393" s="119"/>
      <c r="AS393" s="1"/>
      <c r="AT393" s="1"/>
    </row>
    <row r="394">
      <c r="A394" s="43"/>
      <c r="B394" s="59" t="str">
        <f>IFERROR(HYPERLINK(VLOOKUP(A394,Internal_lists_bugs!$A$2:$C$73,3,FALSE()), VLOOKUP(A394,Internal_lists_bugs!$A$2:$C$73,3,FALSE())&amp;Char(10) &amp; Char(10) &amp; VLOOKUP(A394,Internal_lists_bugs!$A$2:$Z$73,26,FALSE())),"please select a BUG ID")</f>
        <v>please select a BUG ID</v>
      </c>
      <c r="C394" s="51" t="str">
        <f>IFERROR(VLOOKUP(A394,Internal_lists_bugs!$A$2:$G2003,7,FALSE()),"please select a BUG ID")</f>
        <v>please select a BUG ID</v>
      </c>
      <c r="D394" s="43"/>
      <c r="E394" s="63"/>
      <c r="F394" s="43"/>
      <c r="G394" s="63"/>
      <c r="H394" s="43"/>
      <c r="I394" s="63"/>
      <c r="J394" s="43"/>
      <c r="K394" s="50"/>
      <c r="L394" s="43"/>
      <c r="M394" s="50"/>
      <c r="N394" s="43"/>
      <c r="O394" s="50"/>
      <c r="P394" s="43"/>
      <c r="Q394" s="50"/>
      <c r="R394" s="43"/>
      <c r="S394" s="50"/>
      <c r="T394" s="43"/>
      <c r="U394" s="50"/>
      <c r="V394" s="43"/>
      <c r="W394" s="50"/>
      <c r="X394" s="43"/>
      <c r="Y394" s="50"/>
      <c r="Z394" s="43"/>
      <c r="AA394" s="50"/>
      <c r="AB394" s="43"/>
      <c r="AC394" s="50"/>
      <c r="AD394" s="43"/>
      <c r="AE394" s="50"/>
      <c r="AF394" s="43"/>
      <c r="AG394" s="50"/>
      <c r="AH394" s="43"/>
      <c r="AI394" s="50"/>
      <c r="AJ394" s="43"/>
      <c r="AK394" s="50"/>
      <c r="AL394" s="43"/>
      <c r="AM394" s="50"/>
      <c r="AO394" s="43"/>
      <c r="AP394" s="46"/>
      <c r="AQ394" s="43"/>
      <c r="AR394" s="119"/>
      <c r="AS394" s="1"/>
      <c r="AT394" s="1"/>
    </row>
    <row r="395">
      <c r="A395" s="43"/>
      <c r="B395" s="59" t="str">
        <f>IFERROR(HYPERLINK(VLOOKUP(A395,Internal_lists_bugs!$A$2:$C$73,3,FALSE()), VLOOKUP(A395,Internal_lists_bugs!$A$2:$C$73,3,FALSE())&amp;Char(10) &amp; Char(10) &amp; VLOOKUP(A395,Internal_lists_bugs!$A$2:$Z$73,26,FALSE())),"please select a BUG ID")</f>
        <v>please select a BUG ID</v>
      </c>
      <c r="C395" s="51" t="str">
        <f>IFERROR(VLOOKUP(A395,Internal_lists_bugs!$A$2:$G2003,7,FALSE()),"please select a BUG ID")</f>
        <v>please select a BUG ID</v>
      </c>
      <c r="D395" s="43"/>
      <c r="E395" s="63"/>
      <c r="F395" s="43"/>
      <c r="G395" s="63"/>
      <c r="H395" s="43"/>
      <c r="I395" s="63"/>
      <c r="J395" s="43"/>
      <c r="K395" s="50"/>
      <c r="L395" s="43"/>
      <c r="M395" s="50"/>
      <c r="N395" s="43"/>
      <c r="O395" s="50"/>
      <c r="P395" s="43"/>
      <c r="Q395" s="50"/>
      <c r="R395" s="43"/>
      <c r="S395" s="50"/>
      <c r="T395" s="43"/>
      <c r="U395" s="50"/>
      <c r="V395" s="43"/>
      <c r="W395" s="50"/>
      <c r="X395" s="43"/>
      <c r="Y395" s="50"/>
      <c r="Z395" s="43"/>
      <c r="AA395" s="50"/>
      <c r="AB395" s="43"/>
      <c r="AC395" s="50"/>
      <c r="AD395" s="43"/>
      <c r="AE395" s="50"/>
      <c r="AF395" s="43"/>
      <c r="AG395" s="50"/>
      <c r="AH395" s="43"/>
      <c r="AI395" s="50"/>
      <c r="AJ395" s="43"/>
      <c r="AK395" s="50"/>
      <c r="AL395" s="43"/>
      <c r="AM395" s="50"/>
      <c r="AO395" s="43"/>
      <c r="AP395" s="46"/>
      <c r="AQ395" s="43"/>
      <c r="AR395" s="119"/>
      <c r="AS395" s="1"/>
      <c r="AT395" s="1"/>
    </row>
    <row r="396">
      <c r="A396" s="43"/>
      <c r="B396" s="59" t="str">
        <f>IFERROR(HYPERLINK(VLOOKUP(A396,Internal_lists_bugs!$A$2:$C$73,3,FALSE()), VLOOKUP(A396,Internal_lists_bugs!$A$2:$C$73,3,FALSE())&amp;Char(10) &amp; Char(10) &amp; VLOOKUP(A396,Internal_lists_bugs!$A$2:$Z$73,26,FALSE())),"please select a BUG ID")</f>
        <v>please select a BUG ID</v>
      </c>
      <c r="C396" s="51" t="str">
        <f>IFERROR(VLOOKUP(A396,Internal_lists_bugs!$A$2:$G2003,7,FALSE()),"please select a BUG ID")</f>
        <v>please select a BUG ID</v>
      </c>
      <c r="D396" s="43"/>
      <c r="E396" s="63"/>
      <c r="F396" s="43"/>
      <c r="G396" s="63"/>
      <c r="H396" s="43"/>
      <c r="I396" s="63"/>
      <c r="J396" s="43"/>
      <c r="K396" s="50"/>
      <c r="L396" s="43"/>
      <c r="M396" s="50"/>
      <c r="N396" s="43"/>
      <c r="O396" s="50"/>
      <c r="P396" s="43"/>
      <c r="Q396" s="50"/>
      <c r="R396" s="43"/>
      <c r="S396" s="50"/>
      <c r="T396" s="43"/>
      <c r="U396" s="50"/>
      <c r="V396" s="43"/>
      <c r="W396" s="50"/>
      <c r="X396" s="43"/>
      <c r="Y396" s="50"/>
      <c r="Z396" s="43"/>
      <c r="AA396" s="50"/>
      <c r="AB396" s="43"/>
      <c r="AC396" s="50"/>
      <c r="AD396" s="43"/>
      <c r="AE396" s="50"/>
      <c r="AF396" s="43"/>
      <c r="AG396" s="50"/>
      <c r="AH396" s="43"/>
      <c r="AI396" s="50"/>
      <c r="AJ396" s="43"/>
      <c r="AK396" s="50"/>
      <c r="AL396" s="43"/>
      <c r="AM396" s="50"/>
      <c r="AO396" s="43"/>
      <c r="AP396" s="46"/>
      <c r="AQ396" s="43"/>
      <c r="AR396" s="119"/>
      <c r="AS396" s="1"/>
      <c r="AT396" s="1"/>
    </row>
    <row r="397">
      <c r="A397" s="43"/>
      <c r="B397" s="59" t="str">
        <f>IFERROR(HYPERLINK(VLOOKUP(A397,Internal_lists_bugs!$A$2:$C$73,3,FALSE()), VLOOKUP(A397,Internal_lists_bugs!$A$2:$C$73,3,FALSE())&amp;Char(10) &amp; Char(10) &amp; VLOOKUP(A397,Internal_lists_bugs!$A$2:$Z$73,26,FALSE())),"please select a BUG ID")</f>
        <v>please select a BUG ID</v>
      </c>
      <c r="C397" s="51" t="str">
        <f>IFERROR(VLOOKUP(A397,Internal_lists_bugs!$A$2:$G2003,7,FALSE()),"please select a BUG ID")</f>
        <v>please select a BUG ID</v>
      </c>
      <c r="D397" s="43"/>
      <c r="E397" s="63"/>
      <c r="F397" s="43"/>
      <c r="G397" s="63"/>
      <c r="H397" s="43"/>
      <c r="I397" s="63"/>
      <c r="J397" s="43"/>
      <c r="K397" s="50"/>
      <c r="L397" s="43"/>
      <c r="M397" s="50"/>
      <c r="N397" s="43"/>
      <c r="O397" s="50"/>
      <c r="P397" s="43"/>
      <c r="Q397" s="50"/>
      <c r="R397" s="43"/>
      <c r="S397" s="50"/>
      <c r="T397" s="43"/>
      <c r="U397" s="50"/>
      <c r="V397" s="43"/>
      <c r="W397" s="50"/>
      <c r="X397" s="43"/>
      <c r="Y397" s="50"/>
      <c r="Z397" s="43"/>
      <c r="AA397" s="50"/>
      <c r="AB397" s="43"/>
      <c r="AC397" s="50"/>
      <c r="AD397" s="43"/>
      <c r="AE397" s="50"/>
      <c r="AF397" s="43"/>
      <c r="AG397" s="50"/>
      <c r="AH397" s="43"/>
      <c r="AI397" s="50"/>
      <c r="AJ397" s="43"/>
      <c r="AK397" s="50"/>
      <c r="AL397" s="43"/>
      <c r="AM397" s="50"/>
      <c r="AO397" s="43"/>
      <c r="AP397" s="46"/>
      <c r="AQ397" s="43"/>
      <c r="AR397" s="119"/>
      <c r="AS397" s="1"/>
      <c r="AT397" s="1"/>
    </row>
    <row r="398">
      <c r="A398" s="43"/>
      <c r="B398" s="59" t="str">
        <f>IFERROR(HYPERLINK(VLOOKUP(A398,Internal_lists_bugs!$A$2:$C$73,3,FALSE()), VLOOKUP(A398,Internal_lists_bugs!$A$2:$C$73,3,FALSE())&amp;Char(10) &amp; Char(10) &amp; VLOOKUP(A398,Internal_lists_bugs!$A$2:$Z$73,26,FALSE())),"please select a BUG ID")</f>
        <v>please select a BUG ID</v>
      </c>
      <c r="C398" s="51" t="str">
        <f>IFERROR(VLOOKUP(A398,Internal_lists_bugs!$A$2:$G2003,7,FALSE()),"please select a BUG ID")</f>
        <v>please select a BUG ID</v>
      </c>
      <c r="D398" s="43"/>
      <c r="E398" s="63"/>
      <c r="F398" s="43"/>
      <c r="G398" s="63"/>
      <c r="H398" s="43"/>
      <c r="I398" s="63"/>
      <c r="J398" s="43"/>
      <c r="K398" s="50"/>
      <c r="L398" s="43"/>
      <c r="M398" s="50"/>
      <c r="N398" s="43"/>
      <c r="O398" s="50"/>
      <c r="P398" s="43"/>
      <c r="Q398" s="50"/>
      <c r="R398" s="43"/>
      <c r="S398" s="50"/>
      <c r="T398" s="43"/>
      <c r="U398" s="50"/>
      <c r="V398" s="43"/>
      <c r="W398" s="50"/>
      <c r="X398" s="43"/>
      <c r="Y398" s="50"/>
      <c r="Z398" s="43"/>
      <c r="AA398" s="50"/>
      <c r="AB398" s="43"/>
      <c r="AC398" s="50"/>
      <c r="AD398" s="43"/>
      <c r="AE398" s="50"/>
      <c r="AF398" s="43"/>
      <c r="AG398" s="50"/>
      <c r="AH398" s="43"/>
      <c r="AI398" s="50"/>
      <c r="AJ398" s="43"/>
      <c r="AK398" s="50"/>
      <c r="AL398" s="43"/>
      <c r="AM398" s="50"/>
      <c r="AO398" s="43"/>
      <c r="AP398" s="46"/>
      <c r="AQ398" s="43"/>
      <c r="AR398" s="119"/>
      <c r="AS398" s="1"/>
      <c r="AT398" s="1"/>
    </row>
    <row r="399">
      <c r="A399" s="43"/>
      <c r="B399" s="59" t="str">
        <f>IFERROR(HYPERLINK(VLOOKUP(A399,Internal_lists_bugs!$A$2:$C$73,3,FALSE()), VLOOKUP(A399,Internal_lists_bugs!$A$2:$C$73,3,FALSE())&amp;Char(10) &amp; Char(10) &amp; VLOOKUP(A399,Internal_lists_bugs!$A$2:$Z$73,26,FALSE())),"please select a BUG ID")</f>
        <v>please select a BUG ID</v>
      </c>
      <c r="C399" s="51" t="str">
        <f>IFERROR(VLOOKUP(A399,Internal_lists_bugs!$A$2:$G2003,7,FALSE()),"please select a BUG ID")</f>
        <v>please select a BUG ID</v>
      </c>
      <c r="D399" s="43"/>
      <c r="E399" s="63"/>
      <c r="F399" s="43"/>
      <c r="G399" s="63"/>
      <c r="H399" s="43"/>
      <c r="I399" s="63"/>
      <c r="J399" s="43"/>
      <c r="K399" s="50"/>
      <c r="L399" s="43"/>
      <c r="M399" s="50"/>
      <c r="N399" s="43"/>
      <c r="O399" s="50"/>
      <c r="P399" s="43"/>
      <c r="Q399" s="50"/>
      <c r="R399" s="43"/>
      <c r="S399" s="50"/>
      <c r="T399" s="43"/>
      <c r="U399" s="50"/>
      <c r="V399" s="43"/>
      <c r="W399" s="50"/>
      <c r="X399" s="43"/>
      <c r="Y399" s="50"/>
      <c r="Z399" s="43"/>
      <c r="AA399" s="50"/>
      <c r="AB399" s="43"/>
      <c r="AC399" s="50"/>
      <c r="AD399" s="43"/>
      <c r="AE399" s="50"/>
      <c r="AF399" s="43"/>
      <c r="AG399" s="50"/>
      <c r="AH399" s="43"/>
      <c r="AI399" s="50"/>
      <c r="AJ399" s="43"/>
      <c r="AK399" s="50"/>
      <c r="AL399" s="43"/>
      <c r="AM399" s="50"/>
      <c r="AO399" s="43"/>
      <c r="AP399" s="46"/>
      <c r="AQ399" s="43"/>
      <c r="AR399" s="119"/>
      <c r="AS399" s="1"/>
      <c r="AT399" s="1"/>
    </row>
    <row r="400">
      <c r="A400" s="43"/>
      <c r="B400" s="59" t="str">
        <f>IFERROR(HYPERLINK(VLOOKUP(A400,Internal_lists_bugs!$A$2:$C$73,3,FALSE()), VLOOKUP(A400,Internal_lists_bugs!$A$2:$C$73,3,FALSE())&amp;Char(10) &amp; Char(10) &amp; VLOOKUP(A400,Internal_lists_bugs!$A$2:$Z$73,26,FALSE())),"please select a BUG ID")</f>
        <v>please select a BUG ID</v>
      </c>
      <c r="C400" s="51" t="str">
        <f>IFERROR(VLOOKUP(A400,Internal_lists_bugs!$A$2:$G2003,7,FALSE()),"please select a BUG ID")</f>
        <v>please select a BUG ID</v>
      </c>
      <c r="D400" s="43"/>
      <c r="E400" s="63"/>
      <c r="F400" s="43"/>
      <c r="G400" s="63"/>
      <c r="H400" s="43"/>
      <c r="I400" s="63"/>
      <c r="J400" s="43"/>
      <c r="K400" s="50"/>
      <c r="L400" s="43"/>
      <c r="M400" s="50"/>
      <c r="N400" s="43"/>
      <c r="O400" s="50"/>
      <c r="P400" s="43"/>
      <c r="Q400" s="50"/>
      <c r="R400" s="43"/>
      <c r="S400" s="50"/>
      <c r="T400" s="43"/>
      <c r="U400" s="50"/>
      <c r="V400" s="43"/>
      <c r="W400" s="50"/>
      <c r="X400" s="43"/>
      <c r="Y400" s="50"/>
      <c r="Z400" s="43"/>
      <c r="AA400" s="50"/>
      <c r="AB400" s="43"/>
      <c r="AC400" s="50"/>
      <c r="AD400" s="43"/>
      <c r="AE400" s="50"/>
      <c r="AF400" s="43"/>
      <c r="AG400" s="50"/>
      <c r="AH400" s="43"/>
      <c r="AI400" s="50"/>
      <c r="AJ400" s="43"/>
      <c r="AK400" s="50"/>
      <c r="AL400" s="43"/>
      <c r="AM400" s="50"/>
      <c r="AO400" s="43"/>
      <c r="AP400" s="46"/>
      <c r="AQ400" s="43"/>
      <c r="AR400" s="119"/>
      <c r="AS400" s="1"/>
      <c r="AT400" s="1"/>
    </row>
    <row r="401">
      <c r="A401" s="43"/>
      <c r="B401" s="59" t="str">
        <f>IFERROR(HYPERLINK(VLOOKUP(A401,Internal_lists_bugs!$A$2:$C$73,3,FALSE()), VLOOKUP(A401,Internal_lists_bugs!$A$2:$C$73,3,FALSE())&amp;Char(10) &amp; Char(10) &amp; VLOOKUP(A401,Internal_lists_bugs!$A$2:$Z$73,26,FALSE())),"please select a BUG ID")</f>
        <v>please select a BUG ID</v>
      </c>
      <c r="C401" s="51" t="str">
        <f>IFERROR(VLOOKUP(A401,Internal_lists_bugs!$A$2:$G2003,7,FALSE()),"please select a BUG ID")</f>
        <v>please select a BUG ID</v>
      </c>
      <c r="D401" s="43"/>
      <c r="E401" s="63"/>
      <c r="F401" s="43"/>
      <c r="G401" s="63"/>
      <c r="H401" s="43"/>
      <c r="I401" s="63"/>
      <c r="J401" s="43"/>
      <c r="K401" s="50"/>
      <c r="L401" s="43"/>
      <c r="M401" s="50"/>
      <c r="N401" s="43"/>
      <c r="O401" s="50"/>
      <c r="P401" s="43"/>
      <c r="Q401" s="50"/>
      <c r="R401" s="43"/>
      <c r="S401" s="50"/>
      <c r="T401" s="43"/>
      <c r="U401" s="50"/>
      <c r="V401" s="43"/>
      <c r="W401" s="50"/>
      <c r="X401" s="43"/>
      <c r="Y401" s="50"/>
      <c r="Z401" s="43"/>
      <c r="AA401" s="50"/>
      <c r="AB401" s="43"/>
      <c r="AC401" s="50"/>
      <c r="AD401" s="43"/>
      <c r="AE401" s="50"/>
      <c r="AF401" s="43"/>
      <c r="AG401" s="50"/>
      <c r="AH401" s="43"/>
      <c r="AI401" s="50"/>
      <c r="AJ401" s="43"/>
      <c r="AK401" s="50"/>
      <c r="AL401" s="43"/>
      <c r="AM401" s="50"/>
      <c r="AO401" s="43"/>
      <c r="AP401" s="46"/>
      <c r="AQ401" s="43"/>
      <c r="AR401" s="119"/>
      <c r="AS401" s="1"/>
      <c r="AT401" s="1"/>
    </row>
    <row r="402">
      <c r="A402" s="43"/>
      <c r="B402" s="59" t="str">
        <f>IFERROR(HYPERLINK(VLOOKUP(A402,Internal_lists_bugs!$A$2:$C$73,3,FALSE()), VLOOKUP(A402,Internal_lists_bugs!$A$2:$C$73,3,FALSE())&amp;Char(10) &amp; Char(10) &amp; VLOOKUP(A402,Internal_lists_bugs!$A$2:$Z$73,26,FALSE())),"please select a BUG ID")</f>
        <v>please select a BUG ID</v>
      </c>
      <c r="C402" s="51" t="str">
        <f>IFERROR(VLOOKUP(A402,Internal_lists_bugs!$A$2:$G2003,7,FALSE()),"please select a BUG ID")</f>
        <v>please select a BUG ID</v>
      </c>
      <c r="D402" s="43"/>
      <c r="E402" s="63"/>
      <c r="F402" s="43"/>
      <c r="G402" s="63"/>
      <c r="H402" s="43"/>
      <c r="I402" s="63"/>
      <c r="J402" s="43"/>
      <c r="K402" s="50"/>
      <c r="L402" s="43"/>
      <c r="M402" s="50"/>
      <c r="N402" s="43"/>
      <c r="O402" s="50"/>
      <c r="P402" s="43"/>
      <c r="Q402" s="50"/>
      <c r="R402" s="43"/>
      <c r="S402" s="50"/>
      <c r="T402" s="43"/>
      <c r="U402" s="50"/>
      <c r="V402" s="43"/>
      <c r="W402" s="50"/>
      <c r="X402" s="43"/>
      <c r="Y402" s="50"/>
      <c r="Z402" s="43"/>
      <c r="AA402" s="50"/>
      <c r="AB402" s="43"/>
      <c r="AC402" s="50"/>
      <c r="AD402" s="43"/>
      <c r="AE402" s="50"/>
      <c r="AF402" s="43"/>
      <c r="AG402" s="50"/>
      <c r="AH402" s="43"/>
      <c r="AI402" s="50"/>
      <c r="AJ402" s="43"/>
      <c r="AK402" s="50"/>
      <c r="AL402" s="43"/>
      <c r="AM402" s="50"/>
      <c r="AO402" s="43"/>
      <c r="AP402" s="46"/>
      <c r="AQ402" s="43"/>
      <c r="AR402" s="119"/>
      <c r="AS402" s="1"/>
      <c r="AT402" s="1"/>
    </row>
    <row r="403">
      <c r="A403" s="43"/>
      <c r="B403" s="59" t="str">
        <f>IFERROR(HYPERLINK(VLOOKUP(A403,Internal_lists_bugs!$A$2:$C$73,3,FALSE()), VLOOKUP(A403,Internal_lists_bugs!$A$2:$C$73,3,FALSE())&amp;Char(10) &amp; Char(10) &amp; VLOOKUP(A403,Internal_lists_bugs!$A$2:$Z$73,26,FALSE())),"please select a BUG ID")</f>
        <v>please select a BUG ID</v>
      </c>
      <c r="C403" s="51" t="str">
        <f>IFERROR(VLOOKUP(A403,Internal_lists_bugs!$A$2:$G2003,7,FALSE()),"please select a BUG ID")</f>
        <v>please select a BUG ID</v>
      </c>
      <c r="D403" s="43"/>
      <c r="E403" s="63"/>
      <c r="F403" s="43"/>
      <c r="G403" s="63"/>
      <c r="H403" s="43"/>
      <c r="I403" s="63"/>
      <c r="J403" s="43"/>
      <c r="K403" s="50"/>
      <c r="L403" s="43"/>
      <c r="M403" s="50"/>
      <c r="N403" s="43"/>
      <c r="O403" s="50"/>
      <c r="P403" s="43"/>
      <c r="Q403" s="50"/>
      <c r="R403" s="43"/>
      <c r="S403" s="50"/>
      <c r="T403" s="43"/>
      <c r="U403" s="50"/>
      <c r="V403" s="43"/>
      <c r="W403" s="50"/>
      <c r="X403" s="43"/>
      <c r="Y403" s="50"/>
      <c r="Z403" s="43"/>
      <c r="AA403" s="50"/>
      <c r="AB403" s="43"/>
      <c r="AC403" s="50"/>
      <c r="AD403" s="43"/>
      <c r="AE403" s="50"/>
      <c r="AF403" s="43"/>
      <c r="AG403" s="50"/>
      <c r="AH403" s="43"/>
      <c r="AI403" s="50"/>
      <c r="AJ403" s="43"/>
      <c r="AK403" s="50"/>
      <c r="AL403" s="43"/>
      <c r="AM403" s="50"/>
      <c r="AO403" s="43"/>
      <c r="AP403" s="46"/>
      <c r="AQ403" s="43"/>
      <c r="AR403" s="119"/>
      <c r="AS403" s="1"/>
      <c r="AT403" s="1"/>
    </row>
    <row r="404">
      <c r="A404" s="43"/>
      <c r="B404" s="59" t="str">
        <f>IFERROR(HYPERLINK(VLOOKUP(A404,Internal_lists_bugs!$A$2:$C$73,3,FALSE()), VLOOKUP(A404,Internal_lists_bugs!$A$2:$C$73,3,FALSE())&amp;Char(10) &amp; Char(10) &amp; VLOOKUP(A404,Internal_lists_bugs!$A$2:$Z$73,26,FALSE())),"please select a BUG ID")</f>
        <v>please select a BUG ID</v>
      </c>
      <c r="C404" s="51" t="str">
        <f>IFERROR(VLOOKUP(A404,Internal_lists_bugs!$A$2:$G2003,7,FALSE()),"please select a BUG ID")</f>
        <v>please select a BUG ID</v>
      </c>
      <c r="D404" s="43"/>
      <c r="E404" s="63"/>
      <c r="F404" s="43"/>
      <c r="G404" s="63"/>
      <c r="H404" s="43"/>
      <c r="I404" s="63"/>
      <c r="J404" s="43"/>
      <c r="K404" s="50"/>
      <c r="L404" s="43"/>
      <c r="M404" s="50"/>
      <c r="N404" s="43"/>
      <c r="O404" s="50"/>
      <c r="P404" s="43"/>
      <c r="Q404" s="50"/>
      <c r="R404" s="43"/>
      <c r="S404" s="50"/>
      <c r="T404" s="43"/>
      <c r="U404" s="50"/>
      <c r="V404" s="43"/>
      <c r="W404" s="50"/>
      <c r="X404" s="43"/>
      <c r="Y404" s="50"/>
      <c r="Z404" s="43"/>
      <c r="AA404" s="50"/>
      <c r="AB404" s="43"/>
      <c r="AC404" s="50"/>
      <c r="AD404" s="43"/>
      <c r="AE404" s="50"/>
      <c r="AF404" s="43"/>
      <c r="AG404" s="50"/>
      <c r="AH404" s="43"/>
      <c r="AI404" s="50"/>
      <c r="AJ404" s="43"/>
      <c r="AK404" s="50"/>
      <c r="AL404" s="43"/>
      <c r="AM404" s="50"/>
      <c r="AO404" s="43"/>
      <c r="AP404" s="46"/>
      <c r="AQ404" s="43"/>
      <c r="AR404" s="119"/>
      <c r="AS404" s="1"/>
      <c r="AT404" s="1"/>
    </row>
    <row r="405">
      <c r="A405" s="43"/>
      <c r="B405" s="59" t="str">
        <f>IFERROR(HYPERLINK(VLOOKUP(A405,Internal_lists_bugs!$A$2:$C$73,3,FALSE()), VLOOKUP(A405,Internal_lists_bugs!$A$2:$C$73,3,FALSE())&amp;Char(10) &amp; Char(10) &amp; VLOOKUP(A405,Internal_lists_bugs!$A$2:$Z$73,26,FALSE())),"please select a BUG ID")</f>
        <v>please select a BUG ID</v>
      </c>
      <c r="C405" s="51" t="str">
        <f>IFERROR(VLOOKUP(A405,Internal_lists_bugs!$A$2:$G2003,7,FALSE()),"please select a BUG ID")</f>
        <v>please select a BUG ID</v>
      </c>
      <c r="D405" s="43"/>
      <c r="E405" s="63"/>
      <c r="F405" s="43"/>
      <c r="G405" s="63"/>
      <c r="H405" s="43"/>
      <c r="I405" s="63"/>
      <c r="J405" s="43"/>
      <c r="K405" s="50"/>
      <c r="L405" s="43"/>
      <c r="M405" s="50"/>
      <c r="N405" s="43"/>
      <c r="O405" s="50"/>
      <c r="P405" s="43"/>
      <c r="Q405" s="50"/>
      <c r="R405" s="43"/>
      <c r="S405" s="50"/>
      <c r="T405" s="43"/>
      <c r="U405" s="50"/>
      <c r="V405" s="43"/>
      <c r="W405" s="50"/>
      <c r="X405" s="43"/>
      <c r="Y405" s="50"/>
      <c r="Z405" s="43"/>
      <c r="AA405" s="50"/>
      <c r="AB405" s="43"/>
      <c r="AC405" s="50"/>
      <c r="AD405" s="43"/>
      <c r="AE405" s="50"/>
      <c r="AF405" s="43"/>
      <c r="AG405" s="50"/>
      <c r="AH405" s="43"/>
      <c r="AI405" s="50"/>
      <c r="AJ405" s="43"/>
      <c r="AK405" s="50"/>
      <c r="AL405" s="43"/>
      <c r="AM405" s="50"/>
      <c r="AO405" s="43"/>
      <c r="AP405" s="46"/>
      <c r="AQ405" s="43"/>
      <c r="AR405" s="119"/>
      <c r="AS405" s="1"/>
      <c r="AT405" s="1"/>
    </row>
    <row r="406">
      <c r="A406" s="43"/>
      <c r="B406" s="59" t="str">
        <f>IFERROR(HYPERLINK(VLOOKUP(A406,Internal_lists_bugs!$A$2:$C$73,3,FALSE()), VLOOKUP(A406,Internal_lists_bugs!$A$2:$C$73,3,FALSE())&amp;Char(10) &amp; Char(10) &amp; VLOOKUP(A406,Internal_lists_bugs!$A$2:$Z$73,26,FALSE())),"please select a BUG ID")</f>
        <v>please select a BUG ID</v>
      </c>
      <c r="C406" s="51" t="str">
        <f>IFERROR(VLOOKUP(A406,Internal_lists_bugs!$A$2:$G2003,7,FALSE()),"please select a BUG ID")</f>
        <v>please select a BUG ID</v>
      </c>
      <c r="D406" s="43"/>
      <c r="E406" s="63"/>
      <c r="F406" s="43"/>
      <c r="G406" s="63"/>
      <c r="H406" s="43"/>
      <c r="I406" s="63"/>
      <c r="J406" s="43"/>
      <c r="K406" s="50"/>
      <c r="L406" s="43"/>
      <c r="M406" s="50"/>
      <c r="N406" s="43"/>
      <c r="O406" s="50"/>
      <c r="P406" s="43"/>
      <c r="Q406" s="50"/>
      <c r="R406" s="43"/>
      <c r="S406" s="50"/>
      <c r="T406" s="43"/>
      <c r="U406" s="50"/>
      <c r="V406" s="43"/>
      <c r="W406" s="50"/>
      <c r="X406" s="43"/>
      <c r="Y406" s="50"/>
      <c r="Z406" s="43"/>
      <c r="AA406" s="50"/>
      <c r="AB406" s="43"/>
      <c r="AC406" s="50"/>
      <c r="AD406" s="43"/>
      <c r="AE406" s="50"/>
      <c r="AF406" s="43"/>
      <c r="AG406" s="50"/>
      <c r="AH406" s="43"/>
      <c r="AI406" s="50"/>
      <c r="AJ406" s="43"/>
      <c r="AK406" s="50"/>
      <c r="AL406" s="43"/>
      <c r="AM406" s="50"/>
      <c r="AO406" s="43"/>
      <c r="AP406" s="46"/>
      <c r="AQ406" s="43"/>
      <c r="AR406" s="119"/>
      <c r="AS406" s="1"/>
      <c r="AT406" s="1"/>
    </row>
    <row r="407">
      <c r="A407" s="43"/>
      <c r="B407" s="59" t="str">
        <f>IFERROR(HYPERLINK(VLOOKUP(A407,Internal_lists_bugs!$A$2:$C$73,3,FALSE()), VLOOKUP(A407,Internal_lists_bugs!$A$2:$C$73,3,FALSE())&amp;Char(10) &amp; Char(10) &amp; VLOOKUP(A407,Internal_lists_bugs!$A$2:$Z$73,26,FALSE())),"please select a BUG ID")</f>
        <v>please select a BUG ID</v>
      </c>
      <c r="C407" s="51" t="str">
        <f>IFERROR(VLOOKUP(A407,Internal_lists_bugs!$A$2:$G2003,7,FALSE()),"please select a BUG ID")</f>
        <v>please select a BUG ID</v>
      </c>
      <c r="D407" s="43"/>
      <c r="E407" s="63"/>
      <c r="F407" s="43"/>
      <c r="G407" s="63"/>
      <c r="H407" s="43"/>
      <c r="I407" s="63"/>
      <c r="J407" s="43"/>
      <c r="K407" s="50"/>
      <c r="L407" s="43"/>
      <c r="M407" s="50"/>
      <c r="N407" s="43"/>
      <c r="O407" s="50"/>
      <c r="P407" s="43"/>
      <c r="Q407" s="50"/>
      <c r="R407" s="43"/>
      <c r="S407" s="50"/>
      <c r="T407" s="43"/>
      <c r="U407" s="50"/>
      <c r="V407" s="43"/>
      <c r="W407" s="50"/>
      <c r="X407" s="43"/>
      <c r="Y407" s="50"/>
      <c r="Z407" s="43"/>
      <c r="AA407" s="50"/>
      <c r="AB407" s="43"/>
      <c r="AC407" s="50"/>
      <c r="AD407" s="43"/>
      <c r="AE407" s="50"/>
      <c r="AF407" s="43"/>
      <c r="AG407" s="50"/>
      <c r="AH407" s="43"/>
      <c r="AI407" s="50"/>
      <c r="AJ407" s="43"/>
      <c r="AK407" s="50"/>
      <c r="AL407" s="43"/>
      <c r="AM407" s="50"/>
      <c r="AO407" s="43"/>
      <c r="AP407" s="46"/>
      <c r="AQ407" s="43"/>
      <c r="AR407" s="119"/>
      <c r="AS407" s="1"/>
      <c r="AT407" s="1"/>
    </row>
    <row r="408">
      <c r="A408" s="43"/>
      <c r="B408" s="59" t="str">
        <f>IFERROR(HYPERLINK(VLOOKUP(A408,Internal_lists_bugs!$A$2:$C$73,3,FALSE()), VLOOKUP(A408,Internal_lists_bugs!$A$2:$C$73,3,FALSE())&amp;Char(10) &amp; Char(10) &amp; VLOOKUP(A408,Internal_lists_bugs!$A$2:$Z$73,26,FALSE())),"please select a BUG ID")</f>
        <v>please select a BUG ID</v>
      </c>
      <c r="C408" s="51" t="str">
        <f>IFERROR(VLOOKUP(A408,Internal_lists_bugs!$A$2:$G2003,7,FALSE()),"please select a BUG ID")</f>
        <v>please select a BUG ID</v>
      </c>
      <c r="D408" s="43"/>
      <c r="E408" s="63"/>
      <c r="F408" s="43"/>
      <c r="G408" s="63"/>
      <c r="H408" s="43"/>
      <c r="I408" s="63"/>
      <c r="J408" s="43"/>
      <c r="K408" s="50"/>
      <c r="L408" s="43"/>
      <c r="M408" s="50"/>
      <c r="N408" s="43"/>
      <c r="O408" s="50"/>
      <c r="P408" s="43"/>
      <c r="Q408" s="50"/>
      <c r="R408" s="43"/>
      <c r="S408" s="50"/>
      <c r="T408" s="43"/>
      <c r="U408" s="50"/>
      <c r="V408" s="43"/>
      <c r="W408" s="50"/>
      <c r="X408" s="43"/>
      <c r="Y408" s="50"/>
      <c r="Z408" s="43"/>
      <c r="AA408" s="50"/>
      <c r="AB408" s="43"/>
      <c r="AC408" s="50"/>
      <c r="AD408" s="43"/>
      <c r="AE408" s="50"/>
      <c r="AF408" s="43"/>
      <c r="AG408" s="50"/>
      <c r="AH408" s="43"/>
      <c r="AI408" s="50"/>
      <c r="AJ408" s="43"/>
      <c r="AK408" s="50"/>
      <c r="AL408" s="43"/>
      <c r="AM408" s="50"/>
      <c r="AO408" s="43"/>
      <c r="AP408" s="46"/>
      <c r="AQ408" s="43"/>
      <c r="AR408" s="119"/>
      <c r="AS408" s="1"/>
      <c r="AT408" s="1"/>
    </row>
    <row r="409">
      <c r="A409" s="43"/>
      <c r="B409" s="59" t="str">
        <f>IFERROR(HYPERLINK(VLOOKUP(A409,Internal_lists_bugs!$A$2:$C$73,3,FALSE()), VLOOKUP(A409,Internal_lists_bugs!$A$2:$C$73,3,FALSE())&amp;Char(10) &amp; Char(10) &amp; VLOOKUP(A409,Internal_lists_bugs!$A$2:$Z$73,26,FALSE())),"please select a BUG ID")</f>
        <v>please select a BUG ID</v>
      </c>
      <c r="C409" s="51" t="str">
        <f>IFERROR(VLOOKUP(A409,Internal_lists_bugs!$A$2:$G2003,7,FALSE()),"please select a BUG ID")</f>
        <v>please select a BUG ID</v>
      </c>
      <c r="D409" s="43"/>
      <c r="E409" s="63"/>
      <c r="F409" s="43"/>
      <c r="G409" s="63"/>
      <c r="H409" s="43"/>
      <c r="I409" s="63"/>
      <c r="J409" s="43"/>
      <c r="K409" s="50"/>
      <c r="L409" s="43"/>
      <c r="M409" s="50"/>
      <c r="N409" s="43"/>
      <c r="O409" s="50"/>
      <c r="P409" s="43"/>
      <c r="Q409" s="50"/>
      <c r="R409" s="43"/>
      <c r="S409" s="50"/>
      <c r="T409" s="43"/>
      <c r="U409" s="50"/>
      <c r="V409" s="43"/>
      <c r="W409" s="50"/>
      <c r="X409" s="43"/>
      <c r="Y409" s="50"/>
      <c r="Z409" s="43"/>
      <c r="AA409" s="50"/>
      <c r="AB409" s="43"/>
      <c r="AC409" s="50"/>
      <c r="AD409" s="43"/>
      <c r="AE409" s="50"/>
      <c r="AF409" s="43"/>
      <c r="AG409" s="50"/>
      <c r="AH409" s="43"/>
      <c r="AI409" s="50"/>
      <c r="AJ409" s="43"/>
      <c r="AK409" s="50"/>
      <c r="AL409" s="43"/>
      <c r="AM409" s="50"/>
      <c r="AO409" s="43"/>
      <c r="AP409" s="46"/>
      <c r="AQ409" s="43"/>
      <c r="AR409" s="119"/>
      <c r="AS409" s="1"/>
      <c r="AT409" s="1"/>
    </row>
    <row r="410">
      <c r="A410" s="43"/>
      <c r="B410" s="59" t="str">
        <f>IFERROR(HYPERLINK(VLOOKUP(A410,Internal_lists_bugs!$A$2:$C$73,3,FALSE()), VLOOKUP(A410,Internal_lists_bugs!$A$2:$C$73,3,FALSE())&amp;Char(10) &amp; Char(10) &amp; VLOOKUP(A410,Internal_lists_bugs!$A$2:$Z$73,26,FALSE())),"please select a BUG ID")</f>
        <v>please select a BUG ID</v>
      </c>
      <c r="C410" s="51" t="str">
        <f>IFERROR(VLOOKUP(A410,Internal_lists_bugs!$A$2:$G2003,7,FALSE()),"please select a BUG ID")</f>
        <v>please select a BUG ID</v>
      </c>
      <c r="D410" s="43"/>
      <c r="E410" s="63"/>
      <c r="F410" s="43"/>
      <c r="G410" s="63"/>
      <c r="H410" s="43"/>
      <c r="I410" s="63"/>
      <c r="J410" s="43"/>
      <c r="K410" s="50"/>
      <c r="L410" s="43"/>
      <c r="M410" s="50"/>
      <c r="N410" s="43"/>
      <c r="O410" s="50"/>
      <c r="P410" s="43"/>
      <c r="Q410" s="50"/>
      <c r="R410" s="43"/>
      <c r="S410" s="50"/>
      <c r="T410" s="43"/>
      <c r="U410" s="50"/>
      <c r="V410" s="43"/>
      <c r="W410" s="50"/>
      <c r="X410" s="43"/>
      <c r="Y410" s="50"/>
      <c r="Z410" s="43"/>
      <c r="AA410" s="50"/>
      <c r="AB410" s="43"/>
      <c r="AC410" s="50"/>
      <c r="AD410" s="43"/>
      <c r="AE410" s="50"/>
      <c r="AF410" s="43"/>
      <c r="AG410" s="50"/>
      <c r="AH410" s="43"/>
      <c r="AI410" s="50"/>
      <c r="AJ410" s="43"/>
      <c r="AK410" s="50"/>
      <c r="AL410" s="43"/>
      <c r="AM410" s="50"/>
      <c r="AO410" s="43"/>
      <c r="AP410" s="46"/>
      <c r="AQ410" s="43"/>
      <c r="AR410" s="119"/>
      <c r="AS410" s="1"/>
      <c r="AT410" s="1"/>
    </row>
    <row r="411">
      <c r="A411" s="43"/>
      <c r="B411" s="59" t="str">
        <f>IFERROR(HYPERLINK(VLOOKUP(A411,Internal_lists_bugs!$A$2:$C$73,3,FALSE()), VLOOKUP(A411,Internal_lists_bugs!$A$2:$C$73,3,FALSE())&amp;Char(10) &amp; Char(10) &amp; VLOOKUP(A411,Internal_lists_bugs!$A$2:$Z$73,26,FALSE())),"please select a BUG ID")</f>
        <v>please select a BUG ID</v>
      </c>
      <c r="C411" s="51" t="str">
        <f>IFERROR(VLOOKUP(A411,Internal_lists_bugs!$A$2:$G2003,7,FALSE()),"please select a BUG ID")</f>
        <v>please select a BUG ID</v>
      </c>
      <c r="D411" s="43"/>
      <c r="E411" s="63"/>
      <c r="F411" s="43"/>
      <c r="G411" s="63"/>
      <c r="H411" s="43"/>
      <c r="I411" s="63"/>
      <c r="J411" s="43"/>
      <c r="K411" s="50"/>
      <c r="L411" s="43"/>
      <c r="M411" s="50"/>
      <c r="N411" s="43"/>
      <c r="O411" s="50"/>
      <c r="P411" s="43"/>
      <c r="Q411" s="50"/>
      <c r="R411" s="43"/>
      <c r="S411" s="50"/>
      <c r="T411" s="43"/>
      <c r="U411" s="50"/>
      <c r="V411" s="43"/>
      <c r="W411" s="50"/>
      <c r="X411" s="43"/>
      <c r="Y411" s="50"/>
      <c r="Z411" s="43"/>
      <c r="AA411" s="50"/>
      <c r="AB411" s="43"/>
      <c r="AC411" s="50"/>
      <c r="AD411" s="43"/>
      <c r="AE411" s="50"/>
      <c r="AF411" s="43"/>
      <c r="AG411" s="50"/>
      <c r="AH411" s="43"/>
      <c r="AI411" s="50"/>
      <c r="AJ411" s="43"/>
      <c r="AK411" s="50"/>
      <c r="AL411" s="43"/>
      <c r="AM411" s="50"/>
      <c r="AO411" s="43"/>
      <c r="AP411" s="46"/>
      <c r="AQ411" s="43"/>
      <c r="AR411" s="119"/>
      <c r="AS411" s="1"/>
      <c r="AT411" s="1"/>
    </row>
    <row r="412">
      <c r="A412" s="43"/>
      <c r="B412" s="59" t="str">
        <f>IFERROR(HYPERLINK(VLOOKUP(A412,Internal_lists_bugs!$A$2:$C$73,3,FALSE()), VLOOKUP(A412,Internal_lists_bugs!$A$2:$C$73,3,FALSE())&amp;Char(10) &amp; Char(10) &amp; VLOOKUP(A412,Internal_lists_bugs!$A$2:$Z$73,26,FALSE())),"please select a BUG ID")</f>
        <v>please select a BUG ID</v>
      </c>
      <c r="C412" s="51" t="str">
        <f>IFERROR(VLOOKUP(A412,Internal_lists_bugs!$A$2:$G2003,7,FALSE()),"please select a BUG ID")</f>
        <v>please select a BUG ID</v>
      </c>
      <c r="D412" s="43"/>
      <c r="E412" s="63"/>
      <c r="F412" s="43"/>
      <c r="G412" s="63"/>
      <c r="H412" s="43"/>
      <c r="I412" s="63"/>
      <c r="J412" s="43"/>
      <c r="K412" s="50"/>
      <c r="L412" s="43"/>
      <c r="M412" s="50"/>
      <c r="N412" s="43"/>
      <c r="O412" s="50"/>
      <c r="P412" s="43"/>
      <c r="Q412" s="50"/>
      <c r="R412" s="43"/>
      <c r="S412" s="50"/>
      <c r="T412" s="43"/>
      <c r="U412" s="50"/>
      <c r="V412" s="43"/>
      <c r="W412" s="50"/>
      <c r="X412" s="43"/>
      <c r="Y412" s="50"/>
      <c r="Z412" s="43"/>
      <c r="AA412" s="50"/>
      <c r="AB412" s="43"/>
      <c r="AC412" s="50"/>
      <c r="AD412" s="43"/>
      <c r="AE412" s="50"/>
      <c r="AF412" s="43"/>
      <c r="AG412" s="50"/>
      <c r="AH412" s="43"/>
      <c r="AI412" s="50"/>
      <c r="AJ412" s="43"/>
      <c r="AK412" s="50"/>
      <c r="AL412" s="43"/>
      <c r="AM412" s="50"/>
      <c r="AO412" s="43"/>
      <c r="AP412" s="46"/>
      <c r="AQ412" s="43"/>
      <c r="AR412" s="119"/>
      <c r="AS412" s="1"/>
      <c r="AT412" s="1"/>
    </row>
    <row r="413">
      <c r="A413" s="43"/>
      <c r="B413" s="59" t="str">
        <f>IFERROR(HYPERLINK(VLOOKUP(A413,Internal_lists_bugs!$A$2:$C$73,3,FALSE()), VLOOKUP(A413,Internal_lists_bugs!$A$2:$C$73,3,FALSE())&amp;Char(10) &amp; Char(10) &amp; VLOOKUP(A413,Internal_lists_bugs!$A$2:$Z$73,26,FALSE())),"please select a BUG ID")</f>
        <v>please select a BUG ID</v>
      </c>
      <c r="C413" s="51" t="str">
        <f>IFERROR(VLOOKUP(A413,Internal_lists_bugs!$A$2:$G2003,7,FALSE()),"please select a BUG ID")</f>
        <v>please select a BUG ID</v>
      </c>
      <c r="D413" s="43"/>
      <c r="E413" s="63"/>
      <c r="F413" s="43"/>
      <c r="G413" s="63"/>
      <c r="H413" s="43"/>
      <c r="I413" s="63"/>
      <c r="J413" s="43"/>
      <c r="K413" s="50"/>
      <c r="L413" s="43"/>
      <c r="M413" s="50"/>
      <c r="N413" s="43"/>
      <c r="O413" s="50"/>
      <c r="P413" s="43"/>
      <c r="Q413" s="50"/>
      <c r="R413" s="43"/>
      <c r="S413" s="50"/>
      <c r="T413" s="43"/>
      <c r="U413" s="50"/>
      <c r="V413" s="43"/>
      <c r="W413" s="50"/>
      <c r="X413" s="43"/>
      <c r="Y413" s="50"/>
      <c r="Z413" s="43"/>
      <c r="AA413" s="50"/>
      <c r="AB413" s="43"/>
      <c r="AC413" s="50"/>
      <c r="AD413" s="43"/>
      <c r="AE413" s="50"/>
      <c r="AF413" s="43"/>
      <c r="AG413" s="50"/>
      <c r="AH413" s="43"/>
      <c r="AI413" s="50"/>
      <c r="AJ413" s="43"/>
      <c r="AK413" s="50"/>
      <c r="AL413" s="43"/>
      <c r="AM413" s="50"/>
      <c r="AO413" s="43"/>
      <c r="AP413" s="46"/>
      <c r="AQ413" s="43"/>
      <c r="AR413" s="119"/>
      <c r="AS413" s="1"/>
      <c r="AT413" s="1"/>
    </row>
    <row r="414">
      <c r="A414" s="43"/>
      <c r="B414" s="59" t="str">
        <f>IFERROR(HYPERLINK(VLOOKUP(A414,Internal_lists_bugs!$A$2:$C$73,3,FALSE()), VLOOKUP(A414,Internal_lists_bugs!$A$2:$C$73,3,FALSE())&amp;Char(10) &amp; Char(10) &amp; VLOOKUP(A414,Internal_lists_bugs!$A$2:$Z$73,26,FALSE())),"please select a BUG ID")</f>
        <v>please select a BUG ID</v>
      </c>
      <c r="C414" s="51" t="str">
        <f>IFERROR(VLOOKUP(A414,Internal_lists_bugs!$A$2:$G2003,7,FALSE()),"please select a BUG ID")</f>
        <v>please select a BUG ID</v>
      </c>
      <c r="D414" s="43"/>
      <c r="E414" s="63"/>
      <c r="F414" s="43"/>
      <c r="G414" s="63"/>
      <c r="H414" s="43"/>
      <c r="I414" s="63"/>
      <c r="J414" s="43"/>
      <c r="K414" s="50"/>
      <c r="L414" s="43"/>
      <c r="M414" s="50"/>
      <c r="N414" s="43"/>
      <c r="O414" s="50"/>
      <c r="P414" s="43"/>
      <c r="Q414" s="50"/>
      <c r="R414" s="43"/>
      <c r="S414" s="50"/>
      <c r="T414" s="43"/>
      <c r="U414" s="50"/>
      <c r="V414" s="43"/>
      <c r="W414" s="50"/>
      <c r="X414" s="43"/>
      <c r="Y414" s="50"/>
      <c r="Z414" s="43"/>
      <c r="AA414" s="50"/>
      <c r="AB414" s="43"/>
      <c r="AC414" s="50"/>
      <c r="AD414" s="43"/>
      <c r="AE414" s="50"/>
      <c r="AF414" s="43"/>
      <c r="AG414" s="50"/>
      <c r="AH414" s="43"/>
      <c r="AI414" s="50"/>
      <c r="AJ414" s="43"/>
      <c r="AK414" s="50"/>
      <c r="AL414" s="43"/>
      <c r="AM414" s="50"/>
      <c r="AO414" s="43"/>
      <c r="AP414" s="46"/>
      <c r="AQ414" s="43"/>
      <c r="AR414" s="119"/>
      <c r="AS414" s="1"/>
      <c r="AT414" s="1"/>
    </row>
    <row r="415">
      <c r="A415" s="43"/>
      <c r="B415" s="59" t="str">
        <f>IFERROR(HYPERLINK(VLOOKUP(A415,Internal_lists_bugs!$A$2:$C$73,3,FALSE()), VLOOKUP(A415,Internal_lists_bugs!$A$2:$C$73,3,FALSE())&amp;Char(10) &amp; Char(10) &amp; VLOOKUP(A415,Internal_lists_bugs!$A$2:$Z$73,26,FALSE())),"please select a BUG ID")</f>
        <v>please select a BUG ID</v>
      </c>
      <c r="C415" s="51" t="str">
        <f>IFERROR(VLOOKUP(A415,Internal_lists_bugs!$A$2:$G2003,7,FALSE()),"please select a BUG ID")</f>
        <v>please select a BUG ID</v>
      </c>
      <c r="D415" s="43"/>
      <c r="E415" s="63"/>
      <c r="F415" s="43"/>
      <c r="G415" s="63"/>
      <c r="H415" s="43"/>
      <c r="I415" s="63"/>
      <c r="J415" s="43"/>
      <c r="K415" s="50"/>
      <c r="L415" s="43"/>
      <c r="M415" s="50"/>
      <c r="N415" s="43"/>
      <c r="O415" s="50"/>
      <c r="P415" s="43"/>
      <c r="Q415" s="50"/>
      <c r="R415" s="43"/>
      <c r="S415" s="50"/>
      <c r="T415" s="43"/>
      <c r="U415" s="50"/>
      <c r="V415" s="43"/>
      <c r="W415" s="50"/>
      <c r="X415" s="43"/>
      <c r="Y415" s="50"/>
      <c r="Z415" s="43"/>
      <c r="AA415" s="50"/>
      <c r="AB415" s="43"/>
      <c r="AC415" s="50"/>
      <c r="AD415" s="43"/>
      <c r="AE415" s="50"/>
      <c r="AF415" s="43"/>
      <c r="AG415" s="50"/>
      <c r="AH415" s="43"/>
      <c r="AI415" s="50"/>
      <c r="AJ415" s="43"/>
      <c r="AK415" s="50"/>
      <c r="AL415" s="43"/>
      <c r="AM415" s="50"/>
      <c r="AO415" s="43"/>
      <c r="AP415" s="46"/>
      <c r="AQ415" s="43"/>
      <c r="AR415" s="119"/>
      <c r="AS415" s="1"/>
      <c r="AT415" s="1"/>
    </row>
    <row r="416">
      <c r="A416" s="43"/>
      <c r="B416" s="59" t="str">
        <f>IFERROR(HYPERLINK(VLOOKUP(A416,Internal_lists_bugs!$A$2:$C$73,3,FALSE()), VLOOKUP(A416,Internal_lists_bugs!$A$2:$C$73,3,FALSE())&amp;Char(10) &amp; Char(10) &amp; VLOOKUP(A416,Internal_lists_bugs!$A$2:$Z$73,26,FALSE())),"please select a BUG ID")</f>
        <v>please select a BUG ID</v>
      </c>
      <c r="C416" s="51" t="str">
        <f>IFERROR(VLOOKUP(A416,Internal_lists_bugs!$A$2:$G2003,7,FALSE()),"please select a BUG ID")</f>
        <v>please select a BUG ID</v>
      </c>
      <c r="D416" s="43"/>
      <c r="E416" s="63"/>
      <c r="F416" s="43"/>
      <c r="G416" s="63"/>
      <c r="H416" s="43"/>
      <c r="I416" s="63"/>
      <c r="J416" s="43"/>
      <c r="K416" s="50"/>
      <c r="L416" s="43"/>
      <c r="M416" s="50"/>
      <c r="N416" s="43"/>
      <c r="O416" s="50"/>
      <c r="P416" s="43"/>
      <c r="Q416" s="50"/>
      <c r="R416" s="43"/>
      <c r="S416" s="50"/>
      <c r="T416" s="43"/>
      <c r="U416" s="50"/>
      <c r="V416" s="43"/>
      <c r="W416" s="50"/>
      <c r="X416" s="43"/>
      <c r="Y416" s="50"/>
      <c r="Z416" s="43"/>
      <c r="AA416" s="50"/>
      <c r="AB416" s="43"/>
      <c r="AC416" s="50"/>
      <c r="AD416" s="43"/>
      <c r="AE416" s="50"/>
      <c r="AF416" s="43"/>
      <c r="AG416" s="50"/>
      <c r="AH416" s="43"/>
      <c r="AI416" s="50"/>
      <c r="AJ416" s="43"/>
      <c r="AK416" s="50"/>
      <c r="AL416" s="43"/>
      <c r="AM416" s="50"/>
      <c r="AO416" s="43"/>
      <c r="AP416" s="46"/>
      <c r="AQ416" s="43"/>
      <c r="AR416" s="119"/>
      <c r="AS416" s="1"/>
      <c r="AT416" s="1"/>
    </row>
    <row r="417">
      <c r="A417" s="43"/>
      <c r="B417" s="59" t="str">
        <f>IFERROR(HYPERLINK(VLOOKUP(A417,Internal_lists_bugs!$A$2:$C$73,3,FALSE()), VLOOKUP(A417,Internal_lists_bugs!$A$2:$C$73,3,FALSE())&amp;Char(10) &amp; Char(10) &amp; VLOOKUP(A417,Internal_lists_bugs!$A$2:$Z$73,26,FALSE())),"please select a BUG ID")</f>
        <v>please select a BUG ID</v>
      </c>
      <c r="C417" s="51" t="str">
        <f>IFERROR(VLOOKUP(A417,Internal_lists_bugs!$A$2:$G2003,7,FALSE()),"please select a BUG ID")</f>
        <v>please select a BUG ID</v>
      </c>
      <c r="D417" s="43"/>
      <c r="E417" s="63"/>
      <c r="F417" s="43"/>
      <c r="G417" s="63"/>
      <c r="H417" s="43"/>
      <c r="I417" s="63"/>
      <c r="J417" s="43"/>
      <c r="K417" s="50"/>
      <c r="L417" s="43"/>
      <c r="M417" s="50"/>
      <c r="N417" s="43"/>
      <c r="O417" s="50"/>
      <c r="P417" s="43"/>
      <c r="Q417" s="50"/>
      <c r="R417" s="43"/>
      <c r="S417" s="50"/>
      <c r="T417" s="43"/>
      <c r="U417" s="50"/>
      <c r="V417" s="43"/>
      <c r="W417" s="50"/>
      <c r="X417" s="43"/>
      <c r="Y417" s="50"/>
      <c r="Z417" s="43"/>
      <c r="AA417" s="50"/>
      <c r="AB417" s="43"/>
      <c r="AC417" s="50"/>
      <c r="AD417" s="43"/>
      <c r="AE417" s="50"/>
      <c r="AF417" s="43"/>
      <c r="AG417" s="50"/>
      <c r="AH417" s="43"/>
      <c r="AI417" s="50"/>
      <c r="AJ417" s="43"/>
      <c r="AK417" s="50"/>
      <c r="AL417" s="43"/>
      <c r="AM417" s="50"/>
      <c r="AO417" s="43"/>
      <c r="AP417" s="46"/>
      <c r="AQ417" s="43"/>
      <c r="AR417" s="119"/>
      <c r="AS417" s="1"/>
      <c r="AT417" s="1"/>
    </row>
    <row r="418">
      <c r="A418" s="43"/>
      <c r="B418" s="59" t="str">
        <f>IFERROR(HYPERLINK(VLOOKUP(A418,Internal_lists_bugs!$A$2:$C$73,3,FALSE()), VLOOKUP(A418,Internal_lists_bugs!$A$2:$C$73,3,FALSE())&amp;Char(10) &amp; Char(10) &amp; VLOOKUP(A418,Internal_lists_bugs!$A$2:$Z$73,26,FALSE())),"please select a BUG ID")</f>
        <v>please select a BUG ID</v>
      </c>
      <c r="C418" s="51" t="str">
        <f>IFERROR(VLOOKUP(A418,Internal_lists_bugs!$A$2:$G2003,7,FALSE()),"please select a BUG ID")</f>
        <v>please select a BUG ID</v>
      </c>
      <c r="D418" s="43"/>
      <c r="E418" s="63"/>
      <c r="F418" s="43"/>
      <c r="G418" s="63"/>
      <c r="H418" s="43"/>
      <c r="I418" s="63"/>
      <c r="J418" s="43"/>
      <c r="K418" s="50"/>
      <c r="L418" s="43"/>
      <c r="M418" s="50"/>
      <c r="N418" s="43"/>
      <c r="O418" s="50"/>
      <c r="P418" s="43"/>
      <c r="Q418" s="50"/>
      <c r="R418" s="43"/>
      <c r="S418" s="50"/>
      <c r="T418" s="43"/>
      <c r="U418" s="50"/>
      <c r="V418" s="43"/>
      <c r="W418" s="50"/>
      <c r="X418" s="43"/>
      <c r="Y418" s="50"/>
      <c r="Z418" s="43"/>
      <c r="AA418" s="50"/>
      <c r="AB418" s="43"/>
      <c r="AC418" s="50"/>
      <c r="AD418" s="43"/>
      <c r="AE418" s="50"/>
      <c r="AF418" s="43"/>
      <c r="AG418" s="50"/>
      <c r="AH418" s="43"/>
      <c r="AI418" s="50"/>
      <c r="AJ418" s="43"/>
      <c r="AK418" s="50"/>
      <c r="AL418" s="43"/>
      <c r="AM418" s="50"/>
      <c r="AO418" s="43"/>
      <c r="AP418" s="46"/>
      <c r="AQ418" s="43"/>
      <c r="AR418" s="119"/>
      <c r="AS418" s="1"/>
      <c r="AT418" s="1"/>
    </row>
    <row r="419">
      <c r="A419" s="43"/>
      <c r="B419" s="59" t="str">
        <f>IFERROR(HYPERLINK(VLOOKUP(A419,Internal_lists_bugs!$A$2:$C$73,3,FALSE()), VLOOKUP(A419,Internal_lists_bugs!$A$2:$C$73,3,FALSE())&amp;Char(10) &amp; Char(10) &amp; VLOOKUP(A419,Internal_lists_bugs!$A$2:$Z$73,26,FALSE())),"please select a BUG ID")</f>
        <v>please select a BUG ID</v>
      </c>
      <c r="C419" s="51" t="str">
        <f>IFERROR(VLOOKUP(A419,Internal_lists_bugs!$A$2:$G2003,7,FALSE()),"please select a BUG ID")</f>
        <v>please select a BUG ID</v>
      </c>
      <c r="D419" s="43"/>
      <c r="E419" s="63"/>
      <c r="F419" s="43"/>
      <c r="G419" s="63"/>
      <c r="H419" s="43"/>
      <c r="I419" s="63"/>
      <c r="J419" s="43"/>
      <c r="K419" s="50"/>
      <c r="L419" s="43"/>
      <c r="M419" s="50"/>
      <c r="N419" s="43"/>
      <c r="O419" s="50"/>
      <c r="P419" s="43"/>
      <c r="Q419" s="50"/>
      <c r="R419" s="43"/>
      <c r="S419" s="50"/>
      <c r="T419" s="43"/>
      <c r="U419" s="50"/>
      <c r="V419" s="43"/>
      <c r="W419" s="50"/>
      <c r="X419" s="43"/>
      <c r="Y419" s="50"/>
      <c r="Z419" s="43"/>
      <c r="AA419" s="50"/>
      <c r="AB419" s="43"/>
      <c r="AC419" s="50"/>
      <c r="AD419" s="43"/>
      <c r="AE419" s="50"/>
      <c r="AF419" s="43"/>
      <c r="AG419" s="50"/>
      <c r="AH419" s="43"/>
      <c r="AI419" s="50"/>
      <c r="AJ419" s="43"/>
      <c r="AK419" s="50"/>
      <c r="AL419" s="43"/>
      <c r="AM419" s="50"/>
      <c r="AO419" s="43"/>
      <c r="AP419" s="46"/>
      <c r="AQ419" s="43"/>
      <c r="AR419" s="119"/>
      <c r="AS419" s="1"/>
      <c r="AT419" s="1"/>
    </row>
    <row r="420">
      <c r="A420" s="43"/>
      <c r="B420" s="59" t="str">
        <f>IFERROR(HYPERLINK(VLOOKUP(A420,Internal_lists_bugs!$A$2:$C$73,3,FALSE()), VLOOKUP(A420,Internal_lists_bugs!$A$2:$C$73,3,FALSE())&amp;Char(10) &amp; Char(10) &amp; VLOOKUP(A420,Internal_lists_bugs!$A$2:$Z$73,26,FALSE())),"please select a BUG ID")</f>
        <v>please select a BUG ID</v>
      </c>
      <c r="C420" s="51" t="str">
        <f>IFERROR(VLOOKUP(A420,Internal_lists_bugs!$A$2:$G2003,7,FALSE()),"please select a BUG ID")</f>
        <v>please select a BUG ID</v>
      </c>
      <c r="D420" s="43"/>
      <c r="E420" s="63"/>
      <c r="F420" s="43"/>
      <c r="G420" s="63"/>
      <c r="H420" s="43"/>
      <c r="I420" s="63"/>
      <c r="J420" s="43"/>
      <c r="K420" s="50"/>
      <c r="L420" s="43"/>
      <c r="M420" s="50"/>
      <c r="N420" s="43"/>
      <c r="O420" s="50"/>
      <c r="P420" s="43"/>
      <c r="Q420" s="50"/>
      <c r="R420" s="43"/>
      <c r="S420" s="50"/>
      <c r="T420" s="43"/>
      <c r="U420" s="50"/>
      <c r="V420" s="43"/>
      <c r="W420" s="50"/>
      <c r="X420" s="43"/>
      <c r="Y420" s="50"/>
      <c r="Z420" s="43"/>
      <c r="AA420" s="50"/>
      <c r="AB420" s="43"/>
      <c r="AC420" s="50"/>
      <c r="AD420" s="43"/>
      <c r="AE420" s="50"/>
      <c r="AF420" s="43"/>
      <c r="AG420" s="50"/>
      <c r="AH420" s="43"/>
      <c r="AI420" s="50"/>
      <c r="AJ420" s="43"/>
      <c r="AK420" s="50"/>
      <c r="AL420" s="43"/>
      <c r="AM420" s="50"/>
      <c r="AO420" s="43"/>
      <c r="AP420" s="46"/>
      <c r="AQ420" s="43"/>
      <c r="AR420" s="119"/>
      <c r="AS420" s="1"/>
      <c r="AT420" s="1"/>
    </row>
    <row r="421">
      <c r="A421" s="43"/>
      <c r="B421" s="59" t="str">
        <f>IFERROR(HYPERLINK(VLOOKUP(A421,Internal_lists_bugs!$A$2:$C$73,3,FALSE()), VLOOKUP(A421,Internal_lists_bugs!$A$2:$C$73,3,FALSE())&amp;Char(10) &amp; Char(10) &amp; VLOOKUP(A421,Internal_lists_bugs!$A$2:$Z$73,26,FALSE())),"please select a BUG ID")</f>
        <v>please select a BUG ID</v>
      </c>
      <c r="C421" s="51" t="str">
        <f>IFERROR(VLOOKUP(A421,Internal_lists_bugs!$A$2:$G2003,7,FALSE()),"please select a BUG ID")</f>
        <v>please select a BUG ID</v>
      </c>
      <c r="D421" s="43"/>
      <c r="E421" s="63"/>
      <c r="F421" s="43"/>
      <c r="G421" s="63"/>
      <c r="H421" s="43"/>
      <c r="I421" s="63"/>
      <c r="J421" s="43"/>
      <c r="K421" s="50"/>
      <c r="L421" s="43"/>
      <c r="M421" s="50"/>
      <c r="N421" s="43"/>
      <c r="O421" s="50"/>
      <c r="P421" s="43"/>
      <c r="Q421" s="50"/>
      <c r="R421" s="43"/>
      <c r="S421" s="50"/>
      <c r="T421" s="43"/>
      <c r="U421" s="50"/>
      <c r="V421" s="43"/>
      <c r="W421" s="50"/>
      <c r="X421" s="43"/>
      <c r="Y421" s="50"/>
      <c r="Z421" s="43"/>
      <c r="AA421" s="50"/>
      <c r="AB421" s="43"/>
      <c r="AC421" s="50"/>
      <c r="AD421" s="43"/>
      <c r="AE421" s="50"/>
      <c r="AF421" s="43"/>
      <c r="AG421" s="50"/>
      <c r="AH421" s="43"/>
      <c r="AI421" s="50"/>
      <c r="AJ421" s="43"/>
      <c r="AK421" s="50"/>
      <c r="AL421" s="43"/>
      <c r="AM421" s="50"/>
      <c r="AO421" s="43"/>
      <c r="AP421" s="46"/>
      <c r="AQ421" s="43"/>
      <c r="AR421" s="119"/>
      <c r="AS421" s="1"/>
      <c r="AT421" s="1"/>
    </row>
    <row r="422">
      <c r="A422" s="43"/>
      <c r="B422" s="59" t="str">
        <f>IFERROR(HYPERLINK(VLOOKUP(A422,Internal_lists_bugs!$A$2:$C$73,3,FALSE()), VLOOKUP(A422,Internal_lists_bugs!$A$2:$C$73,3,FALSE())&amp;Char(10) &amp; Char(10) &amp; VLOOKUP(A422,Internal_lists_bugs!$A$2:$Z$73,26,FALSE())),"please select a BUG ID")</f>
        <v>please select a BUG ID</v>
      </c>
      <c r="C422" s="51" t="str">
        <f>IFERROR(VLOOKUP(A422,Internal_lists_bugs!$A$2:$G2003,7,FALSE()),"please select a BUG ID")</f>
        <v>please select a BUG ID</v>
      </c>
      <c r="D422" s="43"/>
      <c r="E422" s="63"/>
      <c r="F422" s="43"/>
      <c r="G422" s="63"/>
      <c r="H422" s="43"/>
      <c r="I422" s="63"/>
      <c r="J422" s="43"/>
      <c r="K422" s="50"/>
      <c r="L422" s="43"/>
      <c r="M422" s="50"/>
      <c r="N422" s="43"/>
      <c r="O422" s="50"/>
      <c r="P422" s="43"/>
      <c r="Q422" s="50"/>
      <c r="R422" s="43"/>
      <c r="S422" s="50"/>
      <c r="T422" s="43"/>
      <c r="U422" s="50"/>
      <c r="V422" s="43"/>
      <c r="W422" s="50"/>
      <c r="X422" s="43"/>
      <c r="Y422" s="50"/>
      <c r="Z422" s="43"/>
      <c r="AA422" s="50"/>
      <c r="AB422" s="43"/>
      <c r="AC422" s="50"/>
      <c r="AD422" s="43"/>
      <c r="AE422" s="50"/>
      <c r="AF422" s="43"/>
      <c r="AG422" s="50"/>
      <c r="AH422" s="43"/>
      <c r="AI422" s="50"/>
      <c r="AJ422" s="43"/>
      <c r="AK422" s="50"/>
      <c r="AL422" s="43"/>
      <c r="AM422" s="50"/>
      <c r="AO422" s="43"/>
      <c r="AP422" s="46"/>
      <c r="AQ422" s="43"/>
      <c r="AR422" s="119"/>
      <c r="AS422" s="1"/>
      <c r="AT422" s="1"/>
    </row>
    <row r="423">
      <c r="A423" s="43"/>
      <c r="B423" s="59" t="str">
        <f>IFERROR(HYPERLINK(VLOOKUP(A423,Internal_lists_bugs!$A$2:$C$73,3,FALSE()), VLOOKUP(A423,Internal_lists_bugs!$A$2:$C$73,3,FALSE())&amp;Char(10) &amp; Char(10) &amp; VLOOKUP(A423,Internal_lists_bugs!$A$2:$Z$73,26,FALSE())),"please select a BUG ID")</f>
        <v>please select a BUG ID</v>
      </c>
      <c r="C423" s="51" t="str">
        <f>IFERROR(VLOOKUP(A423,Internal_lists_bugs!$A$2:$G2003,7,FALSE()),"please select a BUG ID")</f>
        <v>please select a BUG ID</v>
      </c>
      <c r="D423" s="43"/>
      <c r="E423" s="63"/>
      <c r="F423" s="43"/>
      <c r="G423" s="63"/>
      <c r="H423" s="43"/>
      <c r="I423" s="63"/>
      <c r="J423" s="43"/>
      <c r="K423" s="50"/>
      <c r="L423" s="43"/>
      <c r="M423" s="50"/>
      <c r="N423" s="43"/>
      <c r="O423" s="50"/>
      <c r="P423" s="43"/>
      <c r="Q423" s="50"/>
      <c r="R423" s="43"/>
      <c r="S423" s="50"/>
      <c r="T423" s="43"/>
      <c r="U423" s="50"/>
      <c r="V423" s="43"/>
      <c r="W423" s="50"/>
      <c r="X423" s="43"/>
      <c r="Y423" s="50"/>
      <c r="Z423" s="43"/>
      <c r="AA423" s="50"/>
      <c r="AB423" s="43"/>
      <c r="AC423" s="50"/>
      <c r="AD423" s="43"/>
      <c r="AE423" s="50"/>
      <c r="AF423" s="43"/>
      <c r="AG423" s="50"/>
      <c r="AH423" s="43"/>
      <c r="AI423" s="50"/>
      <c r="AJ423" s="43"/>
      <c r="AK423" s="50"/>
      <c r="AL423" s="43"/>
      <c r="AM423" s="50"/>
      <c r="AO423" s="43"/>
      <c r="AP423" s="46"/>
      <c r="AQ423" s="43"/>
      <c r="AR423" s="119"/>
      <c r="AS423" s="1"/>
      <c r="AT423" s="1"/>
    </row>
    <row r="424">
      <c r="A424" s="43"/>
      <c r="B424" s="59" t="str">
        <f>IFERROR(HYPERLINK(VLOOKUP(A424,Internal_lists_bugs!$A$2:$C$73,3,FALSE()), VLOOKUP(A424,Internal_lists_bugs!$A$2:$C$73,3,FALSE())&amp;Char(10) &amp; Char(10) &amp; VLOOKUP(A424,Internal_lists_bugs!$A$2:$Z$73,26,FALSE())),"please select a BUG ID")</f>
        <v>please select a BUG ID</v>
      </c>
      <c r="C424" s="51" t="str">
        <f>IFERROR(VLOOKUP(A424,Internal_lists_bugs!$A$2:$G2003,7,FALSE()),"please select a BUG ID")</f>
        <v>please select a BUG ID</v>
      </c>
      <c r="D424" s="43"/>
      <c r="E424" s="63"/>
      <c r="F424" s="43"/>
      <c r="G424" s="63"/>
      <c r="H424" s="43"/>
      <c r="I424" s="63"/>
      <c r="J424" s="43"/>
      <c r="K424" s="50"/>
      <c r="L424" s="43"/>
      <c r="M424" s="50"/>
      <c r="N424" s="43"/>
      <c r="O424" s="50"/>
      <c r="P424" s="43"/>
      <c r="Q424" s="50"/>
      <c r="R424" s="43"/>
      <c r="S424" s="50"/>
      <c r="T424" s="43"/>
      <c r="U424" s="50"/>
      <c r="V424" s="43"/>
      <c r="W424" s="50"/>
      <c r="X424" s="43"/>
      <c r="Y424" s="50"/>
      <c r="Z424" s="43"/>
      <c r="AA424" s="50"/>
      <c r="AB424" s="43"/>
      <c r="AC424" s="50"/>
      <c r="AD424" s="43"/>
      <c r="AE424" s="50"/>
      <c r="AF424" s="43"/>
      <c r="AG424" s="50"/>
      <c r="AH424" s="43"/>
      <c r="AI424" s="50"/>
      <c r="AJ424" s="43"/>
      <c r="AK424" s="50"/>
      <c r="AL424" s="43"/>
      <c r="AM424" s="50"/>
      <c r="AO424" s="43"/>
      <c r="AP424" s="46"/>
      <c r="AQ424" s="43"/>
      <c r="AR424" s="119"/>
      <c r="AS424" s="1"/>
      <c r="AT424" s="1"/>
    </row>
    <row r="425">
      <c r="A425" s="43"/>
      <c r="B425" s="59" t="str">
        <f>IFERROR(HYPERLINK(VLOOKUP(A425,Internal_lists_bugs!$A$2:$C$73,3,FALSE()), VLOOKUP(A425,Internal_lists_bugs!$A$2:$C$73,3,FALSE())&amp;Char(10) &amp; Char(10) &amp; VLOOKUP(A425,Internal_lists_bugs!$A$2:$Z$73,26,FALSE())),"please select a BUG ID")</f>
        <v>please select a BUG ID</v>
      </c>
      <c r="C425" s="51" t="str">
        <f>IFERROR(VLOOKUP(A425,Internal_lists_bugs!$A$2:$G2003,7,FALSE()),"please select a BUG ID")</f>
        <v>please select a BUG ID</v>
      </c>
      <c r="D425" s="43"/>
      <c r="E425" s="63"/>
      <c r="F425" s="43"/>
      <c r="G425" s="63"/>
      <c r="H425" s="43"/>
      <c r="I425" s="63"/>
      <c r="J425" s="43"/>
      <c r="K425" s="50"/>
      <c r="L425" s="43"/>
      <c r="M425" s="50"/>
      <c r="N425" s="43"/>
      <c r="O425" s="50"/>
      <c r="P425" s="43"/>
      <c r="Q425" s="50"/>
      <c r="R425" s="43"/>
      <c r="S425" s="50"/>
      <c r="T425" s="43"/>
      <c r="U425" s="50"/>
      <c r="V425" s="43"/>
      <c r="W425" s="50"/>
      <c r="X425" s="43"/>
      <c r="Y425" s="50"/>
      <c r="Z425" s="43"/>
      <c r="AA425" s="50"/>
      <c r="AB425" s="43"/>
      <c r="AC425" s="50"/>
      <c r="AD425" s="43"/>
      <c r="AE425" s="50"/>
      <c r="AF425" s="43"/>
      <c r="AG425" s="50"/>
      <c r="AH425" s="43"/>
      <c r="AI425" s="50"/>
      <c r="AJ425" s="43"/>
      <c r="AK425" s="50"/>
      <c r="AL425" s="43"/>
      <c r="AM425" s="50"/>
      <c r="AO425" s="43"/>
      <c r="AP425" s="46"/>
      <c r="AQ425" s="43"/>
      <c r="AR425" s="119"/>
      <c r="AS425" s="1"/>
      <c r="AT425" s="1"/>
    </row>
    <row r="426">
      <c r="A426" s="43"/>
      <c r="B426" s="59" t="str">
        <f>IFERROR(HYPERLINK(VLOOKUP(A426,Internal_lists_bugs!$A$2:$C$73,3,FALSE()), VLOOKUP(A426,Internal_lists_bugs!$A$2:$C$73,3,FALSE())&amp;Char(10) &amp; Char(10) &amp; VLOOKUP(A426,Internal_lists_bugs!$A$2:$Z$73,26,FALSE())),"please select a BUG ID")</f>
        <v>please select a BUG ID</v>
      </c>
      <c r="C426" s="51" t="str">
        <f>IFERROR(VLOOKUP(A426,Internal_lists_bugs!$A$2:$G2003,7,FALSE()),"please select a BUG ID")</f>
        <v>please select a BUG ID</v>
      </c>
      <c r="D426" s="43"/>
      <c r="E426" s="63"/>
      <c r="F426" s="43"/>
      <c r="G426" s="63"/>
      <c r="H426" s="43"/>
      <c r="I426" s="63"/>
      <c r="J426" s="43"/>
      <c r="K426" s="50"/>
      <c r="L426" s="43"/>
      <c r="M426" s="50"/>
      <c r="N426" s="43"/>
      <c r="O426" s="50"/>
      <c r="P426" s="43"/>
      <c r="Q426" s="50"/>
      <c r="R426" s="43"/>
      <c r="S426" s="50"/>
      <c r="T426" s="43"/>
      <c r="U426" s="50"/>
      <c r="V426" s="43"/>
      <c r="W426" s="50"/>
      <c r="X426" s="43"/>
      <c r="Y426" s="50"/>
      <c r="Z426" s="43"/>
      <c r="AA426" s="50"/>
      <c r="AB426" s="43"/>
      <c r="AC426" s="50"/>
      <c r="AD426" s="43"/>
      <c r="AE426" s="50"/>
      <c r="AF426" s="43"/>
      <c r="AG426" s="50"/>
      <c r="AH426" s="43"/>
      <c r="AI426" s="50"/>
      <c r="AJ426" s="43"/>
      <c r="AK426" s="50"/>
      <c r="AL426" s="43"/>
      <c r="AM426" s="50"/>
      <c r="AO426" s="43"/>
      <c r="AP426" s="46"/>
      <c r="AQ426" s="43"/>
      <c r="AR426" s="119"/>
      <c r="AS426" s="1"/>
      <c r="AT426" s="1"/>
    </row>
    <row r="427">
      <c r="A427" s="43"/>
      <c r="B427" s="59" t="str">
        <f>IFERROR(HYPERLINK(VLOOKUP(A427,Internal_lists_bugs!$A$2:$C$73,3,FALSE()), VLOOKUP(A427,Internal_lists_bugs!$A$2:$C$73,3,FALSE())&amp;Char(10) &amp; Char(10) &amp; VLOOKUP(A427,Internal_lists_bugs!$A$2:$Z$73,26,FALSE())),"please select a BUG ID")</f>
        <v>please select a BUG ID</v>
      </c>
      <c r="C427" s="51" t="str">
        <f>IFERROR(VLOOKUP(A427,Internal_lists_bugs!$A$2:$G2003,7,FALSE()),"please select a BUG ID")</f>
        <v>please select a BUG ID</v>
      </c>
      <c r="D427" s="43"/>
      <c r="E427" s="63"/>
      <c r="F427" s="43"/>
      <c r="G427" s="63"/>
      <c r="H427" s="43"/>
      <c r="I427" s="63"/>
      <c r="J427" s="43"/>
      <c r="K427" s="50"/>
      <c r="L427" s="43"/>
      <c r="M427" s="50"/>
      <c r="N427" s="43"/>
      <c r="O427" s="50"/>
      <c r="P427" s="43"/>
      <c r="Q427" s="50"/>
      <c r="R427" s="43"/>
      <c r="S427" s="50"/>
      <c r="T427" s="43"/>
      <c r="U427" s="50"/>
      <c r="V427" s="43"/>
      <c r="W427" s="50"/>
      <c r="X427" s="43"/>
      <c r="Y427" s="50"/>
      <c r="Z427" s="43"/>
      <c r="AA427" s="50"/>
      <c r="AB427" s="43"/>
      <c r="AC427" s="50"/>
      <c r="AD427" s="43"/>
      <c r="AE427" s="50"/>
      <c r="AF427" s="43"/>
      <c r="AG427" s="50"/>
      <c r="AH427" s="43"/>
      <c r="AI427" s="50"/>
      <c r="AJ427" s="43"/>
      <c r="AK427" s="50"/>
      <c r="AL427" s="43"/>
      <c r="AM427" s="50"/>
      <c r="AO427" s="43"/>
      <c r="AP427" s="46"/>
      <c r="AQ427" s="43"/>
      <c r="AR427" s="119"/>
      <c r="AS427" s="1"/>
      <c r="AT427" s="1"/>
    </row>
    <row r="428">
      <c r="A428" s="43"/>
      <c r="B428" s="59" t="str">
        <f>IFERROR(HYPERLINK(VLOOKUP(A428,Internal_lists_bugs!$A$2:$C$73,3,FALSE()), VLOOKUP(A428,Internal_lists_bugs!$A$2:$C$73,3,FALSE())&amp;Char(10) &amp; Char(10) &amp; VLOOKUP(A428,Internal_lists_bugs!$A$2:$Z$73,26,FALSE())),"please select a BUG ID")</f>
        <v>please select a BUG ID</v>
      </c>
      <c r="C428" s="51" t="str">
        <f>IFERROR(VLOOKUP(A428,Internal_lists_bugs!$A$2:$G2003,7,FALSE()),"please select a BUG ID")</f>
        <v>please select a BUG ID</v>
      </c>
      <c r="D428" s="43"/>
      <c r="E428" s="63"/>
      <c r="F428" s="43"/>
      <c r="G428" s="63"/>
      <c r="H428" s="43"/>
      <c r="I428" s="63"/>
      <c r="J428" s="43"/>
      <c r="K428" s="50"/>
      <c r="L428" s="43"/>
      <c r="M428" s="50"/>
      <c r="N428" s="43"/>
      <c r="O428" s="50"/>
      <c r="P428" s="43"/>
      <c r="Q428" s="50"/>
      <c r="R428" s="43"/>
      <c r="S428" s="50"/>
      <c r="T428" s="43"/>
      <c r="U428" s="50"/>
      <c r="V428" s="43"/>
      <c r="W428" s="50"/>
      <c r="X428" s="43"/>
      <c r="Y428" s="50"/>
      <c r="Z428" s="43"/>
      <c r="AA428" s="50"/>
      <c r="AB428" s="43"/>
      <c r="AC428" s="50"/>
      <c r="AD428" s="43"/>
      <c r="AE428" s="50"/>
      <c r="AF428" s="43"/>
      <c r="AG428" s="50"/>
      <c r="AH428" s="43"/>
      <c r="AI428" s="50"/>
      <c r="AJ428" s="43"/>
      <c r="AK428" s="50"/>
      <c r="AL428" s="43"/>
      <c r="AM428" s="50"/>
      <c r="AO428" s="43"/>
      <c r="AP428" s="46"/>
      <c r="AQ428" s="43"/>
      <c r="AR428" s="119"/>
      <c r="AS428" s="1"/>
      <c r="AT428" s="1"/>
    </row>
    <row r="429">
      <c r="A429" s="43"/>
      <c r="B429" s="59" t="str">
        <f>IFERROR(HYPERLINK(VLOOKUP(A429,Internal_lists_bugs!$A$2:$C$73,3,FALSE()), VLOOKUP(A429,Internal_lists_bugs!$A$2:$C$73,3,FALSE())&amp;Char(10) &amp; Char(10) &amp; VLOOKUP(A429,Internal_lists_bugs!$A$2:$Z$73,26,FALSE())),"please select a BUG ID")</f>
        <v>please select a BUG ID</v>
      </c>
      <c r="C429" s="51" t="str">
        <f>IFERROR(VLOOKUP(A429,Internal_lists_bugs!$A$2:$G2003,7,FALSE()),"please select a BUG ID")</f>
        <v>please select a BUG ID</v>
      </c>
      <c r="D429" s="43"/>
      <c r="E429" s="63"/>
      <c r="F429" s="43"/>
      <c r="G429" s="63"/>
      <c r="H429" s="43"/>
      <c r="I429" s="63"/>
      <c r="J429" s="43"/>
      <c r="K429" s="50"/>
      <c r="L429" s="43"/>
      <c r="M429" s="50"/>
      <c r="N429" s="43"/>
      <c r="O429" s="50"/>
      <c r="P429" s="43"/>
      <c r="Q429" s="50"/>
      <c r="R429" s="43"/>
      <c r="S429" s="50"/>
      <c r="T429" s="43"/>
      <c r="U429" s="50"/>
      <c r="V429" s="43"/>
      <c r="W429" s="50"/>
      <c r="X429" s="43"/>
      <c r="Y429" s="50"/>
      <c r="Z429" s="43"/>
      <c r="AA429" s="50"/>
      <c r="AB429" s="43"/>
      <c r="AC429" s="50"/>
      <c r="AD429" s="43"/>
      <c r="AE429" s="50"/>
      <c r="AF429" s="43"/>
      <c r="AG429" s="50"/>
      <c r="AH429" s="43"/>
      <c r="AI429" s="50"/>
      <c r="AJ429" s="43"/>
      <c r="AK429" s="50"/>
      <c r="AL429" s="43"/>
      <c r="AM429" s="50"/>
      <c r="AO429" s="43"/>
      <c r="AP429" s="46"/>
      <c r="AQ429" s="43"/>
      <c r="AR429" s="119"/>
      <c r="AS429" s="1"/>
      <c r="AT429" s="1"/>
    </row>
    <row r="430">
      <c r="A430" s="43"/>
      <c r="B430" s="59" t="str">
        <f>IFERROR(HYPERLINK(VLOOKUP(A430,Internal_lists_bugs!$A$2:$C$73,3,FALSE()), VLOOKUP(A430,Internal_lists_bugs!$A$2:$C$73,3,FALSE())&amp;Char(10) &amp; Char(10) &amp; VLOOKUP(A430,Internal_lists_bugs!$A$2:$Z$73,26,FALSE())),"please select a BUG ID")</f>
        <v>please select a BUG ID</v>
      </c>
      <c r="C430" s="51" t="str">
        <f>IFERROR(VLOOKUP(A430,Internal_lists_bugs!$A$2:$G2003,7,FALSE()),"please select a BUG ID")</f>
        <v>please select a BUG ID</v>
      </c>
      <c r="D430" s="43"/>
      <c r="E430" s="63"/>
      <c r="F430" s="43"/>
      <c r="G430" s="63"/>
      <c r="H430" s="43"/>
      <c r="I430" s="63"/>
      <c r="J430" s="43"/>
      <c r="K430" s="50"/>
      <c r="L430" s="43"/>
      <c r="M430" s="50"/>
      <c r="N430" s="43"/>
      <c r="O430" s="50"/>
      <c r="P430" s="43"/>
      <c r="Q430" s="50"/>
      <c r="R430" s="43"/>
      <c r="S430" s="50"/>
      <c r="T430" s="43"/>
      <c r="U430" s="50"/>
      <c r="V430" s="43"/>
      <c r="W430" s="50"/>
      <c r="X430" s="43"/>
      <c r="Y430" s="50"/>
      <c r="Z430" s="43"/>
      <c r="AA430" s="50"/>
      <c r="AB430" s="43"/>
      <c r="AC430" s="50"/>
      <c r="AD430" s="43"/>
      <c r="AE430" s="50"/>
      <c r="AF430" s="43"/>
      <c r="AG430" s="50"/>
      <c r="AH430" s="43"/>
      <c r="AI430" s="50"/>
      <c r="AJ430" s="43"/>
      <c r="AK430" s="50"/>
      <c r="AL430" s="43"/>
      <c r="AM430" s="50"/>
      <c r="AO430" s="43"/>
      <c r="AP430" s="46"/>
      <c r="AQ430" s="43"/>
      <c r="AR430" s="119"/>
      <c r="AS430" s="1"/>
      <c r="AT430" s="1"/>
    </row>
    <row r="431">
      <c r="A431" s="43"/>
      <c r="B431" s="59" t="str">
        <f>IFERROR(HYPERLINK(VLOOKUP(A431,Internal_lists_bugs!$A$2:$C$73,3,FALSE()), VLOOKUP(A431,Internal_lists_bugs!$A$2:$C$73,3,FALSE())&amp;Char(10) &amp; Char(10) &amp; VLOOKUP(A431,Internal_lists_bugs!$A$2:$Z$73,26,FALSE())),"please select a BUG ID")</f>
        <v>please select a BUG ID</v>
      </c>
      <c r="C431" s="51" t="str">
        <f>IFERROR(VLOOKUP(A431,Internal_lists_bugs!$A$2:$G2003,7,FALSE()),"please select a BUG ID")</f>
        <v>please select a BUG ID</v>
      </c>
      <c r="D431" s="43"/>
      <c r="E431" s="63"/>
      <c r="F431" s="43"/>
      <c r="G431" s="63"/>
      <c r="H431" s="43"/>
      <c r="I431" s="63"/>
      <c r="J431" s="43"/>
      <c r="K431" s="50"/>
      <c r="L431" s="43"/>
      <c r="M431" s="50"/>
      <c r="N431" s="43"/>
      <c r="O431" s="50"/>
      <c r="P431" s="43"/>
      <c r="Q431" s="50"/>
      <c r="R431" s="43"/>
      <c r="S431" s="50"/>
      <c r="T431" s="43"/>
      <c r="U431" s="50"/>
      <c r="V431" s="43"/>
      <c r="W431" s="50"/>
      <c r="X431" s="43"/>
      <c r="Y431" s="50"/>
      <c r="Z431" s="43"/>
      <c r="AA431" s="50"/>
      <c r="AB431" s="43"/>
      <c r="AC431" s="50"/>
      <c r="AD431" s="43"/>
      <c r="AE431" s="50"/>
      <c r="AF431" s="43"/>
      <c r="AG431" s="50"/>
      <c r="AH431" s="43"/>
      <c r="AI431" s="50"/>
      <c r="AJ431" s="43"/>
      <c r="AK431" s="50"/>
      <c r="AL431" s="43"/>
      <c r="AM431" s="50"/>
      <c r="AO431" s="43"/>
      <c r="AP431" s="46"/>
      <c r="AQ431" s="43"/>
      <c r="AR431" s="119"/>
      <c r="AS431" s="1"/>
      <c r="AT431" s="1"/>
    </row>
    <row r="432">
      <c r="A432" s="43"/>
      <c r="B432" s="59" t="str">
        <f>IFERROR(HYPERLINK(VLOOKUP(A432,Internal_lists_bugs!$A$2:$C$73,3,FALSE()), VLOOKUP(A432,Internal_lists_bugs!$A$2:$C$73,3,FALSE())&amp;Char(10) &amp; Char(10) &amp; VLOOKUP(A432,Internal_lists_bugs!$A$2:$Z$73,26,FALSE())),"please select a BUG ID")</f>
        <v>please select a BUG ID</v>
      </c>
      <c r="C432" s="51" t="str">
        <f>IFERROR(VLOOKUP(A432,Internal_lists_bugs!$A$2:$G2003,7,FALSE()),"please select a BUG ID")</f>
        <v>please select a BUG ID</v>
      </c>
      <c r="D432" s="43"/>
      <c r="E432" s="63"/>
      <c r="F432" s="43"/>
      <c r="G432" s="63"/>
      <c r="H432" s="43"/>
      <c r="I432" s="63"/>
      <c r="J432" s="43"/>
      <c r="K432" s="50"/>
      <c r="L432" s="43"/>
      <c r="M432" s="50"/>
      <c r="N432" s="43"/>
      <c r="O432" s="50"/>
      <c r="P432" s="43"/>
      <c r="Q432" s="50"/>
      <c r="R432" s="43"/>
      <c r="S432" s="50"/>
      <c r="T432" s="43"/>
      <c r="U432" s="50"/>
      <c r="V432" s="43"/>
      <c r="W432" s="50"/>
      <c r="X432" s="43"/>
      <c r="Y432" s="50"/>
      <c r="Z432" s="43"/>
      <c r="AA432" s="50"/>
      <c r="AB432" s="43"/>
      <c r="AC432" s="50"/>
      <c r="AD432" s="43"/>
      <c r="AE432" s="50"/>
      <c r="AF432" s="43"/>
      <c r="AG432" s="50"/>
      <c r="AH432" s="43"/>
      <c r="AI432" s="50"/>
      <c r="AJ432" s="43"/>
      <c r="AK432" s="50"/>
      <c r="AL432" s="43"/>
      <c r="AM432" s="50"/>
      <c r="AO432" s="43"/>
      <c r="AP432" s="46"/>
      <c r="AQ432" s="43"/>
      <c r="AR432" s="119"/>
      <c r="AS432" s="1"/>
      <c r="AT432" s="1"/>
    </row>
    <row r="433">
      <c r="A433" s="43"/>
      <c r="B433" s="59" t="str">
        <f>IFERROR(HYPERLINK(VLOOKUP(A433,Internal_lists_bugs!$A$2:$C$73,3,FALSE()), VLOOKUP(A433,Internal_lists_bugs!$A$2:$C$73,3,FALSE())&amp;Char(10) &amp; Char(10) &amp; VLOOKUP(A433,Internal_lists_bugs!$A$2:$Z$73,26,FALSE())),"please select a BUG ID")</f>
        <v>please select a BUG ID</v>
      </c>
      <c r="C433" s="51" t="str">
        <f>IFERROR(VLOOKUP(A433,Internal_lists_bugs!$A$2:$G2003,7,FALSE()),"please select a BUG ID")</f>
        <v>please select a BUG ID</v>
      </c>
      <c r="D433" s="43"/>
      <c r="E433" s="63"/>
      <c r="F433" s="43"/>
      <c r="G433" s="63"/>
      <c r="H433" s="43"/>
      <c r="I433" s="63"/>
      <c r="J433" s="43"/>
      <c r="K433" s="50"/>
      <c r="L433" s="43"/>
      <c r="M433" s="50"/>
      <c r="N433" s="43"/>
      <c r="O433" s="50"/>
      <c r="P433" s="43"/>
      <c r="Q433" s="50"/>
      <c r="R433" s="43"/>
      <c r="S433" s="50"/>
      <c r="T433" s="43"/>
      <c r="U433" s="50"/>
      <c r="V433" s="43"/>
      <c r="W433" s="50"/>
      <c r="X433" s="43"/>
      <c r="Y433" s="50"/>
      <c r="Z433" s="43"/>
      <c r="AA433" s="50"/>
      <c r="AB433" s="43"/>
      <c r="AC433" s="50"/>
      <c r="AD433" s="43"/>
      <c r="AE433" s="50"/>
      <c r="AF433" s="43"/>
      <c r="AG433" s="50"/>
      <c r="AH433" s="43"/>
      <c r="AI433" s="50"/>
      <c r="AJ433" s="43"/>
      <c r="AK433" s="50"/>
      <c r="AL433" s="43"/>
      <c r="AM433" s="50"/>
      <c r="AO433" s="43"/>
      <c r="AP433" s="46"/>
      <c r="AQ433" s="43"/>
      <c r="AR433" s="119"/>
      <c r="AS433" s="1"/>
      <c r="AT433" s="1"/>
    </row>
    <row r="434">
      <c r="A434" s="43"/>
      <c r="B434" s="59" t="str">
        <f>IFERROR(HYPERLINK(VLOOKUP(A434,Internal_lists_bugs!$A$2:$C$73,3,FALSE()), VLOOKUP(A434,Internal_lists_bugs!$A$2:$C$73,3,FALSE())&amp;Char(10) &amp; Char(10) &amp; VLOOKUP(A434,Internal_lists_bugs!$A$2:$Z$73,26,FALSE())),"please select a BUG ID")</f>
        <v>please select a BUG ID</v>
      </c>
      <c r="C434" s="51" t="str">
        <f>IFERROR(VLOOKUP(A434,Internal_lists_bugs!$A$2:$G2003,7,FALSE()),"please select a BUG ID")</f>
        <v>please select a BUG ID</v>
      </c>
      <c r="D434" s="43"/>
      <c r="E434" s="63"/>
      <c r="F434" s="43"/>
      <c r="G434" s="63"/>
      <c r="H434" s="43"/>
      <c r="I434" s="63"/>
      <c r="J434" s="43"/>
      <c r="K434" s="50"/>
      <c r="L434" s="43"/>
      <c r="M434" s="50"/>
      <c r="N434" s="43"/>
      <c r="O434" s="50"/>
      <c r="P434" s="43"/>
      <c r="Q434" s="50"/>
      <c r="R434" s="43"/>
      <c r="S434" s="50"/>
      <c r="T434" s="43"/>
      <c r="U434" s="50"/>
      <c r="V434" s="43"/>
      <c r="W434" s="50"/>
      <c r="X434" s="43"/>
      <c r="Y434" s="50"/>
      <c r="Z434" s="43"/>
      <c r="AA434" s="50"/>
      <c r="AB434" s="43"/>
      <c r="AC434" s="50"/>
      <c r="AD434" s="43"/>
      <c r="AE434" s="50"/>
      <c r="AF434" s="43"/>
      <c r="AG434" s="50"/>
      <c r="AH434" s="43"/>
      <c r="AI434" s="50"/>
      <c r="AJ434" s="43"/>
      <c r="AK434" s="50"/>
      <c r="AL434" s="43"/>
      <c r="AM434" s="50"/>
      <c r="AO434" s="43"/>
      <c r="AP434" s="46"/>
      <c r="AQ434" s="43"/>
      <c r="AR434" s="119"/>
      <c r="AS434" s="1"/>
      <c r="AT434" s="1"/>
    </row>
    <row r="435">
      <c r="A435" s="43"/>
      <c r="B435" s="59" t="str">
        <f>IFERROR(HYPERLINK(VLOOKUP(A435,Internal_lists_bugs!$A$2:$C$73,3,FALSE()), VLOOKUP(A435,Internal_lists_bugs!$A$2:$C$73,3,FALSE())&amp;Char(10) &amp; Char(10) &amp; VLOOKUP(A435,Internal_lists_bugs!$A$2:$Z$73,26,FALSE())),"please select a BUG ID")</f>
        <v>please select a BUG ID</v>
      </c>
      <c r="C435" s="51" t="str">
        <f>IFERROR(VLOOKUP(A435,Internal_lists_bugs!$A$2:$G2003,7,FALSE()),"please select a BUG ID")</f>
        <v>please select a BUG ID</v>
      </c>
      <c r="D435" s="43"/>
      <c r="E435" s="63"/>
      <c r="F435" s="43"/>
      <c r="G435" s="63"/>
      <c r="H435" s="43"/>
      <c r="I435" s="63"/>
      <c r="J435" s="43"/>
      <c r="K435" s="50"/>
      <c r="L435" s="43"/>
      <c r="M435" s="50"/>
      <c r="N435" s="43"/>
      <c r="O435" s="50"/>
      <c r="P435" s="43"/>
      <c r="Q435" s="50"/>
      <c r="R435" s="43"/>
      <c r="S435" s="50"/>
      <c r="T435" s="43"/>
      <c r="U435" s="50"/>
      <c r="V435" s="43"/>
      <c r="W435" s="50"/>
      <c r="X435" s="43"/>
      <c r="Y435" s="50"/>
      <c r="Z435" s="43"/>
      <c r="AA435" s="50"/>
      <c r="AB435" s="43"/>
      <c r="AC435" s="50"/>
      <c r="AD435" s="43"/>
      <c r="AE435" s="50"/>
      <c r="AF435" s="43"/>
      <c r="AG435" s="50"/>
      <c r="AH435" s="43"/>
      <c r="AI435" s="50"/>
      <c r="AJ435" s="43"/>
      <c r="AK435" s="50"/>
      <c r="AL435" s="43"/>
      <c r="AM435" s="50"/>
      <c r="AO435" s="43"/>
      <c r="AP435" s="46"/>
      <c r="AQ435" s="43"/>
      <c r="AR435" s="119"/>
      <c r="AS435" s="1"/>
      <c r="AT435" s="1"/>
    </row>
    <row r="436">
      <c r="A436" s="43"/>
      <c r="B436" s="59" t="str">
        <f>IFERROR(HYPERLINK(VLOOKUP(A436,Internal_lists_bugs!$A$2:$C$73,3,FALSE()), VLOOKUP(A436,Internal_lists_bugs!$A$2:$C$73,3,FALSE())&amp;Char(10) &amp; Char(10) &amp; VLOOKUP(A436,Internal_lists_bugs!$A$2:$Z$73,26,FALSE())),"please select a BUG ID")</f>
        <v>please select a BUG ID</v>
      </c>
      <c r="C436" s="51" t="str">
        <f>IFERROR(VLOOKUP(A436,Internal_lists_bugs!$A$2:$G2003,7,FALSE()),"please select a BUG ID")</f>
        <v>please select a BUG ID</v>
      </c>
      <c r="D436" s="43"/>
      <c r="E436" s="63"/>
      <c r="F436" s="43"/>
      <c r="G436" s="63"/>
      <c r="H436" s="43"/>
      <c r="I436" s="63"/>
      <c r="J436" s="43"/>
      <c r="K436" s="50"/>
      <c r="L436" s="43"/>
      <c r="M436" s="50"/>
      <c r="N436" s="43"/>
      <c r="O436" s="50"/>
      <c r="P436" s="43"/>
      <c r="Q436" s="50"/>
      <c r="R436" s="43"/>
      <c r="S436" s="50"/>
      <c r="T436" s="43"/>
      <c r="U436" s="50"/>
      <c r="V436" s="43"/>
      <c r="W436" s="50"/>
      <c r="X436" s="43"/>
      <c r="Y436" s="50"/>
      <c r="Z436" s="43"/>
      <c r="AA436" s="50"/>
      <c r="AB436" s="43"/>
      <c r="AC436" s="50"/>
      <c r="AD436" s="43"/>
      <c r="AE436" s="50"/>
      <c r="AF436" s="43"/>
      <c r="AG436" s="50"/>
      <c r="AH436" s="43"/>
      <c r="AI436" s="50"/>
      <c r="AJ436" s="43"/>
      <c r="AK436" s="50"/>
      <c r="AL436" s="43"/>
      <c r="AM436" s="50"/>
      <c r="AO436" s="43"/>
      <c r="AP436" s="46"/>
      <c r="AQ436" s="43"/>
      <c r="AR436" s="119"/>
      <c r="AS436" s="1"/>
      <c r="AT436" s="1"/>
    </row>
    <row r="437">
      <c r="A437" s="43"/>
      <c r="B437" s="59" t="str">
        <f>IFERROR(HYPERLINK(VLOOKUP(A437,Internal_lists_bugs!$A$2:$C$73,3,FALSE()), VLOOKUP(A437,Internal_lists_bugs!$A$2:$C$73,3,FALSE())&amp;Char(10) &amp; Char(10) &amp; VLOOKUP(A437,Internal_lists_bugs!$A$2:$Z$73,26,FALSE())),"please select a BUG ID")</f>
        <v>please select a BUG ID</v>
      </c>
      <c r="C437" s="51" t="str">
        <f>IFERROR(VLOOKUP(A437,Internal_lists_bugs!$A$2:$G2003,7,FALSE()),"please select a BUG ID")</f>
        <v>please select a BUG ID</v>
      </c>
      <c r="D437" s="43"/>
      <c r="E437" s="63"/>
      <c r="F437" s="43"/>
      <c r="G437" s="63"/>
      <c r="H437" s="43"/>
      <c r="I437" s="63"/>
      <c r="J437" s="43"/>
      <c r="K437" s="50"/>
      <c r="L437" s="43"/>
      <c r="M437" s="50"/>
      <c r="N437" s="43"/>
      <c r="O437" s="50"/>
      <c r="P437" s="43"/>
      <c r="Q437" s="50"/>
      <c r="R437" s="43"/>
      <c r="S437" s="50"/>
      <c r="T437" s="43"/>
      <c r="U437" s="50"/>
      <c r="V437" s="43"/>
      <c r="W437" s="50"/>
      <c r="X437" s="43"/>
      <c r="Y437" s="50"/>
      <c r="Z437" s="43"/>
      <c r="AA437" s="50"/>
      <c r="AB437" s="43"/>
      <c r="AC437" s="50"/>
      <c r="AD437" s="43"/>
      <c r="AE437" s="50"/>
      <c r="AF437" s="43"/>
      <c r="AG437" s="50"/>
      <c r="AH437" s="43"/>
      <c r="AI437" s="50"/>
      <c r="AJ437" s="43"/>
      <c r="AK437" s="50"/>
      <c r="AL437" s="43"/>
      <c r="AM437" s="50"/>
      <c r="AO437" s="43"/>
      <c r="AP437" s="46"/>
      <c r="AQ437" s="43"/>
      <c r="AR437" s="119"/>
      <c r="AS437" s="1"/>
      <c r="AT437" s="1"/>
    </row>
    <row r="438">
      <c r="A438" s="43"/>
      <c r="B438" s="59" t="str">
        <f>IFERROR(HYPERLINK(VLOOKUP(A438,Internal_lists_bugs!$A$2:$C$73,3,FALSE()), VLOOKUP(A438,Internal_lists_bugs!$A$2:$C$73,3,FALSE())&amp;Char(10) &amp; Char(10) &amp; VLOOKUP(A438,Internal_lists_bugs!$A$2:$Z$73,26,FALSE())),"please select a BUG ID")</f>
        <v>please select a BUG ID</v>
      </c>
      <c r="C438" s="51" t="str">
        <f>IFERROR(VLOOKUP(A438,Internal_lists_bugs!$A$2:$G2003,7,FALSE()),"please select a BUG ID")</f>
        <v>please select a BUG ID</v>
      </c>
      <c r="D438" s="43"/>
      <c r="E438" s="63"/>
      <c r="F438" s="43"/>
      <c r="G438" s="63"/>
      <c r="H438" s="43"/>
      <c r="I438" s="63"/>
      <c r="J438" s="43"/>
      <c r="K438" s="50"/>
      <c r="L438" s="43"/>
      <c r="M438" s="50"/>
      <c r="N438" s="43"/>
      <c r="O438" s="50"/>
      <c r="P438" s="43"/>
      <c r="Q438" s="50"/>
      <c r="R438" s="43"/>
      <c r="S438" s="50"/>
      <c r="T438" s="43"/>
      <c r="U438" s="50"/>
      <c r="V438" s="43"/>
      <c r="W438" s="50"/>
      <c r="X438" s="43"/>
      <c r="Y438" s="50"/>
      <c r="Z438" s="43"/>
      <c r="AA438" s="50"/>
      <c r="AB438" s="43"/>
      <c r="AC438" s="50"/>
      <c r="AD438" s="43"/>
      <c r="AE438" s="50"/>
      <c r="AF438" s="43"/>
      <c r="AG438" s="50"/>
      <c r="AH438" s="43"/>
      <c r="AI438" s="50"/>
      <c r="AJ438" s="43"/>
      <c r="AK438" s="50"/>
      <c r="AL438" s="43"/>
      <c r="AM438" s="50"/>
      <c r="AO438" s="43"/>
      <c r="AP438" s="46"/>
      <c r="AQ438" s="43"/>
      <c r="AR438" s="119"/>
      <c r="AS438" s="1"/>
      <c r="AT438" s="1"/>
    </row>
    <row r="439">
      <c r="A439" s="43"/>
      <c r="B439" s="59" t="str">
        <f>IFERROR(HYPERLINK(VLOOKUP(A439,Internal_lists_bugs!$A$2:$C$73,3,FALSE()), VLOOKUP(A439,Internal_lists_bugs!$A$2:$C$73,3,FALSE())&amp;Char(10) &amp; Char(10) &amp; VLOOKUP(A439,Internal_lists_bugs!$A$2:$Z$73,26,FALSE())),"please select a BUG ID")</f>
        <v>please select a BUG ID</v>
      </c>
      <c r="C439" s="51" t="str">
        <f>IFERROR(VLOOKUP(A439,Internal_lists_bugs!$A$2:$G2003,7,FALSE()),"please select a BUG ID")</f>
        <v>please select a BUG ID</v>
      </c>
      <c r="D439" s="43"/>
      <c r="E439" s="63"/>
      <c r="F439" s="43"/>
      <c r="G439" s="63"/>
      <c r="H439" s="43"/>
      <c r="I439" s="63"/>
      <c r="J439" s="43"/>
      <c r="K439" s="50"/>
      <c r="L439" s="43"/>
      <c r="M439" s="50"/>
      <c r="N439" s="43"/>
      <c r="O439" s="50"/>
      <c r="P439" s="43"/>
      <c r="Q439" s="50"/>
      <c r="R439" s="43"/>
      <c r="S439" s="50"/>
      <c r="T439" s="43"/>
      <c r="U439" s="50"/>
      <c r="V439" s="43"/>
      <c r="W439" s="50"/>
      <c r="X439" s="43"/>
      <c r="Y439" s="50"/>
      <c r="Z439" s="43"/>
      <c r="AA439" s="50"/>
      <c r="AB439" s="43"/>
      <c r="AC439" s="50"/>
      <c r="AD439" s="43"/>
      <c r="AE439" s="50"/>
      <c r="AF439" s="43"/>
      <c r="AG439" s="50"/>
      <c r="AH439" s="43"/>
      <c r="AI439" s="50"/>
      <c r="AJ439" s="43"/>
      <c r="AK439" s="50"/>
      <c r="AL439" s="43"/>
      <c r="AM439" s="50"/>
      <c r="AO439" s="43"/>
      <c r="AP439" s="46"/>
      <c r="AQ439" s="43"/>
      <c r="AR439" s="119"/>
      <c r="AS439" s="1"/>
      <c r="AT439" s="1"/>
    </row>
    <row r="440">
      <c r="A440" s="43"/>
      <c r="B440" s="59" t="str">
        <f>IFERROR(HYPERLINK(VLOOKUP(A440,Internal_lists_bugs!$A$2:$C$73,3,FALSE()), VLOOKUP(A440,Internal_lists_bugs!$A$2:$C$73,3,FALSE())&amp;Char(10) &amp; Char(10) &amp; VLOOKUP(A440,Internal_lists_bugs!$A$2:$Z$73,26,FALSE())),"please select a BUG ID")</f>
        <v>please select a BUG ID</v>
      </c>
      <c r="C440" s="51" t="str">
        <f>IFERROR(VLOOKUP(A440,Internal_lists_bugs!$A$2:$G2003,7,FALSE()),"please select a BUG ID")</f>
        <v>please select a BUG ID</v>
      </c>
      <c r="D440" s="43"/>
      <c r="E440" s="63"/>
      <c r="F440" s="43"/>
      <c r="G440" s="63"/>
      <c r="H440" s="43"/>
      <c r="I440" s="63"/>
      <c r="J440" s="43"/>
      <c r="K440" s="50"/>
      <c r="L440" s="43"/>
      <c r="M440" s="50"/>
      <c r="N440" s="43"/>
      <c r="O440" s="50"/>
      <c r="P440" s="43"/>
      <c r="Q440" s="50"/>
      <c r="R440" s="43"/>
      <c r="S440" s="50"/>
      <c r="T440" s="43"/>
      <c r="U440" s="50"/>
      <c r="V440" s="43"/>
      <c r="W440" s="50"/>
      <c r="X440" s="43"/>
      <c r="Y440" s="50"/>
      <c r="Z440" s="43"/>
      <c r="AA440" s="50"/>
      <c r="AB440" s="43"/>
      <c r="AC440" s="50"/>
      <c r="AD440" s="43"/>
      <c r="AE440" s="50"/>
      <c r="AF440" s="43"/>
      <c r="AG440" s="50"/>
      <c r="AH440" s="43"/>
      <c r="AI440" s="50"/>
      <c r="AJ440" s="43"/>
      <c r="AK440" s="50"/>
      <c r="AL440" s="43"/>
      <c r="AM440" s="50"/>
      <c r="AO440" s="43"/>
      <c r="AP440" s="46"/>
      <c r="AQ440" s="43"/>
      <c r="AR440" s="119"/>
      <c r="AS440" s="1"/>
      <c r="AT440" s="1"/>
    </row>
    <row r="441">
      <c r="A441" s="43"/>
      <c r="B441" s="59" t="str">
        <f>IFERROR(HYPERLINK(VLOOKUP(A441,Internal_lists_bugs!$A$2:$C$73,3,FALSE()), VLOOKUP(A441,Internal_lists_bugs!$A$2:$C$73,3,FALSE())&amp;Char(10) &amp; Char(10) &amp; VLOOKUP(A441,Internal_lists_bugs!$A$2:$Z$73,26,FALSE())),"please select a BUG ID")</f>
        <v>please select a BUG ID</v>
      </c>
      <c r="C441" s="51" t="str">
        <f>IFERROR(VLOOKUP(A441,Internal_lists_bugs!$A$2:$G2003,7,FALSE()),"please select a BUG ID")</f>
        <v>please select a BUG ID</v>
      </c>
      <c r="D441" s="43"/>
      <c r="E441" s="63"/>
      <c r="F441" s="43"/>
      <c r="G441" s="63"/>
      <c r="H441" s="43"/>
      <c r="I441" s="63"/>
      <c r="J441" s="43"/>
      <c r="K441" s="50"/>
      <c r="L441" s="43"/>
      <c r="M441" s="50"/>
      <c r="N441" s="43"/>
      <c r="O441" s="50"/>
      <c r="P441" s="43"/>
      <c r="Q441" s="50"/>
      <c r="R441" s="43"/>
      <c r="S441" s="50"/>
      <c r="T441" s="43"/>
      <c r="U441" s="50"/>
      <c r="V441" s="43"/>
      <c r="W441" s="50"/>
      <c r="X441" s="43"/>
      <c r="Y441" s="50"/>
      <c r="Z441" s="43"/>
      <c r="AA441" s="50"/>
      <c r="AB441" s="43"/>
      <c r="AC441" s="50"/>
      <c r="AD441" s="43"/>
      <c r="AE441" s="50"/>
      <c r="AF441" s="43"/>
      <c r="AG441" s="50"/>
      <c r="AH441" s="43"/>
      <c r="AI441" s="50"/>
      <c r="AJ441" s="43"/>
      <c r="AK441" s="50"/>
      <c r="AL441" s="43"/>
      <c r="AM441" s="50"/>
      <c r="AO441" s="43"/>
      <c r="AP441" s="46"/>
      <c r="AQ441" s="43"/>
      <c r="AR441" s="119"/>
      <c r="AS441" s="1"/>
      <c r="AT441" s="1"/>
    </row>
    <row r="442">
      <c r="A442" s="43"/>
      <c r="B442" s="59" t="str">
        <f>IFERROR(HYPERLINK(VLOOKUP(A442,Internal_lists_bugs!$A$2:$C$73,3,FALSE()), VLOOKUP(A442,Internal_lists_bugs!$A$2:$C$73,3,FALSE())&amp;Char(10) &amp; Char(10) &amp; VLOOKUP(A442,Internal_lists_bugs!$A$2:$Z$73,26,FALSE())),"please select a BUG ID")</f>
        <v>please select a BUG ID</v>
      </c>
      <c r="C442" s="51" t="str">
        <f>IFERROR(VLOOKUP(A442,Internal_lists_bugs!$A$2:$G2003,7,FALSE()),"please select a BUG ID")</f>
        <v>please select a BUG ID</v>
      </c>
      <c r="D442" s="43"/>
      <c r="E442" s="63"/>
      <c r="F442" s="43"/>
      <c r="G442" s="63"/>
      <c r="H442" s="43"/>
      <c r="I442" s="63"/>
      <c r="J442" s="43"/>
      <c r="K442" s="50"/>
      <c r="L442" s="43"/>
      <c r="M442" s="50"/>
      <c r="N442" s="43"/>
      <c r="O442" s="50"/>
      <c r="P442" s="43"/>
      <c r="Q442" s="50"/>
      <c r="R442" s="43"/>
      <c r="S442" s="50"/>
      <c r="T442" s="43"/>
      <c r="U442" s="50"/>
      <c r="V442" s="43"/>
      <c r="W442" s="50"/>
      <c r="X442" s="43"/>
      <c r="Y442" s="50"/>
      <c r="Z442" s="43"/>
      <c r="AA442" s="50"/>
      <c r="AB442" s="43"/>
      <c r="AC442" s="50"/>
      <c r="AD442" s="43"/>
      <c r="AE442" s="50"/>
      <c r="AF442" s="43"/>
      <c r="AG442" s="50"/>
      <c r="AH442" s="43"/>
      <c r="AI442" s="50"/>
      <c r="AJ442" s="43"/>
      <c r="AK442" s="50"/>
      <c r="AL442" s="43"/>
      <c r="AM442" s="50"/>
      <c r="AO442" s="43"/>
      <c r="AP442" s="46"/>
      <c r="AQ442" s="43"/>
      <c r="AR442" s="119"/>
      <c r="AS442" s="1"/>
      <c r="AT442" s="1"/>
    </row>
    <row r="443">
      <c r="A443" s="43"/>
      <c r="B443" s="59" t="str">
        <f>IFERROR(HYPERLINK(VLOOKUP(A443,Internal_lists_bugs!$A$2:$C$73,3,FALSE()), VLOOKUP(A443,Internal_lists_bugs!$A$2:$C$73,3,FALSE())&amp;Char(10) &amp; Char(10) &amp; VLOOKUP(A443,Internal_lists_bugs!$A$2:$Z$73,26,FALSE())),"please select a BUG ID")</f>
        <v>please select a BUG ID</v>
      </c>
      <c r="C443" s="51" t="str">
        <f>IFERROR(VLOOKUP(A443,Internal_lists_bugs!$A$2:$G2003,7,FALSE()),"please select a BUG ID")</f>
        <v>please select a BUG ID</v>
      </c>
      <c r="D443" s="43"/>
      <c r="E443" s="63"/>
      <c r="F443" s="43"/>
      <c r="G443" s="63"/>
      <c r="H443" s="43"/>
      <c r="I443" s="63"/>
      <c r="J443" s="43"/>
      <c r="K443" s="50"/>
      <c r="L443" s="43"/>
      <c r="M443" s="50"/>
      <c r="N443" s="43"/>
      <c r="O443" s="50"/>
      <c r="P443" s="43"/>
      <c r="Q443" s="50"/>
      <c r="R443" s="43"/>
      <c r="S443" s="50"/>
      <c r="T443" s="43"/>
      <c r="U443" s="50"/>
      <c r="V443" s="43"/>
      <c r="W443" s="50"/>
      <c r="X443" s="43"/>
      <c r="Y443" s="50"/>
      <c r="Z443" s="43"/>
      <c r="AA443" s="50"/>
      <c r="AB443" s="43"/>
      <c r="AC443" s="50"/>
      <c r="AD443" s="43"/>
      <c r="AE443" s="50"/>
      <c r="AF443" s="43"/>
      <c r="AG443" s="50"/>
      <c r="AH443" s="43"/>
      <c r="AI443" s="50"/>
      <c r="AJ443" s="43"/>
      <c r="AK443" s="50"/>
      <c r="AL443" s="43"/>
      <c r="AM443" s="50"/>
      <c r="AO443" s="43"/>
      <c r="AP443" s="46"/>
      <c r="AQ443" s="43"/>
      <c r="AR443" s="119"/>
      <c r="AS443" s="1"/>
      <c r="AT443" s="1"/>
    </row>
    <row r="444">
      <c r="A444" s="43"/>
      <c r="B444" s="59" t="str">
        <f>IFERROR(HYPERLINK(VLOOKUP(A444,Internal_lists_bugs!$A$2:$C$73,3,FALSE()), VLOOKUP(A444,Internal_lists_bugs!$A$2:$C$73,3,FALSE())&amp;Char(10) &amp; Char(10) &amp; VLOOKUP(A444,Internal_lists_bugs!$A$2:$Z$73,26,FALSE())),"please select a BUG ID")</f>
        <v>please select a BUG ID</v>
      </c>
      <c r="C444" s="51" t="str">
        <f>IFERROR(VLOOKUP(A444,Internal_lists_bugs!$A$2:$G2003,7,FALSE()),"please select a BUG ID")</f>
        <v>please select a BUG ID</v>
      </c>
      <c r="D444" s="43"/>
      <c r="E444" s="63"/>
      <c r="F444" s="43"/>
      <c r="G444" s="63"/>
      <c r="H444" s="43"/>
      <c r="I444" s="63"/>
      <c r="J444" s="43"/>
      <c r="K444" s="50"/>
      <c r="L444" s="43"/>
      <c r="M444" s="50"/>
      <c r="N444" s="43"/>
      <c r="O444" s="50"/>
      <c r="P444" s="43"/>
      <c r="Q444" s="50"/>
      <c r="R444" s="43"/>
      <c r="S444" s="50"/>
      <c r="T444" s="43"/>
      <c r="U444" s="50"/>
      <c r="V444" s="43"/>
      <c r="W444" s="50"/>
      <c r="X444" s="43"/>
      <c r="Y444" s="50"/>
      <c r="Z444" s="43"/>
      <c r="AA444" s="50"/>
      <c r="AB444" s="43"/>
      <c r="AC444" s="50"/>
      <c r="AD444" s="43"/>
      <c r="AE444" s="50"/>
      <c r="AF444" s="43"/>
      <c r="AG444" s="50"/>
      <c r="AH444" s="43"/>
      <c r="AI444" s="50"/>
      <c r="AJ444" s="43"/>
      <c r="AK444" s="50"/>
      <c r="AL444" s="43"/>
      <c r="AM444" s="50"/>
      <c r="AO444" s="43"/>
      <c r="AP444" s="46"/>
      <c r="AQ444" s="43"/>
      <c r="AR444" s="119"/>
      <c r="AS444" s="1"/>
      <c r="AT444" s="1"/>
    </row>
    <row r="445">
      <c r="A445" s="43"/>
      <c r="B445" s="59" t="str">
        <f>IFERROR(HYPERLINK(VLOOKUP(A445,Internal_lists_bugs!$A$2:$C$73,3,FALSE()), VLOOKUP(A445,Internal_lists_bugs!$A$2:$C$73,3,FALSE())&amp;Char(10) &amp; Char(10) &amp; VLOOKUP(A445,Internal_lists_bugs!$A$2:$Z$73,26,FALSE())),"please select a BUG ID")</f>
        <v>please select a BUG ID</v>
      </c>
      <c r="C445" s="51" t="str">
        <f>IFERROR(VLOOKUP(A445,Internal_lists_bugs!$A$2:$G2003,7,FALSE()),"please select a BUG ID")</f>
        <v>please select a BUG ID</v>
      </c>
      <c r="D445" s="43"/>
      <c r="E445" s="63"/>
      <c r="F445" s="43"/>
      <c r="G445" s="63"/>
      <c r="H445" s="43"/>
      <c r="I445" s="63"/>
      <c r="J445" s="43"/>
      <c r="K445" s="50"/>
      <c r="L445" s="43"/>
      <c r="M445" s="50"/>
      <c r="N445" s="43"/>
      <c r="O445" s="50"/>
      <c r="P445" s="43"/>
      <c r="Q445" s="50"/>
      <c r="R445" s="43"/>
      <c r="S445" s="50"/>
      <c r="T445" s="43"/>
      <c r="U445" s="50"/>
      <c r="V445" s="43"/>
      <c r="W445" s="50"/>
      <c r="X445" s="43"/>
      <c r="Y445" s="50"/>
      <c r="Z445" s="43"/>
      <c r="AA445" s="50"/>
      <c r="AB445" s="43"/>
      <c r="AC445" s="50"/>
      <c r="AD445" s="43"/>
      <c r="AE445" s="50"/>
      <c r="AF445" s="43"/>
      <c r="AG445" s="50"/>
      <c r="AH445" s="43"/>
      <c r="AI445" s="50"/>
      <c r="AJ445" s="43"/>
      <c r="AK445" s="50"/>
      <c r="AL445" s="43"/>
      <c r="AM445" s="50"/>
      <c r="AO445" s="43"/>
      <c r="AP445" s="46"/>
      <c r="AQ445" s="43"/>
      <c r="AR445" s="119"/>
      <c r="AS445" s="1"/>
      <c r="AT445" s="1"/>
    </row>
    <row r="446">
      <c r="A446" s="43"/>
      <c r="B446" s="59" t="str">
        <f>IFERROR(HYPERLINK(VLOOKUP(A446,Internal_lists_bugs!$A$2:$C$73,3,FALSE()), VLOOKUP(A446,Internal_lists_bugs!$A$2:$C$73,3,FALSE())&amp;Char(10) &amp; Char(10) &amp; VLOOKUP(A446,Internal_lists_bugs!$A$2:$Z$73,26,FALSE())),"please select a BUG ID")</f>
        <v>please select a BUG ID</v>
      </c>
      <c r="C446" s="51" t="str">
        <f>IFERROR(VLOOKUP(A446,Internal_lists_bugs!$A$2:$G2003,7,FALSE()),"please select a BUG ID")</f>
        <v>please select a BUG ID</v>
      </c>
      <c r="D446" s="43"/>
      <c r="E446" s="63"/>
      <c r="F446" s="43"/>
      <c r="G446" s="63"/>
      <c r="H446" s="43"/>
      <c r="I446" s="63"/>
      <c r="J446" s="43"/>
      <c r="K446" s="50"/>
      <c r="L446" s="43"/>
      <c r="M446" s="50"/>
      <c r="N446" s="43"/>
      <c r="O446" s="50"/>
      <c r="P446" s="43"/>
      <c r="Q446" s="50"/>
      <c r="R446" s="43"/>
      <c r="S446" s="50"/>
      <c r="T446" s="43"/>
      <c r="U446" s="50"/>
      <c r="V446" s="43"/>
      <c r="W446" s="50"/>
      <c r="X446" s="43"/>
      <c r="Y446" s="50"/>
      <c r="Z446" s="43"/>
      <c r="AA446" s="50"/>
      <c r="AB446" s="43"/>
      <c r="AC446" s="50"/>
      <c r="AD446" s="43"/>
      <c r="AE446" s="50"/>
      <c r="AF446" s="43"/>
      <c r="AG446" s="50"/>
      <c r="AH446" s="43"/>
      <c r="AI446" s="50"/>
      <c r="AJ446" s="43"/>
      <c r="AK446" s="50"/>
      <c r="AL446" s="43"/>
      <c r="AM446" s="50"/>
      <c r="AO446" s="43"/>
      <c r="AP446" s="46"/>
      <c r="AQ446" s="43"/>
      <c r="AR446" s="119"/>
      <c r="AS446" s="1"/>
      <c r="AT446" s="1"/>
    </row>
    <row r="447">
      <c r="A447" s="43"/>
      <c r="B447" s="59" t="str">
        <f>IFERROR(HYPERLINK(VLOOKUP(A447,Internal_lists_bugs!$A$2:$C$73,3,FALSE()), VLOOKUP(A447,Internal_lists_bugs!$A$2:$C$73,3,FALSE())&amp;Char(10) &amp; Char(10) &amp; VLOOKUP(A447,Internal_lists_bugs!$A$2:$Z$73,26,FALSE())),"please select a BUG ID")</f>
        <v>please select a BUG ID</v>
      </c>
      <c r="C447" s="51" t="str">
        <f>IFERROR(VLOOKUP(A447,Internal_lists_bugs!$A$2:$G2003,7,FALSE()),"please select a BUG ID")</f>
        <v>please select a BUG ID</v>
      </c>
      <c r="D447" s="43"/>
      <c r="E447" s="63"/>
      <c r="F447" s="43"/>
      <c r="G447" s="63"/>
      <c r="H447" s="43"/>
      <c r="I447" s="63"/>
      <c r="J447" s="43"/>
      <c r="K447" s="50"/>
      <c r="L447" s="43"/>
      <c r="M447" s="50"/>
      <c r="N447" s="43"/>
      <c r="O447" s="50"/>
      <c r="P447" s="43"/>
      <c r="Q447" s="50"/>
      <c r="R447" s="43"/>
      <c r="S447" s="50"/>
      <c r="T447" s="43"/>
      <c r="U447" s="50"/>
      <c r="V447" s="43"/>
      <c r="W447" s="50"/>
      <c r="X447" s="43"/>
      <c r="Y447" s="50"/>
      <c r="Z447" s="43"/>
      <c r="AA447" s="50"/>
      <c r="AB447" s="43"/>
      <c r="AC447" s="50"/>
      <c r="AD447" s="43"/>
      <c r="AE447" s="50"/>
      <c r="AF447" s="43"/>
      <c r="AG447" s="50"/>
      <c r="AH447" s="43"/>
      <c r="AI447" s="50"/>
      <c r="AJ447" s="43"/>
      <c r="AK447" s="50"/>
      <c r="AL447" s="43"/>
      <c r="AM447" s="50"/>
      <c r="AO447" s="43"/>
      <c r="AP447" s="46"/>
      <c r="AQ447" s="43"/>
      <c r="AR447" s="119"/>
      <c r="AS447" s="1"/>
      <c r="AT447" s="1"/>
    </row>
    <row r="448">
      <c r="A448" s="43"/>
      <c r="B448" s="59" t="str">
        <f>IFERROR(HYPERLINK(VLOOKUP(A448,Internal_lists_bugs!$A$2:$C$73,3,FALSE()), VLOOKUP(A448,Internal_lists_bugs!$A$2:$C$73,3,FALSE())&amp;Char(10) &amp; Char(10) &amp; VLOOKUP(A448,Internal_lists_bugs!$A$2:$Z$73,26,FALSE())),"please select a BUG ID")</f>
        <v>please select a BUG ID</v>
      </c>
      <c r="C448" s="51" t="str">
        <f>IFERROR(VLOOKUP(A448,Internal_lists_bugs!$A$2:$G2003,7,FALSE()),"please select a BUG ID")</f>
        <v>please select a BUG ID</v>
      </c>
      <c r="D448" s="43"/>
      <c r="E448" s="63"/>
      <c r="F448" s="43"/>
      <c r="G448" s="63"/>
      <c r="H448" s="43"/>
      <c r="I448" s="63"/>
      <c r="J448" s="43"/>
      <c r="K448" s="50"/>
      <c r="L448" s="43"/>
      <c r="M448" s="50"/>
      <c r="N448" s="43"/>
      <c r="O448" s="50"/>
      <c r="P448" s="43"/>
      <c r="Q448" s="50"/>
      <c r="R448" s="43"/>
      <c r="S448" s="50"/>
      <c r="T448" s="43"/>
      <c r="U448" s="50"/>
      <c r="V448" s="43"/>
      <c r="W448" s="50"/>
      <c r="X448" s="43"/>
      <c r="Y448" s="50"/>
      <c r="Z448" s="43"/>
      <c r="AA448" s="50"/>
      <c r="AB448" s="43"/>
      <c r="AC448" s="50"/>
      <c r="AD448" s="43"/>
      <c r="AE448" s="50"/>
      <c r="AF448" s="43"/>
      <c r="AG448" s="50"/>
      <c r="AH448" s="43"/>
      <c r="AI448" s="50"/>
      <c r="AJ448" s="43"/>
      <c r="AK448" s="50"/>
      <c r="AL448" s="43"/>
      <c r="AM448" s="50"/>
      <c r="AO448" s="43"/>
      <c r="AP448" s="46"/>
      <c r="AQ448" s="43"/>
      <c r="AR448" s="119"/>
      <c r="AS448" s="1"/>
      <c r="AT448" s="1"/>
    </row>
    <row r="449">
      <c r="A449" s="43"/>
      <c r="B449" s="59" t="str">
        <f>IFERROR(HYPERLINK(VLOOKUP(A449,Internal_lists_bugs!$A$2:$C$73,3,FALSE()), VLOOKUP(A449,Internal_lists_bugs!$A$2:$C$73,3,FALSE())&amp;Char(10) &amp; Char(10) &amp; VLOOKUP(A449,Internal_lists_bugs!$A$2:$Z$73,26,FALSE())),"please select a BUG ID")</f>
        <v>please select a BUG ID</v>
      </c>
      <c r="C449" s="51" t="str">
        <f>IFERROR(VLOOKUP(A449,Internal_lists_bugs!$A$2:$G2003,7,FALSE()),"please select a BUG ID")</f>
        <v>please select a BUG ID</v>
      </c>
      <c r="D449" s="43"/>
      <c r="E449" s="63"/>
      <c r="F449" s="43"/>
      <c r="G449" s="63"/>
      <c r="H449" s="43"/>
      <c r="I449" s="63"/>
      <c r="J449" s="43"/>
      <c r="K449" s="50"/>
      <c r="L449" s="43"/>
      <c r="M449" s="50"/>
      <c r="N449" s="43"/>
      <c r="O449" s="50"/>
      <c r="P449" s="43"/>
      <c r="Q449" s="50"/>
      <c r="R449" s="43"/>
      <c r="S449" s="50"/>
      <c r="T449" s="43"/>
      <c r="U449" s="50"/>
      <c r="V449" s="43"/>
      <c r="W449" s="50"/>
      <c r="X449" s="43"/>
      <c r="Y449" s="50"/>
      <c r="Z449" s="43"/>
      <c r="AA449" s="50"/>
      <c r="AB449" s="43"/>
      <c r="AC449" s="50"/>
      <c r="AD449" s="43"/>
      <c r="AE449" s="50"/>
      <c r="AF449" s="43"/>
      <c r="AG449" s="50"/>
      <c r="AH449" s="43"/>
      <c r="AI449" s="50"/>
      <c r="AJ449" s="43"/>
      <c r="AK449" s="50"/>
      <c r="AL449" s="43"/>
      <c r="AM449" s="50"/>
      <c r="AO449" s="43"/>
      <c r="AP449" s="46"/>
      <c r="AQ449" s="43"/>
      <c r="AR449" s="119"/>
      <c r="AS449" s="1"/>
      <c r="AT449" s="1"/>
    </row>
    <row r="450">
      <c r="A450" s="43"/>
      <c r="B450" s="59" t="str">
        <f>IFERROR(HYPERLINK(VLOOKUP(A450,Internal_lists_bugs!$A$2:$C$73,3,FALSE()), VLOOKUP(A450,Internal_lists_bugs!$A$2:$C$73,3,FALSE())&amp;Char(10) &amp; Char(10) &amp; VLOOKUP(A450,Internal_lists_bugs!$A$2:$Z$73,26,FALSE())),"please select a BUG ID")</f>
        <v>please select a BUG ID</v>
      </c>
      <c r="C450" s="51" t="str">
        <f>IFERROR(VLOOKUP(A450,Internal_lists_bugs!$A$2:$G2003,7,FALSE()),"please select a BUG ID")</f>
        <v>please select a BUG ID</v>
      </c>
      <c r="D450" s="43"/>
      <c r="E450" s="63"/>
      <c r="F450" s="43"/>
      <c r="G450" s="63"/>
      <c r="H450" s="43"/>
      <c r="I450" s="63"/>
      <c r="J450" s="43"/>
      <c r="K450" s="50"/>
      <c r="L450" s="43"/>
      <c r="M450" s="50"/>
      <c r="N450" s="43"/>
      <c r="O450" s="50"/>
      <c r="P450" s="43"/>
      <c r="Q450" s="50"/>
      <c r="R450" s="43"/>
      <c r="S450" s="50"/>
      <c r="T450" s="43"/>
      <c r="U450" s="50"/>
      <c r="V450" s="43"/>
      <c r="W450" s="50"/>
      <c r="X450" s="43"/>
      <c r="Y450" s="50"/>
      <c r="Z450" s="43"/>
      <c r="AA450" s="50"/>
      <c r="AB450" s="43"/>
      <c r="AC450" s="50"/>
      <c r="AD450" s="43"/>
      <c r="AE450" s="50"/>
      <c r="AF450" s="43"/>
      <c r="AG450" s="50"/>
      <c r="AH450" s="43"/>
      <c r="AI450" s="50"/>
      <c r="AJ450" s="43"/>
      <c r="AK450" s="50"/>
      <c r="AL450" s="43"/>
      <c r="AM450" s="50"/>
      <c r="AO450" s="43"/>
      <c r="AP450" s="46"/>
      <c r="AQ450" s="43"/>
      <c r="AR450" s="119"/>
      <c r="AS450" s="1"/>
      <c r="AT450" s="1"/>
    </row>
    <row r="451">
      <c r="A451" s="43"/>
      <c r="B451" s="59" t="str">
        <f>IFERROR(HYPERLINK(VLOOKUP(A451,Internal_lists_bugs!$A$2:$C$73,3,FALSE()), VLOOKUP(A451,Internal_lists_bugs!$A$2:$C$73,3,FALSE())&amp;Char(10) &amp; Char(10) &amp; VLOOKUP(A451,Internal_lists_bugs!$A$2:$Z$73,26,FALSE())),"please select a BUG ID")</f>
        <v>please select a BUG ID</v>
      </c>
      <c r="C451" s="51" t="str">
        <f>IFERROR(VLOOKUP(A451,Internal_lists_bugs!$A$2:$G2003,7,FALSE()),"please select a BUG ID")</f>
        <v>please select a BUG ID</v>
      </c>
      <c r="D451" s="43"/>
      <c r="E451" s="63"/>
      <c r="F451" s="43"/>
      <c r="G451" s="63"/>
      <c r="H451" s="43"/>
      <c r="I451" s="63"/>
      <c r="J451" s="43"/>
      <c r="K451" s="50"/>
      <c r="L451" s="43"/>
      <c r="M451" s="50"/>
      <c r="N451" s="43"/>
      <c r="O451" s="50"/>
      <c r="P451" s="43"/>
      <c r="Q451" s="50"/>
      <c r="R451" s="43"/>
      <c r="S451" s="50"/>
      <c r="T451" s="43"/>
      <c r="U451" s="50"/>
      <c r="V451" s="43"/>
      <c r="W451" s="50"/>
      <c r="X451" s="43"/>
      <c r="Y451" s="50"/>
      <c r="Z451" s="43"/>
      <c r="AA451" s="50"/>
      <c r="AB451" s="43"/>
      <c r="AC451" s="50"/>
      <c r="AD451" s="43"/>
      <c r="AE451" s="50"/>
      <c r="AF451" s="43"/>
      <c r="AG451" s="50"/>
      <c r="AH451" s="43"/>
      <c r="AI451" s="50"/>
      <c r="AJ451" s="43"/>
      <c r="AK451" s="50"/>
      <c r="AL451" s="43"/>
      <c r="AM451" s="50"/>
      <c r="AO451" s="43"/>
      <c r="AP451" s="46"/>
      <c r="AQ451" s="43"/>
      <c r="AR451" s="119"/>
      <c r="AS451" s="1"/>
      <c r="AT451" s="1"/>
    </row>
    <row r="452">
      <c r="A452" s="43"/>
      <c r="B452" s="59" t="str">
        <f>IFERROR(HYPERLINK(VLOOKUP(A452,Internal_lists_bugs!$A$2:$C$73,3,FALSE()), VLOOKUP(A452,Internal_lists_bugs!$A$2:$C$73,3,FALSE())&amp;Char(10) &amp; Char(10) &amp; VLOOKUP(A452,Internal_lists_bugs!$A$2:$Z$73,26,FALSE())),"please select a BUG ID")</f>
        <v>please select a BUG ID</v>
      </c>
      <c r="C452" s="51" t="str">
        <f>IFERROR(VLOOKUP(A452,Internal_lists_bugs!$A$2:$G2003,7,FALSE()),"please select a BUG ID")</f>
        <v>please select a BUG ID</v>
      </c>
      <c r="D452" s="43"/>
      <c r="E452" s="63"/>
      <c r="F452" s="43"/>
      <c r="G452" s="63"/>
      <c r="H452" s="43"/>
      <c r="I452" s="63"/>
      <c r="J452" s="43"/>
      <c r="K452" s="50"/>
      <c r="L452" s="43"/>
      <c r="M452" s="50"/>
      <c r="N452" s="43"/>
      <c r="O452" s="50"/>
      <c r="P452" s="43"/>
      <c r="Q452" s="50"/>
      <c r="R452" s="43"/>
      <c r="S452" s="50"/>
      <c r="T452" s="43"/>
      <c r="U452" s="50"/>
      <c r="V452" s="43"/>
      <c r="W452" s="50"/>
      <c r="X452" s="43"/>
      <c r="Y452" s="50"/>
      <c r="Z452" s="43"/>
      <c r="AA452" s="50"/>
      <c r="AB452" s="43"/>
      <c r="AC452" s="50"/>
      <c r="AD452" s="43"/>
      <c r="AE452" s="50"/>
      <c r="AF452" s="43"/>
      <c r="AG452" s="50"/>
      <c r="AH452" s="43"/>
      <c r="AI452" s="50"/>
      <c r="AJ452" s="43"/>
      <c r="AK452" s="50"/>
      <c r="AL452" s="43"/>
      <c r="AM452" s="50"/>
      <c r="AO452" s="43"/>
      <c r="AP452" s="46"/>
      <c r="AQ452" s="43"/>
      <c r="AR452" s="119"/>
      <c r="AS452" s="1"/>
      <c r="AT452" s="1"/>
    </row>
    <row r="453">
      <c r="A453" s="43"/>
      <c r="B453" s="59" t="str">
        <f>IFERROR(HYPERLINK(VLOOKUP(A453,Internal_lists_bugs!$A$2:$C$73,3,FALSE()), VLOOKUP(A453,Internal_lists_bugs!$A$2:$C$73,3,FALSE())&amp;Char(10) &amp; Char(10) &amp; VLOOKUP(A453,Internal_lists_bugs!$A$2:$Z$73,26,FALSE())),"please select a BUG ID")</f>
        <v>please select a BUG ID</v>
      </c>
      <c r="C453" s="51" t="str">
        <f>IFERROR(VLOOKUP(A453,Internal_lists_bugs!$A$2:$G2003,7,FALSE()),"please select a BUG ID")</f>
        <v>please select a BUG ID</v>
      </c>
      <c r="D453" s="43"/>
      <c r="E453" s="63"/>
      <c r="F453" s="43"/>
      <c r="G453" s="63"/>
      <c r="H453" s="43"/>
      <c r="I453" s="63"/>
      <c r="J453" s="43"/>
      <c r="K453" s="50"/>
      <c r="L453" s="43"/>
      <c r="M453" s="50"/>
      <c r="N453" s="43"/>
      <c r="O453" s="50"/>
      <c r="P453" s="43"/>
      <c r="Q453" s="50"/>
      <c r="R453" s="43"/>
      <c r="S453" s="50"/>
      <c r="T453" s="43"/>
      <c r="U453" s="50"/>
      <c r="V453" s="43"/>
      <c r="W453" s="50"/>
      <c r="X453" s="43"/>
      <c r="Y453" s="50"/>
      <c r="Z453" s="43"/>
      <c r="AA453" s="50"/>
      <c r="AB453" s="43"/>
      <c r="AC453" s="50"/>
      <c r="AD453" s="43"/>
      <c r="AE453" s="50"/>
      <c r="AF453" s="43"/>
      <c r="AG453" s="50"/>
      <c r="AH453" s="43"/>
      <c r="AI453" s="50"/>
      <c r="AJ453" s="43"/>
      <c r="AK453" s="50"/>
      <c r="AL453" s="43"/>
      <c r="AM453" s="50"/>
      <c r="AO453" s="43"/>
      <c r="AP453" s="46"/>
      <c r="AQ453" s="43"/>
      <c r="AR453" s="119"/>
      <c r="AS453" s="1"/>
      <c r="AT453" s="1"/>
    </row>
    <row r="454">
      <c r="A454" s="43"/>
      <c r="B454" s="59" t="str">
        <f>IFERROR(HYPERLINK(VLOOKUP(A454,Internal_lists_bugs!$A$2:$C$73,3,FALSE()), VLOOKUP(A454,Internal_lists_bugs!$A$2:$C$73,3,FALSE())&amp;Char(10) &amp; Char(10) &amp; VLOOKUP(A454,Internal_lists_bugs!$A$2:$Z$73,26,FALSE())),"please select a BUG ID")</f>
        <v>please select a BUG ID</v>
      </c>
      <c r="C454" s="51" t="str">
        <f>IFERROR(VLOOKUP(A454,Internal_lists_bugs!$A$2:$G2003,7,FALSE()),"please select a BUG ID")</f>
        <v>please select a BUG ID</v>
      </c>
      <c r="D454" s="43"/>
      <c r="E454" s="63"/>
      <c r="F454" s="43"/>
      <c r="G454" s="63"/>
      <c r="H454" s="43"/>
      <c r="I454" s="63"/>
      <c r="J454" s="43"/>
      <c r="K454" s="50"/>
      <c r="L454" s="43"/>
      <c r="M454" s="50"/>
      <c r="N454" s="43"/>
      <c r="O454" s="50"/>
      <c r="P454" s="43"/>
      <c r="Q454" s="50"/>
      <c r="R454" s="43"/>
      <c r="S454" s="50"/>
      <c r="T454" s="43"/>
      <c r="U454" s="50"/>
      <c r="V454" s="43"/>
      <c r="W454" s="50"/>
      <c r="X454" s="43"/>
      <c r="Y454" s="50"/>
      <c r="Z454" s="43"/>
      <c r="AA454" s="50"/>
      <c r="AB454" s="43"/>
      <c r="AC454" s="50"/>
      <c r="AD454" s="43"/>
      <c r="AE454" s="50"/>
      <c r="AF454" s="43"/>
      <c r="AG454" s="50"/>
      <c r="AH454" s="43"/>
      <c r="AI454" s="50"/>
      <c r="AJ454" s="43"/>
      <c r="AK454" s="50"/>
      <c r="AL454" s="43"/>
      <c r="AM454" s="50"/>
      <c r="AO454" s="43"/>
      <c r="AP454" s="46"/>
      <c r="AQ454" s="43"/>
      <c r="AR454" s="119"/>
      <c r="AS454" s="1"/>
      <c r="AT454" s="1"/>
    </row>
    <row r="455">
      <c r="A455" s="43"/>
      <c r="B455" s="59" t="str">
        <f>IFERROR(HYPERLINK(VLOOKUP(A455,Internal_lists_bugs!$A$2:$C$73,3,FALSE()), VLOOKUP(A455,Internal_lists_bugs!$A$2:$C$73,3,FALSE())&amp;Char(10) &amp; Char(10) &amp; VLOOKUP(A455,Internal_lists_bugs!$A$2:$Z$73,26,FALSE())),"please select a BUG ID")</f>
        <v>please select a BUG ID</v>
      </c>
      <c r="C455" s="51" t="str">
        <f>IFERROR(VLOOKUP(A455,Internal_lists_bugs!$A$2:$G2003,7,FALSE()),"please select a BUG ID")</f>
        <v>please select a BUG ID</v>
      </c>
      <c r="D455" s="43"/>
      <c r="E455" s="63"/>
      <c r="F455" s="43"/>
      <c r="G455" s="63"/>
      <c r="H455" s="43"/>
      <c r="I455" s="63"/>
      <c r="J455" s="43"/>
      <c r="K455" s="50"/>
      <c r="L455" s="43"/>
      <c r="M455" s="50"/>
      <c r="N455" s="43"/>
      <c r="O455" s="50"/>
      <c r="P455" s="43"/>
      <c r="Q455" s="50"/>
      <c r="R455" s="43"/>
      <c r="S455" s="50"/>
      <c r="T455" s="43"/>
      <c r="U455" s="50"/>
      <c r="V455" s="43"/>
      <c r="W455" s="50"/>
      <c r="X455" s="43"/>
      <c r="Y455" s="50"/>
      <c r="Z455" s="43"/>
      <c r="AA455" s="50"/>
      <c r="AB455" s="43"/>
      <c r="AC455" s="50"/>
      <c r="AD455" s="43"/>
      <c r="AE455" s="50"/>
      <c r="AF455" s="43"/>
      <c r="AG455" s="50"/>
      <c r="AH455" s="43"/>
      <c r="AI455" s="50"/>
      <c r="AJ455" s="43"/>
      <c r="AK455" s="50"/>
      <c r="AL455" s="43"/>
      <c r="AM455" s="50"/>
      <c r="AO455" s="43"/>
      <c r="AP455" s="46"/>
      <c r="AQ455" s="43"/>
      <c r="AR455" s="119"/>
      <c r="AS455" s="1"/>
      <c r="AT455" s="1"/>
    </row>
    <row r="456">
      <c r="A456" s="43"/>
      <c r="B456" s="59" t="str">
        <f>IFERROR(HYPERLINK(VLOOKUP(A456,Internal_lists_bugs!$A$2:$C$73,3,FALSE()), VLOOKUP(A456,Internal_lists_bugs!$A$2:$C$73,3,FALSE())&amp;Char(10) &amp; Char(10) &amp; VLOOKUP(A456,Internal_lists_bugs!$A$2:$Z$73,26,FALSE())),"please select a BUG ID")</f>
        <v>please select a BUG ID</v>
      </c>
      <c r="C456" s="51" t="str">
        <f>IFERROR(VLOOKUP(A456,Internal_lists_bugs!$A$2:$G2003,7,FALSE()),"please select a BUG ID")</f>
        <v>please select a BUG ID</v>
      </c>
      <c r="D456" s="43"/>
      <c r="E456" s="63"/>
      <c r="F456" s="43"/>
      <c r="G456" s="63"/>
      <c r="H456" s="43"/>
      <c r="I456" s="63"/>
      <c r="J456" s="43"/>
      <c r="K456" s="50"/>
      <c r="L456" s="43"/>
      <c r="M456" s="50"/>
      <c r="N456" s="43"/>
      <c r="O456" s="50"/>
      <c r="P456" s="43"/>
      <c r="Q456" s="50"/>
      <c r="R456" s="43"/>
      <c r="S456" s="50"/>
      <c r="T456" s="43"/>
      <c r="U456" s="50"/>
      <c r="V456" s="43"/>
      <c r="W456" s="50"/>
      <c r="X456" s="43"/>
      <c r="Y456" s="50"/>
      <c r="Z456" s="43"/>
      <c r="AA456" s="50"/>
      <c r="AB456" s="43"/>
      <c r="AC456" s="50"/>
      <c r="AD456" s="43"/>
      <c r="AE456" s="50"/>
      <c r="AF456" s="43"/>
      <c r="AG456" s="50"/>
      <c r="AH456" s="43"/>
      <c r="AI456" s="50"/>
      <c r="AJ456" s="43"/>
      <c r="AK456" s="50"/>
      <c r="AL456" s="43"/>
      <c r="AM456" s="50"/>
      <c r="AO456" s="43"/>
      <c r="AP456" s="46"/>
      <c r="AQ456" s="43"/>
      <c r="AR456" s="119"/>
      <c r="AS456" s="1"/>
      <c r="AT456" s="1"/>
    </row>
    <row r="457">
      <c r="A457" s="43"/>
      <c r="B457" s="59" t="str">
        <f>IFERROR(HYPERLINK(VLOOKUP(A457,Internal_lists_bugs!$A$2:$C$73,3,FALSE()), VLOOKUP(A457,Internal_lists_bugs!$A$2:$C$73,3,FALSE())&amp;Char(10) &amp; Char(10) &amp; VLOOKUP(A457,Internal_lists_bugs!$A$2:$Z$73,26,FALSE())),"please select a BUG ID")</f>
        <v>please select a BUG ID</v>
      </c>
      <c r="C457" s="51" t="str">
        <f>IFERROR(VLOOKUP(A457,Internal_lists_bugs!$A$2:$G2003,7,FALSE()),"please select a BUG ID")</f>
        <v>please select a BUG ID</v>
      </c>
      <c r="D457" s="43"/>
      <c r="E457" s="63"/>
      <c r="F457" s="43"/>
      <c r="G457" s="63"/>
      <c r="H457" s="43"/>
      <c r="I457" s="63"/>
      <c r="J457" s="43"/>
      <c r="K457" s="50"/>
      <c r="L457" s="43"/>
      <c r="M457" s="50"/>
      <c r="N457" s="43"/>
      <c r="O457" s="50"/>
      <c r="P457" s="43"/>
      <c r="Q457" s="50"/>
      <c r="R457" s="43"/>
      <c r="S457" s="50"/>
      <c r="T457" s="43"/>
      <c r="U457" s="50"/>
      <c r="V457" s="43"/>
      <c r="W457" s="50"/>
      <c r="X457" s="43"/>
      <c r="Y457" s="50"/>
      <c r="Z457" s="43"/>
      <c r="AA457" s="50"/>
      <c r="AB457" s="43"/>
      <c r="AC457" s="50"/>
      <c r="AD457" s="43"/>
      <c r="AE457" s="50"/>
      <c r="AF457" s="43"/>
      <c r="AG457" s="50"/>
      <c r="AH457" s="43"/>
      <c r="AI457" s="50"/>
      <c r="AJ457" s="43"/>
      <c r="AK457" s="50"/>
      <c r="AL457" s="43"/>
      <c r="AM457" s="50"/>
      <c r="AO457" s="43"/>
      <c r="AP457" s="46"/>
      <c r="AQ457" s="43"/>
      <c r="AR457" s="119"/>
      <c r="AS457" s="1"/>
      <c r="AT457" s="1"/>
    </row>
    <row r="458">
      <c r="A458" s="43"/>
      <c r="B458" s="59" t="str">
        <f>IFERROR(HYPERLINK(VLOOKUP(A458,Internal_lists_bugs!$A$2:$C$73,3,FALSE()), VLOOKUP(A458,Internal_lists_bugs!$A$2:$C$73,3,FALSE())&amp;Char(10) &amp; Char(10) &amp; VLOOKUP(A458,Internal_lists_bugs!$A$2:$Z$73,26,FALSE())),"please select a BUG ID")</f>
        <v>please select a BUG ID</v>
      </c>
      <c r="C458" s="51" t="str">
        <f>IFERROR(VLOOKUP(A458,Internal_lists_bugs!$A$2:$G2003,7,FALSE()),"please select a BUG ID")</f>
        <v>please select a BUG ID</v>
      </c>
      <c r="D458" s="43"/>
      <c r="E458" s="63"/>
      <c r="F458" s="43"/>
      <c r="G458" s="63"/>
      <c r="H458" s="43"/>
      <c r="I458" s="63"/>
      <c r="J458" s="43"/>
      <c r="K458" s="50"/>
      <c r="L458" s="43"/>
      <c r="M458" s="50"/>
      <c r="N458" s="43"/>
      <c r="O458" s="50"/>
      <c r="P458" s="43"/>
      <c r="Q458" s="50"/>
      <c r="R458" s="43"/>
      <c r="S458" s="50"/>
      <c r="T458" s="43"/>
      <c r="U458" s="50"/>
      <c r="V458" s="43"/>
      <c r="W458" s="50"/>
      <c r="X458" s="43"/>
      <c r="Y458" s="50"/>
      <c r="Z458" s="43"/>
      <c r="AA458" s="50"/>
      <c r="AB458" s="43"/>
      <c r="AC458" s="50"/>
      <c r="AD458" s="43"/>
      <c r="AE458" s="50"/>
      <c r="AF458" s="43"/>
      <c r="AG458" s="50"/>
      <c r="AH458" s="43"/>
      <c r="AI458" s="50"/>
      <c r="AJ458" s="43"/>
      <c r="AK458" s="50"/>
      <c r="AL458" s="43"/>
      <c r="AM458" s="50"/>
      <c r="AO458" s="43"/>
      <c r="AP458" s="46"/>
      <c r="AQ458" s="43"/>
      <c r="AR458" s="119"/>
      <c r="AS458" s="1"/>
      <c r="AT458" s="1"/>
    </row>
    <row r="459">
      <c r="A459" s="43"/>
      <c r="B459" s="59" t="str">
        <f>IFERROR(HYPERLINK(VLOOKUP(A459,Internal_lists_bugs!$A$2:$C$73,3,FALSE()), VLOOKUP(A459,Internal_lists_bugs!$A$2:$C$73,3,FALSE())&amp;Char(10) &amp; Char(10) &amp; VLOOKUP(A459,Internal_lists_bugs!$A$2:$Z$73,26,FALSE())),"please select a BUG ID")</f>
        <v>please select a BUG ID</v>
      </c>
      <c r="C459" s="51" t="str">
        <f>IFERROR(VLOOKUP(A459,Internal_lists_bugs!$A$2:$G2003,7,FALSE()),"please select a BUG ID")</f>
        <v>please select a BUG ID</v>
      </c>
      <c r="D459" s="43"/>
      <c r="E459" s="63"/>
      <c r="F459" s="43"/>
      <c r="G459" s="63"/>
      <c r="H459" s="43"/>
      <c r="I459" s="63"/>
      <c r="J459" s="43"/>
      <c r="K459" s="50"/>
      <c r="L459" s="43"/>
      <c r="M459" s="50"/>
      <c r="N459" s="43"/>
      <c r="O459" s="50"/>
      <c r="P459" s="43"/>
      <c r="Q459" s="50"/>
      <c r="R459" s="43"/>
      <c r="S459" s="50"/>
      <c r="T459" s="43"/>
      <c r="U459" s="50"/>
      <c r="V459" s="43"/>
      <c r="W459" s="50"/>
      <c r="X459" s="43"/>
      <c r="Y459" s="50"/>
      <c r="Z459" s="43"/>
      <c r="AA459" s="50"/>
      <c r="AB459" s="43"/>
      <c r="AC459" s="50"/>
      <c r="AD459" s="43"/>
      <c r="AE459" s="50"/>
      <c r="AF459" s="43"/>
      <c r="AG459" s="50"/>
      <c r="AH459" s="43"/>
      <c r="AI459" s="50"/>
      <c r="AJ459" s="43"/>
      <c r="AK459" s="50"/>
      <c r="AL459" s="43"/>
      <c r="AM459" s="50"/>
      <c r="AO459" s="43"/>
      <c r="AP459" s="46"/>
      <c r="AQ459" s="43"/>
      <c r="AR459" s="119"/>
      <c r="AS459" s="1"/>
      <c r="AT459" s="1"/>
    </row>
    <row r="460">
      <c r="A460" s="43"/>
      <c r="B460" s="59" t="str">
        <f>IFERROR(HYPERLINK(VLOOKUP(A460,Internal_lists_bugs!$A$2:$C$73,3,FALSE()), VLOOKUP(A460,Internal_lists_bugs!$A$2:$C$73,3,FALSE())&amp;Char(10) &amp; Char(10) &amp; VLOOKUP(A460,Internal_lists_bugs!$A$2:$Z$73,26,FALSE())),"please select a BUG ID")</f>
        <v>please select a BUG ID</v>
      </c>
      <c r="C460" s="51" t="str">
        <f>IFERROR(VLOOKUP(A460,Internal_lists_bugs!$A$2:$G2003,7,FALSE()),"please select a BUG ID")</f>
        <v>please select a BUG ID</v>
      </c>
      <c r="D460" s="43"/>
      <c r="E460" s="63"/>
      <c r="F460" s="43"/>
      <c r="G460" s="63"/>
      <c r="H460" s="43"/>
      <c r="I460" s="63"/>
      <c r="J460" s="43"/>
      <c r="K460" s="50"/>
      <c r="L460" s="43"/>
      <c r="M460" s="50"/>
      <c r="N460" s="43"/>
      <c r="O460" s="50"/>
      <c r="P460" s="43"/>
      <c r="Q460" s="50"/>
      <c r="R460" s="43"/>
      <c r="S460" s="50"/>
      <c r="T460" s="43"/>
      <c r="U460" s="50"/>
      <c r="V460" s="43"/>
      <c r="W460" s="50"/>
      <c r="X460" s="43"/>
      <c r="Y460" s="50"/>
      <c r="Z460" s="43"/>
      <c r="AA460" s="50"/>
      <c r="AB460" s="43"/>
      <c r="AC460" s="50"/>
      <c r="AD460" s="43"/>
      <c r="AE460" s="50"/>
      <c r="AF460" s="43"/>
      <c r="AG460" s="50"/>
      <c r="AH460" s="43"/>
      <c r="AI460" s="50"/>
      <c r="AJ460" s="43"/>
      <c r="AK460" s="50"/>
      <c r="AL460" s="43"/>
      <c r="AM460" s="50"/>
      <c r="AO460" s="43"/>
      <c r="AP460" s="46"/>
      <c r="AQ460" s="43"/>
      <c r="AR460" s="119"/>
      <c r="AS460" s="1"/>
      <c r="AT460" s="1"/>
    </row>
    <row r="461">
      <c r="A461" s="43"/>
      <c r="B461" s="59" t="str">
        <f>IFERROR(HYPERLINK(VLOOKUP(A461,Internal_lists_bugs!$A$2:$C$73,3,FALSE()), VLOOKUP(A461,Internal_lists_bugs!$A$2:$C$73,3,FALSE())&amp;Char(10) &amp; Char(10) &amp; VLOOKUP(A461,Internal_lists_bugs!$A$2:$Z$73,26,FALSE())),"please select a BUG ID")</f>
        <v>please select a BUG ID</v>
      </c>
      <c r="C461" s="51" t="str">
        <f>IFERROR(VLOOKUP(A461,Internal_lists_bugs!$A$2:$G2003,7,FALSE()),"please select a BUG ID")</f>
        <v>please select a BUG ID</v>
      </c>
      <c r="D461" s="43"/>
      <c r="E461" s="63"/>
      <c r="F461" s="43"/>
      <c r="G461" s="63"/>
      <c r="H461" s="43"/>
      <c r="I461" s="63"/>
      <c r="J461" s="43"/>
      <c r="K461" s="50"/>
      <c r="L461" s="43"/>
      <c r="M461" s="50"/>
      <c r="N461" s="43"/>
      <c r="O461" s="50"/>
      <c r="P461" s="43"/>
      <c r="Q461" s="50"/>
      <c r="R461" s="43"/>
      <c r="S461" s="50"/>
      <c r="T461" s="43"/>
      <c r="U461" s="50"/>
      <c r="V461" s="43"/>
      <c r="W461" s="50"/>
      <c r="X461" s="43"/>
      <c r="Y461" s="50"/>
      <c r="Z461" s="43"/>
      <c r="AA461" s="50"/>
      <c r="AB461" s="43"/>
      <c r="AC461" s="50"/>
      <c r="AD461" s="43"/>
      <c r="AE461" s="50"/>
      <c r="AF461" s="43"/>
      <c r="AG461" s="50"/>
      <c r="AH461" s="43"/>
      <c r="AI461" s="50"/>
      <c r="AJ461" s="43"/>
      <c r="AK461" s="50"/>
      <c r="AL461" s="43"/>
      <c r="AM461" s="50"/>
      <c r="AO461" s="43"/>
      <c r="AP461" s="46"/>
      <c r="AQ461" s="43"/>
      <c r="AR461" s="119"/>
      <c r="AS461" s="1"/>
      <c r="AT461" s="1"/>
    </row>
    <row r="462">
      <c r="A462" s="43"/>
      <c r="B462" s="59" t="str">
        <f>IFERROR(HYPERLINK(VLOOKUP(A462,Internal_lists_bugs!$A$2:$C$73,3,FALSE()), VLOOKUP(A462,Internal_lists_bugs!$A$2:$C$73,3,FALSE())&amp;Char(10) &amp; Char(10) &amp; VLOOKUP(A462,Internal_lists_bugs!$A$2:$Z$73,26,FALSE())),"please select a BUG ID")</f>
        <v>please select a BUG ID</v>
      </c>
      <c r="C462" s="51" t="str">
        <f>IFERROR(VLOOKUP(A462,Internal_lists_bugs!$A$2:$G2003,7,FALSE()),"please select a BUG ID")</f>
        <v>please select a BUG ID</v>
      </c>
      <c r="D462" s="43"/>
      <c r="E462" s="63"/>
      <c r="F462" s="43"/>
      <c r="G462" s="63"/>
      <c r="H462" s="43"/>
      <c r="I462" s="63"/>
      <c r="J462" s="43"/>
      <c r="K462" s="50"/>
      <c r="L462" s="43"/>
      <c r="M462" s="50"/>
      <c r="N462" s="43"/>
      <c r="O462" s="50"/>
      <c r="P462" s="43"/>
      <c r="Q462" s="50"/>
      <c r="R462" s="43"/>
      <c r="S462" s="50"/>
      <c r="T462" s="43"/>
      <c r="U462" s="50"/>
      <c r="V462" s="43"/>
      <c r="W462" s="50"/>
      <c r="X462" s="43"/>
      <c r="Y462" s="50"/>
      <c r="Z462" s="43"/>
      <c r="AA462" s="50"/>
      <c r="AB462" s="43"/>
      <c r="AC462" s="50"/>
      <c r="AD462" s="43"/>
      <c r="AE462" s="50"/>
      <c r="AF462" s="43"/>
      <c r="AG462" s="50"/>
      <c r="AH462" s="43"/>
      <c r="AI462" s="50"/>
      <c r="AJ462" s="43"/>
      <c r="AK462" s="50"/>
      <c r="AL462" s="43"/>
      <c r="AM462" s="50"/>
      <c r="AO462" s="43"/>
      <c r="AP462" s="46"/>
      <c r="AQ462" s="43"/>
      <c r="AR462" s="119"/>
      <c r="AS462" s="1"/>
      <c r="AT462" s="1"/>
    </row>
    <row r="463">
      <c r="A463" s="43"/>
      <c r="B463" s="59" t="str">
        <f>IFERROR(HYPERLINK(VLOOKUP(A463,Internal_lists_bugs!$A$2:$C$73,3,FALSE()), VLOOKUP(A463,Internal_lists_bugs!$A$2:$C$73,3,FALSE())&amp;Char(10) &amp; Char(10) &amp; VLOOKUP(A463,Internal_lists_bugs!$A$2:$Z$73,26,FALSE())),"please select a BUG ID")</f>
        <v>please select a BUG ID</v>
      </c>
      <c r="C463" s="51" t="str">
        <f>IFERROR(VLOOKUP(A463,Internal_lists_bugs!$A$2:$G2003,7,FALSE()),"please select a BUG ID")</f>
        <v>please select a BUG ID</v>
      </c>
      <c r="D463" s="43"/>
      <c r="E463" s="63"/>
      <c r="F463" s="43"/>
      <c r="G463" s="63"/>
      <c r="H463" s="43"/>
      <c r="I463" s="63"/>
      <c r="J463" s="43"/>
      <c r="K463" s="50"/>
      <c r="L463" s="43"/>
      <c r="M463" s="50"/>
      <c r="N463" s="43"/>
      <c r="O463" s="50"/>
      <c r="P463" s="43"/>
      <c r="Q463" s="50"/>
      <c r="R463" s="43"/>
      <c r="S463" s="50"/>
      <c r="T463" s="43"/>
      <c r="U463" s="50"/>
      <c r="V463" s="43"/>
      <c r="W463" s="50"/>
      <c r="X463" s="43"/>
      <c r="Y463" s="50"/>
      <c r="Z463" s="43"/>
      <c r="AA463" s="50"/>
      <c r="AB463" s="43"/>
      <c r="AC463" s="50"/>
      <c r="AD463" s="43"/>
      <c r="AE463" s="50"/>
      <c r="AF463" s="43"/>
      <c r="AG463" s="50"/>
      <c r="AH463" s="43"/>
      <c r="AI463" s="50"/>
      <c r="AJ463" s="43"/>
      <c r="AK463" s="50"/>
      <c r="AL463" s="43"/>
      <c r="AM463" s="50"/>
      <c r="AO463" s="43"/>
      <c r="AP463" s="46"/>
      <c r="AQ463" s="43"/>
      <c r="AR463" s="119"/>
      <c r="AS463" s="1"/>
      <c r="AT463" s="1"/>
    </row>
    <row r="464">
      <c r="A464" s="43"/>
      <c r="B464" s="59" t="str">
        <f>IFERROR(HYPERLINK(VLOOKUP(A464,Internal_lists_bugs!$A$2:$C$73,3,FALSE()), VLOOKUP(A464,Internal_lists_bugs!$A$2:$C$73,3,FALSE())&amp;Char(10) &amp; Char(10) &amp; VLOOKUP(A464,Internal_lists_bugs!$A$2:$Z$73,26,FALSE())),"please select a BUG ID")</f>
        <v>please select a BUG ID</v>
      </c>
      <c r="C464" s="51" t="str">
        <f>IFERROR(VLOOKUP(A464,Internal_lists_bugs!$A$2:$G2003,7,FALSE()),"please select a BUG ID")</f>
        <v>please select a BUG ID</v>
      </c>
      <c r="D464" s="43"/>
      <c r="E464" s="63"/>
      <c r="F464" s="43"/>
      <c r="G464" s="63"/>
      <c r="H464" s="43"/>
      <c r="I464" s="63"/>
      <c r="J464" s="43"/>
      <c r="K464" s="50"/>
      <c r="L464" s="43"/>
      <c r="M464" s="50"/>
      <c r="N464" s="43"/>
      <c r="O464" s="50"/>
      <c r="P464" s="43"/>
      <c r="Q464" s="50"/>
      <c r="R464" s="43"/>
      <c r="S464" s="50"/>
      <c r="T464" s="43"/>
      <c r="U464" s="50"/>
      <c r="V464" s="43"/>
      <c r="W464" s="50"/>
      <c r="X464" s="43"/>
      <c r="Y464" s="50"/>
      <c r="Z464" s="43"/>
      <c r="AA464" s="50"/>
      <c r="AB464" s="43"/>
      <c r="AC464" s="50"/>
      <c r="AD464" s="43"/>
      <c r="AE464" s="50"/>
      <c r="AF464" s="43"/>
      <c r="AG464" s="50"/>
      <c r="AH464" s="43"/>
      <c r="AI464" s="50"/>
      <c r="AJ464" s="43"/>
      <c r="AK464" s="50"/>
      <c r="AL464" s="43"/>
      <c r="AM464" s="50"/>
      <c r="AO464" s="43"/>
      <c r="AP464" s="46"/>
      <c r="AQ464" s="43"/>
      <c r="AR464" s="119"/>
      <c r="AS464" s="1"/>
      <c r="AT464" s="1"/>
    </row>
    <row r="465">
      <c r="A465" s="43"/>
      <c r="B465" s="59" t="str">
        <f>IFERROR(HYPERLINK(VLOOKUP(A465,Internal_lists_bugs!$A$2:$C$73,3,FALSE()), VLOOKUP(A465,Internal_lists_bugs!$A$2:$C$73,3,FALSE())&amp;Char(10) &amp; Char(10) &amp; VLOOKUP(A465,Internal_lists_bugs!$A$2:$Z$73,26,FALSE())),"please select a BUG ID")</f>
        <v>please select a BUG ID</v>
      </c>
      <c r="C465" s="51" t="str">
        <f>IFERROR(VLOOKUP(A465,Internal_lists_bugs!$A$2:$G2003,7,FALSE()),"please select a BUG ID")</f>
        <v>please select a BUG ID</v>
      </c>
      <c r="D465" s="43"/>
      <c r="E465" s="63"/>
      <c r="F465" s="43"/>
      <c r="G465" s="63"/>
      <c r="H465" s="43"/>
      <c r="I465" s="63"/>
      <c r="J465" s="43"/>
      <c r="K465" s="50"/>
      <c r="L465" s="43"/>
      <c r="M465" s="50"/>
      <c r="N465" s="43"/>
      <c r="O465" s="50"/>
      <c r="P465" s="43"/>
      <c r="Q465" s="50"/>
      <c r="R465" s="43"/>
      <c r="S465" s="50"/>
      <c r="T465" s="43"/>
      <c r="U465" s="50"/>
      <c r="V465" s="43"/>
      <c r="W465" s="50"/>
      <c r="X465" s="43"/>
      <c r="Y465" s="50"/>
      <c r="Z465" s="43"/>
      <c r="AA465" s="50"/>
      <c r="AB465" s="43"/>
      <c r="AC465" s="50"/>
      <c r="AD465" s="43"/>
      <c r="AE465" s="50"/>
      <c r="AF465" s="43"/>
      <c r="AG465" s="50"/>
      <c r="AH465" s="43"/>
      <c r="AI465" s="50"/>
      <c r="AJ465" s="43"/>
      <c r="AK465" s="50"/>
      <c r="AL465" s="43"/>
      <c r="AM465" s="50"/>
      <c r="AO465" s="43"/>
      <c r="AP465" s="46"/>
      <c r="AQ465" s="43"/>
      <c r="AR465" s="119"/>
      <c r="AS465" s="1"/>
      <c r="AT465" s="1"/>
    </row>
    <row r="466">
      <c r="A466" s="43"/>
      <c r="B466" s="59" t="str">
        <f>IFERROR(HYPERLINK(VLOOKUP(A466,Internal_lists_bugs!$A$2:$C$73,3,FALSE()), VLOOKUP(A466,Internal_lists_bugs!$A$2:$C$73,3,FALSE())&amp;Char(10) &amp; Char(10) &amp; VLOOKUP(A466,Internal_lists_bugs!$A$2:$Z$73,26,FALSE())),"please select a BUG ID")</f>
        <v>please select a BUG ID</v>
      </c>
      <c r="C466" s="51" t="str">
        <f>IFERROR(VLOOKUP(A466,Internal_lists_bugs!$A$2:$G2003,7,FALSE()),"please select a BUG ID")</f>
        <v>please select a BUG ID</v>
      </c>
      <c r="D466" s="43"/>
      <c r="E466" s="63"/>
      <c r="F466" s="43"/>
      <c r="G466" s="63"/>
      <c r="H466" s="43"/>
      <c r="I466" s="63"/>
      <c r="J466" s="43"/>
      <c r="K466" s="50"/>
      <c r="L466" s="43"/>
      <c r="M466" s="50"/>
      <c r="N466" s="43"/>
      <c r="O466" s="50"/>
      <c r="P466" s="43"/>
      <c r="Q466" s="50"/>
      <c r="R466" s="43"/>
      <c r="S466" s="50"/>
      <c r="T466" s="43"/>
      <c r="U466" s="50"/>
      <c r="V466" s="43"/>
      <c r="W466" s="50"/>
      <c r="X466" s="43"/>
      <c r="Y466" s="50"/>
      <c r="Z466" s="43"/>
      <c r="AA466" s="50"/>
      <c r="AB466" s="43"/>
      <c r="AC466" s="50"/>
      <c r="AD466" s="43"/>
      <c r="AE466" s="50"/>
      <c r="AF466" s="43"/>
      <c r="AG466" s="50"/>
      <c r="AH466" s="43"/>
      <c r="AI466" s="50"/>
      <c r="AJ466" s="43"/>
      <c r="AK466" s="50"/>
      <c r="AL466" s="43"/>
      <c r="AM466" s="50"/>
      <c r="AO466" s="43"/>
      <c r="AP466" s="46"/>
      <c r="AQ466" s="43"/>
      <c r="AR466" s="119"/>
      <c r="AS466" s="1"/>
      <c r="AT466" s="1"/>
    </row>
    <row r="467">
      <c r="A467" s="43"/>
      <c r="B467" s="59" t="str">
        <f>IFERROR(HYPERLINK(VLOOKUP(A467,Internal_lists_bugs!$A$2:$C$73,3,FALSE()), VLOOKUP(A467,Internal_lists_bugs!$A$2:$C$73,3,FALSE())&amp;Char(10) &amp; Char(10) &amp; VLOOKUP(A467,Internal_lists_bugs!$A$2:$Z$73,26,FALSE())),"please select a BUG ID")</f>
        <v>please select a BUG ID</v>
      </c>
      <c r="C467" s="51" t="str">
        <f>IFERROR(VLOOKUP(A467,Internal_lists_bugs!$A$2:$G2003,7,FALSE()),"please select a BUG ID")</f>
        <v>please select a BUG ID</v>
      </c>
      <c r="D467" s="43"/>
      <c r="E467" s="63"/>
      <c r="F467" s="43"/>
      <c r="G467" s="63"/>
      <c r="H467" s="43"/>
      <c r="I467" s="63"/>
      <c r="J467" s="43"/>
      <c r="K467" s="50"/>
      <c r="L467" s="43"/>
      <c r="M467" s="50"/>
      <c r="N467" s="43"/>
      <c r="O467" s="50"/>
      <c r="P467" s="43"/>
      <c r="Q467" s="50"/>
      <c r="R467" s="43"/>
      <c r="S467" s="50"/>
      <c r="T467" s="43"/>
      <c r="U467" s="50"/>
      <c r="V467" s="43"/>
      <c r="W467" s="50"/>
      <c r="X467" s="43"/>
      <c r="Y467" s="50"/>
      <c r="Z467" s="43"/>
      <c r="AA467" s="50"/>
      <c r="AB467" s="43"/>
      <c r="AC467" s="50"/>
      <c r="AD467" s="43"/>
      <c r="AE467" s="50"/>
      <c r="AF467" s="43"/>
      <c r="AG467" s="50"/>
      <c r="AH467" s="43"/>
      <c r="AI467" s="50"/>
      <c r="AJ467" s="43"/>
      <c r="AK467" s="50"/>
      <c r="AL467" s="43"/>
      <c r="AM467" s="50"/>
      <c r="AO467" s="43"/>
      <c r="AP467" s="46"/>
      <c r="AQ467" s="43"/>
      <c r="AR467" s="119"/>
      <c r="AS467" s="1"/>
      <c r="AT467" s="1"/>
    </row>
    <row r="468">
      <c r="A468" s="43"/>
      <c r="B468" s="59" t="str">
        <f>IFERROR(HYPERLINK(VLOOKUP(A468,Internal_lists_bugs!$A$2:$C$73,3,FALSE()), VLOOKUP(A468,Internal_lists_bugs!$A$2:$C$73,3,FALSE())&amp;Char(10) &amp; Char(10) &amp; VLOOKUP(A468,Internal_lists_bugs!$A$2:$Z$73,26,FALSE())),"please select a BUG ID")</f>
        <v>please select a BUG ID</v>
      </c>
      <c r="C468" s="51" t="str">
        <f>IFERROR(VLOOKUP(A468,Internal_lists_bugs!$A$2:$G2003,7,FALSE()),"please select a BUG ID")</f>
        <v>please select a BUG ID</v>
      </c>
      <c r="D468" s="43"/>
      <c r="E468" s="63"/>
      <c r="F468" s="43"/>
      <c r="G468" s="63"/>
      <c r="H468" s="43"/>
      <c r="I468" s="63"/>
      <c r="J468" s="43"/>
      <c r="K468" s="50"/>
      <c r="L468" s="43"/>
      <c r="M468" s="50"/>
      <c r="N468" s="43"/>
      <c r="O468" s="50"/>
      <c r="P468" s="43"/>
      <c r="Q468" s="50"/>
      <c r="R468" s="43"/>
      <c r="S468" s="50"/>
      <c r="T468" s="43"/>
      <c r="U468" s="50"/>
      <c r="V468" s="43"/>
      <c r="W468" s="50"/>
      <c r="X468" s="43"/>
      <c r="Y468" s="50"/>
      <c r="Z468" s="43"/>
      <c r="AA468" s="50"/>
      <c r="AB468" s="43"/>
      <c r="AC468" s="50"/>
      <c r="AD468" s="43"/>
      <c r="AE468" s="50"/>
      <c r="AF468" s="43"/>
      <c r="AG468" s="50"/>
      <c r="AH468" s="43"/>
      <c r="AI468" s="50"/>
      <c r="AJ468" s="43"/>
      <c r="AK468" s="50"/>
      <c r="AL468" s="43"/>
      <c r="AM468" s="50"/>
      <c r="AO468" s="43"/>
      <c r="AP468" s="46"/>
      <c r="AQ468" s="43"/>
      <c r="AR468" s="119"/>
      <c r="AS468" s="1"/>
      <c r="AT468" s="1"/>
    </row>
    <row r="469">
      <c r="A469" s="43"/>
      <c r="B469" s="59" t="str">
        <f>IFERROR(HYPERLINK(VLOOKUP(A469,Internal_lists_bugs!$A$2:$C$73,3,FALSE()), VLOOKUP(A469,Internal_lists_bugs!$A$2:$C$73,3,FALSE())&amp;Char(10) &amp; Char(10) &amp; VLOOKUP(A469,Internal_lists_bugs!$A$2:$Z$73,26,FALSE())),"please select a BUG ID")</f>
        <v>please select a BUG ID</v>
      </c>
      <c r="C469" s="51" t="str">
        <f>IFERROR(VLOOKUP(A469,Internal_lists_bugs!$A$2:$G2003,7,FALSE()),"please select a BUG ID")</f>
        <v>please select a BUG ID</v>
      </c>
      <c r="D469" s="43"/>
      <c r="E469" s="63"/>
      <c r="F469" s="43"/>
      <c r="G469" s="63"/>
      <c r="H469" s="43"/>
      <c r="I469" s="63"/>
      <c r="J469" s="43"/>
      <c r="K469" s="50"/>
      <c r="L469" s="43"/>
      <c r="M469" s="50"/>
      <c r="N469" s="43"/>
      <c r="O469" s="50"/>
      <c r="P469" s="43"/>
      <c r="Q469" s="50"/>
      <c r="R469" s="43"/>
      <c r="S469" s="50"/>
      <c r="T469" s="43"/>
      <c r="U469" s="50"/>
      <c r="V469" s="43"/>
      <c r="W469" s="50"/>
      <c r="X469" s="43"/>
      <c r="Y469" s="50"/>
      <c r="Z469" s="43"/>
      <c r="AA469" s="50"/>
      <c r="AB469" s="43"/>
      <c r="AC469" s="50"/>
      <c r="AD469" s="43"/>
      <c r="AE469" s="50"/>
      <c r="AF469" s="43"/>
      <c r="AG469" s="50"/>
      <c r="AH469" s="43"/>
      <c r="AI469" s="50"/>
      <c r="AJ469" s="43"/>
      <c r="AK469" s="50"/>
      <c r="AL469" s="43"/>
      <c r="AM469" s="50"/>
      <c r="AO469" s="43"/>
      <c r="AP469" s="46"/>
      <c r="AQ469" s="43"/>
      <c r="AR469" s="119"/>
      <c r="AS469" s="1"/>
      <c r="AT469" s="1"/>
    </row>
    <row r="470">
      <c r="A470" s="43"/>
      <c r="B470" s="59" t="str">
        <f>IFERROR(HYPERLINK(VLOOKUP(A470,Internal_lists_bugs!$A$2:$C$73,3,FALSE()), VLOOKUP(A470,Internal_lists_bugs!$A$2:$C$73,3,FALSE())&amp;Char(10) &amp; Char(10) &amp; VLOOKUP(A470,Internal_lists_bugs!$A$2:$Z$73,26,FALSE())),"please select a BUG ID")</f>
        <v>please select a BUG ID</v>
      </c>
      <c r="C470" s="51" t="str">
        <f>IFERROR(VLOOKUP(A470,Internal_lists_bugs!$A$2:$G2003,7,FALSE()),"please select a BUG ID")</f>
        <v>please select a BUG ID</v>
      </c>
      <c r="D470" s="43"/>
      <c r="E470" s="63"/>
      <c r="F470" s="43"/>
      <c r="G470" s="63"/>
      <c r="H470" s="43"/>
      <c r="I470" s="63"/>
      <c r="J470" s="43"/>
      <c r="K470" s="50"/>
      <c r="L470" s="43"/>
      <c r="M470" s="50"/>
      <c r="N470" s="43"/>
      <c r="O470" s="50"/>
      <c r="P470" s="43"/>
      <c r="Q470" s="50"/>
      <c r="R470" s="43"/>
      <c r="S470" s="50"/>
      <c r="T470" s="43"/>
      <c r="U470" s="50"/>
      <c r="V470" s="43"/>
      <c r="W470" s="50"/>
      <c r="X470" s="43"/>
      <c r="Y470" s="50"/>
      <c r="Z470" s="43"/>
      <c r="AA470" s="50"/>
      <c r="AB470" s="43"/>
      <c r="AC470" s="50"/>
      <c r="AD470" s="43"/>
      <c r="AE470" s="50"/>
      <c r="AF470" s="43"/>
      <c r="AG470" s="50"/>
      <c r="AH470" s="43"/>
      <c r="AI470" s="50"/>
      <c r="AJ470" s="43"/>
      <c r="AK470" s="50"/>
      <c r="AL470" s="43"/>
      <c r="AM470" s="50"/>
      <c r="AO470" s="43"/>
      <c r="AP470" s="46"/>
      <c r="AQ470" s="43"/>
      <c r="AR470" s="119"/>
      <c r="AS470" s="1"/>
      <c r="AT470" s="1"/>
    </row>
    <row r="471">
      <c r="A471" s="43"/>
      <c r="B471" s="59" t="str">
        <f>IFERROR(HYPERLINK(VLOOKUP(A471,Internal_lists_bugs!$A$2:$C$73,3,FALSE()), VLOOKUP(A471,Internal_lists_bugs!$A$2:$C$73,3,FALSE())&amp;Char(10) &amp; Char(10) &amp; VLOOKUP(A471,Internal_lists_bugs!$A$2:$Z$73,26,FALSE())),"please select a BUG ID")</f>
        <v>please select a BUG ID</v>
      </c>
      <c r="C471" s="51" t="str">
        <f>IFERROR(VLOOKUP(A471,Internal_lists_bugs!$A$2:$G2003,7,FALSE()),"please select a BUG ID")</f>
        <v>please select a BUG ID</v>
      </c>
      <c r="D471" s="43"/>
      <c r="E471" s="63"/>
      <c r="F471" s="43"/>
      <c r="G471" s="63"/>
      <c r="H471" s="43"/>
      <c r="I471" s="63"/>
      <c r="J471" s="43"/>
      <c r="K471" s="50"/>
      <c r="L471" s="43"/>
      <c r="M471" s="50"/>
      <c r="N471" s="43"/>
      <c r="O471" s="50"/>
      <c r="P471" s="43"/>
      <c r="Q471" s="50"/>
      <c r="R471" s="43"/>
      <c r="S471" s="50"/>
      <c r="T471" s="43"/>
      <c r="U471" s="50"/>
      <c r="V471" s="43"/>
      <c r="W471" s="50"/>
      <c r="X471" s="43"/>
      <c r="Y471" s="50"/>
      <c r="Z471" s="43"/>
      <c r="AA471" s="50"/>
      <c r="AB471" s="43"/>
      <c r="AC471" s="50"/>
      <c r="AD471" s="43"/>
      <c r="AE471" s="50"/>
      <c r="AF471" s="43"/>
      <c r="AG471" s="50"/>
      <c r="AH471" s="43"/>
      <c r="AI471" s="50"/>
      <c r="AJ471" s="43"/>
      <c r="AK471" s="50"/>
      <c r="AL471" s="43"/>
      <c r="AM471" s="50"/>
      <c r="AO471" s="43"/>
      <c r="AP471" s="46"/>
      <c r="AQ471" s="43"/>
      <c r="AR471" s="119"/>
      <c r="AS471" s="1"/>
      <c r="AT471" s="1"/>
    </row>
    <row r="472">
      <c r="A472" s="43"/>
      <c r="B472" s="59" t="str">
        <f>IFERROR(HYPERLINK(VLOOKUP(A472,Internal_lists_bugs!$A$2:$C$73,3,FALSE()), VLOOKUP(A472,Internal_lists_bugs!$A$2:$C$73,3,FALSE())&amp;Char(10) &amp; Char(10) &amp; VLOOKUP(A472,Internal_lists_bugs!$A$2:$Z$73,26,FALSE())),"please select a BUG ID")</f>
        <v>please select a BUG ID</v>
      </c>
      <c r="C472" s="51" t="str">
        <f>IFERROR(VLOOKUP(A472,Internal_lists_bugs!$A$2:$G2003,7,FALSE()),"please select a BUG ID")</f>
        <v>please select a BUG ID</v>
      </c>
      <c r="D472" s="43"/>
      <c r="E472" s="63"/>
      <c r="F472" s="43"/>
      <c r="G472" s="63"/>
      <c r="H472" s="43"/>
      <c r="I472" s="63"/>
      <c r="J472" s="43"/>
      <c r="K472" s="50"/>
      <c r="L472" s="43"/>
      <c r="M472" s="50"/>
      <c r="N472" s="43"/>
      <c r="O472" s="50"/>
      <c r="P472" s="43"/>
      <c r="Q472" s="50"/>
      <c r="R472" s="43"/>
      <c r="S472" s="50"/>
      <c r="T472" s="43"/>
      <c r="U472" s="50"/>
      <c r="V472" s="43"/>
      <c r="W472" s="50"/>
      <c r="X472" s="43"/>
      <c r="Y472" s="50"/>
      <c r="Z472" s="43"/>
      <c r="AA472" s="50"/>
      <c r="AB472" s="43"/>
      <c r="AC472" s="50"/>
      <c r="AD472" s="43"/>
      <c r="AE472" s="50"/>
      <c r="AF472" s="43"/>
      <c r="AG472" s="50"/>
      <c r="AH472" s="43"/>
      <c r="AI472" s="50"/>
      <c r="AJ472" s="43"/>
      <c r="AK472" s="50"/>
      <c r="AL472" s="43"/>
      <c r="AM472" s="50"/>
      <c r="AO472" s="43"/>
      <c r="AP472" s="46"/>
      <c r="AQ472" s="43"/>
      <c r="AR472" s="119"/>
      <c r="AS472" s="1"/>
      <c r="AT472" s="1"/>
    </row>
    <row r="473">
      <c r="A473" s="43"/>
      <c r="B473" s="59" t="str">
        <f>IFERROR(HYPERLINK(VLOOKUP(A473,Internal_lists_bugs!$A$2:$C$73,3,FALSE()), VLOOKUP(A473,Internal_lists_bugs!$A$2:$C$73,3,FALSE())&amp;Char(10) &amp; Char(10) &amp; VLOOKUP(A473,Internal_lists_bugs!$A$2:$Z$73,26,FALSE())),"please select a BUG ID")</f>
        <v>please select a BUG ID</v>
      </c>
      <c r="C473" s="51" t="str">
        <f>IFERROR(VLOOKUP(A473,Internal_lists_bugs!$A$2:$G2003,7,FALSE()),"please select a BUG ID")</f>
        <v>please select a BUG ID</v>
      </c>
      <c r="D473" s="43"/>
      <c r="E473" s="63"/>
      <c r="F473" s="43"/>
      <c r="G473" s="63"/>
      <c r="H473" s="43"/>
      <c r="I473" s="63"/>
      <c r="J473" s="43"/>
      <c r="K473" s="50"/>
      <c r="L473" s="43"/>
      <c r="M473" s="50"/>
      <c r="N473" s="43"/>
      <c r="O473" s="50"/>
      <c r="P473" s="43"/>
      <c r="Q473" s="50"/>
      <c r="R473" s="43"/>
      <c r="S473" s="50"/>
      <c r="T473" s="43"/>
      <c r="U473" s="50"/>
      <c r="V473" s="43"/>
      <c r="W473" s="50"/>
      <c r="X473" s="43"/>
      <c r="Y473" s="50"/>
      <c r="Z473" s="43"/>
      <c r="AA473" s="50"/>
      <c r="AB473" s="43"/>
      <c r="AC473" s="50"/>
      <c r="AD473" s="43"/>
      <c r="AE473" s="50"/>
      <c r="AF473" s="43"/>
      <c r="AG473" s="50"/>
      <c r="AH473" s="43"/>
      <c r="AI473" s="50"/>
      <c r="AJ473" s="43"/>
      <c r="AK473" s="50"/>
      <c r="AL473" s="43"/>
      <c r="AM473" s="50"/>
      <c r="AO473" s="43"/>
      <c r="AP473" s="46"/>
      <c r="AQ473" s="43"/>
      <c r="AR473" s="119"/>
      <c r="AS473" s="1"/>
      <c r="AT473" s="1"/>
    </row>
    <row r="474">
      <c r="A474" s="43"/>
      <c r="B474" s="59" t="str">
        <f>IFERROR(HYPERLINK(VLOOKUP(A474,Internal_lists_bugs!$A$2:$C$73,3,FALSE()), VLOOKUP(A474,Internal_lists_bugs!$A$2:$C$73,3,FALSE())&amp;Char(10) &amp; Char(10) &amp; VLOOKUP(A474,Internal_lists_bugs!$A$2:$Z$73,26,FALSE())),"please select a BUG ID")</f>
        <v>please select a BUG ID</v>
      </c>
      <c r="C474" s="51" t="str">
        <f>IFERROR(VLOOKUP(A474,Internal_lists_bugs!$A$2:$G2003,7,FALSE()),"please select a BUG ID")</f>
        <v>please select a BUG ID</v>
      </c>
      <c r="D474" s="43"/>
      <c r="E474" s="63"/>
      <c r="F474" s="43"/>
      <c r="G474" s="63"/>
      <c r="H474" s="43"/>
      <c r="I474" s="63"/>
      <c r="J474" s="43"/>
      <c r="K474" s="50"/>
      <c r="L474" s="43"/>
      <c r="M474" s="50"/>
      <c r="N474" s="43"/>
      <c r="O474" s="50"/>
      <c r="P474" s="43"/>
      <c r="Q474" s="50"/>
      <c r="R474" s="43"/>
      <c r="S474" s="50"/>
      <c r="T474" s="43"/>
      <c r="U474" s="50"/>
      <c r="V474" s="43"/>
      <c r="W474" s="50"/>
      <c r="X474" s="43"/>
      <c r="Y474" s="50"/>
      <c r="Z474" s="43"/>
      <c r="AA474" s="50"/>
      <c r="AB474" s="43"/>
      <c r="AC474" s="50"/>
      <c r="AD474" s="43"/>
      <c r="AE474" s="50"/>
      <c r="AF474" s="43"/>
      <c r="AG474" s="50"/>
      <c r="AH474" s="43"/>
      <c r="AI474" s="50"/>
      <c r="AJ474" s="43"/>
      <c r="AK474" s="50"/>
      <c r="AL474" s="43"/>
      <c r="AM474" s="50"/>
      <c r="AO474" s="43"/>
      <c r="AP474" s="46"/>
      <c r="AQ474" s="43"/>
      <c r="AR474" s="119"/>
      <c r="AS474" s="1"/>
      <c r="AT474" s="1"/>
    </row>
    <row r="475">
      <c r="A475" s="43"/>
      <c r="B475" s="59" t="str">
        <f>IFERROR(HYPERLINK(VLOOKUP(A475,Internal_lists_bugs!$A$2:$C$73,3,FALSE()), VLOOKUP(A475,Internal_lists_bugs!$A$2:$C$73,3,FALSE())&amp;Char(10) &amp; Char(10) &amp; VLOOKUP(A475,Internal_lists_bugs!$A$2:$Z$73,26,FALSE())),"please select a BUG ID")</f>
        <v>please select a BUG ID</v>
      </c>
      <c r="C475" s="51" t="str">
        <f>IFERROR(VLOOKUP(A475,Internal_lists_bugs!$A$2:$G2003,7,FALSE()),"please select a BUG ID")</f>
        <v>please select a BUG ID</v>
      </c>
      <c r="D475" s="43"/>
      <c r="E475" s="63"/>
      <c r="F475" s="43"/>
      <c r="G475" s="63"/>
      <c r="H475" s="43"/>
      <c r="I475" s="63"/>
      <c r="J475" s="43"/>
      <c r="K475" s="50"/>
      <c r="L475" s="43"/>
      <c r="M475" s="50"/>
      <c r="N475" s="43"/>
      <c r="O475" s="50"/>
      <c r="P475" s="43"/>
      <c r="Q475" s="50"/>
      <c r="R475" s="43"/>
      <c r="S475" s="50"/>
      <c r="T475" s="43"/>
      <c r="U475" s="50"/>
      <c r="V475" s="43"/>
      <c r="W475" s="50"/>
      <c r="X475" s="43"/>
      <c r="Y475" s="50"/>
      <c r="Z475" s="43"/>
      <c r="AA475" s="50"/>
      <c r="AB475" s="43"/>
      <c r="AC475" s="50"/>
      <c r="AD475" s="43"/>
      <c r="AE475" s="50"/>
      <c r="AF475" s="43"/>
      <c r="AG475" s="50"/>
      <c r="AH475" s="43"/>
      <c r="AI475" s="50"/>
      <c r="AJ475" s="43"/>
      <c r="AK475" s="50"/>
      <c r="AL475" s="43"/>
      <c r="AM475" s="50"/>
      <c r="AO475" s="43"/>
      <c r="AP475" s="46"/>
      <c r="AQ475" s="43"/>
      <c r="AR475" s="119"/>
      <c r="AS475" s="1"/>
      <c r="AT475" s="1"/>
    </row>
    <row r="476">
      <c r="A476" s="43"/>
      <c r="B476" s="59" t="str">
        <f>IFERROR(HYPERLINK(VLOOKUP(A476,Internal_lists_bugs!$A$2:$C$73,3,FALSE()), VLOOKUP(A476,Internal_lists_bugs!$A$2:$C$73,3,FALSE())&amp;Char(10) &amp; Char(10) &amp; VLOOKUP(A476,Internal_lists_bugs!$A$2:$Z$73,26,FALSE())),"please select a BUG ID")</f>
        <v>please select a BUG ID</v>
      </c>
      <c r="C476" s="51" t="str">
        <f>IFERROR(VLOOKUP(A476,Internal_lists_bugs!$A$2:$G2003,7,FALSE()),"please select a BUG ID")</f>
        <v>please select a BUG ID</v>
      </c>
      <c r="D476" s="43"/>
      <c r="E476" s="63"/>
      <c r="F476" s="43"/>
      <c r="G476" s="63"/>
      <c r="H476" s="43"/>
      <c r="I476" s="63"/>
      <c r="J476" s="43"/>
      <c r="K476" s="50"/>
      <c r="L476" s="43"/>
      <c r="M476" s="50"/>
      <c r="N476" s="43"/>
      <c r="O476" s="50"/>
      <c r="P476" s="43"/>
      <c r="Q476" s="50"/>
      <c r="R476" s="43"/>
      <c r="S476" s="50"/>
      <c r="T476" s="43"/>
      <c r="U476" s="50"/>
      <c r="V476" s="43"/>
      <c r="W476" s="50"/>
      <c r="X476" s="43"/>
      <c r="Y476" s="50"/>
      <c r="Z476" s="43"/>
      <c r="AA476" s="50"/>
      <c r="AB476" s="43"/>
      <c r="AC476" s="50"/>
      <c r="AD476" s="43"/>
      <c r="AE476" s="50"/>
      <c r="AF476" s="43"/>
      <c r="AG476" s="50"/>
      <c r="AH476" s="43"/>
      <c r="AI476" s="50"/>
      <c r="AJ476" s="43"/>
      <c r="AK476" s="50"/>
      <c r="AL476" s="43"/>
      <c r="AM476" s="50"/>
      <c r="AO476" s="43"/>
      <c r="AP476" s="46"/>
      <c r="AQ476" s="43"/>
      <c r="AR476" s="119"/>
      <c r="AS476" s="1"/>
      <c r="AT476" s="1"/>
    </row>
    <row r="477">
      <c r="A477" s="43"/>
      <c r="B477" s="59" t="str">
        <f>IFERROR(HYPERLINK(VLOOKUP(A477,Internal_lists_bugs!$A$2:$C$73,3,FALSE()), VLOOKUP(A477,Internal_lists_bugs!$A$2:$C$73,3,FALSE())&amp;Char(10) &amp; Char(10) &amp; VLOOKUP(A477,Internal_lists_bugs!$A$2:$Z$73,26,FALSE())),"please select a BUG ID")</f>
        <v>please select a BUG ID</v>
      </c>
      <c r="C477" s="51" t="str">
        <f>IFERROR(VLOOKUP(A477,Internal_lists_bugs!$A$2:$G2003,7,FALSE()),"please select a BUG ID")</f>
        <v>please select a BUG ID</v>
      </c>
      <c r="D477" s="43"/>
      <c r="E477" s="63"/>
      <c r="F477" s="43"/>
      <c r="G477" s="63"/>
      <c r="H477" s="43"/>
      <c r="I477" s="63"/>
      <c r="J477" s="43"/>
      <c r="K477" s="50"/>
      <c r="L477" s="43"/>
      <c r="M477" s="50"/>
      <c r="N477" s="43"/>
      <c r="O477" s="50"/>
      <c r="P477" s="43"/>
      <c r="Q477" s="50"/>
      <c r="R477" s="43"/>
      <c r="S477" s="50"/>
      <c r="T477" s="43"/>
      <c r="U477" s="50"/>
      <c r="V477" s="43"/>
      <c r="W477" s="50"/>
      <c r="X477" s="43"/>
      <c r="Y477" s="50"/>
      <c r="Z477" s="43"/>
      <c r="AA477" s="50"/>
      <c r="AB477" s="43"/>
      <c r="AC477" s="50"/>
      <c r="AD477" s="43"/>
      <c r="AE477" s="50"/>
      <c r="AF477" s="43"/>
      <c r="AG477" s="50"/>
      <c r="AH477" s="43"/>
      <c r="AI477" s="50"/>
      <c r="AJ477" s="43"/>
      <c r="AK477" s="50"/>
      <c r="AL477" s="43"/>
      <c r="AM477" s="50"/>
      <c r="AO477" s="43"/>
      <c r="AP477" s="46"/>
      <c r="AQ477" s="43"/>
      <c r="AR477" s="119"/>
      <c r="AS477" s="1"/>
      <c r="AT477" s="1"/>
    </row>
    <row r="478">
      <c r="A478" s="43"/>
      <c r="B478" s="59" t="str">
        <f>IFERROR(HYPERLINK(VLOOKUP(A478,Internal_lists_bugs!$A$2:$C$73,3,FALSE()), VLOOKUP(A478,Internal_lists_bugs!$A$2:$C$73,3,FALSE())&amp;Char(10) &amp; Char(10) &amp; VLOOKUP(A478,Internal_lists_bugs!$A$2:$Z$73,26,FALSE())),"please select a BUG ID")</f>
        <v>please select a BUG ID</v>
      </c>
      <c r="C478" s="51" t="str">
        <f>IFERROR(VLOOKUP(A478,Internal_lists_bugs!$A$2:$G2003,7,FALSE()),"please select a BUG ID")</f>
        <v>please select a BUG ID</v>
      </c>
      <c r="D478" s="43"/>
      <c r="E478" s="63"/>
      <c r="F478" s="43"/>
      <c r="G478" s="63"/>
      <c r="H478" s="43"/>
      <c r="I478" s="63"/>
      <c r="J478" s="43"/>
      <c r="K478" s="50"/>
      <c r="L478" s="43"/>
      <c r="M478" s="50"/>
      <c r="N478" s="43"/>
      <c r="O478" s="50"/>
      <c r="P478" s="43"/>
      <c r="Q478" s="50"/>
      <c r="R478" s="43"/>
      <c r="S478" s="50"/>
      <c r="T478" s="43"/>
      <c r="U478" s="50"/>
      <c r="V478" s="43"/>
      <c r="W478" s="50"/>
      <c r="X478" s="43"/>
      <c r="Y478" s="50"/>
      <c r="Z478" s="43"/>
      <c r="AA478" s="50"/>
      <c r="AB478" s="43"/>
      <c r="AC478" s="50"/>
      <c r="AD478" s="43"/>
      <c r="AE478" s="50"/>
      <c r="AF478" s="43"/>
      <c r="AG478" s="50"/>
      <c r="AH478" s="43"/>
      <c r="AI478" s="50"/>
      <c r="AJ478" s="43"/>
      <c r="AK478" s="50"/>
      <c r="AL478" s="43"/>
      <c r="AM478" s="50"/>
      <c r="AO478" s="43"/>
      <c r="AP478" s="46"/>
      <c r="AQ478" s="43"/>
      <c r="AR478" s="119"/>
      <c r="AS478" s="1"/>
      <c r="AT478" s="1"/>
    </row>
    <row r="479">
      <c r="A479" s="43"/>
      <c r="B479" s="59" t="str">
        <f>IFERROR(HYPERLINK(VLOOKUP(A479,Internal_lists_bugs!$A$2:$C$73,3,FALSE()), VLOOKUP(A479,Internal_lists_bugs!$A$2:$C$73,3,FALSE())&amp;Char(10) &amp; Char(10) &amp; VLOOKUP(A479,Internal_lists_bugs!$A$2:$Z$73,26,FALSE())),"please select a BUG ID")</f>
        <v>please select a BUG ID</v>
      </c>
      <c r="C479" s="51" t="str">
        <f>IFERROR(VLOOKUP(A479,Internal_lists_bugs!$A$2:$G2003,7,FALSE()),"please select a BUG ID")</f>
        <v>please select a BUG ID</v>
      </c>
      <c r="D479" s="43"/>
      <c r="E479" s="63"/>
      <c r="F479" s="43"/>
      <c r="G479" s="63"/>
      <c r="H479" s="43"/>
      <c r="I479" s="63"/>
      <c r="J479" s="43"/>
      <c r="K479" s="50"/>
      <c r="L479" s="43"/>
      <c r="M479" s="50"/>
      <c r="N479" s="43"/>
      <c r="O479" s="50"/>
      <c r="P479" s="43"/>
      <c r="Q479" s="50"/>
      <c r="R479" s="43"/>
      <c r="S479" s="50"/>
      <c r="T479" s="43"/>
      <c r="U479" s="50"/>
      <c r="V479" s="43"/>
      <c r="W479" s="50"/>
      <c r="X479" s="43"/>
      <c r="Y479" s="50"/>
      <c r="Z479" s="43"/>
      <c r="AA479" s="50"/>
      <c r="AB479" s="43"/>
      <c r="AC479" s="50"/>
      <c r="AD479" s="43"/>
      <c r="AE479" s="50"/>
      <c r="AF479" s="43"/>
      <c r="AG479" s="50"/>
      <c r="AH479" s="43"/>
      <c r="AI479" s="50"/>
      <c r="AJ479" s="43"/>
      <c r="AK479" s="50"/>
      <c r="AL479" s="43"/>
      <c r="AM479" s="50"/>
      <c r="AO479" s="43"/>
      <c r="AP479" s="46"/>
      <c r="AQ479" s="43"/>
      <c r="AR479" s="119"/>
      <c r="AS479" s="1"/>
      <c r="AT479" s="1"/>
    </row>
    <row r="480">
      <c r="A480" s="43"/>
      <c r="B480" s="59" t="str">
        <f>IFERROR(HYPERLINK(VLOOKUP(A480,Internal_lists_bugs!$A$2:$C$73,3,FALSE()), VLOOKUP(A480,Internal_lists_bugs!$A$2:$C$73,3,FALSE())&amp;Char(10) &amp; Char(10) &amp; VLOOKUP(A480,Internal_lists_bugs!$A$2:$Z$73,26,FALSE())),"please select a BUG ID")</f>
        <v>please select a BUG ID</v>
      </c>
      <c r="C480" s="51" t="str">
        <f>IFERROR(VLOOKUP(A480,Internal_lists_bugs!$A$2:$G2003,7,FALSE()),"please select a BUG ID")</f>
        <v>please select a BUG ID</v>
      </c>
      <c r="D480" s="43"/>
      <c r="E480" s="63"/>
      <c r="F480" s="43"/>
      <c r="G480" s="63"/>
      <c r="H480" s="43"/>
      <c r="I480" s="63"/>
      <c r="J480" s="43"/>
      <c r="K480" s="50"/>
      <c r="L480" s="43"/>
      <c r="M480" s="50"/>
      <c r="N480" s="43"/>
      <c r="O480" s="50"/>
      <c r="P480" s="43"/>
      <c r="Q480" s="50"/>
      <c r="R480" s="43"/>
      <c r="S480" s="50"/>
      <c r="T480" s="43"/>
      <c r="U480" s="50"/>
      <c r="V480" s="43"/>
      <c r="W480" s="50"/>
      <c r="X480" s="43"/>
      <c r="Y480" s="50"/>
      <c r="Z480" s="43"/>
      <c r="AA480" s="50"/>
      <c r="AB480" s="43"/>
      <c r="AC480" s="50"/>
      <c r="AD480" s="43"/>
      <c r="AE480" s="50"/>
      <c r="AF480" s="43"/>
      <c r="AG480" s="50"/>
      <c r="AH480" s="43"/>
      <c r="AI480" s="50"/>
      <c r="AJ480" s="43"/>
      <c r="AK480" s="50"/>
      <c r="AL480" s="43"/>
      <c r="AM480" s="50"/>
      <c r="AO480" s="43"/>
      <c r="AP480" s="46"/>
      <c r="AQ480" s="43"/>
      <c r="AR480" s="119"/>
      <c r="AS480" s="1"/>
      <c r="AT480" s="1"/>
    </row>
    <row r="481">
      <c r="A481" s="43"/>
      <c r="B481" s="59" t="str">
        <f>IFERROR(HYPERLINK(VLOOKUP(A481,Internal_lists_bugs!$A$2:$C$73,3,FALSE()), VLOOKUP(A481,Internal_lists_bugs!$A$2:$C$73,3,FALSE())&amp;Char(10) &amp; Char(10) &amp; VLOOKUP(A481,Internal_lists_bugs!$A$2:$Z$73,26,FALSE())),"please select a BUG ID")</f>
        <v>please select a BUG ID</v>
      </c>
      <c r="C481" s="51" t="str">
        <f>IFERROR(VLOOKUP(A481,Internal_lists_bugs!$A$2:$G2003,7,FALSE()),"please select a BUG ID")</f>
        <v>please select a BUG ID</v>
      </c>
      <c r="D481" s="43"/>
      <c r="E481" s="63"/>
      <c r="F481" s="43"/>
      <c r="G481" s="63"/>
      <c r="H481" s="43"/>
      <c r="I481" s="63"/>
      <c r="J481" s="43"/>
      <c r="K481" s="50"/>
      <c r="L481" s="43"/>
      <c r="M481" s="50"/>
      <c r="N481" s="43"/>
      <c r="O481" s="50"/>
      <c r="P481" s="43"/>
      <c r="Q481" s="50"/>
      <c r="R481" s="43"/>
      <c r="S481" s="50"/>
      <c r="T481" s="43"/>
      <c r="U481" s="50"/>
      <c r="V481" s="43"/>
      <c r="W481" s="50"/>
      <c r="X481" s="43"/>
      <c r="Y481" s="50"/>
      <c r="Z481" s="43"/>
      <c r="AA481" s="50"/>
      <c r="AB481" s="43"/>
      <c r="AC481" s="50"/>
      <c r="AD481" s="43"/>
      <c r="AE481" s="50"/>
      <c r="AF481" s="43"/>
      <c r="AG481" s="50"/>
      <c r="AH481" s="43"/>
      <c r="AI481" s="50"/>
      <c r="AJ481" s="43"/>
      <c r="AK481" s="50"/>
      <c r="AL481" s="43"/>
      <c r="AM481" s="50"/>
      <c r="AO481" s="43"/>
      <c r="AP481" s="46"/>
      <c r="AQ481" s="43"/>
      <c r="AR481" s="119"/>
      <c r="AS481" s="1"/>
      <c r="AT481" s="1"/>
    </row>
    <row r="482">
      <c r="A482" s="43"/>
      <c r="B482" s="59" t="str">
        <f>IFERROR(HYPERLINK(VLOOKUP(A482,Internal_lists_bugs!$A$2:$C$73,3,FALSE()), VLOOKUP(A482,Internal_lists_bugs!$A$2:$C$73,3,FALSE())&amp;Char(10) &amp; Char(10) &amp; VLOOKUP(A482,Internal_lists_bugs!$A$2:$Z$73,26,FALSE())),"please select a BUG ID")</f>
        <v>please select a BUG ID</v>
      </c>
      <c r="C482" s="51" t="str">
        <f>IFERROR(VLOOKUP(A482,Internal_lists_bugs!$A$2:$G2003,7,FALSE()),"please select a BUG ID")</f>
        <v>please select a BUG ID</v>
      </c>
      <c r="D482" s="43"/>
      <c r="E482" s="63"/>
      <c r="F482" s="43"/>
      <c r="G482" s="63"/>
      <c r="H482" s="43"/>
      <c r="I482" s="63"/>
      <c r="J482" s="43"/>
      <c r="K482" s="50"/>
      <c r="L482" s="43"/>
      <c r="M482" s="50"/>
      <c r="N482" s="43"/>
      <c r="O482" s="50"/>
      <c r="P482" s="43"/>
      <c r="Q482" s="50"/>
      <c r="R482" s="43"/>
      <c r="S482" s="50"/>
      <c r="T482" s="43"/>
      <c r="U482" s="50"/>
      <c r="V482" s="43"/>
      <c r="W482" s="50"/>
      <c r="X482" s="43"/>
      <c r="Y482" s="50"/>
      <c r="Z482" s="43"/>
      <c r="AA482" s="50"/>
      <c r="AB482" s="43"/>
      <c r="AC482" s="50"/>
      <c r="AD482" s="43"/>
      <c r="AE482" s="50"/>
      <c r="AF482" s="43"/>
      <c r="AG482" s="50"/>
      <c r="AH482" s="43"/>
      <c r="AI482" s="50"/>
      <c r="AJ482" s="43"/>
      <c r="AK482" s="50"/>
      <c r="AL482" s="43"/>
      <c r="AM482" s="50"/>
      <c r="AO482" s="43"/>
      <c r="AP482" s="46"/>
      <c r="AQ482" s="43"/>
      <c r="AR482" s="119"/>
      <c r="AS482" s="1"/>
      <c r="AT482" s="1"/>
    </row>
    <row r="483">
      <c r="A483" s="43"/>
      <c r="B483" s="59" t="str">
        <f>IFERROR(HYPERLINK(VLOOKUP(A483,Internal_lists_bugs!$A$2:$C$73,3,FALSE()), VLOOKUP(A483,Internal_lists_bugs!$A$2:$C$73,3,FALSE())&amp;Char(10) &amp; Char(10) &amp; VLOOKUP(A483,Internal_lists_bugs!$A$2:$Z$73,26,FALSE())),"please select a BUG ID")</f>
        <v>please select a BUG ID</v>
      </c>
      <c r="C483" s="51" t="str">
        <f>IFERROR(VLOOKUP(A483,Internal_lists_bugs!$A$2:$G2003,7,FALSE()),"please select a BUG ID")</f>
        <v>please select a BUG ID</v>
      </c>
      <c r="D483" s="43"/>
      <c r="E483" s="63"/>
      <c r="F483" s="43"/>
      <c r="G483" s="63"/>
      <c r="H483" s="43"/>
      <c r="I483" s="63"/>
      <c r="J483" s="43"/>
      <c r="K483" s="50"/>
      <c r="L483" s="43"/>
      <c r="M483" s="50"/>
      <c r="N483" s="43"/>
      <c r="O483" s="50"/>
      <c r="P483" s="43"/>
      <c r="Q483" s="50"/>
      <c r="R483" s="43"/>
      <c r="S483" s="50"/>
      <c r="T483" s="43"/>
      <c r="U483" s="50"/>
      <c r="V483" s="43"/>
      <c r="W483" s="50"/>
      <c r="X483" s="43"/>
      <c r="Y483" s="50"/>
      <c r="Z483" s="43"/>
      <c r="AA483" s="50"/>
      <c r="AB483" s="43"/>
      <c r="AC483" s="50"/>
      <c r="AD483" s="43"/>
      <c r="AE483" s="50"/>
      <c r="AF483" s="43"/>
      <c r="AG483" s="50"/>
      <c r="AH483" s="43"/>
      <c r="AI483" s="50"/>
      <c r="AJ483" s="43"/>
      <c r="AK483" s="50"/>
      <c r="AL483" s="43"/>
      <c r="AM483" s="50"/>
      <c r="AO483" s="43"/>
      <c r="AP483" s="46"/>
      <c r="AQ483" s="43"/>
      <c r="AR483" s="119"/>
      <c r="AS483" s="1"/>
      <c r="AT483" s="1"/>
    </row>
    <row r="484">
      <c r="A484" s="43"/>
      <c r="B484" s="59" t="str">
        <f>IFERROR(HYPERLINK(VLOOKUP(A484,Internal_lists_bugs!$A$2:$C$73,3,FALSE()), VLOOKUP(A484,Internal_lists_bugs!$A$2:$C$73,3,FALSE())&amp;Char(10) &amp; Char(10) &amp; VLOOKUP(A484,Internal_lists_bugs!$A$2:$Z$73,26,FALSE())),"please select a BUG ID")</f>
        <v>please select a BUG ID</v>
      </c>
      <c r="C484" s="51" t="str">
        <f>IFERROR(VLOOKUP(A484,Internal_lists_bugs!$A$2:$G2003,7,FALSE()),"please select a BUG ID")</f>
        <v>please select a BUG ID</v>
      </c>
      <c r="D484" s="43"/>
      <c r="E484" s="63"/>
      <c r="F484" s="43"/>
      <c r="G484" s="63"/>
      <c r="H484" s="43"/>
      <c r="I484" s="63"/>
      <c r="J484" s="43"/>
      <c r="K484" s="50"/>
      <c r="L484" s="43"/>
      <c r="M484" s="50"/>
      <c r="N484" s="43"/>
      <c r="O484" s="50"/>
      <c r="P484" s="43"/>
      <c r="Q484" s="50"/>
      <c r="R484" s="43"/>
      <c r="S484" s="50"/>
      <c r="T484" s="43"/>
      <c r="U484" s="50"/>
      <c r="V484" s="43"/>
      <c r="W484" s="50"/>
      <c r="X484" s="43"/>
      <c r="Y484" s="50"/>
      <c r="Z484" s="43"/>
      <c r="AA484" s="50"/>
      <c r="AB484" s="43"/>
      <c r="AC484" s="50"/>
      <c r="AD484" s="43"/>
      <c r="AE484" s="50"/>
      <c r="AF484" s="43"/>
      <c r="AG484" s="50"/>
      <c r="AH484" s="43"/>
      <c r="AI484" s="50"/>
      <c r="AJ484" s="43"/>
      <c r="AK484" s="50"/>
      <c r="AL484" s="43"/>
      <c r="AM484" s="50"/>
      <c r="AO484" s="43"/>
      <c r="AP484" s="46"/>
      <c r="AQ484" s="43"/>
      <c r="AR484" s="119"/>
      <c r="AS484" s="1"/>
      <c r="AT484" s="1"/>
    </row>
    <row r="485">
      <c r="A485" s="43"/>
      <c r="B485" s="59" t="str">
        <f>IFERROR(HYPERLINK(VLOOKUP(A485,Internal_lists_bugs!$A$2:$C$73,3,FALSE()), VLOOKUP(A485,Internal_lists_bugs!$A$2:$C$73,3,FALSE())&amp;Char(10) &amp; Char(10) &amp; VLOOKUP(A485,Internal_lists_bugs!$A$2:$Z$73,26,FALSE())),"please select a BUG ID")</f>
        <v>please select a BUG ID</v>
      </c>
      <c r="C485" s="51" t="str">
        <f>IFERROR(VLOOKUP(A485,Internal_lists_bugs!$A$2:$G2003,7,FALSE()),"please select a BUG ID")</f>
        <v>please select a BUG ID</v>
      </c>
      <c r="D485" s="43"/>
      <c r="E485" s="63"/>
      <c r="F485" s="43"/>
      <c r="G485" s="63"/>
      <c r="H485" s="43"/>
      <c r="I485" s="63"/>
      <c r="J485" s="43"/>
      <c r="K485" s="50"/>
      <c r="L485" s="43"/>
      <c r="M485" s="50"/>
      <c r="N485" s="43"/>
      <c r="O485" s="50"/>
      <c r="P485" s="43"/>
      <c r="Q485" s="50"/>
      <c r="R485" s="43"/>
      <c r="S485" s="50"/>
      <c r="T485" s="43"/>
      <c r="U485" s="50"/>
      <c r="V485" s="43"/>
      <c r="W485" s="50"/>
      <c r="X485" s="43"/>
      <c r="Y485" s="50"/>
      <c r="Z485" s="43"/>
      <c r="AA485" s="50"/>
      <c r="AB485" s="43"/>
      <c r="AC485" s="50"/>
      <c r="AD485" s="43"/>
      <c r="AE485" s="50"/>
      <c r="AF485" s="43"/>
      <c r="AG485" s="50"/>
      <c r="AH485" s="43"/>
      <c r="AI485" s="50"/>
      <c r="AJ485" s="43"/>
      <c r="AK485" s="50"/>
      <c r="AL485" s="43"/>
      <c r="AM485" s="50"/>
      <c r="AO485" s="43"/>
      <c r="AP485" s="46"/>
      <c r="AQ485" s="43"/>
      <c r="AR485" s="119"/>
      <c r="AS485" s="1"/>
      <c r="AT485" s="1"/>
    </row>
    <row r="486">
      <c r="A486" s="43"/>
      <c r="B486" s="59" t="str">
        <f>IFERROR(HYPERLINK(VLOOKUP(A486,Internal_lists_bugs!$A$2:$C$73,3,FALSE()), VLOOKUP(A486,Internal_lists_bugs!$A$2:$C$73,3,FALSE())&amp;Char(10) &amp; Char(10) &amp; VLOOKUP(A486,Internal_lists_bugs!$A$2:$Z$73,26,FALSE())),"please select a BUG ID")</f>
        <v>please select a BUG ID</v>
      </c>
      <c r="C486" s="51" t="str">
        <f>IFERROR(VLOOKUP(A486,Internal_lists_bugs!$A$2:$G2003,7,FALSE()),"please select a BUG ID")</f>
        <v>please select a BUG ID</v>
      </c>
      <c r="D486" s="43"/>
      <c r="E486" s="63"/>
      <c r="F486" s="43"/>
      <c r="G486" s="63"/>
      <c r="H486" s="43"/>
      <c r="I486" s="63"/>
      <c r="J486" s="43"/>
      <c r="K486" s="50"/>
      <c r="L486" s="43"/>
      <c r="M486" s="50"/>
      <c r="N486" s="43"/>
      <c r="O486" s="50"/>
      <c r="P486" s="43"/>
      <c r="Q486" s="50"/>
      <c r="R486" s="43"/>
      <c r="S486" s="50"/>
      <c r="T486" s="43"/>
      <c r="U486" s="50"/>
      <c r="V486" s="43"/>
      <c r="W486" s="50"/>
      <c r="X486" s="43"/>
      <c r="Y486" s="50"/>
      <c r="Z486" s="43"/>
      <c r="AA486" s="50"/>
      <c r="AB486" s="43"/>
      <c r="AC486" s="50"/>
      <c r="AD486" s="43"/>
      <c r="AE486" s="50"/>
      <c r="AF486" s="43"/>
      <c r="AG486" s="50"/>
      <c r="AH486" s="43"/>
      <c r="AI486" s="50"/>
      <c r="AJ486" s="43"/>
      <c r="AK486" s="50"/>
      <c r="AL486" s="43"/>
      <c r="AM486" s="50"/>
      <c r="AO486" s="43"/>
      <c r="AP486" s="46"/>
      <c r="AQ486" s="43"/>
      <c r="AR486" s="119"/>
      <c r="AS486" s="1"/>
      <c r="AT486" s="1"/>
    </row>
    <row r="487">
      <c r="A487" s="43"/>
      <c r="B487" s="59" t="str">
        <f>IFERROR(HYPERLINK(VLOOKUP(A487,Internal_lists_bugs!$A$2:$C$73,3,FALSE()), VLOOKUP(A487,Internal_lists_bugs!$A$2:$C$73,3,FALSE())&amp;Char(10) &amp; Char(10) &amp; VLOOKUP(A487,Internal_lists_bugs!$A$2:$Z$73,26,FALSE())),"please select a BUG ID")</f>
        <v>please select a BUG ID</v>
      </c>
      <c r="C487" s="51" t="str">
        <f>IFERROR(VLOOKUP(A487,Internal_lists_bugs!$A$2:$G2003,7,FALSE()),"please select a BUG ID")</f>
        <v>please select a BUG ID</v>
      </c>
      <c r="D487" s="43"/>
      <c r="E487" s="63"/>
      <c r="F487" s="43"/>
      <c r="G487" s="63"/>
      <c r="H487" s="43"/>
      <c r="I487" s="63"/>
      <c r="J487" s="43"/>
      <c r="K487" s="50"/>
      <c r="L487" s="43"/>
      <c r="M487" s="50"/>
      <c r="N487" s="43"/>
      <c r="O487" s="50"/>
      <c r="P487" s="43"/>
      <c r="Q487" s="50"/>
      <c r="R487" s="43"/>
      <c r="S487" s="50"/>
      <c r="T487" s="43"/>
      <c r="U487" s="50"/>
      <c r="V487" s="43"/>
      <c r="W487" s="50"/>
      <c r="X487" s="43"/>
      <c r="Y487" s="50"/>
      <c r="Z487" s="43"/>
      <c r="AA487" s="50"/>
      <c r="AB487" s="43"/>
      <c r="AC487" s="50"/>
      <c r="AD487" s="43"/>
      <c r="AE487" s="50"/>
      <c r="AF487" s="43"/>
      <c r="AG487" s="50"/>
      <c r="AH487" s="43"/>
      <c r="AI487" s="50"/>
      <c r="AJ487" s="43"/>
      <c r="AK487" s="50"/>
      <c r="AL487" s="43"/>
      <c r="AM487" s="50"/>
      <c r="AO487" s="43"/>
      <c r="AP487" s="46"/>
      <c r="AQ487" s="43"/>
      <c r="AR487" s="119"/>
      <c r="AS487" s="1"/>
      <c r="AT487" s="1"/>
    </row>
    <row r="488">
      <c r="A488" s="43"/>
      <c r="B488" s="59" t="str">
        <f>IFERROR(HYPERLINK(VLOOKUP(A488,Internal_lists_bugs!$A$2:$C$73,3,FALSE()), VLOOKUP(A488,Internal_lists_bugs!$A$2:$C$73,3,FALSE())&amp;Char(10) &amp; Char(10) &amp; VLOOKUP(A488,Internal_lists_bugs!$A$2:$Z$73,26,FALSE())),"please select a BUG ID")</f>
        <v>please select a BUG ID</v>
      </c>
      <c r="C488" s="51" t="str">
        <f>IFERROR(VLOOKUP(A488,Internal_lists_bugs!$A$2:$G2003,7,FALSE()),"please select a BUG ID")</f>
        <v>please select a BUG ID</v>
      </c>
      <c r="D488" s="43"/>
      <c r="E488" s="63"/>
      <c r="F488" s="43"/>
      <c r="G488" s="63"/>
      <c r="H488" s="43"/>
      <c r="I488" s="63"/>
      <c r="J488" s="43"/>
      <c r="K488" s="50"/>
      <c r="L488" s="43"/>
      <c r="M488" s="50"/>
      <c r="N488" s="43"/>
      <c r="O488" s="50"/>
      <c r="P488" s="43"/>
      <c r="Q488" s="50"/>
      <c r="R488" s="43"/>
      <c r="S488" s="50"/>
      <c r="T488" s="43"/>
      <c r="U488" s="50"/>
      <c r="V488" s="43"/>
      <c r="W488" s="50"/>
      <c r="X488" s="43"/>
      <c r="Y488" s="50"/>
      <c r="Z488" s="43"/>
      <c r="AA488" s="50"/>
      <c r="AB488" s="43"/>
      <c r="AC488" s="50"/>
      <c r="AD488" s="43"/>
      <c r="AE488" s="50"/>
      <c r="AF488" s="43"/>
      <c r="AG488" s="50"/>
      <c r="AH488" s="43"/>
      <c r="AI488" s="50"/>
      <c r="AJ488" s="43"/>
      <c r="AK488" s="50"/>
      <c r="AL488" s="43"/>
      <c r="AM488" s="50"/>
      <c r="AO488" s="43"/>
      <c r="AP488" s="46"/>
      <c r="AQ488" s="43"/>
      <c r="AR488" s="119"/>
      <c r="AS488" s="1"/>
      <c r="AT488" s="1"/>
    </row>
    <row r="489">
      <c r="A489" s="43"/>
      <c r="B489" s="59" t="str">
        <f>IFERROR(HYPERLINK(VLOOKUP(A489,Internal_lists_bugs!$A$2:$C$73,3,FALSE()), VLOOKUP(A489,Internal_lists_bugs!$A$2:$C$73,3,FALSE())&amp;Char(10) &amp; Char(10) &amp; VLOOKUP(A489,Internal_lists_bugs!$A$2:$Z$73,26,FALSE())),"please select a BUG ID")</f>
        <v>please select a BUG ID</v>
      </c>
      <c r="C489" s="51" t="str">
        <f>IFERROR(VLOOKUP(A489,Internal_lists_bugs!$A$2:$G2003,7,FALSE()),"please select a BUG ID")</f>
        <v>please select a BUG ID</v>
      </c>
      <c r="D489" s="43"/>
      <c r="E489" s="63"/>
      <c r="F489" s="43"/>
      <c r="G489" s="63"/>
      <c r="H489" s="43"/>
      <c r="I489" s="63"/>
      <c r="J489" s="43"/>
      <c r="K489" s="50"/>
      <c r="L489" s="43"/>
      <c r="M489" s="50"/>
      <c r="N489" s="43"/>
      <c r="O489" s="50"/>
      <c r="P489" s="43"/>
      <c r="Q489" s="50"/>
      <c r="R489" s="43"/>
      <c r="S489" s="50"/>
      <c r="T489" s="43"/>
      <c r="U489" s="50"/>
      <c r="V489" s="43"/>
      <c r="W489" s="50"/>
      <c r="X489" s="43"/>
      <c r="Y489" s="50"/>
      <c r="Z489" s="43"/>
      <c r="AA489" s="50"/>
      <c r="AB489" s="43"/>
      <c r="AC489" s="50"/>
      <c r="AD489" s="43"/>
      <c r="AE489" s="50"/>
      <c r="AF489" s="43"/>
      <c r="AG489" s="50"/>
      <c r="AH489" s="43"/>
      <c r="AI489" s="50"/>
      <c r="AJ489" s="43"/>
      <c r="AK489" s="50"/>
      <c r="AL489" s="43"/>
      <c r="AM489" s="50"/>
      <c r="AO489" s="43"/>
      <c r="AP489" s="46"/>
      <c r="AQ489" s="43"/>
      <c r="AR489" s="119"/>
      <c r="AS489" s="1"/>
      <c r="AT489" s="1"/>
    </row>
    <row r="490">
      <c r="A490" s="43"/>
      <c r="B490" s="59" t="str">
        <f>IFERROR(HYPERLINK(VLOOKUP(A490,Internal_lists_bugs!$A$2:$C$73,3,FALSE()), VLOOKUP(A490,Internal_lists_bugs!$A$2:$C$73,3,FALSE())&amp;Char(10) &amp; Char(10) &amp; VLOOKUP(A490,Internal_lists_bugs!$A$2:$Z$73,26,FALSE())),"please select a BUG ID")</f>
        <v>please select a BUG ID</v>
      </c>
      <c r="C490" s="51" t="str">
        <f>IFERROR(VLOOKUP(A490,Internal_lists_bugs!$A$2:$G2003,7,FALSE()),"please select a BUG ID")</f>
        <v>please select a BUG ID</v>
      </c>
      <c r="D490" s="43"/>
      <c r="E490" s="63"/>
      <c r="F490" s="43"/>
      <c r="G490" s="63"/>
      <c r="H490" s="43"/>
      <c r="I490" s="63"/>
      <c r="J490" s="43"/>
      <c r="K490" s="50"/>
      <c r="L490" s="43"/>
      <c r="M490" s="50"/>
      <c r="N490" s="43"/>
      <c r="O490" s="50"/>
      <c r="P490" s="43"/>
      <c r="Q490" s="50"/>
      <c r="R490" s="43"/>
      <c r="S490" s="50"/>
      <c r="T490" s="43"/>
      <c r="U490" s="50"/>
      <c r="V490" s="43"/>
      <c r="W490" s="50"/>
      <c r="X490" s="43"/>
      <c r="Y490" s="50"/>
      <c r="Z490" s="43"/>
      <c r="AA490" s="50"/>
      <c r="AB490" s="43"/>
      <c r="AC490" s="50"/>
      <c r="AD490" s="43"/>
      <c r="AE490" s="50"/>
      <c r="AF490" s="43"/>
      <c r="AG490" s="50"/>
      <c r="AH490" s="43"/>
      <c r="AI490" s="50"/>
      <c r="AJ490" s="43"/>
      <c r="AK490" s="50"/>
      <c r="AL490" s="43"/>
      <c r="AM490" s="50"/>
      <c r="AO490" s="43"/>
      <c r="AP490" s="46"/>
      <c r="AQ490" s="43"/>
      <c r="AR490" s="119"/>
      <c r="AS490" s="1"/>
      <c r="AT490" s="1"/>
    </row>
    <row r="491">
      <c r="A491" s="43"/>
      <c r="B491" s="59" t="str">
        <f>IFERROR(HYPERLINK(VLOOKUP(A491,Internal_lists_bugs!$A$2:$C$73,3,FALSE()), VLOOKUP(A491,Internal_lists_bugs!$A$2:$C$73,3,FALSE())&amp;Char(10) &amp; Char(10) &amp; VLOOKUP(A491,Internal_lists_bugs!$A$2:$Z$73,26,FALSE())),"please select a BUG ID")</f>
        <v>please select a BUG ID</v>
      </c>
      <c r="C491" s="51" t="str">
        <f>IFERROR(VLOOKUP(A491,Internal_lists_bugs!$A$2:$G2003,7,FALSE()),"please select a BUG ID")</f>
        <v>please select a BUG ID</v>
      </c>
      <c r="D491" s="43"/>
      <c r="E491" s="63"/>
      <c r="F491" s="43"/>
      <c r="G491" s="63"/>
      <c r="H491" s="43"/>
      <c r="I491" s="63"/>
      <c r="J491" s="43"/>
      <c r="K491" s="50"/>
      <c r="L491" s="43"/>
      <c r="M491" s="50"/>
      <c r="N491" s="43"/>
      <c r="O491" s="50"/>
      <c r="P491" s="43"/>
      <c r="Q491" s="50"/>
      <c r="R491" s="43"/>
      <c r="S491" s="50"/>
      <c r="T491" s="43"/>
      <c r="U491" s="50"/>
      <c r="V491" s="43"/>
      <c r="W491" s="50"/>
      <c r="X491" s="43"/>
      <c r="Y491" s="50"/>
      <c r="Z491" s="43"/>
      <c r="AA491" s="50"/>
      <c r="AB491" s="43"/>
      <c r="AC491" s="50"/>
      <c r="AD491" s="43"/>
      <c r="AE491" s="50"/>
      <c r="AF491" s="43"/>
      <c r="AG491" s="50"/>
      <c r="AH491" s="43"/>
      <c r="AI491" s="50"/>
      <c r="AJ491" s="43"/>
      <c r="AK491" s="50"/>
      <c r="AL491" s="43"/>
      <c r="AM491" s="50"/>
      <c r="AO491" s="43"/>
      <c r="AP491" s="46"/>
      <c r="AQ491" s="43"/>
      <c r="AR491" s="119"/>
      <c r="AS491" s="1"/>
      <c r="AT491" s="1"/>
    </row>
    <row r="492">
      <c r="A492" s="43"/>
      <c r="B492" s="59" t="str">
        <f>IFERROR(HYPERLINK(VLOOKUP(A492,Internal_lists_bugs!$A$2:$C$73,3,FALSE()), VLOOKUP(A492,Internal_lists_bugs!$A$2:$C$73,3,FALSE())&amp;Char(10) &amp; Char(10) &amp; VLOOKUP(A492,Internal_lists_bugs!$A$2:$Z$73,26,FALSE())),"please select a BUG ID")</f>
        <v>please select a BUG ID</v>
      </c>
      <c r="C492" s="51" t="str">
        <f>IFERROR(VLOOKUP(A492,Internal_lists_bugs!$A$2:$G2003,7,FALSE()),"please select a BUG ID")</f>
        <v>please select a BUG ID</v>
      </c>
      <c r="D492" s="43"/>
      <c r="E492" s="63"/>
      <c r="F492" s="43"/>
      <c r="G492" s="63"/>
      <c r="H492" s="43"/>
      <c r="I492" s="63"/>
      <c r="J492" s="43"/>
      <c r="K492" s="50"/>
      <c r="L492" s="43"/>
      <c r="M492" s="50"/>
      <c r="N492" s="43"/>
      <c r="O492" s="50"/>
      <c r="P492" s="43"/>
      <c r="Q492" s="50"/>
      <c r="R492" s="43"/>
      <c r="S492" s="50"/>
      <c r="T492" s="43"/>
      <c r="U492" s="50"/>
      <c r="V492" s="43"/>
      <c r="W492" s="50"/>
      <c r="X492" s="43"/>
      <c r="Y492" s="50"/>
      <c r="Z492" s="43"/>
      <c r="AA492" s="50"/>
      <c r="AB492" s="43"/>
      <c r="AC492" s="50"/>
      <c r="AD492" s="43"/>
      <c r="AE492" s="50"/>
      <c r="AF492" s="43"/>
      <c r="AG492" s="50"/>
      <c r="AH492" s="43"/>
      <c r="AI492" s="50"/>
      <c r="AJ492" s="43"/>
      <c r="AK492" s="50"/>
      <c r="AL492" s="43"/>
      <c r="AM492" s="50"/>
      <c r="AO492" s="43"/>
      <c r="AP492" s="46"/>
      <c r="AQ492" s="43"/>
      <c r="AR492" s="119"/>
      <c r="AS492" s="1"/>
      <c r="AT492" s="1"/>
    </row>
    <row r="493">
      <c r="A493" s="43"/>
      <c r="B493" s="59" t="str">
        <f>IFERROR(HYPERLINK(VLOOKUP(A493,Internal_lists_bugs!$A$2:$C$73,3,FALSE()), VLOOKUP(A493,Internal_lists_bugs!$A$2:$C$73,3,FALSE())&amp;Char(10) &amp; Char(10) &amp; VLOOKUP(A493,Internal_lists_bugs!$A$2:$Z$73,26,FALSE())),"please select a BUG ID")</f>
        <v>please select a BUG ID</v>
      </c>
      <c r="C493" s="51" t="str">
        <f>IFERROR(VLOOKUP(A493,Internal_lists_bugs!$A$2:$G2003,7,FALSE()),"please select a BUG ID")</f>
        <v>please select a BUG ID</v>
      </c>
      <c r="D493" s="43"/>
      <c r="E493" s="63"/>
      <c r="F493" s="43"/>
      <c r="G493" s="63"/>
      <c r="H493" s="43"/>
      <c r="I493" s="63"/>
      <c r="J493" s="43"/>
      <c r="K493" s="50"/>
      <c r="L493" s="43"/>
      <c r="M493" s="50"/>
      <c r="N493" s="43"/>
      <c r="O493" s="50"/>
      <c r="P493" s="43"/>
      <c r="Q493" s="50"/>
      <c r="R493" s="43"/>
      <c r="S493" s="50"/>
      <c r="T493" s="43"/>
      <c r="U493" s="50"/>
      <c r="V493" s="43"/>
      <c r="W493" s="50"/>
      <c r="X493" s="43"/>
      <c r="Y493" s="50"/>
      <c r="Z493" s="43"/>
      <c r="AA493" s="50"/>
      <c r="AB493" s="43"/>
      <c r="AC493" s="50"/>
      <c r="AD493" s="43"/>
      <c r="AE493" s="50"/>
      <c r="AF493" s="43"/>
      <c r="AG493" s="50"/>
      <c r="AH493" s="43"/>
      <c r="AI493" s="50"/>
      <c r="AJ493" s="43"/>
      <c r="AK493" s="50"/>
      <c r="AL493" s="43"/>
      <c r="AM493" s="50"/>
      <c r="AO493" s="43"/>
      <c r="AP493" s="46"/>
      <c r="AQ493" s="43"/>
      <c r="AR493" s="119"/>
      <c r="AS493" s="1"/>
      <c r="AT493" s="1"/>
    </row>
    <row r="494">
      <c r="A494" s="43"/>
      <c r="B494" s="59" t="str">
        <f>IFERROR(HYPERLINK(VLOOKUP(A494,Internal_lists_bugs!$A$2:$C$73,3,FALSE()), VLOOKUP(A494,Internal_lists_bugs!$A$2:$C$73,3,FALSE())&amp;Char(10) &amp; Char(10) &amp; VLOOKUP(A494,Internal_lists_bugs!$A$2:$Z$73,26,FALSE())),"please select a BUG ID")</f>
        <v>please select a BUG ID</v>
      </c>
      <c r="C494" s="51" t="str">
        <f>IFERROR(VLOOKUP(A494,Internal_lists_bugs!$A$2:$G2003,7,FALSE()),"please select a BUG ID")</f>
        <v>please select a BUG ID</v>
      </c>
      <c r="D494" s="43"/>
      <c r="E494" s="63"/>
      <c r="F494" s="43"/>
      <c r="G494" s="63"/>
      <c r="H494" s="43"/>
      <c r="I494" s="63"/>
      <c r="J494" s="43"/>
      <c r="K494" s="50"/>
      <c r="L494" s="43"/>
      <c r="M494" s="50"/>
      <c r="N494" s="43"/>
      <c r="O494" s="50"/>
      <c r="P494" s="43"/>
      <c r="Q494" s="50"/>
      <c r="R494" s="43"/>
      <c r="S494" s="50"/>
      <c r="T494" s="43"/>
      <c r="U494" s="50"/>
      <c r="V494" s="43"/>
      <c r="W494" s="50"/>
      <c r="X494" s="43"/>
      <c r="Y494" s="50"/>
      <c r="Z494" s="43"/>
      <c r="AA494" s="50"/>
      <c r="AB494" s="43"/>
      <c r="AC494" s="50"/>
      <c r="AD494" s="43"/>
      <c r="AE494" s="50"/>
      <c r="AF494" s="43"/>
      <c r="AG494" s="50"/>
      <c r="AH494" s="43"/>
      <c r="AI494" s="50"/>
      <c r="AJ494" s="43"/>
      <c r="AK494" s="50"/>
      <c r="AL494" s="43"/>
      <c r="AM494" s="50"/>
      <c r="AO494" s="43"/>
      <c r="AP494" s="46"/>
      <c r="AQ494" s="43"/>
      <c r="AR494" s="119"/>
      <c r="AS494" s="1"/>
      <c r="AT494" s="1"/>
    </row>
    <row r="495">
      <c r="A495" s="43"/>
      <c r="B495" s="59" t="str">
        <f>IFERROR(HYPERLINK(VLOOKUP(A495,Internal_lists_bugs!$A$2:$C$73,3,FALSE()), VLOOKUP(A495,Internal_lists_bugs!$A$2:$C$73,3,FALSE())&amp;Char(10) &amp; Char(10) &amp; VLOOKUP(A495,Internal_lists_bugs!$A$2:$Z$73,26,FALSE())),"please select a BUG ID")</f>
        <v>please select a BUG ID</v>
      </c>
      <c r="C495" s="51" t="str">
        <f>IFERROR(VLOOKUP(A495,Internal_lists_bugs!$A$2:$G2003,7,FALSE()),"please select a BUG ID")</f>
        <v>please select a BUG ID</v>
      </c>
      <c r="D495" s="43"/>
      <c r="E495" s="63"/>
      <c r="F495" s="43"/>
      <c r="G495" s="63"/>
      <c r="H495" s="43"/>
      <c r="I495" s="63"/>
      <c r="J495" s="43"/>
      <c r="K495" s="50"/>
      <c r="L495" s="43"/>
      <c r="M495" s="50"/>
      <c r="N495" s="43"/>
      <c r="O495" s="50"/>
      <c r="P495" s="43"/>
      <c r="Q495" s="50"/>
      <c r="R495" s="43"/>
      <c r="S495" s="50"/>
      <c r="T495" s="43"/>
      <c r="U495" s="50"/>
      <c r="V495" s="43"/>
      <c r="W495" s="50"/>
      <c r="X495" s="43"/>
      <c r="Y495" s="50"/>
      <c r="Z495" s="43"/>
      <c r="AA495" s="50"/>
      <c r="AB495" s="43"/>
      <c r="AC495" s="50"/>
      <c r="AD495" s="43"/>
      <c r="AE495" s="50"/>
      <c r="AF495" s="43"/>
      <c r="AG495" s="50"/>
      <c r="AH495" s="43"/>
      <c r="AI495" s="50"/>
      <c r="AJ495" s="43"/>
      <c r="AK495" s="50"/>
      <c r="AL495" s="43"/>
      <c r="AM495" s="50"/>
      <c r="AO495" s="43"/>
      <c r="AP495" s="46"/>
      <c r="AQ495" s="43"/>
      <c r="AR495" s="119"/>
      <c r="AS495" s="1"/>
      <c r="AT495" s="1"/>
    </row>
    <row r="496">
      <c r="A496" s="43"/>
      <c r="B496" s="59" t="str">
        <f>IFERROR(HYPERLINK(VLOOKUP(A496,Internal_lists_bugs!$A$2:$C$73,3,FALSE()), VLOOKUP(A496,Internal_lists_bugs!$A$2:$C$73,3,FALSE())&amp;Char(10) &amp; Char(10) &amp; VLOOKUP(A496,Internal_lists_bugs!$A$2:$Z$73,26,FALSE())),"please select a BUG ID")</f>
        <v>please select a BUG ID</v>
      </c>
      <c r="C496" s="51" t="str">
        <f>IFERROR(VLOOKUP(A496,Internal_lists_bugs!$A$2:$G2003,7,FALSE()),"please select a BUG ID")</f>
        <v>please select a BUG ID</v>
      </c>
      <c r="D496" s="43"/>
      <c r="E496" s="63"/>
      <c r="F496" s="43"/>
      <c r="G496" s="63"/>
      <c r="H496" s="43"/>
      <c r="I496" s="63"/>
      <c r="J496" s="43"/>
      <c r="K496" s="50"/>
      <c r="L496" s="43"/>
      <c r="M496" s="50"/>
      <c r="N496" s="43"/>
      <c r="O496" s="50"/>
      <c r="P496" s="43"/>
      <c r="Q496" s="50"/>
      <c r="R496" s="43"/>
      <c r="S496" s="50"/>
      <c r="T496" s="43"/>
      <c r="U496" s="50"/>
      <c r="V496" s="43"/>
      <c r="W496" s="50"/>
      <c r="X496" s="43"/>
      <c r="Y496" s="50"/>
      <c r="Z496" s="43"/>
      <c r="AA496" s="50"/>
      <c r="AB496" s="43"/>
      <c r="AC496" s="50"/>
      <c r="AD496" s="43"/>
      <c r="AE496" s="50"/>
      <c r="AF496" s="43"/>
      <c r="AG496" s="50"/>
      <c r="AH496" s="43"/>
      <c r="AI496" s="50"/>
      <c r="AJ496" s="43"/>
      <c r="AK496" s="50"/>
      <c r="AL496" s="43"/>
      <c r="AM496" s="50"/>
      <c r="AO496" s="43"/>
      <c r="AP496" s="46"/>
      <c r="AQ496" s="43"/>
      <c r="AR496" s="119"/>
      <c r="AS496" s="1"/>
      <c r="AT496" s="1"/>
    </row>
    <row r="497">
      <c r="A497" s="43"/>
      <c r="B497" s="59" t="str">
        <f>IFERROR(HYPERLINK(VLOOKUP(A497,Internal_lists_bugs!$A$2:$C$73,3,FALSE()), VLOOKUP(A497,Internal_lists_bugs!$A$2:$C$73,3,FALSE())&amp;Char(10) &amp; Char(10) &amp; VLOOKUP(A497,Internal_lists_bugs!$A$2:$Z$73,26,FALSE())),"please select a BUG ID")</f>
        <v>please select a BUG ID</v>
      </c>
      <c r="C497" s="51" t="str">
        <f>IFERROR(VLOOKUP(A497,Internal_lists_bugs!$A$2:$G2003,7,FALSE()),"please select a BUG ID")</f>
        <v>please select a BUG ID</v>
      </c>
      <c r="D497" s="43"/>
      <c r="E497" s="63"/>
      <c r="F497" s="43"/>
      <c r="G497" s="63"/>
      <c r="H497" s="43"/>
      <c r="I497" s="63"/>
      <c r="J497" s="43"/>
      <c r="K497" s="50"/>
      <c r="L497" s="43"/>
      <c r="M497" s="50"/>
      <c r="N497" s="43"/>
      <c r="O497" s="50"/>
      <c r="P497" s="43"/>
      <c r="Q497" s="50"/>
      <c r="R497" s="43"/>
      <c r="S497" s="50"/>
      <c r="T497" s="43"/>
      <c r="U497" s="50"/>
      <c r="V497" s="43"/>
      <c r="W497" s="50"/>
      <c r="X497" s="43"/>
      <c r="Y497" s="50"/>
      <c r="Z497" s="43"/>
      <c r="AA497" s="50"/>
      <c r="AB497" s="43"/>
      <c r="AC497" s="50"/>
      <c r="AD497" s="43"/>
      <c r="AE497" s="50"/>
      <c r="AF497" s="43"/>
      <c r="AG497" s="50"/>
      <c r="AH497" s="43"/>
      <c r="AI497" s="50"/>
      <c r="AJ497" s="43"/>
      <c r="AK497" s="50"/>
      <c r="AL497" s="43"/>
      <c r="AM497" s="50"/>
      <c r="AO497" s="43"/>
      <c r="AP497" s="46"/>
      <c r="AQ497" s="43"/>
      <c r="AR497" s="119"/>
      <c r="AS497" s="1"/>
      <c r="AT497" s="1"/>
    </row>
    <row r="498">
      <c r="A498" s="43"/>
      <c r="B498" s="59" t="str">
        <f>IFERROR(HYPERLINK(VLOOKUP(A498,Internal_lists_bugs!$A$2:$C$73,3,FALSE()), VLOOKUP(A498,Internal_lists_bugs!$A$2:$C$73,3,FALSE())&amp;Char(10) &amp; Char(10) &amp; VLOOKUP(A498,Internal_lists_bugs!$A$2:$Z$73,26,FALSE())),"please select a BUG ID")</f>
        <v>please select a BUG ID</v>
      </c>
      <c r="C498" s="51" t="str">
        <f>IFERROR(VLOOKUP(A498,Internal_lists_bugs!$A$2:$G2003,7,FALSE()),"please select a BUG ID")</f>
        <v>please select a BUG ID</v>
      </c>
      <c r="D498" s="43"/>
      <c r="E498" s="63"/>
      <c r="F498" s="43"/>
      <c r="G498" s="63"/>
      <c r="H498" s="43"/>
      <c r="I498" s="63"/>
      <c r="J498" s="43"/>
      <c r="K498" s="50"/>
      <c r="L498" s="43"/>
      <c r="M498" s="50"/>
      <c r="N498" s="43"/>
      <c r="O498" s="50"/>
      <c r="P498" s="43"/>
      <c r="Q498" s="50"/>
      <c r="R498" s="43"/>
      <c r="S498" s="50"/>
      <c r="T498" s="43"/>
      <c r="U498" s="50"/>
      <c r="V498" s="43"/>
      <c r="W498" s="50"/>
      <c r="X498" s="43"/>
      <c r="Y498" s="50"/>
      <c r="Z498" s="43"/>
      <c r="AA498" s="50"/>
      <c r="AB498" s="43"/>
      <c r="AC498" s="50"/>
      <c r="AD498" s="43"/>
      <c r="AE498" s="50"/>
      <c r="AF498" s="43"/>
      <c r="AG498" s="50"/>
      <c r="AH498" s="43"/>
      <c r="AI498" s="50"/>
      <c r="AJ498" s="43"/>
      <c r="AK498" s="50"/>
      <c r="AL498" s="43"/>
      <c r="AM498" s="50"/>
      <c r="AO498" s="43"/>
      <c r="AP498" s="46"/>
      <c r="AQ498" s="43"/>
      <c r="AR498" s="119"/>
      <c r="AS498" s="1"/>
      <c r="AT498" s="1"/>
    </row>
    <row r="499">
      <c r="A499" s="43"/>
      <c r="B499" s="59" t="str">
        <f>IFERROR(HYPERLINK(VLOOKUP(A499,Internal_lists_bugs!$A$2:$C$73,3,FALSE()), VLOOKUP(A499,Internal_lists_bugs!$A$2:$C$73,3,FALSE())&amp;Char(10) &amp; Char(10) &amp; VLOOKUP(A499,Internal_lists_bugs!$A$2:$Z$73,26,FALSE())),"please select a BUG ID")</f>
        <v>please select a BUG ID</v>
      </c>
      <c r="C499" s="51" t="str">
        <f>IFERROR(VLOOKUP(A499,Internal_lists_bugs!$A$2:$G2003,7,FALSE()),"please select a BUG ID")</f>
        <v>please select a BUG ID</v>
      </c>
      <c r="D499" s="43"/>
      <c r="E499" s="63"/>
      <c r="F499" s="43"/>
      <c r="G499" s="63"/>
      <c r="H499" s="43"/>
      <c r="I499" s="63"/>
      <c r="J499" s="43"/>
      <c r="K499" s="50"/>
      <c r="L499" s="43"/>
      <c r="M499" s="50"/>
      <c r="N499" s="43"/>
      <c r="O499" s="50"/>
      <c r="P499" s="43"/>
      <c r="Q499" s="50"/>
      <c r="R499" s="43"/>
      <c r="S499" s="50"/>
      <c r="T499" s="43"/>
      <c r="U499" s="50"/>
      <c r="V499" s="43"/>
      <c r="W499" s="50"/>
      <c r="X499" s="43"/>
      <c r="Y499" s="50"/>
      <c r="Z499" s="43"/>
      <c r="AA499" s="50"/>
      <c r="AB499" s="43"/>
      <c r="AC499" s="50"/>
      <c r="AD499" s="43"/>
      <c r="AE499" s="50"/>
      <c r="AF499" s="43"/>
      <c r="AG499" s="50"/>
      <c r="AH499" s="43"/>
      <c r="AI499" s="50"/>
      <c r="AJ499" s="43"/>
      <c r="AK499" s="50"/>
      <c r="AL499" s="43"/>
      <c r="AM499" s="50"/>
      <c r="AO499" s="43"/>
      <c r="AP499" s="46"/>
      <c r="AQ499" s="43"/>
      <c r="AR499" s="119"/>
      <c r="AS499" s="1"/>
      <c r="AT499" s="1"/>
    </row>
    <row r="500">
      <c r="A500" s="43"/>
      <c r="B500" s="59" t="str">
        <f>IFERROR(HYPERLINK(VLOOKUP(A500,Internal_lists_bugs!$A$2:$C$73,3,FALSE()), VLOOKUP(A500,Internal_lists_bugs!$A$2:$C$73,3,FALSE())&amp;Char(10) &amp; Char(10) &amp; VLOOKUP(A500,Internal_lists_bugs!$A$2:$Z$73,26,FALSE())),"please select a BUG ID")</f>
        <v>please select a BUG ID</v>
      </c>
      <c r="C500" s="51" t="str">
        <f>IFERROR(VLOOKUP(A500,Internal_lists_bugs!$A$2:$G2003,7,FALSE()),"please select a BUG ID")</f>
        <v>please select a BUG ID</v>
      </c>
      <c r="D500" s="43"/>
      <c r="E500" s="63"/>
      <c r="F500" s="43"/>
      <c r="G500" s="63"/>
      <c r="H500" s="43"/>
      <c r="I500" s="63"/>
      <c r="J500" s="43"/>
      <c r="K500" s="50"/>
      <c r="L500" s="43"/>
      <c r="M500" s="50"/>
      <c r="N500" s="43"/>
      <c r="O500" s="50"/>
      <c r="P500" s="43"/>
      <c r="Q500" s="50"/>
      <c r="R500" s="43"/>
      <c r="S500" s="50"/>
      <c r="T500" s="43"/>
      <c r="U500" s="50"/>
      <c r="V500" s="43"/>
      <c r="W500" s="50"/>
      <c r="X500" s="43"/>
      <c r="Y500" s="50"/>
      <c r="Z500" s="43"/>
      <c r="AA500" s="50"/>
      <c r="AB500" s="43"/>
      <c r="AC500" s="50"/>
      <c r="AD500" s="43"/>
      <c r="AE500" s="50"/>
      <c r="AF500" s="43"/>
      <c r="AG500" s="50"/>
      <c r="AH500" s="43"/>
      <c r="AI500" s="50"/>
      <c r="AJ500" s="43"/>
      <c r="AK500" s="50"/>
      <c r="AL500" s="43"/>
      <c r="AM500" s="50"/>
      <c r="AO500" s="43"/>
      <c r="AP500" s="46"/>
      <c r="AQ500" s="43"/>
      <c r="AR500" s="119"/>
      <c r="AS500" s="1"/>
      <c r="AT500" s="1"/>
    </row>
    <row r="501">
      <c r="A501" s="43"/>
      <c r="B501" s="59" t="str">
        <f>IFERROR(HYPERLINK(VLOOKUP(A501,Internal_lists_bugs!$A$2:$C$73,3,FALSE()), VLOOKUP(A501,Internal_lists_bugs!$A$2:$C$73,3,FALSE())&amp;Char(10) &amp; Char(10) &amp; VLOOKUP(A501,Internal_lists_bugs!$A$2:$Z$73,26,FALSE())),"please select a BUG ID")</f>
        <v>please select a BUG ID</v>
      </c>
      <c r="C501" s="51" t="str">
        <f>IFERROR(VLOOKUP(A501,Internal_lists_bugs!$A$2:$G2003,7,FALSE()),"please select a BUG ID")</f>
        <v>please select a BUG ID</v>
      </c>
      <c r="D501" s="43"/>
      <c r="E501" s="63"/>
      <c r="F501" s="43"/>
      <c r="G501" s="63"/>
      <c r="H501" s="43"/>
      <c r="I501" s="63"/>
      <c r="J501" s="43"/>
      <c r="K501" s="50"/>
      <c r="L501" s="43"/>
      <c r="M501" s="50"/>
      <c r="N501" s="43"/>
      <c r="O501" s="50"/>
      <c r="P501" s="43"/>
      <c r="Q501" s="50"/>
      <c r="R501" s="43"/>
      <c r="S501" s="50"/>
      <c r="T501" s="43"/>
      <c r="U501" s="50"/>
      <c r="V501" s="43"/>
      <c r="W501" s="50"/>
      <c r="X501" s="43"/>
      <c r="Y501" s="50"/>
      <c r="Z501" s="43"/>
      <c r="AA501" s="50"/>
      <c r="AB501" s="43"/>
      <c r="AC501" s="50"/>
      <c r="AD501" s="43"/>
      <c r="AE501" s="50"/>
      <c r="AF501" s="43"/>
      <c r="AG501" s="50"/>
      <c r="AH501" s="43"/>
      <c r="AI501" s="50"/>
      <c r="AJ501" s="43"/>
      <c r="AK501" s="50"/>
      <c r="AL501" s="43"/>
      <c r="AM501" s="50"/>
      <c r="AO501" s="43"/>
      <c r="AP501" s="46"/>
      <c r="AQ501" s="43"/>
      <c r="AR501" s="119"/>
      <c r="AS501" s="1"/>
      <c r="AT501" s="1"/>
    </row>
    <row r="502">
      <c r="A502" s="43"/>
      <c r="B502" s="59" t="str">
        <f>IFERROR(HYPERLINK(VLOOKUP(A502,Internal_lists_bugs!$A$2:$C$73,3,FALSE()), VLOOKUP(A502,Internal_lists_bugs!$A$2:$C$73,3,FALSE())&amp;Char(10) &amp; Char(10) &amp; VLOOKUP(A502,Internal_lists_bugs!$A$2:$Z$73,26,FALSE())),"please select a BUG ID")</f>
        <v>please select a BUG ID</v>
      </c>
      <c r="C502" s="51" t="str">
        <f>IFERROR(VLOOKUP(A502,Internal_lists_bugs!$A$2:$G2003,7,FALSE()),"please select a BUG ID")</f>
        <v>please select a BUG ID</v>
      </c>
      <c r="D502" s="43"/>
      <c r="E502" s="63"/>
      <c r="F502" s="43"/>
      <c r="G502" s="63"/>
      <c r="H502" s="43"/>
      <c r="I502" s="63"/>
      <c r="J502" s="43"/>
      <c r="K502" s="50"/>
      <c r="L502" s="43"/>
      <c r="M502" s="50"/>
      <c r="N502" s="43"/>
      <c r="O502" s="50"/>
      <c r="P502" s="43"/>
      <c r="Q502" s="50"/>
      <c r="R502" s="43"/>
      <c r="S502" s="50"/>
      <c r="T502" s="43"/>
      <c r="U502" s="50"/>
      <c r="V502" s="43"/>
      <c r="W502" s="50"/>
      <c r="X502" s="43"/>
      <c r="Y502" s="50"/>
      <c r="Z502" s="43"/>
      <c r="AA502" s="50"/>
      <c r="AB502" s="43"/>
      <c r="AC502" s="50"/>
      <c r="AD502" s="43"/>
      <c r="AE502" s="50"/>
      <c r="AF502" s="43"/>
      <c r="AG502" s="50"/>
      <c r="AH502" s="43"/>
      <c r="AI502" s="50"/>
      <c r="AJ502" s="43"/>
      <c r="AK502" s="50"/>
      <c r="AL502" s="43"/>
      <c r="AM502" s="50"/>
      <c r="AO502" s="43"/>
      <c r="AP502" s="46"/>
      <c r="AQ502" s="43"/>
      <c r="AR502" s="119"/>
      <c r="AS502" s="1"/>
      <c r="AT502" s="1"/>
    </row>
    <row r="503">
      <c r="A503" s="43"/>
      <c r="B503" s="59" t="str">
        <f>IFERROR(HYPERLINK(VLOOKUP(A503,Internal_lists_bugs!$A$2:$C$73,3,FALSE()), VLOOKUP(A503,Internal_lists_bugs!$A$2:$C$73,3,FALSE())&amp;Char(10) &amp; Char(10) &amp; VLOOKUP(A503,Internal_lists_bugs!$A$2:$Z$73,26,FALSE())),"please select a BUG ID")</f>
        <v>please select a BUG ID</v>
      </c>
      <c r="C503" s="51" t="str">
        <f>IFERROR(VLOOKUP(A503,Internal_lists_bugs!$A$2:$G2003,7,FALSE()),"please select a BUG ID")</f>
        <v>please select a BUG ID</v>
      </c>
      <c r="D503" s="43"/>
      <c r="E503" s="63"/>
      <c r="F503" s="43"/>
      <c r="G503" s="63"/>
      <c r="H503" s="43"/>
      <c r="I503" s="63"/>
      <c r="J503" s="43"/>
      <c r="K503" s="50"/>
      <c r="L503" s="43"/>
      <c r="M503" s="50"/>
      <c r="N503" s="43"/>
      <c r="O503" s="50"/>
      <c r="P503" s="43"/>
      <c r="Q503" s="50"/>
      <c r="R503" s="43"/>
      <c r="S503" s="50"/>
      <c r="T503" s="43"/>
      <c r="U503" s="50"/>
      <c r="V503" s="43"/>
      <c r="W503" s="50"/>
      <c r="X503" s="43"/>
      <c r="Y503" s="50"/>
      <c r="Z503" s="43"/>
      <c r="AA503" s="50"/>
      <c r="AB503" s="43"/>
      <c r="AC503" s="50"/>
      <c r="AD503" s="43"/>
      <c r="AE503" s="50"/>
      <c r="AF503" s="43"/>
      <c r="AG503" s="50"/>
      <c r="AH503" s="43"/>
      <c r="AI503" s="50"/>
      <c r="AJ503" s="43"/>
      <c r="AK503" s="50"/>
      <c r="AL503" s="43"/>
      <c r="AM503" s="50"/>
      <c r="AO503" s="43"/>
      <c r="AP503" s="46"/>
      <c r="AQ503" s="43"/>
      <c r="AR503" s="119"/>
      <c r="AS503" s="1"/>
      <c r="AT503" s="1"/>
    </row>
    <row r="504">
      <c r="A504" s="43"/>
      <c r="B504" s="59" t="str">
        <f>IFERROR(HYPERLINK(VLOOKUP(A504,Internal_lists_bugs!$A$2:$C$73,3,FALSE()), VLOOKUP(A504,Internal_lists_bugs!$A$2:$C$73,3,FALSE())&amp;Char(10) &amp; Char(10) &amp; VLOOKUP(A504,Internal_lists_bugs!$A$2:$Z$73,26,FALSE())),"please select a BUG ID")</f>
        <v>please select a BUG ID</v>
      </c>
      <c r="C504" s="51" t="str">
        <f>IFERROR(VLOOKUP(A504,Internal_lists_bugs!$A$2:$G2003,7,FALSE()),"please select a BUG ID")</f>
        <v>please select a BUG ID</v>
      </c>
      <c r="D504" s="43"/>
      <c r="E504" s="63"/>
      <c r="F504" s="43"/>
      <c r="G504" s="63"/>
      <c r="H504" s="43"/>
      <c r="I504" s="63"/>
      <c r="J504" s="43"/>
      <c r="K504" s="50"/>
      <c r="L504" s="43"/>
      <c r="M504" s="50"/>
      <c r="N504" s="43"/>
      <c r="O504" s="50"/>
      <c r="P504" s="43"/>
      <c r="Q504" s="50"/>
      <c r="R504" s="43"/>
      <c r="S504" s="50"/>
      <c r="T504" s="43"/>
      <c r="U504" s="50"/>
      <c r="V504" s="43"/>
      <c r="W504" s="50"/>
      <c r="X504" s="43"/>
      <c r="Y504" s="50"/>
      <c r="Z504" s="43"/>
      <c r="AA504" s="50"/>
      <c r="AB504" s="43"/>
      <c r="AC504" s="50"/>
      <c r="AD504" s="43"/>
      <c r="AE504" s="50"/>
      <c r="AF504" s="43"/>
      <c r="AG504" s="50"/>
      <c r="AH504" s="43"/>
      <c r="AI504" s="50"/>
      <c r="AJ504" s="43"/>
      <c r="AK504" s="50"/>
      <c r="AL504" s="43"/>
      <c r="AM504" s="50"/>
      <c r="AO504" s="43"/>
      <c r="AP504" s="46"/>
      <c r="AQ504" s="43"/>
      <c r="AR504" s="119"/>
      <c r="AS504" s="1"/>
      <c r="AT504" s="1"/>
    </row>
    <row r="505">
      <c r="A505" s="43"/>
      <c r="B505" s="59" t="str">
        <f>IFERROR(HYPERLINK(VLOOKUP(A505,Internal_lists_bugs!$A$2:$C$73,3,FALSE()), VLOOKUP(A505,Internal_lists_bugs!$A$2:$C$73,3,FALSE())&amp;Char(10) &amp; Char(10) &amp; VLOOKUP(A505,Internal_lists_bugs!$A$2:$Z$73,26,FALSE())),"please select a BUG ID")</f>
        <v>please select a BUG ID</v>
      </c>
      <c r="C505" s="51" t="str">
        <f>IFERROR(VLOOKUP(A505,Internal_lists_bugs!$A$2:$G2003,7,FALSE()),"please select a BUG ID")</f>
        <v>please select a BUG ID</v>
      </c>
      <c r="D505" s="43"/>
      <c r="E505" s="63"/>
      <c r="F505" s="43"/>
      <c r="G505" s="63"/>
      <c r="H505" s="43"/>
      <c r="I505" s="63"/>
      <c r="J505" s="43"/>
      <c r="K505" s="50"/>
      <c r="L505" s="43"/>
      <c r="M505" s="50"/>
      <c r="N505" s="43"/>
      <c r="O505" s="50"/>
      <c r="P505" s="43"/>
      <c r="Q505" s="50"/>
      <c r="R505" s="43"/>
      <c r="S505" s="50"/>
      <c r="T505" s="43"/>
      <c r="U505" s="50"/>
      <c r="V505" s="43"/>
      <c r="W505" s="50"/>
      <c r="X505" s="43"/>
      <c r="Y505" s="50"/>
      <c r="Z505" s="43"/>
      <c r="AA505" s="50"/>
      <c r="AB505" s="43"/>
      <c r="AC505" s="50"/>
      <c r="AD505" s="43"/>
      <c r="AE505" s="50"/>
      <c r="AF505" s="43"/>
      <c r="AG505" s="50"/>
      <c r="AH505" s="43"/>
      <c r="AI505" s="50"/>
      <c r="AJ505" s="43"/>
      <c r="AK505" s="50"/>
      <c r="AL505" s="43"/>
      <c r="AM505" s="50"/>
      <c r="AO505" s="43"/>
      <c r="AP505" s="46"/>
      <c r="AQ505" s="43"/>
      <c r="AR505" s="119"/>
      <c r="AS505" s="1"/>
      <c r="AT505" s="1"/>
    </row>
    <row r="506">
      <c r="A506" s="43"/>
      <c r="B506" s="59" t="str">
        <f>IFERROR(HYPERLINK(VLOOKUP(A506,Internal_lists_bugs!$A$2:$C$73,3,FALSE()), VLOOKUP(A506,Internal_lists_bugs!$A$2:$C$73,3,FALSE())&amp;Char(10) &amp; Char(10) &amp; VLOOKUP(A506,Internal_lists_bugs!$A$2:$Z$73,26,FALSE())),"please select a BUG ID")</f>
        <v>please select a BUG ID</v>
      </c>
      <c r="C506" s="51" t="str">
        <f>IFERROR(VLOOKUP(A506,Internal_lists_bugs!$A$2:$G2003,7,FALSE()),"please select a BUG ID")</f>
        <v>please select a BUG ID</v>
      </c>
      <c r="D506" s="43"/>
      <c r="E506" s="63"/>
      <c r="F506" s="43"/>
      <c r="G506" s="63"/>
      <c r="H506" s="43"/>
      <c r="I506" s="63"/>
      <c r="J506" s="43"/>
      <c r="K506" s="50"/>
      <c r="L506" s="43"/>
      <c r="M506" s="50"/>
      <c r="N506" s="43"/>
      <c r="O506" s="50"/>
      <c r="P506" s="43"/>
      <c r="Q506" s="50"/>
      <c r="R506" s="43"/>
      <c r="S506" s="50"/>
      <c r="T506" s="43"/>
      <c r="U506" s="50"/>
      <c r="V506" s="43"/>
      <c r="W506" s="50"/>
      <c r="X506" s="43"/>
      <c r="Y506" s="50"/>
      <c r="Z506" s="43"/>
      <c r="AA506" s="50"/>
      <c r="AB506" s="43"/>
      <c r="AC506" s="50"/>
      <c r="AD506" s="43"/>
      <c r="AE506" s="50"/>
      <c r="AF506" s="43"/>
      <c r="AG506" s="50"/>
      <c r="AH506" s="43"/>
      <c r="AI506" s="50"/>
      <c r="AJ506" s="43"/>
      <c r="AK506" s="50"/>
      <c r="AL506" s="43"/>
      <c r="AM506" s="50"/>
      <c r="AO506" s="43"/>
      <c r="AP506" s="46"/>
      <c r="AQ506" s="43"/>
      <c r="AR506" s="119"/>
      <c r="AS506" s="1"/>
      <c r="AT506" s="1"/>
    </row>
    <row r="507">
      <c r="A507" s="43"/>
      <c r="B507" s="59" t="str">
        <f>IFERROR(HYPERLINK(VLOOKUP(A507,Internal_lists_bugs!$A$2:$C$73,3,FALSE()), VLOOKUP(A507,Internal_lists_bugs!$A$2:$C$73,3,FALSE())&amp;Char(10) &amp; Char(10) &amp; VLOOKUP(A507,Internal_lists_bugs!$A$2:$Z$73,26,FALSE())),"please select a BUG ID")</f>
        <v>please select a BUG ID</v>
      </c>
      <c r="C507" s="51" t="str">
        <f>IFERROR(VLOOKUP(A507,Internal_lists_bugs!$A$2:$G2003,7,FALSE()),"please select a BUG ID")</f>
        <v>please select a BUG ID</v>
      </c>
      <c r="D507" s="43"/>
      <c r="E507" s="63"/>
      <c r="F507" s="43"/>
      <c r="G507" s="63"/>
      <c r="H507" s="43"/>
      <c r="I507" s="63"/>
      <c r="J507" s="43"/>
      <c r="K507" s="50"/>
      <c r="L507" s="43"/>
      <c r="M507" s="50"/>
      <c r="N507" s="43"/>
      <c r="O507" s="50"/>
      <c r="P507" s="43"/>
      <c r="Q507" s="50"/>
      <c r="R507" s="43"/>
      <c r="S507" s="50"/>
      <c r="T507" s="43"/>
      <c r="U507" s="50"/>
      <c r="V507" s="43"/>
      <c r="W507" s="50"/>
      <c r="X507" s="43"/>
      <c r="Y507" s="50"/>
      <c r="Z507" s="43"/>
      <c r="AA507" s="50"/>
      <c r="AB507" s="43"/>
      <c r="AC507" s="50"/>
      <c r="AD507" s="43"/>
      <c r="AE507" s="50"/>
      <c r="AF507" s="43"/>
      <c r="AG507" s="50"/>
      <c r="AH507" s="43"/>
      <c r="AI507" s="50"/>
      <c r="AJ507" s="43"/>
      <c r="AK507" s="50"/>
      <c r="AL507" s="43"/>
      <c r="AM507" s="50"/>
      <c r="AO507" s="43"/>
      <c r="AP507" s="46"/>
      <c r="AQ507" s="43"/>
      <c r="AR507" s="119"/>
      <c r="AS507" s="1"/>
      <c r="AT507" s="1"/>
    </row>
    <row r="508">
      <c r="A508" s="43"/>
      <c r="B508" s="59" t="str">
        <f>IFERROR(HYPERLINK(VLOOKUP(A508,Internal_lists_bugs!$A$2:$C$73,3,FALSE()), VLOOKUP(A508,Internal_lists_bugs!$A$2:$C$73,3,FALSE())&amp;Char(10) &amp; Char(10) &amp; VLOOKUP(A508,Internal_lists_bugs!$A$2:$Z$73,26,FALSE())),"please select a BUG ID")</f>
        <v>please select a BUG ID</v>
      </c>
      <c r="C508" s="51" t="str">
        <f>IFERROR(VLOOKUP(A508,Internal_lists_bugs!$A$2:$G2003,7,FALSE()),"please select a BUG ID")</f>
        <v>please select a BUG ID</v>
      </c>
      <c r="D508" s="43"/>
      <c r="E508" s="63"/>
      <c r="F508" s="43"/>
      <c r="G508" s="63"/>
      <c r="H508" s="43"/>
      <c r="I508" s="63"/>
      <c r="J508" s="43"/>
      <c r="K508" s="50"/>
      <c r="L508" s="43"/>
      <c r="M508" s="50"/>
      <c r="N508" s="43"/>
      <c r="O508" s="50"/>
      <c r="P508" s="43"/>
      <c r="Q508" s="50"/>
      <c r="R508" s="43"/>
      <c r="S508" s="50"/>
      <c r="T508" s="43"/>
      <c r="U508" s="50"/>
      <c r="V508" s="43"/>
      <c r="W508" s="50"/>
      <c r="X508" s="43"/>
      <c r="Y508" s="50"/>
      <c r="Z508" s="43"/>
      <c r="AA508" s="50"/>
      <c r="AB508" s="43"/>
      <c r="AC508" s="50"/>
      <c r="AD508" s="43"/>
      <c r="AE508" s="50"/>
      <c r="AF508" s="43"/>
      <c r="AG508" s="50"/>
      <c r="AH508" s="43"/>
      <c r="AI508" s="50"/>
      <c r="AJ508" s="43"/>
      <c r="AK508" s="50"/>
      <c r="AL508" s="43"/>
      <c r="AM508" s="50"/>
      <c r="AO508" s="43"/>
      <c r="AP508" s="46"/>
      <c r="AQ508" s="43"/>
      <c r="AR508" s="119"/>
      <c r="AS508" s="1"/>
      <c r="AT508" s="1"/>
    </row>
    <row r="509">
      <c r="A509" s="43"/>
      <c r="B509" s="59" t="str">
        <f>IFERROR(HYPERLINK(VLOOKUP(A509,Internal_lists_bugs!$A$2:$C$73,3,FALSE()), VLOOKUP(A509,Internal_lists_bugs!$A$2:$C$73,3,FALSE())&amp;Char(10) &amp; Char(10) &amp; VLOOKUP(A509,Internal_lists_bugs!$A$2:$Z$73,26,FALSE())),"please select a BUG ID")</f>
        <v>please select a BUG ID</v>
      </c>
      <c r="C509" s="51" t="str">
        <f>IFERROR(VLOOKUP(A509,Internal_lists_bugs!$A$2:$G2003,7,FALSE()),"please select a BUG ID")</f>
        <v>please select a BUG ID</v>
      </c>
      <c r="D509" s="43"/>
      <c r="E509" s="63"/>
      <c r="F509" s="43"/>
      <c r="G509" s="63"/>
      <c r="H509" s="43"/>
      <c r="I509" s="63"/>
      <c r="J509" s="43"/>
      <c r="K509" s="50"/>
      <c r="L509" s="43"/>
      <c r="M509" s="50"/>
      <c r="N509" s="43"/>
      <c r="O509" s="50"/>
      <c r="P509" s="43"/>
      <c r="Q509" s="50"/>
      <c r="R509" s="43"/>
      <c r="S509" s="50"/>
      <c r="T509" s="43"/>
      <c r="U509" s="50"/>
      <c r="V509" s="43"/>
      <c r="W509" s="50"/>
      <c r="X509" s="43"/>
      <c r="Y509" s="50"/>
      <c r="Z509" s="43"/>
      <c r="AA509" s="50"/>
      <c r="AB509" s="43"/>
      <c r="AC509" s="50"/>
      <c r="AD509" s="43"/>
      <c r="AE509" s="50"/>
      <c r="AF509" s="43"/>
      <c r="AG509" s="50"/>
      <c r="AH509" s="43"/>
      <c r="AI509" s="50"/>
      <c r="AJ509" s="43"/>
      <c r="AK509" s="50"/>
      <c r="AL509" s="43"/>
      <c r="AM509" s="50"/>
      <c r="AO509" s="43"/>
      <c r="AP509" s="46"/>
      <c r="AQ509" s="43"/>
      <c r="AR509" s="119"/>
      <c r="AS509" s="1"/>
      <c r="AT509" s="1"/>
    </row>
    <row r="510">
      <c r="A510" s="43"/>
      <c r="B510" s="59" t="str">
        <f>IFERROR(HYPERLINK(VLOOKUP(A510,Internal_lists_bugs!$A$2:$C$73,3,FALSE()), VLOOKUP(A510,Internal_lists_bugs!$A$2:$C$73,3,FALSE())&amp;Char(10) &amp; Char(10) &amp; VLOOKUP(A510,Internal_lists_bugs!$A$2:$Z$73,26,FALSE())),"please select a BUG ID")</f>
        <v>please select a BUG ID</v>
      </c>
      <c r="C510" s="51" t="str">
        <f>IFERROR(VLOOKUP(A510,Internal_lists_bugs!$A$2:$G2003,7,FALSE()),"please select a BUG ID")</f>
        <v>please select a BUG ID</v>
      </c>
      <c r="D510" s="43"/>
      <c r="E510" s="63"/>
      <c r="F510" s="43"/>
      <c r="G510" s="63"/>
      <c r="H510" s="43"/>
      <c r="I510" s="63"/>
      <c r="J510" s="43"/>
      <c r="K510" s="50"/>
      <c r="L510" s="43"/>
      <c r="M510" s="50"/>
      <c r="N510" s="43"/>
      <c r="O510" s="50"/>
      <c r="P510" s="43"/>
      <c r="Q510" s="50"/>
      <c r="R510" s="43"/>
      <c r="S510" s="50"/>
      <c r="T510" s="43"/>
      <c r="U510" s="50"/>
      <c r="V510" s="43"/>
      <c r="W510" s="50"/>
      <c r="X510" s="43"/>
      <c r="Y510" s="50"/>
      <c r="Z510" s="43"/>
      <c r="AA510" s="50"/>
      <c r="AB510" s="43"/>
      <c r="AC510" s="50"/>
      <c r="AD510" s="43"/>
      <c r="AE510" s="50"/>
      <c r="AF510" s="43"/>
      <c r="AG510" s="50"/>
      <c r="AH510" s="43"/>
      <c r="AI510" s="50"/>
      <c r="AJ510" s="43"/>
      <c r="AK510" s="50"/>
      <c r="AL510" s="43"/>
      <c r="AM510" s="50"/>
      <c r="AO510" s="43"/>
      <c r="AP510" s="46"/>
      <c r="AQ510" s="43"/>
      <c r="AR510" s="119"/>
      <c r="AS510" s="1"/>
      <c r="AT510" s="1"/>
    </row>
    <row r="511">
      <c r="A511" s="43"/>
      <c r="B511" s="59" t="str">
        <f>IFERROR(HYPERLINK(VLOOKUP(A511,Internal_lists_bugs!$A$2:$C$73,3,FALSE()), VLOOKUP(A511,Internal_lists_bugs!$A$2:$C$73,3,FALSE())&amp;Char(10) &amp; Char(10) &amp; VLOOKUP(A511,Internal_lists_bugs!$A$2:$Z$73,26,FALSE())),"please select a BUG ID")</f>
        <v>please select a BUG ID</v>
      </c>
      <c r="C511" s="51" t="str">
        <f>IFERROR(VLOOKUP(A511,Internal_lists_bugs!$A$2:$G2003,7,FALSE()),"please select a BUG ID")</f>
        <v>please select a BUG ID</v>
      </c>
      <c r="D511" s="43"/>
      <c r="E511" s="63"/>
      <c r="F511" s="43"/>
      <c r="G511" s="63"/>
      <c r="H511" s="43"/>
      <c r="I511" s="63"/>
      <c r="J511" s="43"/>
      <c r="K511" s="50"/>
      <c r="L511" s="43"/>
      <c r="M511" s="50"/>
      <c r="N511" s="43"/>
      <c r="O511" s="50"/>
      <c r="P511" s="43"/>
      <c r="Q511" s="50"/>
      <c r="R511" s="43"/>
      <c r="S511" s="50"/>
      <c r="T511" s="43"/>
      <c r="U511" s="50"/>
      <c r="V511" s="43"/>
      <c r="W511" s="50"/>
      <c r="X511" s="43"/>
      <c r="Y511" s="50"/>
      <c r="Z511" s="43"/>
      <c r="AA511" s="50"/>
      <c r="AB511" s="43"/>
      <c r="AC511" s="50"/>
      <c r="AD511" s="43"/>
      <c r="AE511" s="50"/>
      <c r="AF511" s="43"/>
      <c r="AG511" s="50"/>
      <c r="AH511" s="43"/>
      <c r="AI511" s="50"/>
      <c r="AJ511" s="43"/>
      <c r="AK511" s="50"/>
      <c r="AL511" s="43"/>
      <c r="AM511" s="50"/>
      <c r="AO511" s="43"/>
      <c r="AP511" s="46"/>
      <c r="AQ511" s="43"/>
      <c r="AR511" s="119"/>
      <c r="AS511" s="1"/>
      <c r="AT511" s="1"/>
    </row>
    <row r="512">
      <c r="A512" s="43"/>
      <c r="B512" s="59" t="str">
        <f>IFERROR(HYPERLINK(VLOOKUP(A512,Internal_lists_bugs!$A$2:$C$73,3,FALSE()), VLOOKUP(A512,Internal_lists_bugs!$A$2:$C$73,3,FALSE())&amp;Char(10) &amp; Char(10) &amp; VLOOKUP(A512,Internal_lists_bugs!$A$2:$Z$73,26,FALSE())),"please select a BUG ID")</f>
        <v>please select a BUG ID</v>
      </c>
      <c r="C512" s="51" t="str">
        <f>IFERROR(VLOOKUP(A512,Internal_lists_bugs!$A$2:$G2003,7,FALSE()),"please select a BUG ID")</f>
        <v>please select a BUG ID</v>
      </c>
      <c r="D512" s="43"/>
      <c r="E512" s="63"/>
      <c r="F512" s="43"/>
      <c r="G512" s="63"/>
      <c r="H512" s="43"/>
      <c r="I512" s="63"/>
      <c r="J512" s="43"/>
      <c r="K512" s="50"/>
      <c r="L512" s="43"/>
      <c r="M512" s="50"/>
      <c r="N512" s="43"/>
      <c r="O512" s="50"/>
      <c r="P512" s="43"/>
      <c r="Q512" s="50"/>
      <c r="R512" s="43"/>
      <c r="S512" s="50"/>
      <c r="T512" s="43"/>
      <c r="U512" s="50"/>
      <c r="V512" s="43"/>
      <c r="W512" s="50"/>
      <c r="X512" s="43"/>
      <c r="Y512" s="50"/>
      <c r="Z512" s="43"/>
      <c r="AA512" s="50"/>
      <c r="AB512" s="43"/>
      <c r="AC512" s="50"/>
      <c r="AD512" s="43"/>
      <c r="AE512" s="50"/>
      <c r="AF512" s="43"/>
      <c r="AG512" s="50"/>
      <c r="AH512" s="43"/>
      <c r="AI512" s="50"/>
      <c r="AJ512" s="43"/>
      <c r="AK512" s="50"/>
      <c r="AL512" s="43"/>
      <c r="AM512" s="50"/>
      <c r="AO512" s="43"/>
      <c r="AP512" s="46"/>
      <c r="AQ512" s="43"/>
      <c r="AR512" s="119"/>
      <c r="AS512" s="1"/>
      <c r="AT512" s="1"/>
    </row>
    <row r="513">
      <c r="A513" s="43"/>
      <c r="B513" s="59" t="str">
        <f>IFERROR(HYPERLINK(VLOOKUP(A513,Internal_lists_bugs!$A$2:$C$73,3,FALSE()), VLOOKUP(A513,Internal_lists_bugs!$A$2:$C$73,3,FALSE())&amp;Char(10) &amp; Char(10) &amp; VLOOKUP(A513,Internal_lists_bugs!$A$2:$Z$73,26,FALSE())),"please select a BUG ID")</f>
        <v>please select a BUG ID</v>
      </c>
      <c r="C513" s="51" t="str">
        <f>IFERROR(VLOOKUP(A513,Internal_lists_bugs!$A$2:$G2003,7,FALSE()),"please select a BUG ID")</f>
        <v>please select a BUG ID</v>
      </c>
      <c r="D513" s="43"/>
      <c r="E513" s="63"/>
      <c r="F513" s="43"/>
      <c r="G513" s="63"/>
      <c r="H513" s="43"/>
      <c r="I513" s="63"/>
      <c r="J513" s="43"/>
      <c r="K513" s="50"/>
      <c r="L513" s="43"/>
      <c r="M513" s="50"/>
      <c r="N513" s="43"/>
      <c r="O513" s="50"/>
      <c r="P513" s="43"/>
      <c r="Q513" s="50"/>
      <c r="R513" s="43"/>
      <c r="S513" s="50"/>
      <c r="T513" s="43"/>
      <c r="U513" s="50"/>
      <c r="V513" s="43"/>
      <c r="W513" s="50"/>
      <c r="X513" s="43"/>
      <c r="Y513" s="50"/>
      <c r="Z513" s="43"/>
      <c r="AA513" s="50"/>
      <c r="AB513" s="43"/>
      <c r="AC513" s="50"/>
      <c r="AD513" s="43"/>
      <c r="AE513" s="50"/>
      <c r="AF513" s="43"/>
      <c r="AG513" s="50"/>
      <c r="AH513" s="43"/>
      <c r="AI513" s="50"/>
      <c r="AJ513" s="43"/>
      <c r="AK513" s="50"/>
      <c r="AL513" s="43"/>
      <c r="AM513" s="50"/>
      <c r="AO513" s="43"/>
      <c r="AP513" s="46"/>
      <c r="AQ513" s="43"/>
      <c r="AR513" s="119"/>
      <c r="AS513" s="1"/>
      <c r="AT513" s="1"/>
    </row>
    <row r="514">
      <c r="A514" s="43"/>
      <c r="B514" s="59" t="str">
        <f>IFERROR(HYPERLINK(VLOOKUP(A514,Internal_lists_bugs!$A$2:$C$73,3,FALSE()), VLOOKUP(A514,Internal_lists_bugs!$A$2:$C$73,3,FALSE())&amp;Char(10) &amp; Char(10) &amp; VLOOKUP(A514,Internal_lists_bugs!$A$2:$Z$73,26,FALSE())),"please select a BUG ID")</f>
        <v>please select a BUG ID</v>
      </c>
      <c r="C514" s="51" t="str">
        <f>IFERROR(VLOOKUP(A514,Internal_lists_bugs!$A$2:$G2003,7,FALSE()),"please select a BUG ID")</f>
        <v>please select a BUG ID</v>
      </c>
      <c r="D514" s="43"/>
      <c r="E514" s="63"/>
      <c r="F514" s="43"/>
      <c r="G514" s="63"/>
      <c r="H514" s="43"/>
      <c r="I514" s="63"/>
      <c r="J514" s="43"/>
      <c r="K514" s="50"/>
      <c r="L514" s="43"/>
      <c r="M514" s="50"/>
      <c r="N514" s="43"/>
      <c r="O514" s="50"/>
      <c r="P514" s="43"/>
      <c r="Q514" s="50"/>
      <c r="R514" s="43"/>
      <c r="S514" s="50"/>
      <c r="T514" s="43"/>
      <c r="U514" s="50"/>
      <c r="V514" s="43"/>
      <c r="W514" s="50"/>
      <c r="X514" s="43"/>
      <c r="Y514" s="50"/>
      <c r="Z514" s="43"/>
      <c r="AA514" s="50"/>
      <c r="AB514" s="43"/>
      <c r="AC514" s="50"/>
      <c r="AD514" s="43"/>
      <c r="AE514" s="50"/>
      <c r="AF514" s="43"/>
      <c r="AG514" s="50"/>
      <c r="AH514" s="43"/>
      <c r="AI514" s="50"/>
      <c r="AJ514" s="43"/>
      <c r="AK514" s="50"/>
      <c r="AL514" s="43"/>
      <c r="AM514" s="50"/>
      <c r="AO514" s="43"/>
      <c r="AP514" s="46"/>
      <c r="AQ514" s="43"/>
      <c r="AR514" s="119"/>
      <c r="AS514" s="1"/>
      <c r="AT514" s="1"/>
    </row>
    <row r="515">
      <c r="A515" s="43"/>
      <c r="B515" s="59" t="str">
        <f>IFERROR(HYPERLINK(VLOOKUP(A515,Internal_lists_bugs!$A$2:$C$73,3,FALSE()), VLOOKUP(A515,Internal_lists_bugs!$A$2:$C$73,3,FALSE())&amp;Char(10) &amp; Char(10) &amp; VLOOKUP(A515,Internal_lists_bugs!$A$2:$Z$73,26,FALSE())),"please select a BUG ID")</f>
        <v>please select a BUG ID</v>
      </c>
      <c r="C515" s="51" t="str">
        <f>IFERROR(VLOOKUP(A515,Internal_lists_bugs!$A$2:$G2003,7,FALSE()),"please select a BUG ID")</f>
        <v>please select a BUG ID</v>
      </c>
      <c r="D515" s="43"/>
      <c r="E515" s="63"/>
      <c r="F515" s="43"/>
      <c r="G515" s="63"/>
      <c r="H515" s="43"/>
      <c r="I515" s="63"/>
      <c r="J515" s="43"/>
      <c r="K515" s="50"/>
      <c r="L515" s="43"/>
      <c r="M515" s="50"/>
      <c r="N515" s="43"/>
      <c r="O515" s="50"/>
      <c r="P515" s="43"/>
      <c r="Q515" s="50"/>
      <c r="R515" s="43"/>
      <c r="S515" s="50"/>
      <c r="T515" s="43"/>
      <c r="U515" s="50"/>
      <c r="V515" s="43"/>
      <c r="W515" s="50"/>
      <c r="X515" s="43"/>
      <c r="Y515" s="50"/>
      <c r="Z515" s="43"/>
      <c r="AA515" s="50"/>
      <c r="AB515" s="43"/>
      <c r="AC515" s="50"/>
      <c r="AD515" s="43"/>
      <c r="AE515" s="50"/>
      <c r="AF515" s="43"/>
      <c r="AG515" s="50"/>
      <c r="AH515" s="43"/>
      <c r="AI515" s="50"/>
      <c r="AJ515" s="43"/>
      <c r="AK515" s="50"/>
      <c r="AL515" s="43"/>
      <c r="AM515" s="50"/>
      <c r="AO515" s="43"/>
      <c r="AP515" s="46"/>
      <c r="AQ515" s="43"/>
      <c r="AR515" s="119"/>
      <c r="AS515" s="1"/>
      <c r="AT515" s="1"/>
    </row>
    <row r="516">
      <c r="A516" s="43"/>
      <c r="B516" s="59" t="str">
        <f>IFERROR(HYPERLINK(VLOOKUP(A516,Internal_lists_bugs!$A$2:$C$73,3,FALSE()), VLOOKUP(A516,Internal_lists_bugs!$A$2:$C$73,3,FALSE())&amp;Char(10) &amp; Char(10) &amp; VLOOKUP(A516,Internal_lists_bugs!$A$2:$Z$73,26,FALSE())),"please select a BUG ID")</f>
        <v>please select a BUG ID</v>
      </c>
      <c r="C516" s="51" t="str">
        <f>IFERROR(VLOOKUP(A516,Internal_lists_bugs!$A$2:$G2003,7,FALSE()),"please select a BUG ID")</f>
        <v>please select a BUG ID</v>
      </c>
      <c r="D516" s="43"/>
      <c r="E516" s="63"/>
      <c r="F516" s="43"/>
      <c r="G516" s="63"/>
      <c r="H516" s="43"/>
      <c r="I516" s="63"/>
      <c r="J516" s="43"/>
      <c r="K516" s="50"/>
      <c r="L516" s="43"/>
      <c r="M516" s="50"/>
      <c r="N516" s="43"/>
      <c r="O516" s="50"/>
      <c r="P516" s="43"/>
      <c r="Q516" s="50"/>
      <c r="R516" s="43"/>
      <c r="S516" s="50"/>
      <c r="T516" s="43"/>
      <c r="U516" s="50"/>
      <c r="V516" s="43"/>
      <c r="W516" s="50"/>
      <c r="X516" s="43"/>
      <c r="Y516" s="50"/>
      <c r="Z516" s="43"/>
      <c r="AA516" s="50"/>
      <c r="AB516" s="43"/>
      <c r="AC516" s="50"/>
      <c r="AD516" s="43"/>
      <c r="AE516" s="50"/>
      <c r="AF516" s="43"/>
      <c r="AG516" s="50"/>
      <c r="AH516" s="43"/>
      <c r="AI516" s="50"/>
      <c r="AJ516" s="43"/>
      <c r="AK516" s="50"/>
      <c r="AL516" s="43"/>
      <c r="AM516" s="50"/>
      <c r="AO516" s="43"/>
      <c r="AP516" s="46"/>
      <c r="AQ516" s="43"/>
      <c r="AR516" s="119"/>
      <c r="AS516" s="1"/>
      <c r="AT516" s="1"/>
    </row>
    <row r="517">
      <c r="A517" s="43"/>
      <c r="B517" s="59" t="str">
        <f>IFERROR(HYPERLINK(VLOOKUP(A517,Internal_lists_bugs!$A$2:$C$73,3,FALSE()), VLOOKUP(A517,Internal_lists_bugs!$A$2:$C$73,3,FALSE())&amp;Char(10) &amp; Char(10) &amp; VLOOKUP(A517,Internal_lists_bugs!$A$2:$Z$73,26,FALSE())),"please select a BUG ID")</f>
        <v>please select a BUG ID</v>
      </c>
      <c r="C517" s="51" t="str">
        <f>IFERROR(VLOOKUP(A517,Internal_lists_bugs!$A$2:$G2003,7,FALSE()),"please select a BUG ID")</f>
        <v>please select a BUG ID</v>
      </c>
      <c r="D517" s="43"/>
      <c r="E517" s="63"/>
      <c r="F517" s="43"/>
      <c r="G517" s="63"/>
      <c r="H517" s="43"/>
      <c r="I517" s="63"/>
      <c r="J517" s="43"/>
      <c r="K517" s="50"/>
      <c r="L517" s="43"/>
      <c r="M517" s="50"/>
      <c r="N517" s="43"/>
      <c r="O517" s="50"/>
      <c r="P517" s="43"/>
      <c r="Q517" s="50"/>
      <c r="R517" s="43"/>
      <c r="S517" s="50"/>
      <c r="T517" s="43"/>
      <c r="U517" s="50"/>
      <c r="V517" s="43"/>
      <c r="W517" s="50"/>
      <c r="X517" s="43"/>
      <c r="Y517" s="50"/>
      <c r="Z517" s="43"/>
      <c r="AA517" s="50"/>
      <c r="AB517" s="43"/>
      <c r="AC517" s="50"/>
      <c r="AD517" s="43"/>
      <c r="AE517" s="50"/>
      <c r="AF517" s="43"/>
      <c r="AG517" s="50"/>
      <c r="AH517" s="43"/>
      <c r="AI517" s="50"/>
      <c r="AJ517" s="43"/>
      <c r="AK517" s="50"/>
      <c r="AL517" s="43"/>
      <c r="AM517" s="50"/>
      <c r="AO517" s="43"/>
      <c r="AP517" s="46"/>
      <c r="AQ517" s="43"/>
      <c r="AR517" s="119"/>
      <c r="AS517" s="1"/>
      <c r="AT517" s="1"/>
    </row>
    <row r="518">
      <c r="A518" s="43"/>
      <c r="B518" s="59" t="str">
        <f>IFERROR(HYPERLINK(VLOOKUP(A518,Internal_lists_bugs!$A$2:$C$73,3,FALSE()), VLOOKUP(A518,Internal_lists_bugs!$A$2:$C$73,3,FALSE())&amp;Char(10) &amp; Char(10) &amp; VLOOKUP(A518,Internal_lists_bugs!$A$2:$Z$73,26,FALSE())),"please select a BUG ID")</f>
        <v>please select a BUG ID</v>
      </c>
      <c r="C518" s="51" t="str">
        <f>IFERROR(VLOOKUP(A518,Internal_lists_bugs!$A$2:$G2003,7,FALSE()),"please select a BUG ID")</f>
        <v>please select a BUG ID</v>
      </c>
      <c r="D518" s="43"/>
      <c r="E518" s="63"/>
      <c r="F518" s="43"/>
      <c r="G518" s="63"/>
      <c r="H518" s="43"/>
      <c r="I518" s="63"/>
      <c r="J518" s="43"/>
      <c r="K518" s="50"/>
      <c r="L518" s="43"/>
      <c r="M518" s="50"/>
      <c r="N518" s="43"/>
      <c r="O518" s="50"/>
      <c r="P518" s="43"/>
      <c r="Q518" s="50"/>
      <c r="R518" s="43"/>
      <c r="S518" s="50"/>
      <c r="T518" s="43"/>
      <c r="U518" s="50"/>
      <c r="V518" s="43"/>
      <c r="W518" s="50"/>
      <c r="X518" s="43"/>
      <c r="Y518" s="50"/>
      <c r="Z518" s="43"/>
      <c r="AA518" s="50"/>
      <c r="AB518" s="43"/>
      <c r="AC518" s="50"/>
      <c r="AD518" s="43"/>
      <c r="AE518" s="50"/>
      <c r="AF518" s="43"/>
      <c r="AG518" s="50"/>
      <c r="AH518" s="43"/>
      <c r="AI518" s="50"/>
      <c r="AJ518" s="43"/>
      <c r="AK518" s="50"/>
      <c r="AL518" s="43"/>
      <c r="AM518" s="50"/>
      <c r="AO518" s="43"/>
      <c r="AP518" s="46"/>
      <c r="AQ518" s="43"/>
      <c r="AR518" s="119"/>
      <c r="AS518" s="1"/>
      <c r="AT518" s="1"/>
    </row>
    <row r="519">
      <c r="A519" s="43"/>
      <c r="B519" s="59" t="str">
        <f>IFERROR(HYPERLINK(VLOOKUP(A519,Internal_lists_bugs!$A$2:$C$73,3,FALSE()), VLOOKUP(A519,Internal_lists_bugs!$A$2:$C$73,3,FALSE())&amp;Char(10) &amp; Char(10) &amp; VLOOKUP(A519,Internal_lists_bugs!$A$2:$Z$73,26,FALSE())),"please select a BUG ID")</f>
        <v>please select a BUG ID</v>
      </c>
      <c r="C519" s="51" t="str">
        <f>IFERROR(VLOOKUP(A519,Internal_lists_bugs!$A$2:$G2003,7,FALSE()),"please select a BUG ID")</f>
        <v>please select a BUG ID</v>
      </c>
      <c r="D519" s="43"/>
      <c r="E519" s="63"/>
      <c r="F519" s="43"/>
      <c r="G519" s="63"/>
      <c r="H519" s="43"/>
      <c r="I519" s="63"/>
      <c r="J519" s="43"/>
      <c r="K519" s="50"/>
      <c r="L519" s="43"/>
      <c r="M519" s="50"/>
      <c r="N519" s="43"/>
      <c r="O519" s="50"/>
      <c r="P519" s="43"/>
      <c r="Q519" s="50"/>
      <c r="R519" s="43"/>
      <c r="S519" s="50"/>
      <c r="T519" s="43"/>
      <c r="U519" s="50"/>
      <c r="V519" s="43"/>
      <c r="W519" s="50"/>
      <c r="X519" s="43"/>
      <c r="Y519" s="50"/>
      <c r="Z519" s="43"/>
      <c r="AA519" s="50"/>
      <c r="AB519" s="43"/>
      <c r="AC519" s="50"/>
      <c r="AD519" s="43"/>
      <c r="AE519" s="50"/>
      <c r="AF519" s="43"/>
      <c r="AG519" s="50"/>
      <c r="AH519" s="43"/>
      <c r="AI519" s="50"/>
      <c r="AJ519" s="43"/>
      <c r="AK519" s="50"/>
      <c r="AL519" s="43"/>
      <c r="AM519" s="50"/>
      <c r="AO519" s="43"/>
      <c r="AP519" s="46"/>
      <c r="AQ519" s="43"/>
      <c r="AR519" s="119"/>
      <c r="AS519" s="1"/>
      <c r="AT519" s="1"/>
    </row>
    <row r="520">
      <c r="A520" s="43"/>
      <c r="B520" s="59" t="str">
        <f>IFERROR(HYPERLINK(VLOOKUP(A520,Internal_lists_bugs!$A$2:$C$73,3,FALSE()), VLOOKUP(A520,Internal_lists_bugs!$A$2:$C$73,3,FALSE())&amp;Char(10) &amp; Char(10) &amp; VLOOKUP(A520,Internal_lists_bugs!$A$2:$Z$73,26,FALSE())),"please select a BUG ID")</f>
        <v>please select a BUG ID</v>
      </c>
      <c r="C520" s="51" t="str">
        <f>IFERROR(VLOOKUP(A520,Internal_lists_bugs!$A$2:$G2003,7,FALSE()),"please select a BUG ID")</f>
        <v>please select a BUG ID</v>
      </c>
      <c r="D520" s="43"/>
      <c r="E520" s="63"/>
      <c r="F520" s="43"/>
      <c r="G520" s="63"/>
      <c r="H520" s="43"/>
      <c r="I520" s="63"/>
      <c r="J520" s="43"/>
      <c r="K520" s="50"/>
      <c r="L520" s="43"/>
      <c r="M520" s="50"/>
      <c r="N520" s="43"/>
      <c r="O520" s="50"/>
      <c r="P520" s="43"/>
      <c r="Q520" s="50"/>
      <c r="R520" s="43"/>
      <c r="S520" s="50"/>
      <c r="T520" s="43"/>
      <c r="U520" s="50"/>
      <c r="V520" s="43"/>
      <c r="W520" s="50"/>
      <c r="X520" s="43"/>
      <c r="Y520" s="50"/>
      <c r="Z520" s="43"/>
      <c r="AA520" s="50"/>
      <c r="AB520" s="43"/>
      <c r="AC520" s="50"/>
      <c r="AD520" s="43"/>
      <c r="AE520" s="50"/>
      <c r="AF520" s="43"/>
      <c r="AG520" s="50"/>
      <c r="AH520" s="43"/>
      <c r="AI520" s="50"/>
      <c r="AJ520" s="43"/>
      <c r="AK520" s="50"/>
      <c r="AL520" s="43"/>
      <c r="AM520" s="50"/>
      <c r="AO520" s="43"/>
      <c r="AP520" s="46"/>
      <c r="AQ520" s="43"/>
      <c r="AR520" s="119"/>
      <c r="AS520" s="1"/>
      <c r="AT520" s="1"/>
    </row>
    <row r="521">
      <c r="A521" s="43"/>
      <c r="B521" s="59" t="str">
        <f>IFERROR(HYPERLINK(VLOOKUP(A521,Internal_lists_bugs!$A$2:$C$73,3,FALSE()), VLOOKUP(A521,Internal_lists_bugs!$A$2:$C$73,3,FALSE())&amp;Char(10) &amp; Char(10) &amp; VLOOKUP(A521,Internal_lists_bugs!$A$2:$Z$73,26,FALSE())),"please select a BUG ID")</f>
        <v>please select a BUG ID</v>
      </c>
      <c r="C521" s="51" t="str">
        <f>IFERROR(VLOOKUP(A521,Internal_lists_bugs!$A$2:$G2003,7,FALSE()),"please select a BUG ID")</f>
        <v>please select a BUG ID</v>
      </c>
      <c r="D521" s="43"/>
      <c r="E521" s="63"/>
      <c r="F521" s="43"/>
      <c r="G521" s="63"/>
      <c r="H521" s="43"/>
      <c r="I521" s="63"/>
      <c r="J521" s="43"/>
      <c r="K521" s="50"/>
      <c r="L521" s="43"/>
      <c r="M521" s="50"/>
      <c r="N521" s="43"/>
      <c r="O521" s="50"/>
      <c r="P521" s="43"/>
      <c r="Q521" s="50"/>
      <c r="R521" s="43"/>
      <c r="S521" s="50"/>
      <c r="T521" s="43"/>
      <c r="U521" s="50"/>
      <c r="V521" s="43"/>
      <c r="W521" s="50"/>
      <c r="X521" s="43"/>
      <c r="Y521" s="50"/>
      <c r="Z521" s="43"/>
      <c r="AA521" s="50"/>
      <c r="AB521" s="43"/>
      <c r="AC521" s="50"/>
      <c r="AD521" s="43"/>
      <c r="AE521" s="50"/>
      <c r="AF521" s="43"/>
      <c r="AG521" s="50"/>
      <c r="AH521" s="43"/>
      <c r="AI521" s="50"/>
      <c r="AJ521" s="43"/>
      <c r="AK521" s="50"/>
      <c r="AL521" s="43"/>
      <c r="AM521" s="50"/>
      <c r="AO521" s="43"/>
      <c r="AP521" s="46"/>
      <c r="AQ521" s="43"/>
      <c r="AR521" s="119"/>
      <c r="AS521" s="1"/>
      <c r="AT521" s="1"/>
    </row>
    <row r="522">
      <c r="A522" s="43"/>
      <c r="B522" s="59" t="str">
        <f>IFERROR(HYPERLINK(VLOOKUP(A522,Internal_lists_bugs!$A$2:$C$73,3,FALSE()), VLOOKUP(A522,Internal_lists_bugs!$A$2:$C$73,3,FALSE())&amp;Char(10) &amp; Char(10) &amp; VLOOKUP(A522,Internal_lists_bugs!$A$2:$Z$73,26,FALSE())),"please select a BUG ID")</f>
        <v>please select a BUG ID</v>
      </c>
      <c r="C522" s="51" t="str">
        <f>IFERROR(VLOOKUP(A522,Internal_lists_bugs!$A$2:$G2003,7,FALSE()),"please select a BUG ID")</f>
        <v>please select a BUG ID</v>
      </c>
      <c r="D522" s="43"/>
      <c r="E522" s="63"/>
      <c r="F522" s="43"/>
      <c r="G522" s="63"/>
      <c r="H522" s="43"/>
      <c r="I522" s="63"/>
      <c r="J522" s="43"/>
      <c r="K522" s="50"/>
      <c r="L522" s="43"/>
      <c r="M522" s="50"/>
      <c r="N522" s="43"/>
      <c r="O522" s="50"/>
      <c r="P522" s="43"/>
      <c r="Q522" s="50"/>
      <c r="R522" s="43"/>
      <c r="S522" s="50"/>
      <c r="T522" s="43"/>
      <c r="U522" s="50"/>
      <c r="V522" s="43"/>
      <c r="W522" s="50"/>
      <c r="X522" s="43"/>
      <c r="Y522" s="50"/>
      <c r="Z522" s="43"/>
      <c r="AA522" s="50"/>
      <c r="AB522" s="43"/>
      <c r="AC522" s="50"/>
      <c r="AD522" s="43"/>
      <c r="AE522" s="50"/>
      <c r="AF522" s="43"/>
      <c r="AG522" s="50"/>
      <c r="AH522" s="43"/>
      <c r="AI522" s="50"/>
      <c r="AJ522" s="43"/>
      <c r="AK522" s="50"/>
      <c r="AL522" s="43"/>
      <c r="AM522" s="50"/>
      <c r="AO522" s="43"/>
      <c r="AP522" s="46"/>
      <c r="AQ522" s="43"/>
      <c r="AR522" s="119"/>
      <c r="AS522" s="1"/>
      <c r="AT522" s="1"/>
    </row>
    <row r="523">
      <c r="A523" s="43"/>
      <c r="B523" s="59" t="str">
        <f>IFERROR(HYPERLINK(VLOOKUP(A523,Internal_lists_bugs!$A$2:$C$73,3,FALSE()), VLOOKUP(A523,Internal_lists_bugs!$A$2:$C$73,3,FALSE())&amp;Char(10) &amp; Char(10) &amp; VLOOKUP(A523,Internal_lists_bugs!$A$2:$Z$73,26,FALSE())),"please select a BUG ID")</f>
        <v>please select a BUG ID</v>
      </c>
      <c r="C523" s="51" t="str">
        <f>IFERROR(VLOOKUP(A523,Internal_lists_bugs!$A$2:$G2003,7,FALSE()),"please select a BUG ID")</f>
        <v>please select a BUG ID</v>
      </c>
      <c r="D523" s="43"/>
      <c r="E523" s="63"/>
      <c r="F523" s="43"/>
      <c r="G523" s="63"/>
      <c r="H523" s="43"/>
      <c r="I523" s="63"/>
      <c r="J523" s="43"/>
      <c r="K523" s="50"/>
      <c r="L523" s="43"/>
      <c r="M523" s="50"/>
      <c r="N523" s="43"/>
      <c r="O523" s="50"/>
      <c r="P523" s="43"/>
      <c r="Q523" s="50"/>
      <c r="R523" s="43"/>
      <c r="S523" s="50"/>
      <c r="T523" s="43"/>
      <c r="U523" s="50"/>
      <c r="V523" s="43"/>
      <c r="W523" s="50"/>
      <c r="X523" s="43"/>
      <c r="Y523" s="50"/>
      <c r="Z523" s="43"/>
      <c r="AA523" s="50"/>
      <c r="AB523" s="43"/>
      <c r="AC523" s="50"/>
      <c r="AD523" s="43"/>
      <c r="AE523" s="50"/>
      <c r="AF523" s="43"/>
      <c r="AG523" s="50"/>
      <c r="AH523" s="43"/>
      <c r="AI523" s="50"/>
      <c r="AJ523" s="43"/>
      <c r="AK523" s="50"/>
      <c r="AL523" s="43"/>
      <c r="AM523" s="50"/>
      <c r="AO523" s="43"/>
      <c r="AP523" s="46"/>
      <c r="AQ523" s="43"/>
      <c r="AR523" s="119"/>
      <c r="AS523" s="1"/>
      <c r="AT523" s="1"/>
    </row>
    <row r="524">
      <c r="A524" s="43"/>
      <c r="B524" s="59" t="str">
        <f>IFERROR(HYPERLINK(VLOOKUP(A524,Internal_lists_bugs!$A$2:$C$73,3,FALSE()), VLOOKUP(A524,Internal_lists_bugs!$A$2:$C$73,3,FALSE())&amp;Char(10) &amp; Char(10) &amp; VLOOKUP(A524,Internal_lists_bugs!$A$2:$Z$73,26,FALSE())),"please select a BUG ID")</f>
        <v>please select a BUG ID</v>
      </c>
      <c r="C524" s="51" t="str">
        <f>IFERROR(VLOOKUP(A524,Internal_lists_bugs!$A$2:$G2003,7,FALSE()),"please select a BUG ID")</f>
        <v>please select a BUG ID</v>
      </c>
      <c r="D524" s="43"/>
      <c r="E524" s="63"/>
      <c r="F524" s="43"/>
      <c r="G524" s="63"/>
      <c r="H524" s="43"/>
      <c r="I524" s="63"/>
      <c r="J524" s="43"/>
      <c r="K524" s="50"/>
      <c r="L524" s="43"/>
      <c r="M524" s="50"/>
      <c r="N524" s="43"/>
      <c r="O524" s="50"/>
      <c r="P524" s="43"/>
      <c r="Q524" s="50"/>
      <c r="R524" s="43"/>
      <c r="S524" s="50"/>
      <c r="T524" s="43"/>
      <c r="U524" s="50"/>
      <c r="V524" s="43"/>
      <c r="W524" s="50"/>
      <c r="X524" s="43"/>
      <c r="Y524" s="50"/>
      <c r="Z524" s="43"/>
      <c r="AA524" s="50"/>
      <c r="AB524" s="43"/>
      <c r="AC524" s="50"/>
      <c r="AD524" s="43"/>
      <c r="AE524" s="50"/>
      <c r="AF524" s="43"/>
      <c r="AG524" s="50"/>
      <c r="AH524" s="43"/>
      <c r="AI524" s="50"/>
      <c r="AJ524" s="43"/>
      <c r="AK524" s="50"/>
      <c r="AL524" s="43"/>
      <c r="AM524" s="50"/>
      <c r="AO524" s="43"/>
      <c r="AP524" s="46"/>
      <c r="AQ524" s="43"/>
      <c r="AR524" s="119"/>
      <c r="AS524" s="1"/>
      <c r="AT524" s="1"/>
    </row>
    <row r="525">
      <c r="A525" s="43"/>
      <c r="B525" s="59" t="str">
        <f>IFERROR(HYPERLINK(VLOOKUP(A525,Internal_lists_bugs!$A$2:$C$73,3,FALSE()), VLOOKUP(A525,Internal_lists_bugs!$A$2:$C$73,3,FALSE())&amp;Char(10) &amp; Char(10) &amp; VLOOKUP(A525,Internal_lists_bugs!$A$2:$Z$73,26,FALSE())),"please select a BUG ID")</f>
        <v>please select a BUG ID</v>
      </c>
      <c r="C525" s="51" t="str">
        <f>IFERROR(VLOOKUP(A525,Internal_lists_bugs!$A$2:$G2003,7,FALSE()),"please select a BUG ID")</f>
        <v>please select a BUG ID</v>
      </c>
      <c r="D525" s="43"/>
      <c r="E525" s="63"/>
      <c r="F525" s="43"/>
      <c r="G525" s="63"/>
      <c r="H525" s="43"/>
      <c r="I525" s="63"/>
      <c r="J525" s="43"/>
      <c r="K525" s="50"/>
      <c r="L525" s="43"/>
      <c r="M525" s="50"/>
      <c r="N525" s="43"/>
      <c r="O525" s="50"/>
      <c r="P525" s="43"/>
      <c r="Q525" s="50"/>
      <c r="R525" s="43"/>
      <c r="S525" s="50"/>
      <c r="T525" s="43"/>
      <c r="U525" s="50"/>
      <c r="V525" s="43"/>
      <c r="W525" s="50"/>
      <c r="X525" s="43"/>
      <c r="Y525" s="50"/>
      <c r="Z525" s="43"/>
      <c r="AA525" s="50"/>
      <c r="AB525" s="43"/>
      <c r="AC525" s="50"/>
      <c r="AD525" s="43"/>
      <c r="AE525" s="50"/>
      <c r="AF525" s="43"/>
      <c r="AG525" s="50"/>
      <c r="AH525" s="43"/>
      <c r="AI525" s="50"/>
      <c r="AJ525" s="43"/>
      <c r="AK525" s="50"/>
      <c r="AL525" s="43"/>
      <c r="AM525" s="50"/>
      <c r="AO525" s="43"/>
      <c r="AP525" s="46"/>
      <c r="AQ525" s="43"/>
      <c r="AR525" s="119"/>
      <c r="AS525" s="1"/>
      <c r="AT525" s="1"/>
    </row>
    <row r="526">
      <c r="A526" s="43"/>
      <c r="B526" s="59" t="str">
        <f>IFERROR(HYPERLINK(VLOOKUP(A526,Internal_lists_bugs!$A$2:$C$73,3,FALSE()), VLOOKUP(A526,Internal_lists_bugs!$A$2:$C$73,3,FALSE())&amp;Char(10) &amp; Char(10) &amp; VLOOKUP(A526,Internal_lists_bugs!$A$2:$Z$73,26,FALSE())),"please select a BUG ID")</f>
        <v>please select a BUG ID</v>
      </c>
      <c r="C526" s="51" t="str">
        <f>IFERROR(VLOOKUP(A526,Internal_lists_bugs!$A$2:$G2003,7,FALSE()),"please select a BUG ID")</f>
        <v>please select a BUG ID</v>
      </c>
      <c r="D526" s="43"/>
      <c r="E526" s="63"/>
      <c r="F526" s="43"/>
      <c r="G526" s="63"/>
      <c r="H526" s="43"/>
      <c r="I526" s="63"/>
      <c r="J526" s="43"/>
      <c r="K526" s="50"/>
      <c r="L526" s="43"/>
      <c r="M526" s="50"/>
      <c r="N526" s="43"/>
      <c r="O526" s="50"/>
      <c r="P526" s="43"/>
      <c r="Q526" s="50"/>
      <c r="R526" s="43"/>
      <c r="S526" s="50"/>
      <c r="T526" s="43"/>
      <c r="U526" s="50"/>
      <c r="V526" s="43"/>
      <c r="W526" s="50"/>
      <c r="X526" s="43"/>
      <c r="Y526" s="50"/>
      <c r="Z526" s="43"/>
      <c r="AA526" s="50"/>
      <c r="AB526" s="43"/>
      <c r="AC526" s="50"/>
      <c r="AD526" s="43"/>
      <c r="AE526" s="50"/>
      <c r="AF526" s="43"/>
      <c r="AG526" s="50"/>
      <c r="AH526" s="43"/>
      <c r="AI526" s="50"/>
      <c r="AJ526" s="43"/>
      <c r="AK526" s="50"/>
      <c r="AL526" s="43"/>
      <c r="AM526" s="50"/>
      <c r="AO526" s="43"/>
      <c r="AP526" s="46"/>
      <c r="AQ526" s="43"/>
      <c r="AR526" s="119"/>
      <c r="AS526" s="1"/>
      <c r="AT526" s="1"/>
    </row>
    <row r="527">
      <c r="A527" s="43"/>
      <c r="B527" s="59" t="str">
        <f>IFERROR(HYPERLINK(VLOOKUP(A527,Internal_lists_bugs!$A$2:$C$73,3,FALSE()), VLOOKUP(A527,Internal_lists_bugs!$A$2:$C$73,3,FALSE())&amp;Char(10) &amp; Char(10) &amp; VLOOKUP(A527,Internal_lists_bugs!$A$2:$Z$73,26,FALSE())),"please select a BUG ID")</f>
        <v>please select a BUG ID</v>
      </c>
      <c r="C527" s="51" t="str">
        <f>IFERROR(VLOOKUP(A527,Internal_lists_bugs!$A$2:$G2003,7,FALSE()),"please select a BUG ID")</f>
        <v>please select a BUG ID</v>
      </c>
      <c r="D527" s="43"/>
      <c r="E527" s="63"/>
      <c r="F527" s="43"/>
      <c r="G527" s="63"/>
      <c r="H527" s="43"/>
      <c r="I527" s="63"/>
      <c r="J527" s="43"/>
      <c r="K527" s="50"/>
      <c r="L527" s="43"/>
      <c r="M527" s="50"/>
      <c r="N527" s="43"/>
      <c r="O527" s="50"/>
      <c r="P527" s="43"/>
      <c r="Q527" s="50"/>
      <c r="R527" s="43"/>
      <c r="S527" s="50"/>
      <c r="T527" s="43"/>
      <c r="U527" s="50"/>
      <c r="V527" s="43"/>
      <c r="W527" s="50"/>
      <c r="X527" s="43"/>
      <c r="Y527" s="50"/>
      <c r="Z527" s="43"/>
      <c r="AA527" s="50"/>
      <c r="AB527" s="43"/>
      <c r="AC527" s="50"/>
      <c r="AD527" s="43"/>
      <c r="AE527" s="50"/>
      <c r="AF527" s="43"/>
      <c r="AG527" s="50"/>
      <c r="AH527" s="43"/>
      <c r="AI527" s="50"/>
      <c r="AJ527" s="43"/>
      <c r="AK527" s="50"/>
      <c r="AL527" s="43"/>
      <c r="AM527" s="50"/>
      <c r="AO527" s="43"/>
      <c r="AP527" s="46"/>
      <c r="AQ527" s="43"/>
      <c r="AR527" s="119"/>
      <c r="AS527" s="1"/>
      <c r="AT527" s="1"/>
    </row>
    <row r="528">
      <c r="A528" s="43"/>
      <c r="B528" s="59" t="str">
        <f>IFERROR(HYPERLINK(VLOOKUP(A528,Internal_lists_bugs!$A$2:$C$73,3,FALSE()), VLOOKUP(A528,Internal_lists_bugs!$A$2:$C$73,3,FALSE())&amp;Char(10) &amp; Char(10) &amp; VLOOKUP(A528,Internal_lists_bugs!$A$2:$Z$73,26,FALSE())),"please select a BUG ID")</f>
        <v>please select a BUG ID</v>
      </c>
      <c r="C528" s="51" t="str">
        <f>IFERROR(VLOOKUP(A528,Internal_lists_bugs!$A$2:$G2003,7,FALSE()),"please select a BUG ID")</f>
        <v>please select a BUG ID</v>
      </c>
      <c r="D528" s="43"/>
      <c r="E528" s="63"/>
      <c r="F528" s="43"/>
      <c r="G528" s="63"/>
      <c r="H528" s="43"/>
      <c r="I528" s="63"/>
      <c r="J528" s="43"/>
      <c r="K528" s="50"/>
      <c r="L528" s="43"/>
      <c r="M528" s="50"/>
      <c r="N528" s="43"/>
      <c r="O528" s="50"/>
      <c r="P528" s="43"/>
      <c r="Q528" s="50"/>
      <c r="R528" s="43"/>
      <c r="S528" s="50"/>
      <c r="T528" s="43"/>
      <c r="U528" s="50"/>
      <c r="V528" s="43"/>
      <c r="W528" s="50"/>
      <c r="X528" s="43"/>
      <c r="Y528" s="50"/>
      <c r="Z528" s="43"/>
      <c r="AA528" s="50"/>
      <c r="AB528" s="43"/>
      <c r="AC528" s="50"/>
      <c r="AD528" s="43"/>
      <c r="AE528" s="50"/>
      <c r="AF528" s="43"/>
      <c r="AG528" s="50"/>
      <c r="AH528" s="43"/>
      <c r="AI528" s="50"/>
      <c r="AJ528" s="43"/>
      <c r="AK528" s="50"/>
      <c r="AL528" s="43"/>
      <c r="AM528" s="50"/>
      <c r="AO528" s="43"/>
      <c r="AP528" s="46"/>
      <c r="AQ528" s="43"/>
      <c r="AR528" s="119"/>
      <c r="AS528" s="1"/>
      <c r="AT528" s="1"/>
    </row>
    <row r="529">
      <c r="A529" s="43"/>
      <c r="B529" s="59" t="str">
        <f>IFERROR(HYPERLINK(VLOOKUP(A529,Internal_lists_bugs!$A$2:$C$73,3,FALSE()), VLOOKUP(A529,Internal_lists_bugs!$A$2:$C$73,3,FALSE())&amp;Char(10) &amp; Char(10) &amp; VLOOKUP(A529,Internal_lists_bugs!$A$2:$Z$73,26,FALSE())),"please select a BUG ID")</f>
        <v>please select a BUG ID</v>
      </c>
      <c r="C529" s="51" t="str">
        <f>IFERROR(VLOOKUP(A529,Internal_lists_bugs!$A$2:$G2003,7,FALSE()),"please select a BUG ID")</f>
        <v>please select a BUG ID</v>
      </c>
      <c r="D529" s="43"/>
      <c r="E529" s="63"/>
      <c r="F529" s="43"/>
      <c r="G529" s="63"/>
      <c r="H529" s="43"/>
      <c r="I529" s="63"/>
      <c r="J529" s="43"/>
      <c r="K529" s="50"/>
      <c r="L529" s="43"/>
      <c r="M529" s="50"/>
      <c r="N529" s="43"/>
      <c r="O529" s="50"/>
      <c r="P529" s="43"/>
      <c r="Q529" s="50"/>
      <c r="R529" s="43"/>
      <c r="S529" s="50"/>
      <c r="T529" s="43"/>
      <c r="U529" s="50"/>
      <c r="V529" s="43"/>
      <c r="W529" s="50"/>
      <c r="X529" s="43"/>
      <c r="Y529" s="50"/>
      <c r="Z529" s="43"/>
      <c r="AA529" s="50"/>
      <c r="AB529" s="43"/>
      <c r="AC529" s="50"/>
      <c r="AD529" s="43"/>
      <c r="AE529" s="50"/>
      <c r="AF529" s="43"/>
      <c r="AG529" s="50"/>
      <c r="AH529" s="43"/>
      <c r="AI529" s="50"/>
      <c r="AJ529" s="43"/>
      <c r="AK529" s="50"/>
      <c r="AL529" s="43"/>
      <c r="AM529" s="50"/>
      <c r="AO529" s="43"/>
      <c r="AP529" s="46"/>
      <c r="AQ529" s="43"/>
      <c r="AR529" s="119"/>
      <c r="AS529" s="1"/>
      <c r="AT529" s="1"/>
    </row>
    <row r="530">
      <c r="A530" s="43"/>
      <c r="B530" s="59" t="str">
        <f>IFERROR(HYPERLINK(VLOOKUP(A530,Internal_lists_bugs!$A$2:$C$73,3,FALSE()), VLOOKUP(A530,Internal_lists_bugs!$A$2:$C$73,3,FALSE())&amp;Char(10) &amp; Char(10) &amp; VLOOKUP(A530,Internal_lists_bugs!$A$2:$Z$73,26,FALSE())),"please select a BUG ID")</f>
        <v>please select a BUG ID</v>
      </c>
      <c r="C530" s="51" t="str">
        <f>IFERROR(VLOOKUP(A530,Internal_lists_bugs!$A$2:$G2003,7,FALSE()),"please select a BUG ID")</f>
        <v>please select a BUG ID</v>
      </c>
      <c r="D530" s="43"/>
      <c r="E530" s="63"/>
      <c r="F530" s="43"/>
      <c r="G530" s="63"/>
      <c r="H530" s="43"/>
      <c r="I530" s="63"/>
      <c r="J530" s="43"/>
      <c r="K530" s="50"/>
      <c r="L530" s="43"/>
      <c r="M530" s="50"/>
      <c r="N530" s="43"/>
      <c r="O530" s="50"/>
      <c r="P530" s="43"/>
      <c r="Q530" s="50"/>
      <c r="R530" s="43"/>
      <c r="S530" s="50"/>
      <c r="T530" s="43"/>
      <c r="U530" s="50"/>
      <c r="V530" s="43"/>
      <c r="W530" s="50"/>
      <c r="X530" s="43"/>
      <c r="Y530" s="50"/>
      <c r="Z530" s="43"/>
      <c r="AA530" s="50"/>
      <c r="AB530" s="43"/>
      <c r="AC530" s="50"/>
      <c r="AD530" s="43"/>
      <c r="AE530" s="50"/>
      <c r="AF530" s="43"/>
      <c r="AG530" s="50"/>
      <c r="AH530" s="43"/>
      <c r="AI530" s="50"/>
      <c r="AJ530" s="43"/>
      <c r="AK530" s="50"/>
      <c r="AL530" s="43"/>
      <c r="AM530" s="50"/>
      <c r="AO530" s="43"/>
      <c r="AP530" s="46"/>
      <c r="AQ530" s="43"/>
      <c r="AR530" s="119"/>
      <c r="AS530" s="1"/>
      <c r="AT530" s="1"/>
    </row>
    <row r="531">
      <c r="A531" s="43"/>
      <c r="B531" s="59" t="str">
        <f>IFERROR(HYPERLINK(VLOOKUP(A531,Internal_lists_bugs!$A$2:$C$73,3,FALSE()), VLOOKUP(A531,Internal_lists_bugs!$A$2:$C$73,3,FALSE())&amp;Char(10) &amp; Char(10) &amp; VLOOKUP(A531,Internal_lists_bugs!$A$2:$Z$73,26,FALSE())),"please select a BUG ID")</f>
        <v>please select a BUG ID</v>
      </c>
      <c r="C531" s="51" t="str">
        <f>IFERROR(VLOOKUP(A531,Internal_lists_bugs!$A$2:$G2003,7,FALSE()),"please select a BUG ID")</f>
        <v>please select a BUG ID</v>
      </c>
      <c r="D531" s="43"/>
      <c r="E531" s="63"/>
      <c r="F531" s="43"/>
      <c r="G531" s="63"/>
      <c r="H531" s="43"/>
      <c r="I531" s="63"/>
      <c r="J531" s="43"/>
      <c r="K531" s="50"/>
      <c r="L531" s="43"/>
      <c r="M531" s="50"/>
      <c r="N531" s="43"/>
      <c r="O531" s="50"/>
      <c r="P531" s="43"/>
      <c r="Q531" s="50"/>
      <c r="R531" s="43"/>
      <c r="S531" s="50"/>
      <c r="T531" s="43"/>
      <c r="U531" s="50"/>
      <c r="V531" s="43"/>
      <c r="W531" s="50"/>
      <c r="X531" s="43"/>
      <c r="Y531" s="50"/>
      <c r="Z531" s="43"/>
      <c r="AA531" s="50"/>
      <c r="AB531" s="43"/>
      <c r="AC531" s="50"/>
      <c r="AD531" s="43"/>
      <c r="AE531" s="50"/>
      <c r="AF531" s="43"/>
      <c r="AG531" s="50"/>
      <c r="AH531" s="43"/>
      <c r="AI531" s="50"/>
      <c r="AJ531" s="43"/>
      <c r="AK531" s="50"/>
      <c r="AL531" s="43"/>
      <c r="AM531" s="50"/>
      <c r="AO531" s="43"/>
      <c r="AP531" s="46"/>
      <c r="AQ531" s="43"/>
      <c r="AR531" s="119"/>
      <c r="AS531" s="1"/>
      <c r="AT531" s="1"/>
    </row>
    <row r="532">
      <c r="A532" s="43"/>
      <c r="B532" s="59" t="str">
        <f>IFERROR(HYPERLINK(VLOOKUP(A532,Internal_lists_bugs!$A$2:$C$73,3,FALSE()), VLOOKUP(A532,Internal_lists_bugs!$A$2:$C$73,3,FALSE())&amp;Char(10) &amp; Char(10) &amp; VLOOKUP(A532,Internal_lists_bugs!$A$2:$Z$73,26,FALSE())),"please select a BUG ID")</f>
        <v>please select a BUG ID</v>
      </c>
      <c r="C532" s="51" t="str">
        <f>IFERROR(VLOOKUP(A532,Internal_lists_bugs!$A$2:$G2003,7,FALSE()),"please select a BUG ID")</f>
        <v>please select a BUG ID</v>
      </c>
      <c r="D532" s="43"/>
      <c r="E532" s="63"/>
      <c r="F532" s="43"/>
      <c r="G532" s="63"/>
      <c r="H532" s="43"/>
      <c r="I532" s="63"/>
      <c r="J532" s="43"/>
      <c r="K532" s="50"/>
      <c r="L532" s="43"/>
      <c r="M532" s="50"/>
      <c r="N532" s="43"/>
      <c r="O532" s="50"/>
      <c r="P532" s="43"/>
      <c r="Q532" s="50"/>
      <c r="R532" s="43"/>
      <c r="S532" s="50"/>
      <c r="T532" s="43"/>
      <c r="U532" s="50"/>
      <c r="V532" s="43"/>
      <c r="W532" s="50"/>
      <c r="X532" s="43"/>
      <c r="Y532" s="50"/>
      <c r="Z532" s="43"/>
      <c r="AA532" s="50"/>
      <c r="AB532" s="43"/>
      <c r="AC532" s="50"/>
      <c r="AD532" s="43"/>
      <c r="AE532" s="50"/>
      <c r="AF532" s="43"/>
      <c r="AG532" s="50"/>
      <c r="AH532" s="43"/>
      <c r="AI532" s="50"/>
      <c r="AJ532" s="43"/>
      <c r="AK532" s="50"/>
      <c r="AL532" s="43"/>
      <c r="AM532" s="50"/>
      <c r="AO532" s="43"/>
      <c r="AP532" s="46"/>
      <c r="AQ532" s="43"/>
      <c r="AR532" s="119"/>
      <c r="AS532" s="1"/>
      <c r="AT532" s="1"/>
    </row>
    <row r="533">
      <c r="A533" s="43"/>
      <c r="B533" s="59" t="str">
        <f>IFERROR(HYPERLINK(VLOOKUP(A533,Internal_lists_bugs!$A$2:$C$73,3,FALSE()), VLOOKUP(A533,Internal_lists_bugs!$A$2:$C$73,3,FALSE())&amp;Char(10) &amp; Char(10) &amp; VLOOKUP(A533,Internal_lists_bugs!$A$2:$Z$73,26,FALSE())),"please select a BUG ID")</f>
        <v>please select a BUG ID</v>
      </c>
      <c r="C533" s="51" t="str">
        <f>IFERROR(VLOOKUP(A533,Internal_lists_bugs!$A$2:$G2003,7,FALSE()),"please select a BUG ID")</f>
        <v>please select a BUG ID</v>
      </c>
      <c r="D533" s="43"/>
      <c r="E533" s="63"/>
      <c r="F533" s="43"/>
      <c r="G533" s="63"/>
      <c r="H533" s="43"/>
      <c r="I533" s="63"/>
      <c r="J533" s="43"/>
      <c r="K533" s="50"/>
      <c r="L533" s="43"/>
      <c r="M533" s="50"/>
      <c r="N533" s="43"/>
      <c r="O533" s="50"/>
      <c r="P533" s="43"/>
      <c r="Q533" s="50"/>
      <c r="R533" s="43"/>
      <c r="S533" s="50"/>
      <c r="T533" s="43"/>
      <c r="U533" s="50"/>
      <c r="V533" s="43"/>
      <c r="W533" s="50"/>
      <c r="X533" s="43"/>
      <c r="Y533" s="50"/>
      <c r="Z533" s="43"/>
      <c r="AA533" s="50"/>
      <c r="AB533" s="43"/>
      <c r="AC533" s="50"/>
      <c r="AD533" s="43"/>
      <c r="AE533" s="50"/>
      <c r="AF533" s="43"/>
      <c r="AG533" s="50"/>
      <c r="AH533" s="43"/>
      <c r="AI533" s="50"/>
      <c r="AJ533" s="43"/>
      <c r="AK533" s="50"/>
      <c r="AL533" s="43"/>
      <c r="AM533" s="50"/>
      <c r="AO533" s="43"/>
      <c r="AP533" s="46"/>
      <c r="AQ533" s="43"/>
      <c r="AR533" s="119"/>
      <c r="AS533" s="1"/>
      <c r="AT533" s="1"/>
    </row>
    <row r="534">
      <c r="A534" s="43"/>
      <c r="B534" s="59" t="str">
        <f>IFERROR(HYPERLINK(VLOOKUP(A534,Internal_lists_bugs!$A$2:$C$73,3,FALSE()), VLOOKUP(A534,Internal_lists_bugs!$A$2:$C$73,3,FALSE())&amp;Char(10) &amp; Char(10) &amp; VLOOKUP(A534,Internal_lists_bugs!$A$2:$Z$73,26,FALSE())),"please select a BUG ID")</f>
        <v>please select a BUG ID</v>
      </c>
      <c r="C534" s="51" t="str">
        <f>IFERROR(VLOOKUP(A534,Internal_lists_bugs!$A$2:$G2003,7,FALSE()),"please select a BUG ID")</f>
        <v>please select a BUG ID</v>
      </c>
      <c r="D534" s="43"/>
      <c r="E534" s="63"/>
      <c r="F534" s="43"/>
      <c r="G534" s="63"/>
      <c r="H534" s="43"/>
      <c r="I534" s="63"/>
      <c r="J534" s="43"/>
      <c r="K534" s="50"/>
      <c r="L534" s="43"/>
      <c r="M534" s="50"/>
      <c r="N534" s="43"/>
      <c r="O534" s="50"/>
      <c r="P534" s="43"/>
      <c r="Q534" s="50"/>
      <c r="R534" s="43"/>
      <c r="S534" s="50"/>
      <c r="T534" s="43"/>
      <c r="U534" s="50"/>
      <c r="V534" s="43"/>
      <c r="W534" s="50"/>
      <c r="X534" s="43"/>
      <c r="Y534" s="50"/>
      <c r="Z534" s="43"/>
      <c r="AA534" s="50"/>
      <c r="AB534" s="43"/>
      <c r="AC534" s="50"/>
      <c r="AD534" s="43"/>
      <c r="AE534" s="50"/>
      <c r="AF534" s="43"/>
      <c r="AG534" s="50"/>
      <c r="AH534" s="43"/>
      <c r="AI534" s="50"/>
      <c r="AJ534" s="43"/>
      <c r="AK534" s="50"/>
      <c r="AL534" s="43"/>
      <c r="AM534" s="50"/>
      <c r="AO534" s="43"/>
      <c r="AP534" s="46"/>
      <c r="AQ534" s="43"/>
      <c r="AR534" s="119"/>
      <c r="AS534" s="1"/>
      <c r="AT534" s="1"/>
    </row>
    <row r="535">
      <c r="A535" s="43"/>
      <c r="B535" s="59" t="str">
        <f>IFERROR(HYPERLINK(VLOOKUP(A535,Internal_lists_bugs!$A$2:$C$73,3,FALSE()), VLOOKUP(A535,Internal_lists_bugs!$A$2:$C$73,3,FALSE())&amp;Char(10) &amp; Char(10) &amp; VLOOKUP(A535,Internal_lists_bugs!$A$2:$Z$73,26,FALSE())),"please select a BUG ID")</f>
        <v>please select a BUG ID</v>
      </c>
      <c r="C535" s="51" t="str">
        <f>IFERROR(VLOOKUP(A535,Internal_lists_bugs!$A$2:$G2003,7,FALSE()),"please select a BUG ID")</f>
        <v>please select a BUG ID</v>
      </c>
      <c r="D535" s="43"/>
      <c r="E535" s="63"/>
      <c r="F535" s="43"/>
      <c r="G535" s="63"/>
      <c r="H535" s="43"/>
      <c r="I535" s="63"/>
      <c r="J535" s="43"/>
      <c r="K535" s="50"/>
      <c r="L535" s="43"/>
      <c r="M535" s="50"/>
      <c r="N535" s="43"/>
      <c r="O535" s="50"/>
      <c r="P535" s="43"/>
      <c r="Q535" s="50"/>
      <c r="R535" s="43"/>
      <c r="S535" s="50"/>
      <c r="T535" s="43"/>
      <c r="U535" s="50"/>
      <c r="V535" s="43"/>
      <c r="W535" s="50"/>
      <c r="X535" s="43"/>
      <c r="Y535" s="50"/>
      <c r="Z535" s="43"/>
      <c r="AA535" s="50"/>
      <c r="AB535" s="43"/>
      <c r="AC535" s="50"/>
      <c r="AD535" s="43"/>
      <c r="AE535" s="50"/>
      <c r="AF535" s="43"/>
      <c r="AG535" s="50"/>
      <c r="AH535" s="43"/>
      <c r="AI535" s="50"/>
      <c r="AJ535" s="43"/>
      <c r="AK535" s="50"/>
      <c r="AL535" s="43"/>
      <c r="AM535" s="50"/>
      <c r="AO535" s="43"/>
      <c r="AP535" s="46"/>
      <c r="AQ535" s="43"/>
      <c r="AR535" s="119"/>
      <c r="AS535" s="1"/>
      <c r="AT535" s="1"/>
    </row>
    <row r="536">
      <c r="A536" s="43"/>
      <c r="B536" s="59" t="str">
        <f>IFERROR(HYPERLINK(VLOOKUP(A536,Internal_lists_bugs!$A$2:$C$73,3,FALSE()), VLOOKUP(A536,Internal_lists_bugs!$A$2:$C$73,3,FALSE())&amp;Char(10) &amp; Char(10) &amp; VLOOKUP(A536,Internal_lists_bugs!$A$2:$Z$73,26,FALSE())),"please select a BUG ID")</f>
        <v>please select a BUG ID</v>
      </c>
      <c r="C536" s="51" t="str">
        <f>IFERROR(VLOOKUP(A536,Internal_lists_bugs!$A$2:$G2003,7,FALSE()),"please select a BUG ID")</f>
        <v>please select a BUG ID</v>
      </c>
      <c r="D536" s="43"/>
      <c r="E536" s="63"/>
      <c r="F536" s="43"/>
      <c r="G536" s="63"/>
      <c r="H536" s="43"/>
      <c r="I536" s="63"/>
      <c r="J536" s="43"/>
      <c r="K536" s="50"/>
      <c r="L536" s="43"/>
      <c r="M536" s="50"/>
      <c r="N536" s="43"/>
      <c r="O536" s="50"/>
      <c r="P536" s="43"/>
      <c r="Q536" s="50"/>
      <c r="R536" s="43"/>
      <c r="S536" s="50"/>
      <c r="T536" s="43"/>
      <c r="U536" s="50"/>
      <c r="V536" s="43"/>
      <c r="W536" s="50"/>
      <c r="X536" s="43"/>
      <c r="Y536" s="50"/>
      <c r="Z536" s="43"/>
      <c r="AA536" s="50"/>
      <c r="AB536" s="43"/>
      <c r="AC536" s="50"/>
      <c r="AD536" s="43"/>
      <c r="AE536" s="50"/>
      <c r="AF536" s="43"/>
      <c r="AG536" s="50"/>
      <c r="AH536" s="43"/>
      <c r="AI536" s="50"/>
      <c r="AJ536" s="43"/>
      <c r="AK536" s="50"/>
      <c r="AL536" s="43"/>
      <c r="AM536" s="50"/>
      <c r="AO536" s="43"/>
      <c r="AP536" s="46"/>
      <c r="AQ536" s="43"/>
      <c r="AR536" s="119"/>
      <c r="AS536" s="1"/>
      <c r="AT536" s="1"/>
    </row>
    <row r="537">
      <c r="A537" s="43"/>
      <c r="B537" s="59" t="str">
        <f>IFERROR(HYPERLINK(VLOOKUP(A537,Internal_lists_bugs!$A$2:$C$73,3,FALSE()), VLOOKUP(A537,Internal_lists_bugs!$A$2:$C$73,3,FALSE())&amp;Char(10) &amp; Char(10) &amp; VLOOKUP(A537,Internal_lists_bugs!$A$2:$Z$73,26,FALSE())),"please select a BUG ID")</f>
        <v>please select a BUG ID</v>
      </c>
      <c r="C537" s="51" t="str">
        <f>IFERROR(VLOOKUP(A537,Internal_lists_bugs!$A$2:$G2003,7,FALSE()),"please select a BUG ID")</f>
        <v>please select a BUG ID</v>
      </c>
      <c r="D537" s="43"/>
      <c r="E537" s="63"/>
      <c r="F537" s="43"/>
      <c r="G537" s="63"/>
      <c r="H537" s="43"/>
      <c r="I537" s="63"/>
      <c r="J537" s="43"/>
      <c r="K537" s="50"/>
      <c r="L537" s="43"/>
      <c r="M537" s="50"/>
      <c r="N537" s="43"/>
      <c r="O537" s="50"/>
      <c r="P537" s="43"/>
      <c r="Q537" s="50"/>
      <c r="R537" s="43"/>
      <c r="S537" s="50"/>
      <c r="T537" s="43"/>
      <c r="U537" s="50"/>
      <c r="V537" s="43"/>
      <c r="W537" s="50"/>
      <c r="X537" s="43"/>
      <c r="Y537" s="50"/>
      <c r="Z537" s="43"/>
      <c r="AA537" s="50"/>
      <c r="AB537" s="43"/>
      <c r="AC537" s="50"/>
      <c r="AD537" s="43"/>
      <c r="AE537" s="50"/>
      <c r="AF537" s="43"/>
      <c r="AG537" s="50"/>
      <c r="AH537" s="43"/>
      <c r="AI537" s="50"/>
      <c r="AJ537" s="43"/>
      <c r="AK537" s="50"/>
      <c r="AL537" s="43"/>
      <c r="AM537" s="50"/>
      <c r="AO537" s="43"/>
      <c r="AP537" s="46"/>
      <c r="AQ537" s="43"/>
      <c r="AR537" s="119"/>
      <c r="AS537" s="1"/>
      <c r="AT537" s="1"/>
    </row>
    <row r="538">
      <c r="A538" s="43"/>
      <c r="B538" s="59" t="str">
        <f>IFERROR(HYPERLINK(VLOOKUP(A538,Internal_lists_bugs!$A$2:$C$73,3,FALSE()), VLOOKUP(A538,Internal_lists_bugs!$A$2:$C$73,3,FALSE())&amp;Char(10) &amp; Char(10) &amp; VLOOKUP(A538,Internal_lists_bugs!$A$2:$Z$73,26,FALSE())),"please select a BUG ID")</f>
        <v>please select a BUG ID</v>
      </c>
      <c r="C538" s="51" t="str">
        <f>IFERROR(VLOOKUP(A538,Internal_lists_bugs!$A$2:$G2003,7,FALSE()),"please select a BUG ID")</f>
        <v>please select a BUG ID</v>
      </c>
      <c r="D538" s="43"/>
      <c r="E538" s="63"/>
      <c r="F538" s="43"/>
      <c r="G538" s="63"/>
      <c r="H538" s="43"/>
      <c r="I538" s="63"/>
      <c r="J538" s="43"/>
      <c r="K538" s="50"/>
      <c r="L538" s="43"/>
      <c r="M538" s="50"/>
      <c r="N538" s="43"/>
      <c r="O538" s="50"/>
      <c r="P538" s="43"/>
      <c r="Q538" s="50"/>
      <c r="R538" s="43"/>
      <c r="S538" s="50"/>
      <c r="T538" s="43"/>
      <c r="U538" s="50"/>
      <c r="V538" s="43"/>
      <c r="W538" s="50"/>
      <c r="X538" s="43"/>
      <c r="Y538" s="50"/>
      <c r="Z538" s="43"/>
      <c r="AA538" s="50"/>
      <c r="AB538" s="43"/>
      <c r="AC538" s="50"/>
      <c r="AD538" s="43"/>
      <c r="AE538" s="50"/>
      <c r="AF538" s="43"/>
      <c r="AG538" s="50"/>
      <c r="AH538" s="43"/>
      <c r="AI538" s="50"/>
      <c r="AJ538" s="43"/>
      <c r="AK538" s="50"/>
      <c r="AL538" s="43"/>
      <c r="AM538" s="50"/>
      <c r="AO538" s="43"/>
      <c r="AP538" s="46"/>
      <c r="AQ538" s="43"/>
      <c r="AR538" s="119"/>
      <c r="AS538" s="1"/>
      <c r="AT538" s="1"/>
    </row>
    <row r="539">
      <c r="A539" s="43"/>
      <c r="B539" s="59" t="str">
        <f>IFERROR(HYPERLINK(VLOOKUP(A539,Internal_lists_bugs!$A$2:$C$73,3,FALSE()), VLOOKUP(A539,Internal_lists_bugs!$A$2:$C$73,3,FALSE())&amp;Char(10) &amp; Char(10) &amp; VLOOKUP(A539,Internal_lists_bugs!$A$2:$Z$73,26,FALSE())),"please select a BUG ID")</f>
        <v>please select a BUG ID</v>
      </c>
      <c r="C539" s="51" t="str">
        <f>IFERROR(VLOOKUP(A539,Internal_lists_bugs!$A$2:$G2003,7,FALSE()),"please select a BUG ID")</f>
        <v>please select a BUG ID</v>
      </c>
      <c r="D539" s="43"/>
      <c r="E539" s="63"/>
      <c r="F539" s="43"/>
      <c r="G539" s="63"/>
      <c r="H539" s="43"/>
      <c r="I539" s="63"/>
      <c r="J539" s="43"/>
      <c r="K539" s="50"/>
      <c r="L539" s="43"/>
      <c r="M539" s="50"/>
      <c r="N539" s="43"/>
      <c r="O539" s="50"/>
      <c r="P539" s="43"/>
      <c r="Q539" s="50"/>
      <c r="R539" s="43"/>
      <c r="S539" s="50"/>
      <c r="T539" s="43"/>
      <c r="U539" s="50"/>
      <c r="V539" s="43"/>
      <c r="W539" s="50"/>
      <c r="X539" s="43"/>
      <c r="Y539" s="50"/>
      <c r="Z539" s="43"/>
      <c r="AA539" s="50"/>
      <c r="AB539" s="43"/>
      <c r="AC539" s="50"/>
      <c r="AD539" s="43"/>
      <c r="AE539" s="50"/>
      <c r="AF539" s="43"/>
      <c r="AG539" s="50"/>
      <c r="AH539" s="43"/>
      <c r="AI539" s="50"/>
      <c r="AJ539" s="43"/>
      <c r="AK539" s="50"/>
      <c r="AL539" s="43"/>
      <c r="AM539" s="50"/>
      <c r="AO539" s="43"/>
      <c r="AP539" s="46"/>
      <c r="AQ539" s="43"/>
      <c r="AR539" s="119"/>
      <c r="AS539" s="1"/>
      <c r="AT539" s="1"/>
    </row>
    <row r="540">
      <c r="A540" s="43"/>
      <c r="B540" s="59" t="str">
        <f>IFERROR(HYPERLINK(VLOOKUP(A540,Internal_lists_bugs!$A$2:$C$73,3,FALSE()), VLOOKUP(A540,Internal_lists_bugs!$A$2:$C$73,3,FALSE())&amp;Char(10) &amp; Char(10) &amp; VLOOKUP(A540,Internal_lists_bugs!$A$2:$Z$73,26,FALSE())),"please select a BUG ID")</f>
        <v>please select a BUG ID</v>
      </c>
      <c r="C540" s="51" t="str">
        <f>IFERROR(VLOOKUP(A540,Internal_lists_bugs!$A$2:$G2003,7,FALSE()),"please select a BUG ID")</f>
        <v>please select a BUG ID</v>
      </c>
      <c r="D540" s="43"/>
      <c r="E540" s="63"/>
      <c r="F540" s="43"/>
      <c r="G540" s="63"/>
      <c r="H540" s="43"/>
      <c r="I540" s="63"/>
      <c r="J540" s="43"/>
      <c r="K540" s="50"/>
      <c r="L540" s="43"/>
      <c r="M540" s="50"/>
      <c r="N540" s="43"/>
      <c r="O540" s="50"/>
      <c r="P540" s="43"/>
      <c r="Q540" s="50"/>
      <c r="R540" s="43"/>
      <c r="S540" s="50"/>
      <c r="T540" s="43"/>
      <c r="U540" s="50"/>
      <c r="V540" s="43"/>
      <c r="W540" s="50"/>
      <c r="X540" s="43"/>
      <c r="Y540" s="50"/>
      <c r="Z540" s="43"/>
      <c r="AA540" s="50"/>
      <c r="AB540" s="43"/>
      <c r="AC540" s="50"/>
      <c r="AD540" s="43"/>
      <c r="AE540" s="50"/>
      <c r="AF540" s="43"/>
      <c r="AG540" s="50"/>
      <c r="AH540" s="43"/>
      <c r="AI540" s="50"/>
      <c r="AJ540" s="43"/>
      <c r="AK540" s="50"/>
      <c r="AL540" s="43"/>
      <c r="AM540" s="50"/>
      <c r="AO540" s="43"/>
      <c r="AP540" s="46"/>
      <c r="AQ540" s="43"/>
      <c r="AR540" s="119"/>
      <c r="AS540" s="1"/>
      <c r="AT540" s="1"/>
    </row>
    <row r="541">
      <c r="A541" s="43"/>
      <c r="B541" s="59" t="str">
        <f>IFERROR(HYPERLINK(VLOOKUP(A541,Internal_lists_bugs!$A$2:$C$73,3,FALSE()), VLOOKUP(A541,Internal_lists_bugs!$A$2:$C$73,3,FALSE())&amp;Char(10) &amp; Char(10) &amp; VLOOKUP(A541,Internal_lists_bugs!$A$2:$Z$73,26,FALSE())),"please select a BUG ID")</f>
        <v>please select a BUG ID</v>
      </c>
      <c r="C541" s="51" t="str">
        <f>IFERROR(VLOOKUP(A541,Internal_lists_bugs!$A$2:$G2003,7,FALSE()),"please select a BUG ID")</f>
        <v>please select a BUG ID</v>
      </c>
      <c r="D541" s="43"/>
      <c r="E541" s="63"/>
      <c r="F541" s="43"/>
      <c r="G541" s="63"/>
      <c r="H541" s="43"/>
      <c r="I541" s="63"/>
      <c r="J541" s="43"/>
      <c r="K541" s="50"/>
      <c r="L541" s="43"/>
      <c r="M541" s="50"/>
      <c r="N541" s="43"/>
      <c r="O541" s="50"/>
      <c r="P541" s="43"/>
      <c r="Q541" s="50"/>
      <c r="R541" s="43"/>
      <c r="S541" s="50"/>
      <c r="T541" s="43"/>
      <c r="U541" s="50"/>
      <c r="V541" s="43"/>
      <c r="W541" s="50"/>
      <c r="X541" s="43"/>
      <c r="Y541" s="50"/>
      <c r="Z541" s="43"/>
      <c r="AA541" s="50"/>
      <c r="AB541" s="43"/>
      <c r="AC541" s="50"/>
      <c r="AD541" s="43"/>
      <c r="AE541" s="50"/>
      <c r="AF541" s="43"/>
      <c r="AG541" s="50"/>
      <c r="AH541" s="43"/>
      <c r="AI541" s="50"/>
      <c r="AJ541" s="43"/>
      <c r="AK541" s="50"/>
      <c r="AL541" s="43"/>
      <c r="AM541" s="50"/>
      <c r="AO541" s="43"/>
      <c r="AP541" s="46"/>
      <c r="AQ541" s="43"/>
      <c r="AR541" s="119"/>
      <c r="AS541" s="1"/>
      <c r="AT541" s="1"/>
    </row>
    <row r="542">
      <c r="A542" s="43"/>
      <c r="B542" s="59" t="str">
        <f>IFERROR(HYPERLINK(VLOOKUP(A542,Internal_lists_bugs!$A$2:$C$73,3,FALSE()), VLOOKUP(A542,Internal_lists_bugs!$A$2:$C$73,3,FALSE())&amp;Char(10) &amp; Char(10) &amp; VLOOKUP(A542,Internal_lists_bugs!$A$2:$Z$73,26,FALSE())),"please select a BUG ID")</f>
        <v>please select a BUG ID</v>
      </c>
      <c r="C542" s="51" t="str">
        <f>IFERROR(VLOOKUP(A542,Internal_lists_bugs!$A$2:$G2003,7,FALSE()),"please select a BUG ID")</f>
        <v>please select a BUG ID</v>
      </c>
      <c r="D542" s="43"/>
      <c r="E542" s="63"/>
      <c r="F542" s="43"/>
      <c r="G542" s="63"/>
      <c r="H542" s="43"/>
      <c r="I542" s="63"/>
      <c r="J542" s="43"/>
      <c r="K542" s="50"/>
      <c r="L542" s="43"/>
      <c r="M542" s="50"/>
      <c r="N542" s="43"/>
      <c r="O542" s="50"/>
      <c r="P542" s="43"/>
      <c r="Q542" s="50"/>
      <c r="R542" s="43"/>
      <c r="S542" s="50"/>
      <c r="T542" s="43"/>
      <c r="U542" s="50"/>
      <c r="V542" s="43"/>
      <c r="W542" s="50"/>
      <c r="X542" s="43"/>
      <c r="Y542" s="50"/>
      <c r="Z542" s="43"/>
      <c r="AA542" s="50"/>
      <c r="AB542" s="43"/>
      <c r="AC542" s="50"/>
      <c r="AD542" s="43"/>
      <c r="AE542" s="50"/>
      <c r="AF542" s="43"/>
      <c r="AG542" s="50"/>
      <c r="AH542" s="43"/>
      <c r="AI542" s="50"/>
      <c r="AJ542" s="43"/>
      <c r="AK542" s="50"/>
      <c r="AL542" s="43"/>
      <c r="AM542" s="50"/>
      <c r="AO542" s="43"/>
      <c r="AP542" s="46"/>
      <c r="AQ542" s="43"/>
      <c r="AR542" s="119"/>
      <c r="AS542" s="1"/>
      <c r="AT542" s="1"/>
    </row>
    <row r="543">
      <c r="A543" s="43"/>
      <c r="B543" s="59" t="str">
        <f>IFERROR(HYPERLINK(VLOOKUP(A543,Internal_lists_bugs!$A$2:$C$73,3,FALSE()), VLOOKUP(A543,Internal_lists_bugs!$A$2:$C$73,3,FALSE())&amp;Char(10) &amp; Char(10) &amp; VLOOKUP(A543,Internal_lists_bugs!$A$2:$Z$73,26,FALSE())),"please select a BUG ID")</f>
        <v>please select a BUG ID</v>
      </c>
      <c r="C543" s="51" t="str">
        <f>IFERROR(VLOOKUP(A543,Internal_lists_bugs!$A$2:$G2003,7,FALSE()),"please select a BUG ID")</f>
        <v>please select a BUG ID</v>
      </c>
      <c r="D543" s="43"/>
      <c r="E543" s="63"/>
      <c r="F543" s="43"/>
      <c r="G543" s="63"/>
      <c r="H543" s="43"/>
      <c r="I543" s="63"/>
      <c r="J543" s="43"/>
      <c r="K543" s="50"/>
      <c r="L543" s="43"/>
      <c r="M543" s="50"/>
      <c r="N543" s="43"/>
      <c r="O543" s="50"/>
      <c r="P543" s="43"/>
      <c r="Q543" s="50"/>
      <c r="R543" s="43"/>
      <c r="S543" s="50"/>
      <c r="T543" s="43"/>
      <c r="U543" s="50"/>
      <c r="V543" s="43"/>
      <c r="W543" s="50"/>
      <c r="X543" s="43"/>
      <c r="Y543" s="50"/>
      <c r="Z543" s="43"/>
      <c r="AA543" s="50"/>
      <c r="AB543" s="43"/>
      <c r="AC543" s="50"/>
      <c r="AD543" s="43"/>
      <c r="AE543" s="50"/>
      <c r="AF543" s="43"/>
      <c r="AG543" s="50"/>
      <c r="AH543" s="43"/>
      <c r="AI543" s="50"/>
      <c r="AJ543" s="43"/>
      <c r="AK543" s="50"/>
      <c r="AL543" s="43"/>
      <c r="AM543" s="50"/>
      <c r="AO543" s="43"/>
      <c r="AP543" s="46"/>
      <c r="AQ543" s="43"/>
      <c r="AR543" s="119"/>
      <c r="AS543" s="1"/>
      <c r="AT543" s="1"/>
    </row>
    <row r="544">
      <c r="A544" s="43"/>
      <c r="B544" s="59" t="str">
        <f>IFERROR(HYPERLINK(VLOOKUP(A544,Internal_lists_bugs!$A$2:$C$73,3,FALSE()), VLOOKUP(A544,Internal_lists_bugs!$A$2:$C$73,3,FALSE())&amp;Char(10) &amp; Char(10) &amp; VLOOKUP(A544,Internal_lists_bugs!$A$2:$Z$73,26,FALSE())),"please select a BUG ID")</f>
        <v>please select a BUG ID</v>
      </c>
      <c r="C544" s="51" t="str">
        <f>IFERROR(VLOOKUP(A544,Internal_lists_bugs!$A$2:$G2003,7,FALSE()),"please select a BUG ID")</f>
        <v>please select a BUG ID</v>
      </c>
      <c r="D544" s="43"/>
      <c r="E544" s="63"/>
      <c r="F544" s="43"/>
      <c r="G544" s="63"/>
      <c r="H544" s="43"/>
      <c r="I544" s="63"/>
      <c r="J544" s="43"/>
      <c r="K544" s="50"/>
      <c r="L544" s="43"/>
      <c r="M544" s="50"/>
      <c r="N544" s="43"/>
      <c r="O544" s="50"/>
      <c r="P544" s="43"/>
      <c r="Q544" s="50"/>
      <c r="R544" s="43"/>
      <c r="S544" s="50"/>
      <c r="T544" s="43"/>
      <c r="U544" s="50"/>
      <c r="V544" s="43"/>
      <c r="W544" s="50"/>
      <c r="X544" s="43"/>
      <c r="Y544" s="50"/>
      <c r="Z544" s="43"/>
      <c r="AA544" s="50"/>
      <c r="AB544" s="43"/>
      <c r="AC544" s="50"/>
      <c r="AD544" s="43"/>
      <c r="AE544" s="50"/>
      <c r="AF544" s="43"/>
      <c r="AG544" s="50"/>
      <c r="AH544" s="43"/>
      <c r="AI544" s="50"/>
      <c r="AJ544" s="43"/>
      <c r="AK544" s="50"/>
      <c r="AL544" s="43"/>
      <c r="AM544" s="50"/>
      <c r="AO544" s="43"/>
      <c r="AP544" s="46"/>
      <c r="AQ544" s="43"/>
      <c r="AR544" s="119"/>
      <c r="AS544" s="1"/>
      <c r="AT544" s="1"/>
    </row>
    <row r="545">
      <c r="A545" s="43"/>
      <c r="B545" s="59" t="str">
        <f>IFERROR(HYPERLINK(VLOOKUP(A545,Internal_lists_bugs!$A$2:$C$73,3,FALSE()), VLOOKUP(A545,Internal_lists_bugs!$A$2:$C$73,3,FALSE())&amp;Char(10) &amp; Char(10) &amp; VLOOKUP(A545,Internal_lists_bugs!$A$2:$Z$73,26,FALSE())),"please select a BUG ID")</f>
        <v>please select a BUG ID</v>
      </c>
      <c r="C545" s="51" t="str">
        <f>IFERROR(VLOOKUP(A545,Internal_lists_bugs!$A$2:$G2003,7,FALSE()),"please select a BUG ID")</f>
        <v>please select a BUG ID</v>
      </c>
      <c r="D545" s="43"/>
      <c r="E545" s="63"/>
      <c r="F545" s="43"/>
      <c r="G545" s="63"/>
      <c r="H545" s="43"/>
      <c r="I545" s="63"/>
      <c r="J545" s="43"/>
      <c r="K545" s="50"/>
      <c r="L545" s="43"/>
      <c r="M545" s="50"/>
      <c r="N545" s="43"/>
      <c r="O545" s="50"/>
      <c r="P545" s="43"/>
      <c r="Q545" s="50"/>
      <c r="R545" s="43"/>
      <c r="S545" s="50"/>
      <c r="T545" s="43"/>
      <c r="U545" s="50"/>
      <c r="V545" s="43"/>
      <c r="W545" s="50"/>
      <c r="X545" s="43"/>
      <c r="Y545" s="50"/>
      <c r="Z545" s="43"/>
      <c r="AA545" s="50"/>
      <c r="AB545" s="43"/>
      <c r="AC545" s="50"/>
      <c r="AD545" s="43"/>
      <c r="AE545" s="50"/>
      <c r="AF545" s="43"/>
      <c r="AG545" s="50"/>
      <c r="AH545" s="43"/>
      <c r="AI545" s="50"/>
      <c r="AJ545" s="43"/>
      <c r="AK545" s="50"/>
      <c r="AL545" s="43"/>
      <c r="AM545" s="50"/>
      <c r="AO545" s="43"/>
      <c r="AP545" s="46"/>
      <c r="AQ545" s="43"/>
      <c r="AR545" s="119"/>
      <c r="AS545" s="1"/>
      <c r="AT545" s="1"/>
    </row>
    <row r="546">
      <c r="A546" s="43"/>
      <c r="B546" s="59" t="str">
        <f>IFERROR(HYPERLINK(VLOOKUP(A546,Internal_lists_bugs!$A$2:$C$73,3,FALSE()), VLOOKUP(A546,Internal_lists_bugs!$A$2:$C$73,3,FALSE())&amp;Char(10) &amp; Char(10) &amp; VLOOKUP(A546,Internal_lists_bugs!$A$2:$Z$73,26,FALSE())),"please select a BUG ID")</f>
        <v>please select a BUG ID</v>
      </c>
      <c r="C546" s="51" t="str">
        <f>IFERROR(VLOOKUP(A546,Internal_lists_bugs!$A$2:$G2003,7,FALSE()),"please select a BUG ID")</f>
        <v>please select a BUG ID</v>
      </c>
      <c r="D546" s="43"/>
      <c r="E546" s="63"/>
      <c r="F546" s="43"/>
      <c r="G546" s="63"/>
      <c r="H546" s="43"/>
      <c r="I546" s="63"/>
      <c r="J546" s="43"/>
      <c r="K546" s="50"/>
      <c r="L546" s="43"/>
      <c r="M546" s="50"/>
      <c r="N546" s="43"/>
      <c r="O546" s="50"/>
      <c r="P546" s="43"/>
      <c r="Q546" s="50"/>
      <c r="R546" s="43"/>
      <c r="S546" s="50"/>
      <c r="T546" s="43"/>
      <c r="U546" s="50"/>
      <c r="V546" s="43"/>
      <c r="W546" s="50"/>
      <c r="X546" s="43"/>
      <c r="Y546" s="50"/>
      <c r="Z546" s="43"/>
      <c r="AA546" s="50"/>
      <c r="AB546" s="43"/>
      <c r="AC546" s="50"/>
      <c r="AD546" s="43"/>
      <c r="AE546" s="50"/>
      <c r="AF546" s="43"/>
      <c r="AG546" s="50"/>
      <c r="AH546" s="43"/>
      <c r="AI546" s="50"/>
      <c r="AJ546" s="43"/>
      <c r="AK546" s="50"/>
      <c r="AL546" s="43"/>
      <c r="AM546" s="50"/>
      <c r="AO546" s="43"/>
      <c r="AP546" s="46"/>
      <c r="AQ546" s="43"/>
      <c r="AR546" s="119"/>
      <c r="AS546" s="1"/>
      <c r="AT546" s="1"/>
    </row>
    <row r="547">
      <c r="A547" s="43"/>
      <c r="B547" s="59" t="str">
        <f>IFERROR(HYPERLINK(VLOOKUP(A547,Internal_lists_bugs!$A$2:$C$73,3,FALSE()), VLOOKUP(A547,Internal_lists_bugs!$A$2:$C$73,3,FALSE())&amp;Char(10) &amp; Char(10) &amp; VLOOKUP(A547,Internal_lists_bugs!$A$2:$Z$73,26,FALSE())),"please select a BUG ID")</f>
        <v>please select a BUG ID</v>
      </c>
      <c r="C547" s="51" t="str">
        <f>IFERROR(VLOOKUP(A547,Internal_lists_bugs!$A$2:$G2003,7,FALSE()),"please select a BUG ID")</f>
        <v>please select a BUG ID</v>
      </c>
      <c r="D547" s="43"/>
      <c r="E547" s="63"/>
      <c r="F547" s="43"/>
      <c r="G547" s="63"/>
      <c r="H547" s="43"/>
      <c r="I547" s="63"/>
      <c r="J547" s="43"/>
      <c r="K547" s="50"/>
      <c r="L547" s="43"/>
      <c r="M547" s="50"/>
      <c r="N547" s="43"/>
      <c r="O547" s="50"/>
      <c r="P547" s="43"/>
      <c r="Q547" s="50"/>
      <c r="R547" s="43"/>
      <c r="S547" s="50"/>
      <c r="T547" s="43"/>
      <c r="U547" s="50"/>
      <c r="V547" s="43"/>
      <c r="W547" s="50"/>
      <c r="X547" s="43"/>
      <c r="Y547" s="50"/>
      <c r="Z547" s="43"/>
      <c r="AA547" s="50"/>
      <c r="AB547" s="43"/>
      <c r="AC547" s="50"/>
      <c r="AD547" s="43"/>
      <c r="AE547" s="50"/>
      <c r="AF547" s="43"/>
      <c r="AG547" s="50"/>
      <c r="AH547" s="43"/>
      <c r="AI547" s="50"/>
      <c r="AJ547" s="43"/>
      <c r="AK547" s="50"/>
      <c r="AL547" s="43"/>
      <c r="AM547" s="50"/>
      <c r="AO547" s="43"/>
      <c r="AP547" s="46"/>
      <c r="AQ547" s="43"/>
      <c r="AR547" s="119"/>
      <c r="AS547" s="1"/>
      <c r="AT547" s="1"/>
    </row>
    <row r="548">
      <c r="A548" s="43"/>
      <c r="B548" s="59" t="str">
        <f>IFERROR(HYPERLINK(VLOOKUP(A548,Internal_lists_bugs!$A$2:$C$73,3,FALSE()), VLOOKUP(A548,Internal_lists_bugs!$A$2:$C$73,3,FALSE())&amp;Char(10) &amp; Char(10) &amp; VLOOKUP(A548,Internal_lists_bugs!$A$2:$Z$73,26,FALSE())),"please select a BUG ID")</f>
        <v>please select a BUG ID</v>
      </c>
      <c r="C548" s="51" t="str">
        <f>IFERROR(VLOOKUP(A548,Internal_lists_bugs!$A$2:$G2003,7,FALSE()),"please select a BUG ID")</f>
        <v>please select a BUG ID</v>
      </c>
      <c r="D548" s="43"/>
      <c r="E548" s="63"/>
      <c r="F548" s="43"/>
      <c r="G548" s="63"/>
      <c r="H548" s="43"/>
      <c r="I548" s="63"/>
      <c r="J548" s="43"/>
      <c r="K548" s="50"/>
      <c r="L548" s="43"/>
      <c r="M548" s="50"/>
      <c r="N548" s="43"/>
      <c r="O548" s="50"/>
      <c r="P548" s="43"/>
      <c r="Q548" s="50"/>
      <c r="R548" s="43"/>
      <c r="S548" s="50"/>
      <c r="T548" s="43"/>
      <c r="U548" s="50"/>
      <c r="V548" s="43"/>
      <c r="W548" s="50"/>
      <c r="X548" s="43"/>
      <c r="Y548" s="50"/>
      <c r="Z548" s="43"/>
      <c r="AA548" s="50"/>
      <c r="AB548" s="43"/>
      <c r="AC548" s="50"/>
      <c r="AD548" s="43"/>
      <c r="AE548" s="50"/>
      <c r="AF548" s="43"/>
      <c r="AG548" s="50"/>
      <c r="AH548" s="43"/>
      <c r="AI548" s="50"/>
      <c r="AJ548" s="43"/>
      <c r="AK548" s="50"/>
      <c r="AL548" s="43"/>
      <c r="AM548" s="50"/>
      <c r="AO548" s="43"/>
      <c r="AP548" s="46"/>
      <c r="AQ548" s="43"/>
      <c r="AR548" s="119"/>
      <c r="AS548" s="1"/>
      <c r="AT548" s="1"/>
    </row>
    <row r="549">
      <c r="A549" s="43"/>
      <c r="B549" s="59" t="str">
        <f>IFERROR(HYPERLINK(VLOOKUP(A549,Internal_lists_bugs!$A$2:$C$73,3,FALSE()), VLOOKUP(A549,Internal_lists_bugs!$A$2:$C$73,3,FALSE())&amp;Char(10) &amp; Char(10) &amp; VLOOKUP(A549,Internal_lists_bugs!$A$2:$Z$73,26,FALSE())),"please select a BUG ID")</f>
        <v>please select a BUG ID</v>
      </c>
      <c r="C549" s="51" t="str">
        <f>IFERROR(VLOOKUP(A549,Internal_lists_bugs!$A$2:$G2003,7,FALSE()),"please select a BUG ID")</f>
        <v>please select a BUG ID</v>
      </c>
      <c r="D549" s="43"/>
      <c r="E549" s="63"/>
      <c r="F549" s="43"/>
      <c r="G549" s="63"/>
      <c r="H549" s="43"/>
      <c r="I549" s="63"/>
      <c r="J549" s="43"/>
      <c r="K549" s="50"/>
      <c r="L549" s="43"/>
      <c r="M549" s="50"/>
      <c r="N549" s="43"/>
      <c r="O549" s="50"/>
      <c r="P549" s="43"/>
      <c r="Q549" s="50"/>
      <c r="R549" s="43"/>
      <c r="S549" s="50"/>
      <c r="T549" s="43"/>
      <c r="U549" s="50"/>
      <c r="V549" s="43"/>
      <c r="W549" s="50"/>
      <c r="X549" s="43"/>
      <c r="Y549" s="50"/>
      <c r="Z549" s="43"/>
      <c r="AA549" s="50"/>
      <c r="AB549" s="43"/>
      <c r="AC549" s="50"/>
      <c r="AD549" s="43"/>
      <c r="AE549" s="50"/>
      <c r="AF549" s="43"/>
      <c r="AG549" s="50"/>
      <c r="AH549" s="43"/>
      <c r="AI549" s="50"/>
      <c r="AJ549" s="43"/>
      <c r="AK549" s="50"/>
      <c r="AL549" s="43"/>
      <c r="AM549" s="50"/>
      <c r="AO549" s="43"/>
      <c r="AP549" s="46"/>
      <c r="AQ549" s="43"/>
      <c r="AR549" s="119"/>
      <c r="AS549" s="1"/>
      <c r="AT549" s="1"/>
    </row>
    <row r="550">
      <c r="A550" s="43"/>
      <c r="B550" s="59" t="str">
        <f>IFERROR(HYPERLINK(VLOOKUP(A550,Internal_lists_bugs!$A$2:$C$73,3,FALSE()), VLOOKUP(A550,Internal_lists_bugs!$A$2:$C$73,3,FALSE())&amp;Char(10) &amp; Char(10) &amp; VLOOKUP(A550,Internal_lists_bugs!$A$2:$Z$73,26,FALSE())),"please select a BUG ID")</f>
        <v>please select a BUG ID</v>
      </c>
      <c r="C550" s="51" t="str">
        <f>IFERROR(VLOOKUP(A550,Internal_lists_bugs!$A$2:$G2003,7,FALSE()),"please select a BUG ID")</f>
        <v>please select a BUG ID</v>
      </c>
      <c r="D550" s="43"/>
      <c r="E550" s="63"/>
      <c r="F550" s="43"/>
      <c r="G550" s="63"/>
      <c r="H550" s="43"/>
      <c r="I550" s="63"/>
      <c r="J550" s="43"/>
      <c r="K550" s="50"/>
      <c r="L550" s="43"/>
      <c r="M550" s="50"/>
      <c r="N550" s="43"/>
      <c r="O550" s="50"/>
      <c r="P550" s="43"/>
      <c r="Q550" s="50"/>
      <c r="R550" s="43"/>
      <c r="S550" s="50"/>
      <c r="T550" s="43"/>
      <c r="U550" s="50"/>
      <c r="V550" s="43"/>
      <c r="W550" s="50"/>
      <c r="X550" s="43"/>
      <c r="Y550" s="50"/>
      <c r="Z550" s="43"/>
      <c r="AA550" s="50"/>
      <c r="AB550" s="43"/>
      <c r="AC550" s="50"/>
      <c r="AD550" s="43"/>
      <c r="AE550" s="50"/>
      <c r="AF550" s="43"/>
      <c r="AG550" s="50"/>
      <c r="AH550" s="43"/>
      <c r="AI550" s="50"/>
      <c r="AJ550" s="43"/>
      <c r="AK550" s="50"/>
      <c r="AL550" s="43"/>
      <c r="AM550" s="50"/>
      <c r="AO550" s="43"/>
      <c r="AP550" s="46"/>
      <c r="AQ550" s="43"/>
      <c r="AR550" s="119"/>
      <c r="AS550" s="1"/>
      <c r="AT550" s="1"/>
    </row>
    <row r="551">
      <c r="A551" s="43"/>
      <c r="B551" s="59" t="str">
        <f>IFERROR(HYPERLINK(VLOOKUP(A551,Internal_lists_bugs!$A$2:$C$73,3,FALSE()), VLOOKUP(A551,Internal_lists_bugs!$A$2:$C$73,3,FALSE())&amp;Char(10) &amp; Char(10) &amp; VLOOKUP(A551,Internal_lists_bugs!$A$2:$Z$73,26,FALSE())),"please select a BUG ID")</f>
        <v>please select a BUG ID</v>
      </c>
      <c r="C551" s="51" t="str">
        <f>IFERROR(VLOOKUP(A551,Internal_lists_bugs!$A$2:$G2003,7,FALSE()),"please select a BUG ID")</f>
        <v>please select a BUG ID</v>
      </c>
      <c r="D551" s="43"/>
      <c r="E551" s="63"/>
      <c r="F551" s="43"/>
      <c r="G551" s="63"/>
      <c r="H551" s="43"/>
      <c r="I551" s="63"/>
      <c r="J551" s="43"/>
      <c r="K551" s="50"/>
      <c r="L551" s="43"/>
      <c r="M551" s="50"/>
      <c r="N551" s="43"/>
      <c r="O551" s="50"/>
      <c r="P551" s="43"/>
      <c r="Q551" s="50"/>
      <c r="R551" s="43"/>
      <c r="S551" s="50"/>
      <c r="T551" s="43"/>
      <c r="U551" s="50"/>
      <c r="V551" s="43"/>
      <c r="W551" s="50"/>
      <c r="X551" s="43"/>
      <c r="Y551" s="50"/>
      <c r="Z551" s="43"/>
      <c r="AA551" s="50"/>
      <c r="AB551" s="43"/>
      <c r="AC551" s="50"/>
      <c r="AD551" s="43"/>
      <c r="AE551" s="50"/>
      <c r="AF551" s="43"/>
      <c r="AG551" s="50"/>
      <c r="AH551" s="43"/>
      <c r="AI551" s="50"/>
      <c r="AJ551" s="43"/>
      <c r="AK551" s="50"/>
      <c r="AL551" s="43"/>
      <c r="AM551" s="50"/>
      <c r="AO551" s="43"/>
      <c r="AP551" s="46"/>
      <c r="AQ551" s="43"/>
      <c r="AR551" s="119"/>
      <c r="AS551" s="1"/>
      <c r="AT551" s="1"/>
    </row>
    <row r="552">
      <c r="A552" s="43"/>
      <c r="B552" s="59" t="str">
        <f>IFERROR(HYPERLINK(VLOOKUP(A552,Internal_lists_bugs!$A$2:$C$73,3,FALSE()), VLOOKUP(A552,Internal_lists_bugs!$A$2:$C$73,3,FALSE())&amp;Char(10) &amp; Char(10) &amp; VLOOKUP(A552,Internal_lists_bugs!$A$2:$Z$73,26,FALSE())),"please select a BUG ID")</f>
        <v>please select a BUG ID</v>
      </c>
      <c r="C552" s="51" t="str">
        <f>IFERROR(VLOOKUP(A552,Internal_lists_bugs!$A$2:$G2003,7,FALSE()),"please select a BUG ID")</f>
        <v>please select a BUG ID</v>
      </c>
      <c r="D552" s="43"/>
      <c r="E552" s="63"/>
      <c r="F552" s="43"/>
      <c r="G552" s="63"/>
      <c r="H552" s="43"/>
      <c r="I552" s="63"/>
      <c r="J552" s="43"/>
      <c r="K552" s="50"/>
      <c r="L552" s="43"/>
      <c r="M552" s="50"/>
      <c r="N552" s="43"/>
      <c r="O552" s="50"/>
      <c r="P552" s="43"/>
      <c r="Q552" s="50"/>
      <c r="R552" s="43"/>
      <c r="S552" s="50"/>
      <c r="T552" s="43"/>
      <c r="U552" s="50"/>
      <c r="V552" s="43"/>
      <c r="W552" s="50"/>
      <c r="X552" s="43"/>
      <c r="Y552" s="50"/>
      <c r="Z552" s="43"/>
      <c r="AA552" s="50"/>
      <c r="AB552" s="43"/>
      <c r="AC552" s="50"/>
      <c r="AD552" s="43"/>
      <c r="AE552" s="50"/>
      <c r="AF552" s="43"/>
      <c r="AG552" s="50"/>
      <c r="AH552" s="43"/>
      <c r="AI552" s="50"/>
      <c r="AJ552" s="43"/>
      <c r="AK552" s="50"/>
      <c r="AL552" s="43"/>
      <c r="AM552" s="50"/>
      <c r="AO552" s="43"/>
      <c r="AP552" s="46"/>
      <c r="AQ552" s="43"/>
      <c r="AR552" s="119"/>
      <c r="AS552" s="1"/>
      <c r="AT552" s="1"/>
    </row>
    <row r="553">
      <c r="A553" s="43"/>
      <c r="B553" s="59" t="str">
        <f>IFERROR(HYPERLINK(VLOOKUP(A553,Internal_lists_bugs!$A$2:$C$73,3,FALSE()), VLOOKUP(A553,Internal_lists_bugs!$A$2:$C$73,3,FALSE())&amp;Char(10) &amp; Char(10) &amp; VLOOKUP(A553,Internal_lists_bugs!$A$2:$Z$73,26,FALSE())),"please select a BUG ID")</f>
        <v>please select a BUG ID</v>
      </c>
      <c r="C553" s="51" t="str">
        <f>IFERROR(VLOOKUP(A553,Internal_lists_bugs!$A$2:$G2003,7,FALSE()),"please select a BUG ID")</f>
        <v>please select a BUG ID</v>
      </c>
      <c r="D553" s="43"/>
      <c r="E553" s="63"/>
      <c r="F553" s="43"/>
      <c r="G553" s="63"/>
      <c r="H553" s="43"/>
      <c r="I553" s="63"/>
      <c r="J553" s="43"/>
      <c r="K553" s="50"/>
      <c r="L553" s="43"/>
      <c r="M553" s="50"/>
      <c r="N553" s="43"/>
      <c r="O553" s="50"/>
      <c r="P553" s="43"/>
      <c r="Q553" s="50"/>
      <c r="R553" s="43"/>
      <c r="S553" s="50"/>
      <c r="T553" s="43"/>
      <c r="U553" s="50"/>
      <c r="V553" s="43"/>
      <c r="W553" s="50"/>
      <c r="X553" s="43"/>
      <c r="Y553" s="50"/>
      <c r="Z553" s="43"/>
      <c r="AA553" s="50"/>
      <c r="AB553" s="43"/>
      <c r="AC553" s="50"/>
      <c r="AD553" s="43"/>
      <c r="AE553" s="50"/>
      <c r="AF553" s="43"/>
      <c r="AG553" s="50"/>
      <c r="AH553" s="43"/>
      <c r="AI553" s="50"/>
      <c r="AJ553" s="43"/>
      <c r="AK553" s="50"/>
      <c r="AL553" s="43"/>
      <c r="AM553" s="50"/>
      <c r="AO553" s="43"/>
      <c r="AP553" s="46"/>
      <c r="AQ553" s="43"/>
      <c r="AR553" s="119"/>
      <c r="AS553" s="1"/>
      <c r="AT553" s="1"/>
    </row>
    <row r="554">
      <c r="A554" s="43"/>
      <c r="B554" s="59" t="str">
        <f>IFERROR(HYPERLINK(VLOOKUP(A554,Internal_lists_bugs!$A$2:$C$73,3,FALSE()), VLOOKUP(A554,Internal_lists_bugs!$A$2:$C$73,3,FALSE())&amp;Char(10) &amp; Char(10) &amp; VLOOKUP(A554,Internal_lists_bugs!$A$2:$Z$73,26,FALSE())),"please select a BUG ID")</f>
        <v>please select a BUG ID</v>
      </c>
      <c r="C554" s="51" t="str">
        <f>IFERROR(VLOOKUP(A554,Internal_lists_bugs!$A$2:$G2003,7,FALSE()),"please select a BUG ID")</f>
        <v>please select a BUG ID</v>
      </c>
      <c r="D554" s="43"/>
      <c r="E554" s="63"/>
      <c r="F554" s="43"/>
      <c r="G554" s="63"/>
      <c r="H554" s="43"/>
      <c r="I554" s="63"/>
      <c r="J554" s="43"/>
      <c r="K554" s="50"/>
      <c r="L554" s="43"/>
      <c r="M554" s="50"/>
      <c r="N554" s="43"/>
      <c r="O554" s="50"/>
      <c r="P554" s="43"/>
      <c r="Q554" s="50"/>
      <c r="R554" s="43"/>
      <c r="S554" s="50"/>
      <c r="T554" s="43"/>
      <c r="U554" s="50"/>
      <c r="V554" s="43"/>
      <c r="W554" s="50"/>
      <c r="X554" s="43"/>
      <c r="Y554" s="50"/>
      <c r="Z554" s="43"/>
      <c r="AA554" s="50"/>
      <c r="AB554" s="43"/>
      <c r="AC554" s="50"/>
      <c r="AD554" s="43"/>
      <c r="AE554" s="50"/>
      <c r="AF554" s="43"/>
      <c r="AG554" s="50"/>
      <c r="AH554" s="43"/>
      <c r="AI554" s="50"/>
      <c r="AJ554" s="43"/>
      <c r="AK554" s="50"/>
      <c r="AL554" s="43"/>
      <c r="AM554" s="50"/>
      <c r="AO554" s="43"/>
      <c r="AP554" s="46"/>
      <c r="AQ554" s="43"/>
      <c r="AR554" s="119"/>
      <c r="AS554" s="1"/>
      <c r="AT554" s="1"/>
    </row>
    <row r="555">
      <c r="A555" s="43"/>
      <c r="B555" s="59" t="str">
        <f>IFERROR(HYPERLINK(VLOOKUP(A555,Internal_lists_bugs!$A$2:$C$73,3,FALSE()), VLOOKUP(A555,Internal_lists_bugs!$A$2:$C$73,3,FALSE())&amp;Char(10) &amp; Char(10) &amp; VLOOKUP(A555,Internal_lists_bugs!$A$2:$Z$73,26,FALSE())),"please select a BUG ID")</f>
        <v>please select a BUG ID</v>
      </c>
      <c r="C555" s="51" t="str">
        <f>IFERROR(VLOOKUP(A555,Internal_lists_bugs!$A$2:$G2003,7,FALSE()),"please select a BUG ID")</f>
        <v>please select a BUG ID</v>
      </c>
      <c r="D555" s="43"/>
      <c r="E555" s="63"/>
      <c r="F555" s="43"/>
      <c r="G555" s="63"/>
      <c r="H555" s="43"/>
      <c r="I555" s="63"/>
      <c r="J555" s="43"/>
      <c r="K555" s="50"/>
      <c r="L555" s="43"/>
      <c r="M555" s="50"/>
      <c r="N555" s="43"/>
      <c r="O555" s="50"/>
      <c r="P555" s="43"/>
      <c r="Q555" s="50"/>
      <c r="R555" s="43"/>
      <c r="S555" s="50"/>
      <c r="T555" s="43"/>
      <c r="U555" s="50"/>
      <c r="V555" s="43"/>
      <c r="W555" s="50"/>
      <c r="X555" s="43"/>
      <c r="Y555" s="50"/>
      <c r="Z555" s="43"/>
      <c r="AA555" s="50"/>
      <c r="AB555" s="43"/>
      <c r="AC555" s="50"/>
      <c r="AD555" s="43"/>
      <c r="AE555" s="50"/>
      <c r="AF555" s="43"/>
      <c r="AG555" s="50"/>
      <c r="AH555" s="43"/>
      <c r="AI555" s="50"/>
      <c r="AJ555" s="43"/>
      <c r="AK555" s="50"/>
      <c r="AL555" s="43"/>
      <c r="AM555" s="50"/>
      <c r="AO555" s="43"/>
      <c r="AP555" s="46"/>
      <c r="AQ555" s="43"/>
      <c r="AR555" s="119"/>
      <c r="AS555" s="1"/>
      <c r="AT555" s="1"/>
    </row>
    <row r="556">
      <c r="A556" s="43"/>
      <c r="B556" s="59" t="str">
        <f>IFERROR(HYPERLINK(VLOOKUP(A556,Internal_lists_bugs!$A$2:$C$73,3,FALSE()), VLOOKUP(A556,Internal_lists_bugs!$A$2:$C$73,3,FALSE())&amp;Char(10) &amp; Char(10) &amp; VLOOKUP(A556,Internal_lists_bugs!$A$2:$Z$73,26,FALSE())),"please select a BUG ID")</f>
        <v>please select a BUG ID</v>
      </c>
      <c r="C556" s="51" t="str">
        <f>IFERROR(VLOOKUP(A556,Internal_lists_bugs!$A$2:$G2003,7,FALSE()),"please select a BUG ID")</f>
        <v>please select a BUG ID</v>
      </c>
      <c r="D556" s="43"/>
      <c r="E556" s="63"/>
      <c r="F556" s="43"/>
      <c r="G556" s="63"/>
      <c r="H556" s="43"/>
      <c r="I556" s="63"/>
      <c r="J556" s="43"/>
      <c r="K556" s="50"/>
      <c r="L556" s="43"/>
      <c r="M556" s="50"/>
      <c r="N556" s="43"/>
      <c r="O556" s="50"/>
      <c r="P556" s="43"/>
      <c r="Q556" s="50"/>
      <c r="R556" s="43"/>
      <c r="S556" s="50"/>
      <c r="T556" s="43"/>
      <c r="U556" s="50"/>
      <c r="V556" s="43"/>
      <c r="W556" s="50"/>
      <c r="X556" s="43"/>
      <c r="Y556" s="50"/>
      <c r="Z556" s="43"/>
      <c r="AA556" s="50"/>
      <c r="AB556" s="43"/>
      <c r="AC556" s="50"/>
      <c r="AD556" s="43"/>
      <c r="AE556" s="50"/>
      <c r="AF556" s="43"/>
      <c r="AG556" s="50"/>
      <c r="AH556" s="43"/>
      <c r="AI556" s="50"/>
      <c r="AJ556" s="43"/>
      <c r="AK556" s="50"/>
      <c r="AL556" s="43"/>
      <c r="AM556" s="50"/>
      <c r="AO556" s="43"/>
      <c r="AP556" s="46"/>
      <c r="AQ556" s="43"/>
      <c r="AR556" s="119"/>
      <c r="AS556" s="1"/>
      <c r="AT556" s="1"/>
    </row>
    <row r="557">
      <c r="A557" s="43"/>
      <c r="B557" s="59" t="str">
        <f>IFERROR(HYPERLINK(VLOOKUP(A557,Internal_lists_bugs!$A$2:$C$73,3,FALSE()), VLOOKUP(A557,Internal_lists_bugs!$A$2:$C$73,3,FALSE())&amp;Char(10) &amp; Char(10) &amp; VLOOKUP(A557,Internal_lists_bugs!$A$2:$Z$73,26,FALSE())),"please select a BUG ID")</f>
        <v>please select a BUG ID</v>
      </c>
      <c r="C557" s="51" t="str">
        <f>IFERROR(VLOOKUP(A557,Internal_lists_bugs!$A$2:$G2003,7,FALSE()),"please select a BUG ID")</f>
        <v>please select a BUG ID</v>
      </c>
      <c r="D557" s="43"/>
      <c r="E557" s="63"/>
      <c r="F557" s="43"/>
      <c r="G557" s="63"/>
      <c r="H557" s="43"/>
      <c r="I557" s="63"/>
      <c r="J557" s="43"/>
      <c r="K557" s="50"/>
      <c r="L557" s="43"/>
      <c r="M557" s="50"/>
      <c r="N557" s="43"/>
      <c r="O557" s="50"/>
      <c r="P557" s="43"/>
      <c r="Q557" s="50"/>
      <c r="R557" s="43"/>
      <c r="S557" s="50"/>
      <c r="T557" s="43"/>
      <c r="U557" s="50"/>
      <c r="V557" s="43"/>
      <c r="W557" s="50"/>
      <c r="X557" s="43"/>
      <c r="Y557" s="50"/>
      <c r="Z557" s="43"/>
      <c r="AA557" s="50"/>
      <c r="AB557" s="43"/>
      <c r="AC557" s="50"/>
      <c r="AD557" s="43"/>
      <c r="AE557" s="50"/>
      <c r="AF557" s="43"/>
      <c r="AG557" s="50"/>
      <c r="AH557" s="43"/>
      <c r="AI557" s="50"/>
      <c r="AJ557" s="43"/>
      <c r="AK557" s="50"/>
      <c r="AL557" s="43"/>
      <c r="AM557" s="50"/>
      <c r="AO557" s="43"/>
      <c r="AP557" s="46"/>
      <c r="AQ557" s="43"/>
      <c r="AR557" s="119"/>
      <c r="AS557" s="1"/>
      <c r="AT557" s="1"/>
    </row>
    <row r="558">
      <c r="A558" s="43"/>
      <c r="B558" s="59" t="str">
        <f>IFERROR(HYPERLINK(VLOOKUP(A558,Internal_lists_bugs!$A$2:$C$73,3,FALSE()), VLOOKUP(A558,Internal_lists_bugs!$A$2:$C$73,3,FALSE())&amp;Char(10) &amp; Char(10) &amp; VLOOKUP(A558,Internal_lists_bugs!$A$2:$Z$73,26,FALSE())),"please select a BUG ID")</f>
        <v>please select a BUG ID</v>
      </c>
      <c r="C558" s="51" t="str">
        <f>IFERROR(VLOOKUP(A558,Internal_lists_bugs!$A$2:$G2003,7,FALSE()),"please select a BUG ID")</f>
        <v>please select a BUG ID</v>
      </c>
      <c r="D558" s="43"/>
      <c r="E558" s="63"/>
      <c r="F558" s="43"/>
      <c r="G558" s="63"/>
      <c r="H558" s="43"/>
      <c r="I558" s="63"/>
      <c r="J558" s="43"/>
      <c r="K558" s="50"/>
      <c r="L558" s="43"/>
      <c r="M558" s="50"/>
      <c r="N558" s="43"/>
      <c r="O558" s="50"/>
      <c r="P558" s="43"/>
      <c r="Q558" s="50"/>
      <c r="R558" s="43"/>
      <c r="S558" s="50"/>
      <c r="T558" s="43"/>
      <c r="U558" s="50"/>
      <c r="V558" s="43"/>
      <c r="W558" s="50"/>
      <c r="X558" s="43"/>
      <c r="Y558" s="50"/>
      <c r="Z558" s="43"/>
      <c r="AA558" s="50"/>
      <c r="AB558" s="43"/>
      <c r="AC558" s="50"/>
      <c r="AD558" s="43"/>
      <c r="AE558" s="50"/>
      <c r="AF558" s="43"/>
      <c r="AG558" s="50"/>
      <c r="AH558" s="43"/>
      <c r="AI558" s="50"/>
      <c r="AJ558" s="43"/>
      <c r="AK558" s="50"/>
      <c r="AL558" s="43"/>
      <c r="AM558" s="50"/>
      <c r="AO558" s="43"/>
      <c r="AP558" s="46"/>
      <c r="AQ558" s="43"/>
      <c r="AR558" s="119"/>
      <c r="AS558" s="1"/>
      <c r="AT558" s="1"/>
    </row>
    <row r="559">
      <c r="A559" s="43"/>
      <c r="B559" s="59" t="str">
        <f>IFERROR(HYPERLINK(VLOOKUP(A559,Internal_lists_bugs!$A$2:$C$73,3,FALSE()), VLOOKUP(A559,Internal_lists_bugs!$A$2:$C$73,3,FALSE())&amp;Char(10) &amp; Char(10) &amp; VLOOKUP(A559,Internal_lists_bugs!$A$2:$Z$73,26,FALSE())),"please select a BUG ID")</f>
        <v>please select a BUG ID</v>
      </c>
      <c r="C559" s="51" t="str">
        <f>IFERROR(VLOOKUP(A559,Internal_lists_bugs!$A$2:$G2003,7,FALSE()),"please select a BUG ID")</f>
        <v>please select a BUG ID</v>
      </c>
      <c r="D559" s="43"/>
      <c r="E559" s="63"/>
      <c r="F559" s="43"/>
      <c r="G559" s="63"/>
      <c r="H559" s="43"/>
      <c r="I559" s="63"/>
      <c r="J559" s="43"/>
      <c r="K559" s="50"/>
      <c r="L559" s="43"/>
      <c r="M559" s="50"/>
      <c r="N559" s="43"/>
      <c r="O559" s="50"/>
      <c r="P559" s="43"/>
      <c r="Q559" s="50"/>
      <c r="R559" s="43"/>
      <c r="S559" s="50"/>
      <c r="T559" s="43"/>
      <c r="U559" s="50"/>
      <c r="V559" s="43"/>
      <c r="W559" s="50"/>
      <c r="X559" s="43"/>
      <c r="Y559" s="50"/>
      <c r="Z559" s="43"/>
      <c r="AA559" s="50"/>
      <c r="AB559" s="43"/>
      <c r="AC559" s="50"/>
      <c r="AD559" s="43"/>
      <c r="AE559" s="50"/>
      <c r="AF559" s="43"/>
      <c r="AG559" s="50"/>
      <c r="AH559" s="43"/>
      <c r="AI559" s="50"/>
      <c r="AJ559" s="43"/>
      <c r="AK559" s="50"/>
      <c r="AL559" s="43"/>
      <c r="AM559" s="50"/>
      <c r="AO559" s="43"/>
      <c r="AP559" s="46"/>
      <c r="AQ559" s="43"/>
      <c r="AR559" s="119"/>
      <c r="AS559" s="1"/>
      <c r="AT559" s="1"/>
    </row>
    <row r="560">
      <c r="A560" s="43"/>
      <c r="B560" s="59" t="str">
        <f>IFERROR(HYPERLINK(VLOOKUP(A560,Internal_lists_bugs!$A$2:$C$73,3,FALSE()), VLOOKUP(A560,Internal_lists_bugs!$A$2:$C$73,3,FALSE())&amp;Char(10) &amp; Char(10) &amp; VLOOKUP(A560,Internal_lists_bugs!$A$2:$Z$73,26,FALSE())),"please select a BUG ID")</f>
        <v>please select a BUG ID</v>
      </c>
      <c r="C560" s="51" t="str">
        <f>IFERROR(VLOOKUP(A560,Internal_lists_bugs!$A$2:$G2003,7,FALSE()),"please select a BUG ID")</f>
        <v>please select a BUG ID</v>
      </c>
      <c r="D560" s="43"/>
      <c r="E560" s="63"/>
      <c r="F560" s="43"/>
      <c r="G560" s="63"/>
      <c r="H560" s="43"/>
      <c r="I560" s="63"/>
      <c r="J560" s="43"/>
      <c r="K560" s="50"/>
      <c r="L560" s="43"/>
      <c r="M560" s="50"/>
      <c r="N560" s="43"/>
      <c r="O560" s="50"/>
      <c r="P560" s="43"/>
      <c r="Q560" s="50"/>
      <c r="R560" s="43"/>
      <c r="S560" s="50"/>
      <c r="T560" s="43"/>
      <c r="U560" s="50"/>
      <c r="V560" s="43"/>
      <c r="W560" s="50"/>
      <c r="X560" s="43"/>
      <c r="Y560" s="50"/>
      <c r="Z560" s="43"/>
      <c r="AA560" s="50"/>
      <c r="AB560" s="43"/>
      <c r="AC560" s="50"/>
      <c r="AD560" s="43"/>
      <c r="AE560" s="50"/>
      <c r="AF560" s="43"/>
      <c r="AG560" s="50"/>
      <c r="AH560" s="43"/>
      <c r="AI560" s="50"/>
      <c r="AJ560" s="43"/>
      <c r="AK560" s="50"/>
      <c r="AL560" s="43"/>
      <c r="AM560" s="50"/>
      <c r="AO560" s="43"/>
      <c r="AP560" s="46"/>
      <c r="AQ560" s="43"/>
      <c r="AR560" s="119"/>
      <c r="AS560" s="1"/>
      <c r="AT560" s="1"/>
    </row>
    <row r="561">
      <c r="A561" s="43"/>
      <c r="B561" s="59" t="str">
        <f>IFERROR(HYPERLINK(VLOOKUP(A561,Internal_lists_bugs!$A$2:$C$73,3,FALSE()), VLOOKUP(A561,Internal_lists_bugs!$A$2:$C$73,3,FALSE())&amp;Char(10) &amp; Char(10) &amp; VLOOKUP(A561,Internal_lists_bugs!$A$2:$Z$73,26,FALSE())),"please select a BUG ID")</f>
        <v>please select a BUG ID</v>
      </c>
      <c r="C561" s="51" t="str">
        <f>IFERROR(VLOOKUP(A561,Internal_lists_bugs!$A$2:$G2003,7,FALSE()),"please select a BUG ID")</f>
        <v>please select a BUG ID</v>
      </c>
      <c r="D561" s="43"/>
      <c r="E561" s="63"/>
      <c r="F561" s="43"/>
      <c r="G561" s="63"/>
      <c r="H561" s="43"/>
      <c r="I561" s="63"/>
      <c r="J561" s="43"/>
      <c r="K561" s="50"/>
      <c r="L561" s="43"/>
      <c r="M561" s="50"/>
      <c r="N561" s="43"/>
      <c r="O561" s="50"/>
      <c r="P561" s="43"/>
      <c r="Q561" s="50"/>
      <c r="R561" s="43"/>
      <c r="S561" s="50"/>
      <c r="T561" s="43"/>
      <c r="U561" s="50"/>
      <c r="V561" s="43"/>
      <c r="W561" s="50"/>
      <c r="X561" s="43"/>
      <c r="Y561" s="50"/>
      <c r="Z561" s="43"/>
      <c r="AA561" s="50"/>
      <c r="AB561" s="43"/>
      <c r="AC561" s="50"/>
      <c r="AD561" s="43"/>
      <c r="AE561" s="50"/>
      <c r="AF561" s="43"/>
      <c r="AG561" s="50"/>
      <c r="AH561" s="43"/>
      <c r="AI561" s="50"/>
      <c r="AJ561" s="43"/>
      <c r="AK561" s="50"/>
      <c r="AL561" s="43"/>
      <c r="AM561" s="50"/>
      <c r="AO561" s="43"/>
      <c r="AP561" s="46"/>
      <c r="AQ561" s="43"/>
      <c r="AR561" s="119"/>
      <c r="AS561" s="1"/>
      <c r="AT561" s="1"/>
    </row>
    <row r="562">
      <c r="A562" s="43"/>
      <c r="B562" s="59" t="str">
        <f>IFERROR(HYPERLINK(VLOOKUP(A562,Internal_lists_bugs!$A$2:$C$73,3,FALSE()), VLOOKUP(A562,Internal_lists_bugs!$A$2:$C$73,3,FALSE())&amp;Char(10) &amp; Char(10) &amp; VLOOKUP(A562,Internal_lists_bugs!$A$2:$Z$73,26,FALSE())),"please select a BUG ID")</f>
        <v>please select a BUG ID</v>
      </c>
      <c r="C562" s="51" t="str">
        <f>IFERROR(VLOOKUP(A562,Internal_lists_bugs!$A$2:$G2003,7,FALSE()),"please select a BUG ID")</f>
        <v>please select a BUG ID</v>
      </c>
      <c r="D562" s="43"/>
      <c r="E562" s="63"/>
      <c r="F562" s="43"/>
      <c r="G562" s="63"/>
      <c r="H562" s="43"/>
      <c r="I562" s="63"/>
      <c r="J562" s="43"/>
      <c r="K562" s="50"/>
      <c r="L562" s="43"/>
      <c r="M562" s="50"/>
      <c r="N562" s="43"/>
      <c r="O562" s="50"/>
      <c r="P562" s="43"/>
      <c r="Q562" s="50"/>
      <c r="R562" s="43"/>
      <c r="S562" s="50"/>
      <c r="T562" s="43"/>
      <c r="U562" s="50"/>
      <c r="V562" s="43"/>
      <c r="W562" s="50"/>
      <c r="X562" s="43"/>
      <c r="Y562" s="50"/>
      <c r="Z562" s="43"/>
      <c r="AA562" s="50"/>
      <c r="AB562" s="43"/>
      <c r="AC562" s="50"/>
      <c r="AD562" s="43"/>
      <c r="AE562" s="50"/>
      <c r="AF562" s="43"/>
      <c r="AG562" s="50"/>
      <c r="AH562" s="43"/>
      <c r="AI562" s="50"/>
      <c r="AJ562" s="43"/>
      <c r="AK562" s="50"/>
      <c r="AL562" s="43"/>
      <c r="AM562" s="50"/>
      <c r="AO562" s="43"/>
      <c r="AP562" s="46"/>
      <c r="AQ562" s="43"/>
      <c r="AR562" s="119"/>
      <c r="AS562" s="1"/>
      <c r="AT562" s="1"/>
    </row>
    <row r="563">
      <c r="A563" s="43"/>
      <c r="B563" s="59" t="str">
        <f>IFERROR(HYPERLINK(VLOOKUP(A563,Internal_lists_bugs!$A$2:$C$73,3,FALSE()), VLOOKUP(A563,Internal_lists_bugs!$A$2:$C$73,3,FALSE())&amp;Char(10) &amp; Char(10) &amp; VLOOKUP(A563,Internal_lists_bugs!$A$2:$Z$73,26,FALSE())),"please select a BUG ID")</f>
        <v>please select a BUG ID</v>
      </c>
      <c r="C563" s="51" t="str">
        <f>IFERROR(VLOOKUP(A563,Internal_lists_bugs!$A$2:$G2003,7,FALSE()),"please select a BUG ID")</f>
        <v>please select a BUG ID</v>
      </c>
      <c r="D563" s="43"/>
      <c r="E563" s="63"/>
      <c r="F563" s="43"/>
      <c r="G563" s="63"/>
      <c r="H563" s="43"/>
      <c r="I563" s="63"/>
      <c r="J563" s="43"/>
      <c r="K563" s="50"/>
      <c r="L563" s="43"/>
      <c r="M563" s="50"/>
      <c r="N563" s="43"/>
      <c r="O563" s="50"/>
      <c r="P563" s="43"/>
      <c r="Q563" s="50"/>
      <c r="R563" s="43"/>
      <c r="S563" s="50"/>
      <c r="T563" s="43"/>
      <c r="U563" s="50"/>
      <c r="V563" s="43"/>
      <c r="W563" s="50"/>
      <c r="X563" s="43"/>
      <c r="Y563" s="50"/>
      <c r="Z563" s="43"/>
      <c r="AA563" s="50"/>
      <c r="AB563" s="43"/>
      <c r="AC563" s="50"/>
      <c r="AD563" s="43"/>
      <c r="AE563" s="50"/>
      <c r="AF563" s="43"/>
      <c r="AG563" s="50"/>
      <c r="AH563" s="43"/>
      <c r="AI563" s="50"/>
      <c r="AJ563" s="43"/>
      <c r="AK563" s="50"/>
      <c r="AL563" s="43"/>
      <c r="AM563" s="50"/>
      <c r="AO563" s="43"/>
      <c r="AP563" s="46"/>
      <c r="AQ563" s="43"/>
      <c r="AR563" s="119"/>
      <c r="AS563" s="1"/>
      <c r="AT563" s="1"/>
    </row>
    <row r="564">
      <c r="A564" s="43"/>
      <c r="B564" s="59" t="str">
        <f>IFERROR(HYPERLINK(VLOOKUP(A564,Internal_lists_bugs!$A$2:$C$73,3,FALSE()), VLOOKUP(A564,Internal_lists_bugs!$A$2:$C$73,3,FALSE())&amp;Char(10) &amp; Char(10) &amp; VLOOKUP(A564,Internal_lists_bugs!$A$2:$Z$73,26,FALSE())),"please select a BUG ID")</f>
        <v>please select a BUG ID</v>
      </c>
      <c r="C564" s="51" t="str">
        <f>IFERROR(VLOOKUP(A564,Internal_lists_bugs!$A$2:$G2003,7,FALSE()),"please select a BUG ID")</f>
        <v>please select a BUG ID</v>
      </c>
      <c r="D564" s="43"/>
      <c r="E564" s="63"/>
      <c r="F564" s="43"/>
      <c r="G564" s="63"/>
      <c r="H564" s="43"/>
      <c r="I564" s="63"/>
      <c r="J564" s="43"/>
      <c r="K564" s="50"/>
      <c r="L564" s="43"/>
      <c r="M564" s="50"/>
      <c r="N564" s="43"/>
      <c r="O564" s="50"/>
      <c r="P564" s="43"/>
      <c r="Q564" s="50"/>
      <c r="R564" s="43"/>
      <c r="S564" s="50"/>
      <c r="T564" s="43"/>
      <c r="U564" s="50"/>
      <c r="V564" s="43"/>
      <c r="W564" s="50"/>
      <c r="X564" s="43"/>
      <c r="Y564" s="50"/>
      <c r="Z564" s="43"/>
      <c r="AA564" s="50"/>
      <c r="AB564" s="43"/>
      <c r="AC564" s="50"/>
      <c r="AD564" s="43"/>
      <c r="AE564" s="50"/>
      <c r="AF564" s="43"/>
      <c r="AG564" s="50"/>
      <c r="AH564" s="43"/>
      <c r="AI564" s="50"/>
      <c r="AJ564" s="43"/>
      <c r="AK564" s="50"/>
      <c r="AL564" s="43"/>
      <c r="AM564" s="50"/>
      <c r="AO564" s="43"/>
      <c r="AP564" s="46"/>
      <c r="AQ564" s="43"/>
      <c r="AR564" s="119"/>
      <c r="AS564" s="1"/>
      <c r="AT564" s="1"/>
    </row>
    <row r="565">
      <c r="A565" s="43"/>
      <c r="B565" s="59" t="str">
        <f>IFERROR(HYPERLINK(VLOOKUP(A565,Internal_lists_bugs!$A$2:$C$73,3,FALSE()), VLOOKUP(A565,Internal_lists_bugs!$A$2:$C$73,3,FALSE())&amp;Char(10) &amp; Char(10) &amp; VLOOKUP(A565,Internal_lists_bugs!$A$2:$Z$73,26,FALSE())),"please select a BUG ID")</f>
        <v>please select a BUG ID</v>
      </c>
      <c r="C565" s="51" t="str">
        <f>IFERROR(VLOOKUP(A565,Internal_lists_bugs!$A$2:$G2003,7,FALSE()),"please select a BUG ID")</f>
        <v>please select a BUG ID</v>
      </c>
      <c r="D565" s="43"/>
      <c r="E565" s="63"/>
      <c r="F565" s="43"/>
      <c r="G565" s="63"/>
      <c r="H565" s="43"/>
      <c r="I565" s="63"/>
      <c r="J565" s="43"/>
      <c r="K565" s="50"/>
      <c r="L565" s="43"/>
      <c r="M565" s="50"/>
      <c r="N565" s="43"/>
      <c r="O565" s="50"/>
      <c r="P565" s="43"/>
      <c r="Q565" s="50"/>
      <c r="R565" s="43"/>
      <c r="S565" s="50"/>
      <c r="T565" s="43"/>
      <c r="U565" s="50"/>
      <c r="V565" s="43"/>
      <c r="W565" s="50"/>
      <c r="X565" s="43"/>
      <c r="Y565" s="50"/>
      <c r="Z565" s="43"/>
      <c r="AA565" s="50"/>
      <c r="AB565" s="43"/>
      <c r="AC565" s="50"/>
      <c r="AD565" s="43"/>
      <c r="AE565" s="50"/>
      <c r="AF565" s="43"/>
      <c r="AG565" s="50"/>
      <c r="AH565" s="43"/>
      <c r="AI565" s="50"/>
      <c r="AJ565" s="43"/>
      <c r="AK565" s="50"/>
      <c r="AL565" s="43"/>
      <c r="AM565" s="50"/>
      <c r="AO565" s="43"/>
      <c r="AP565" s="46"/>
      <c r="AQ565" s="43"/>
      <c r="AR565" s="119"/>
      <c r="AS565" s="1"/>
      <c r="AT565" s="1"/>
    </row>
    <row r="566">
      <c r="A566" s="43"/>
      <c r="B566" s="59" t="str">
        <f>IFERROR(HYPERLINK(VLOOKUP(A566,Internal_lists_bugs!$A$2:$C$73,3,FALSE()), VLOOKUP(A566,Internal_lists_bugs!$A$2:$C$73,3,FALSE())&amp;Char(10) &amp; Char(10) &amp; VLOOKUP(A566,Internal_lists_bugs!$A$2:$Z$73,26,FALSE())),"please select a BUG ID")</f>
        <v>please select a BUG ID</v>
      </c>
      <c r="C566" s="51" t="str">
        <f>IFERROR(VLOOKUP(A566,Internal_lists_bugs!$A$2:$G2003,7,FALSE()),"please select a BUG ID")</f>
        <v>please select a BUG ID</v>
      </c>
      <c r="D566" s="43"/>
      <c r="E566" s="63"/>
      <c r="F566" s="43"/>
      <c r="G566" s="63"/>
      <c r="H566" s="43"/>
      <c r="I566" s="63"/>
      <c r="J566" s="43"/>
      <c r="K566" s="50"/>
      <c r="L566" s="43"/>
      <c r="M566" s="50"/>
      <c r="N566" s="43"/>
      <c r="O566" s="50"/>
      <c r="P566" s="43"/>
      <c r="Q566" s="50"/>
      <c r="R566" s="43"/>
      <c r="S566" s="50"/>
      <c r="T566" s="43"/>
      <c r="U566" s="50"/>
      <c r="V566" s="43"/>
      <c r="W566" s="50"/>
      <c r="X566" s="43"/>
      <c r="Y566" s="50"/>
      <c r="Z566" s="43"/>
      <c r="AA566" s="50"/>
      <c r="AB566" s="43"/>
      <c r="AC566" s="50"/>
      <c r="AD566" s="43"/>
      <c r="AE566" s="50"/>
      <c r="AF566" s="43"/>
      <c r="AG566" s="50"/>
      <c r="AH566" s="43"/>
      <c r="AI566" s="50"/>
      <c r="AJ566" s="43"/>
      <c r="AK566" s="50"/>
      <c r="AL566" s="43"/>
      <c r="AM566" s="50"/>
      <c r="AO566" s="43"/>
      <c r="AP566" s="46"/>
      <c r="AQ566" s="43"/>
      <c r="AR566" s="119"/>
      <c r="AS566" s="1"/>
      <c r="AT566" s="1"/>
    </row>
    <row r="567">
      <c r="A567" s="43"/>
      <c r="B567" s="59" t="str">
        <f>IFERROR(HYPERLINK(VLOOKUP(A567,Internal_lists_bugs!$A$2:$C$73,3,FALSE()), VLOOKUP(A567,Internal_lists_bugs!$A$2:$C$73,3,FALSE())&amp;Char(10) &amp; Char(10) &amp; VLOOKUP(A567,Internal_lists_bugs!$A$2:$Z$73,26,FALSE())),"please select a BUG ID")</f>
        <v>please select a BUG ID</v>
      </c>
      <c r="C567" s="51" t="str">
        <f>IFERROR(VLOOKUP(A567,Internal_lists_bugs!$A$2:$G2003,7,FALSE()),"please select a BUG ID")</f>
        <v>please select a BUG ID</v>
      </c>
      <c r="D567" s="43"/>
      <c r="E567" s="63"/>
      <c r="F567" s="43"/>
      <c r="G567" s="63"/>
      <c r="H567" s="43"/>
      <c r="I567" s="63"/>
      <c r="J567" s="43"/>
      <c r="K567" s="50"/>
      <c r="L567" s="43"/>
      <c r="M567" s="50"/>
      <c r="N567" s="43"/>
      <c r="O567" s="50"/>
      <c r="P567" s="43"/>
      <c r="Q567" s="50"/>
      <c r="R567" s="43"/>
      <c r="S567" s="50"/>
      <c r="T567" s="43"/>
      <c r="U567" s="50"/>
      <c r="V567" s="43"/>
      <c r="W567" s="50"/>
      <c r="X567" s="43"/>
      <c r="Y567" s="50"/>
      <c r="Z567" s="43"/>
      <c r="AA567" s="50"/>
      <c r="AB567" s="43"/>
      <c r="AC567" s="50"/>
      <c r="AD567" s="43"/>
      <c r="AE567" s="50"/>
      <c r="AF567" s="43"/>
      <c r="AG567" s="50"/>
      <c r="AH567" s="43"/>
      <c r="AI567" s="50"/>
      <c r="AJ567" s="43"/>
      <c r="AK567" s="50"/>
      <c r="AL567" s="43"/>
      <c r="AM567" s="50"/>
      <c r="AO567" s="43"/>
      <c r="AP567" s="46"/>
      <c r="AQ567" s="43"/>
      <c r="AR567" s="119"/>
      <c r="AS567" s="1"/>
      <c r="AT567" s="1"/>
    </row>
    <row r="568">
      <c r="A568" s="43"/>
      <c r="B568" s="59" t="str">
        <f>IFERROR(HYPERLINK(VLOOKUP(A568,Internal_lists_bugs!$A$2:$C$73,3,FALSE()), VLOOKUP(A568,Internal_lists_bugs!$A$2:$C$73,3,FALSE())&amp;Char(10) &amp; Char(10) &amp; VLOOKUP(A568,Internal_lists_bugs!$A$2:$Z$73,26,FALSE())),"please select a BUG ID")</f>
        <v>please select a BUG ID</v>
      </c>
      <c r="C568" s="51" t="str">
        <f>IFERROR(VLOOKUP(A568,Internal_lists_bugs!$A$2:$G2003,7,FALSE()),"please select a BUG ID")</f>
        <v>please select a BUG ID</v>
      </c>
      <c r="D568" s="43"/>
      <c r="E568" s="63"/>
      <c r="F568" s="43"/>
      <c r="G568" s="63"/>
      <c r="H568" s="43"/>
      <c r="I568" s="63"/>
      <c r="J568" s="43"/>
      <c r="K568" s="50"/>
      <c r="L568" s="43"/>
      <c r="M568" s="50"/>
      <c r="N568" s="43"/>
      <c r="O568" s="50"/>
      <c r="P568" s="43"/>
      <c r="Q568" s="50"/>
      <c r="R568" s="43"/>
      <c r="S568" s="50"/>
      <c r="T568" s="43"/>
      <c r="U568" s="50"/>
      <c r="V568" s="43"/>
      <c r="W568" s="50"/>
      <c r="X568" s="43"/>
      <c r="Y568" s="50"/>
      <c r="Z568" s="43"/>
      <c r="AA568" s="50"/>
      <c r="AB568" s="43"/>
      <c r="AC568" s="50"/>
      <c r="AD568" s="43"/>
      <c r="AE568" s="50"/>
      <c r="AF568" s="43"/>
      <c r="AG568" s="50"/>
      <c r="AH568" s="43"/>
      <c r="AI568" s="50"/>
      <c r="AJ568" s="43"/>
      <c r="AK568" s="50"/>
      <c r="AL568" s="43"/>
      <c r="AM568" s="50"/>
      <c r="AO568" s="43"/>
      <c r="AP568" s="46"/>
      <c r="AQ568" s="43"/>
      <c r="AR568" s="119"/>
      <c r="AS568" s="1"/>
      <c r="AT568" s="1"/>
    </row>
    <row r="569">
      <c r="A569" s="43"/>
      <c r="B569" s="59" t="str">
        <f>IFERROR(HYPERLINK(VLOOKUP(A569,Internal_lists_bugs!$A$2:$C$73,3,FALSE()), VLOOKUP(A569,Internal_lists_bugs!$A$2:$C$73,3,FALSE())&amp;Char(10) &amp; Char(10) &amp; VLOOKUP(A569,Internal_lists_bugs!$A$2:$Z$73,26,FALSE())),"please select a BUG ID")</f>
        <v>please select a BUG ID</v>
      </c>
      <c r="C569" s="51" t="str">
        <f>IFERROR(VLOOKUP(A569,Internal_lists_bugs!$A$2:$G2003,7,FALSE()),"please select a BUG ID")</f>
        <v>please select a BUG ID</v>
      </c>
      <c r="D569" s="43"/>
      <c r="E569" s="63"/>
      <c r="F569" s="43"/>
      <c r="G569" s="63"/>
      <c r="H569" s="43"/>
      <c r="I569" s="63"/>
      <c r="J569" s="43"/>
      <c r="K569" s="50"/>
      <c r="L569" s="43"/>
      <c r="M569" s="50"/>
      <c r="N569" s="43"/>
      <c r="O569" s="50"/>
      <c r="P569" s="43"/>
      <c r="Q569" s="50"/>
      <c r="R569" s="43"/>
      <c r="S569" s="50"/>
      <c r="T569" s="43"/>
      <c r="U569" s="50"/>
      <c r="V569" s="43"/>
      <c r="W569" s="50"/>
      <c r="X569" s="43"/>
      <c r="Y569" s="50"/>
      <c r="Z569" s="43"/>
      <c r="AA569" s="50"/>
      <c r="AB569" s="43"/>
      <c r="AC569" s="50"/>
      <c r="AD569" s="43"/>
      <c r="AE569" s="50"/>
      <c r="AF569" s="43"/>
      <c r="AG569" s="50"/>
      <c r="AH569" s="43"/>
      <c r="AI569" s="50"/>
      <c r="AJ569" s="43"/>
      <c r="AK569" s="50"/>
      <c r="AL569" s="43"/>
      <c r="AM569" s="50"/>
      <c r="AO569" s="43"/>
      <c r="AP569" s="46"/>
      <c r="AQ569" s="43"/>
      <c r="AR569" s="119"/>
      <c r="AS569" s="1"/>
      <c r="AT569" s="1"/>
    </row>
    <row r="570">
      <c r="A570" s="43"/>
      <c r="B570" s="59" t="str">
        <f>IFERROR(HYPERLINK(VLOOKUP(A570,Internal_lists_bugs!$A$2:$C$73,3,FALSE()), VLOOKUP(A570,Internal_lists_bugs!$A$2:$C$73,3,FALSE())&amp;Char(10) &amp; Char(10) &amp; VLOOKUP(A570,Internal_lists_bugs!$A$2:$Z$73,26,FALSE())),"please select a BUG ID")</f>
        <v>please select a BUG ID</v>
      </c>
      <c r="C570" s="51" t="str">
        <f>IFERROR(VLOOKUP(A570,Internal_lists_bugs!$A$2:$G2003,7,FALSE()),"please select a BUG ID")</f>
        <v>please select a BUG ID</v>
      </c>
      <c r="D570" s="43"/>
      <c r="E570" s="63"/>
      <c r="F570" s="43"/>
      <c r="G570" s="63"/>
      <c r="H570" s="43"/>
      <c r="I570" s="63"/>
      <c r="J570" s="43"/>
      <c r="K570" s="50"/>
      <c r="L570" s="43"/>
      <c r="M570" s="50"/>
      <c r="N570" s="43"/>
      <c r="O570" s="50"/>
      <c r="P570" s="43"/>
      <c r="Q570" s="50"/>
      <c r="R570" s="43"/>
      <c r="S570" s="50"/>
      <c r="T570" s="43"/>
      <c r="U570" s="50"/>
      <c r="V570" s="43"/>
      <c r="W570" s="50"/>
      <c r="X570" s="43"/>
      <c r="Y570" s="50"/>
      <c r="Z570" s="43"/>
      <c r="AA570" s="50"/>
      <c r="AB570" s="43"/>
      <c r="AC570" s="50"/>
      <c r="AD570" s="43"/>
      <c r="AE570" s="50"/>
      <c r="AF570" s="43"/>
      <c r="AG570" s="50"/>
      <c r="AH570" s="43"/>
      <c r="AI570" s="50"/>
      <c r="AJ570" s="43"/>
      <c r="AK570" s="50"/>
      <c r="AL570" s="43"/>
      <c r="AM570" s="50"/>
      <c r="AO570" s="43"/>
      <c r="AP570" s="46"/>
      <c r="AQ570" s="43"/>
      <c r="AR570" s="119"/>
      <c r="AS570" s="1"/>
      <c r="AT570" s="1"/>
    </row>
    <row r="571">
      <c r="A571" s="43"/>
      <c r="B571" s="59" t="str">
        <f>IFERROR(HYPERLINK(VLOOKUP(A571,Internal_lists_bugs!$A$2:$C$73,3,FALSE()), VLOOKUP(A571,Internal_lists_bugs!$A$2:$C$73,3,FALSE())&amp;Char(10) &amp; Char(10) &amp; VLOOKUP(A571,Internal_lists_bugs!$A$2:$Z$73,26,FALSE())),"please select a BUG ID")</f>
        <v>please select a BUG ID</v>
      </c>
      <c r="C571" s="51" t="str">
        <f>IFERROR(VLOOKUP(A571,Internal_lists_bugs!$A$2:$G2003,7,FALSE()),"please select a BUG ID")</f>
        <v>please select a BUG ID</v>
      </c>
      <c r="D571" s="43"/>
      <c r="E571" s="63"/>
      <c r="F571" s="43"/>
      <c r="G571" s="63"/>
      <c r="H571" s="43"/>
      <c r="I571" s="63"/>
      <c r="J571" s="43"/>
      <c r="K571" s="50"/>
      <c r="L571" s="43"/>
      <c r="M571" s="50"/>
      <c r="N571" s="43"/>
      <c r="O571" s="50"/>
      <c r="P571" s="43"/>
      <c r="Q571" s="50"/>
      <c r="R571" s="43"/>
      <c r="S571" s="50"/>
      <c r="T571" s="43"/>
      <c r="U571" s="50"/>
      <c r="V571" s="43"/>
      <c r="W571" s="50"/>
      <c r="X571" s="43"/>
      <c r="Y571" s="50"/>
      <c r="Z571" s="43"/>
      <c r="AA571" s="50"/>
      <c r="AB571" s="43"/>
      <c r="AC571" s="50"/>
      <c r="AD571" s="43"/>
      <c r="AE571" s="50"/>
      <c r="AF571" s="43"/>
      <c r="AG571" s="50"/>
      <c r="AH571" s="43"/>
      <c r="AI571" s="50"/>
      <c r="AJ571" s="43"/>
      <c r="AK571" s="50"/>
      <c r="AL571" s="43"/>
      <c r="AM571" s="50"/>
      <c r="AO571" s="43"/>
      <c r="AP571" s="46"/>
      <c r="AQ571" s="43"/>
      <c r="AR571" s="119"/>
      <c r="AS571" s="1"/>
      <c r="AT571" s="1"/>
    </row>
    <row r="572">
      <c r="A572" s="43"/>
      <c r="B572" s="59" t="str">
        <f>IFERROR(HYPERLINK(VLOOKUP(A572,Internal_lists_bugs!$A$2:$C$73,3,FALSE()), VLOOKUP(A572,Internal_lists_bugs!$A$2:$C$73,3,FALSE())&amp;Char(10) &amp; Char(10) &amp; VLOOKUP(A572,Internal_lists_bugs!$A$2:$Z$73,26,FALSE())),"please select a BUG ID")</f>
        <v>please select a BUG ID</v>
      </c>
      <c r="C572" s="51" t="str">
        <f>IFERROR(VLOOKUP(A572,Internal_lists_bugs!$A$2:$G2003,7,FALSE()),"please select a BUG ID")</f>
        <v>please select a BUG ID</v>
      </c>
      <c r="D572" s="43"/>
      <c r="E572" s="63"/>
      <c r="F572" s="43"/>
      <c r="G572" s="63"/>
      <c r="H572" s="43"/>
      <c r="I572" s="63"/>
      <c r="J572" s="43"/>
      <c r="K572" s="50"/>
      <c r="L572" s="43"/>
      <c r="M572" s="50"/>
      <c r="N572" s="43"/>
      <c r="O572" s="50"/>
      <c r="P572" s="43"/>
      <c r="Q572" s="50"/>
      <c r="R572" s="43"/>
      <c r="S572" s="50"/>
      <c r="T572" s="43"/>
      <c r="U572" s="50"/>
      <c r="V572" s="43"/>
      <c r="W572" s="50"/>
      <c r="X572" s="43"/>
      <c r="Y572" s="50"/>
      <c r="Z572" s="43"/>
      <c r="AA572" s="50"/>
      <c r="AB572" s="43"/>
      <c r="AC572" s="50"/>
      <c r="AD572" s="43"/>
      <c r="AE572" s="50"/>
      <c r="AF572" s="43"/>
      <c r="AG572" s="50"/>
      <c r="AH572" s="43"/>
      <c r="AI572" s="50"/>
      <c r="AJ572" s="43"/>
      <c r="AK572" s="50"/>
      <c r="AL572" s="43"/>
      <c r="AM572" s="50"/>
      <c r="AO572" s="43"/>
      <c r="AP572" s="46"/>
      <c r="AQ572" s="43"/>
      <c r="AR572" s="119"/>
      <c r="AS572" s="1"/>
      <c r="AT572" s="1"/>
    </row>
    <row r="573">
      <c r="A573" s="43"/>
      <c r="B573" s="59" t="str">
        <f>IFERROR(HYPERLINK(VLOOKUP(A573,Internal_lists_bugs!$A$2:$C$73,3,FALSE()), VLOOKUP(A573,Internal_lists_bugs!$A$2:$C$73,3,FALSE())&amp;Char(10) &amp; Char(10) &amp; VLOOKUP(A573,Internal_lists_bugs!$A$2:$Z$73,26,FALSE())),"please select a BUG ID")</f>
        <v>please select a BUG ID</v>
      </c>
      <c r="C573" s="51" t="str">
        <f>IFERROR(VLOOKUP(A573,Internal_lists_bugs!$A$2:$G2003,7,FALSE()),"please select a BUG ID")</f>
        <v>please select a BUG ID</v>
      </c>
      <c r="D573" s="43"/>
      <c r="E573" s="63"/>
      <c r="F573" s="43"/>
      <c r="G573" s="63"/>
      <c r="H573" s="43"/>
      <c r="I573" s="63"/>
      <c r="J573" s="43"/>
      <c r="K573" s="50"/>
      <c r="L573" s="43"/>
      <c r="M573" s="50"/>
      <c r="N573" s="43"/>
      <c r="O573" s="50"/>
      <c r="P573" s="43"/>
      <c r="Q573" s="50"/>
      <c r="R573" s="43"/>
      <c r="S573" s="50"/>
      <c r="T573" s="43"/>
      <c r="U573" s="50"/>
      <c r="V573" s="43"/>
      <c r="W573" s="50"/>
      <c r="X573" s="43"/>
      <c r="Y573" s="50"/>
      <c r="Z573" s="43"/>
      <c r="AA573" s="50"/>
      <c r="AB573" s="43"/>
      <c r="AC573" s="50"/>
      <c r="AD573" s="43"/>
      <c r="AE573" s="50"/>
      <c r="AF573" s="43"/>
      <c r="AG573" s="50"/>
      <c r="AH573" s="43"/>
      <c r="AI573" s="50"/>
      <c r="AJ573" s="43"/>
      <c r="AK573" s="50"/>
      <c r="AL573" s="43"/>
      <c r="AM573" s="50"/>
      <c r="AO573" s="43"/>
      <c r="AP573" s="46"/>
      <c r="AQ573" s="43"/>
      <c r="AR573" s="119"/>
      <c r="AS573" s="1"/>
      <c r="AT573" s="1"/>
    </row>
    <row r="574">
      <c r="A574" s="43"/>
      <c r="B574" s="59" t="str">
        <f>IFERROR(HYPERLINK(VLOOKUP(A574,Internal_lists_bugs!$A$2:$C$73,3,FALSE()), VLOOKUP(A574,Internal_lists_bugs!$A$2:$C$73,3,FALSE())&amp;Char(10) &amp; Char(10) &amp; VLOOKUP(A574,Internal_lists_bugs!$A$2:$Z$73,26,FALSE())),"please select a BUG ID")</f>
        <v>please select a BUG ID</v>
      </c>
      <c r="C574" s="51" t="str">
        <f>IFERROR(VLOOKUP(A574,Internal_lists_bugs!$A$2:$G2003,7,FALSE()),"please select a BUG ID")</f>
        <v>please select a BUG ID</v>
      </c>
      <c r="D574" s="43"/>
      <c r="E574" s="63"/>
      <c r="F574" s="43"/>
      <c r="G574" s="63"/>
      <c r="H574" s="43"/>
      <c r="I574" s="63"/>
      <c r="J574" s="43"/>
      <c r="K574" s="50"/>
      <c r="L574" s="43"/>
      <c r="M574" s="50"/>
      <c r="N574" s="43"/>
      <c r="O574" s="50"/>
      <c r="P574" s="43"/>
      <c r="Q574" s="50"/>
      <c r="R574" s="43"/>
      <c r="S574" s="50"/>
      <c r="T574" s="43"/>
      <c r="U574" s="50"/>
      <c r="V574" s="43"/>
      <c r="W574" s="50"/>
      <c r="X574" s="43"/>
      <c r="Y574" s="50"/>
      <c r="Z574" s="43"/>
      <c r="AA574" s="50"/>
      <c r="AB574" s="43"/>
      <c r="AC574" s="50"/>
      <c r="AD574" s="43"/>
      <c r="AE574" s="50"/>
      <c r="AF574" s="43"/>
      <c r="AG574" s="50"/>
      <c r="AH574" s="43"/>
      <c r="AI574" s="50"/>
      <c r="AJ574" s="43"/>
      <c r="AK574" s="50"/>
      <c r="AL574" s="43"/>
      <c r="AM574" s="50"/>
      <c r="AO574" s="43"/>
      <c r="AP574" s="46"/>
      <c r="AQ574" s="43"/>
      <c r="AR574" s="119"/>
      <c r="AS574" s="1"/>
      <c r="AT574" s="1"/>
    </row>
    <row r="575">
      <c r="A575" s="43"/>
      <c r="B575" s="59" t="str">
        <f>IFERROR(HYPERLINK(VLOOKUP(A575,Internal_lists_bugs!$A$2:$C$73,3,FALSE()), VLOOKUP(A575,Internal_lists_bugs!$A$2:$C$73,3,FALSE())&amp;Char(10) &amp; Char(10) &amp; VLOOKUP(A575,Internal_lists_bugs!$A$2:$Z$73,26,FALSE())),"please select a BUG ID")</f>
        <v>please select a BUG ID</v>
      </c>
      <c r="C575" s="51" t="str">
        <f>IFERROR(VLOOKUP(A575,Internal_lists_bugs!$A$2:$G2003,7,FALSE()),"please select a BUG ID")</f>
        <v>please select a BUG ID</v>
      </c>
      <c r="D575" s="43"/>
      <c r="E575" s="63"/>
      <c r="F575" s="43"/>
      <c r="G575" s="63"/>
      <c r="H575" s="43"/>
      <c r="I575" s="63"/>
      <c r="J575" s="43"/>
      <c r="K575" s="50"/>
      <c r="L575" s="43"/>
      <c r="M575" s="50"/>
      <c r="N575" s="43"/>
      <c r="O575" s="50"/>
      <c r="P575" s="43"/>
      <c r="Q575" s="50"/>
      <c r="R575" s="43"/>
      <c r="S575" s="50"/>
      <c r="T575" s="43"/>
      <c r="U575" s="50"/>
      <c r="V575" s="43"/>
      <c r="W575" s="50"/>
      <c r="X575" s="43"/>
      <c r="Y575" s="50"/>
      <c r="Z575" s="43"/>
      <c r="AA575" s="50"/>
      <c r="AB575" s="43"/>
      <c r="AC575" s="50"/>
      <c r="AD575" s="43"/>
      <c r="AE575" s="50"/>
      <c r="AF575" s="43"/>
      <c r="AG575" s="50"/>
      <c r="AH575" s="43"/>
      <c r="AI575" s="50"/>
      <c r="AJ575" s="43"/>
      <c r="AK575" s="50"/>
      <c r="AL575" s="43"/>
      <c r="AM575" s="50"/>
      <c r="AO575" s="43"/>
      <c r="AP575" s="46"/>
      <c r="AQ575" s="43"/>
      <c r="AR575" s="119"/>
      <c r="AS575" s="1"/>
      <c r="AT575" s="1"/>
    </row>
    <row r="576">
      <c r="A576" s="43"/>
      <c r="B576" s="59" t="str">
        <f>IFERROR(HYPERLINK(VLOOKUP(A576,Internal_lists_bugs!$A$2:$C$73,3,FALSE()), VLOOKUP(A576,Internal_lists_bugs!$A$2:$C$73,3,FALSE())&amp;Char(10) &amp; Char(10) &amp; VLOOKUP(A576,Internal_lists_bugs!$A$2:$Z$73,26,FALSE())),"please select a BUG ID")</f>
        <v>please select a BUG ID</v>
      </c>
      <c r="C576" s="51" t="str">
        <f>IFERROR(VLOOKUP(A576,Internal_lists_bugs!$A$2:$G2003,7,FALSE()),"please select a BUG ID")</f>
        <v>please select a BUG ID</v>
      </c>
      <c r="D576" s="43"/>
      <c r="E576" s="63"/>
      <c r="F576" s="43"/>
      <c r="G576" s="63"/>
      <c r="H576" s="43"/>
      <c r="I576" s="63"/>
      <c r="J576" s="43"/>
      <c r="K576" s="50"/>
      <c r="L576" s="43"/>
      <c r="M576" s="50"/>
      <c r="N576" s="43"/>
      <c r="O576" s="50"/>
      <c r="P576" s="43"/>
      <c r="Q576" s="50"/>
      <c r="R576" s="43"/>
      <c r="S576" s="50"/>
      <c r="T576" s="43"/>
      <c r="U576" s="50"/>
      <c r="V576" s="43"/>
      <c r="W576" s="50"/>
      <c r="X576" s="43"/>
      <c r="Y576" s="50"/>
      <c r="Z576" s="43"/>
      <c r="AA576" s="50"/>
      <c r="AB576" s="43"/>
      <c r="AC576" s="50"/>
      <c r="AD576" s="43"/>
      <c r="AE576" s="50"/>
      <c r="AF576" s="43"/>
      <c r="AG576" s="50"/>
      <c r="AH576" s="43"/>
      <c r="AI576" s="50"/>
      <c r="AJ576" s="43"/>
      <c r="AK576" s="50"/>
      <c r="AL576" s="43"/>
      <c r="AM576" s="50"/>
      <c r="AO576" s="43"/>
      <c r="AP576" s="46"/>
      <c r="AQ576" s="43"/>
      <c r="AR576" s="119"/>
      <c r="AS576" s="1"/>
      <c r="AT576" s="1"/>
    </row>
    <row r="577">
      <c r="A577" s="43"/>
      <c r="B577" s="59" t="str">
        <f>IFERROR(HYPERLINK(VLOOKUP(A577,Internal_lists_bugs!$A$2:$C$73,3,FALSE()), VLOOKUP(A577,Internal_lists_bugs!$A$2:$C$73,3,FALSE())&amp;Char(10) &amp; Char(10) &amp; VLOOKUP(A577,Internal_lists_bugs!$A$2:$Z$73,26,FALSE())),"please select a BUG ID")</f>
        <v>please select a BUG ID</v>
      </c>
      <c r="C577" s="51" t="str">
        <f>IFERROR(VLOOKUP(A577,Internal_lists_bugs!$A$2:$G2003,7,FALSE()),"please select a BUG ID")</f>
        <v>please select a BUG ID</v>
      </c>
      <c r="D577" s="43"/>
      <c r="E577" s="63"/>
      <c r="F577" s="43"/>
      <c r="G577" s="63"/>
      <c r="H577" s="43"/>
      <c r="I577" s="63"/>
      <c r="J577" s="43"/>
      <c r="K577" s="50"/>
      <c r="L577" s="43"/>
      <c r="M577" s="50"/>
      <c r="N577" s="43"/>
      <c r="O577" s="50"/>
      <c r="P577" s="43"/>
      <c r="Q577" s="50"/>
      <c r="R577" s="43"/>
      <c r="S577" s="50"/>
      <c r="T577" s="43"/>
      <c r="U577" s="50"/>
      <c r="V577" s="43"/>
      <c r="W577" s="50"/>
      <c r="X577" s="43"/>
      <c r="Y577" s="50"/>
      <c r="Z577" s="43"/>
      <c r="AA577" s="50"/>
      <c r="AB577" s="43"/>
      <c r="AC577" s="50"/>
      <c r="AD577" s="43"/>
      <c r="AE577" s="50"/>
      <c r="AF577" s="43"/>
      <c r="AG577" s="50"/>
      <c r="AH577" s="43"/>
      <c r="AI577" s="50"/>
      <c r="AJ577" s="43"/>
      <c r="AK577" s="50"/>
      <c r="AL577" s="43"/>
      <c r="AM577" s="50"/>
      <c r="AO577" s="43"/>
      <c r="AP577" s="46"/>
      <c r="AQ577" s="43"/>
      <c r="AR577" s="119"/>
      <c r="AS577" s="1"/>
      <c r="AT577" s="1"/>
    </row>
    <row r="578">
      <c r="A578" s="43"/>
      <c r="B578" s="59" t="str">
        <f>IFERROR(HYPERLINK(VLOOKUP(A578,Internal_lists_bugs!$A$2:$C$73,3,FALSE()), VLOOKUP(A578,Internal_lists_bugs!$A$2:$C$73,3,FALSE())&amp;Char(10) &amp; Char(10) &amp; VLOOKUP(A578,Internal_lists_bugs!$A$2:$Z$73,26,FALSE())),"please select a BUG ID")</f>
        <v>please select a BUG ID</v>
      </c>
      <c r="C578" s="51" t="str">
        <f>IFERROR(VLOOKUP(A578,Internal_lists_bugs!$A$2:$G2003,7,FALSE()),"please select a BUG ID")</f>
        <v>please select a BUG ID</v>
      </c>
      <c r="D578" s="43"/>
      <c r="E578" s="63"/>
      <c r="F578" s="43"/>
      <c r="G578" s="63"/>
      <c r="H578" s="43"/>
      <c r="I578" s="63"/>
      <c r="J578" s="43"/>
      <c r="K578" s="50"/>
      <c r="L578" s="43"/>
      <c r="M578" s="50"/>
      <c r="N578" s="43"/>
      <c r="O578" s="50"/>
      <c r="P578" s="43"/>
      <c r="Q578" s="50"/>
      <c r="R578" s="43"/>
      <c r="S578" s="50"/>
      <c r="T578" s="43"/>
      <c r="U578" s="50"/>
      <c r="V578" s="43"/>
      <c r="W578" s="50"/>
      <c r="X578" s="43"/>
      <c r="Y578" s="50"/>
      <c r="Z578" s="43"/>
      <c r="AA578" s="50"/>
      <c r="AB578" s="43"/>
      <c r="AC578" s="50"/>
      <c r="AD578" s="43"/>
      <c r="AE578" s="50"/>
      <c r="AF578" s="43"/>
      <c r="AG578" s="50"/>
      <c r="AH578" s="43"/>
      <c r="AI578" s="50"/>
      <c r="AJ578" s="43"/>
      <c r="AK578" s="50"/>
      <c r="AL578" s="43"/>
      <c r="AM578" s="50"/>
      <c r="AO578" s="43"/>
      <c r="AP578" s="46"/>
      <c r="AQ578" s="43"/>
      <c r="AR578" s="119"/>
      <c r="AS578" s="1"/>
      <c r="AT578" s="1"/>
    </row>
    <row r="579">
      <c r="A579" s="43"/>
      <c r="B579" s="59" t="str">
        <f>IFERROR(HYPERLINK(VLOOKUP(A579,Internal_lists_bugs!$A$2:$C$73,3,FALSE()), VLOOKUP(A579,Internal_lists_bugs!$A$2:$C$73,3,FALSE())&amp;Char(10) &amp; Char(10) &amp; VLOOKUP(A579,Internal_lists_bugs!$A$2:$Z$73,26,FALSE())),"please select a BUG ID")</f>
        <v>please select a BUG ID</v>
      </c>
      <c r="C579" s="51" t="str">
        <f>IFERROR(VLOOKUP(A579,Internal_lists_bugs!$A$2:$G2003,7,FALSE()),"please select a BUG ID")</f>
        <v>please select a BUG ID</v>
      </c>
      <c r="D579" s="43"/>
      <c r="E579" s="63"/>
      <c r="F579" s="43"/>
      <c r="G579" s="63"/>
      <c r="H579" s="43"/>
      <c r="I579" s="63"/>
      <c r="J579" s="43"/>
      <c r="K579" s="50"/>
      <c r="L579" s="43"/>
      <c r="M579" s="50"/>
      <c r="N579" s="43"/>
      <c r="O579" s="50"/>
      <c r="P579" s="43"/>
      <c r="Q579" s="50"/>
      <c r="R579" s="43"/>
      <c r="S579" s="50"/>
      <c r="T579" s="43"/>
      <c r="U579" s="50"/>
      <c r="V579" s="43"/>
      <c r="W579" s="50"/>
      <c r="X579" s="43"/>
      <c r="Y579" s="50"/>
      <c r="Z579" s="43"/>
      <c r="AA579" s="50"/>
      <c r="AB579" s="43"/>
      <c r="AC579" s="50"/>
      <c r="AD579" s="43"/>
      <c r="AE579" s="50"/>
      <c r="AF579" s="43"/>
      <c r="AG579" s="50"/>
      <c r="AH579" s="43"/>
      <c r="AI579" s="50"/>
      <c r="AJ579" s="43"/>
      <c r="AK579" s="50"/>
      <c r="AL579" s="43"/>
      <c r="AM579" s="50"/>
      <c r="AO579" s="43"/>
      <c r="AP579" s="46"/>
      <c r="AQ579" s="43"/>
      <c r="AR579" s="119"/>
      <c r="AS579" s="1"/>
      <c r="AT579" s="1"/>
    </row>
    <row r="580">
      <c r="A580" s="43"/>
      <c r="B580" s="59" t="str">
        <f>IFERROR(HYPERLINK(VLOOKUP(A580,Internal_lists_bugs!$A$2:$C$73,3,FALSE()), VLOOKUP(A580,Internal_lists_bugs!$A$2:$C$73,3,FALSE())&amp;Char(10) &amp; Char(10) &amp; VLOOKUP(A580,Internal_lists_bugs!$A$2:$Z$73,26,FALSE())),"please select a BUG ID")</f>
        <v>please select a BUG ID</v>
      </c>
      <c r="C580" s="51" t="str">
        <f>IFERROR(VLOOKUP(A580,Internal_lists_bugs!$A$2:$G2003,7,FALSE()),"please select a BUG ID")</f>
        <v>please select a BUG ID</v>
      </c>
      <c r="D580" s="43"/>
      <c r="E580" s="63"/>
      <c r="F580" s="43"/>
      <c r="G580" s="63"/>
      <c r="H580" s="43"/>
      <c r="I580" s="63"/>
      <c r="J580" s="43"/>
      <c r="K580" s="50"/>
      <c r="L580" s="43"/>
      <c r="M580" s="50"/>
      <c r="N580" s="43"/>
      <c r="O580" s="50"/>
      <c r="P580" s="43"/>
      <c r="Q580" s="50"/>
      <c r="R580" s="43"/>
      <c r="S580" s="50"/>
      <c r="T580" s="43"/>
      <c r="U580" s="50"/>
      <c r="V580" s="43"/>
      <c r="W580" s="50"/>
      <c r="X580" s="43"/>
      <c r="Y580" s="50"/>
      <c r="Z580" s="43"/>
      <c r="AA580" s="50"/>
      <c r="AB580" s="43"/>
      <c r="AC580" s="50"/>
      <c r="AD580" s="43"/>
      <c r="AE580" s="50"/>
      <c r="AF580" s="43"/>
      <c r="AG580" s="50"/>
      <c r="AH580" s="43"/>
      <c r="AI580" s="50"/>
      <c r="AJ580" s="43"/>
      <c r="AK580" s="50"/>
      <c r="AL580" s="43"/>
      <c r="AM580" s="50"/>
      <c r="AO580" s="43"/>
      <c r="AP580" s="46"/>
      <c r="AQ580" s="43"/>
      <c r="AR580" s="119"/>
      <c r="AS580" s="1"/>
      <c r="AT580" s="1"/>
    </row>
    <row r="581">
      <c r="A581" s="43"/>
      <c r="B581" s="59" t="str">
        <f>IFERROR(HYPERLINK(VLOOKUP(A581,Internal_lists_bugs!$A$2:$C$73,3,FALSE()), VLOOKUP(A581,Internal_lists_bugs!$A$2:$C$73,3,FALSE())&amp;Char(10) &amp; Char(10) &amp; VLOOKUP(A581,Internal_lists_bugs!$A$2:$Z$73,26,FALSE())),"please select a BUG ID")</f>
        <v>please select a BUG ID</v>
      </c>
      <c r="C581" s="51" t="str">
        <f>IFERROR(VLOOKUP(A581,Internal_lists_bugs!$A$2:$G2003,7,FALSE()),"please select a BUG ID")</f>
        <v>please select a BUG ID</v>
      </c>
      <c r="D581" s="43"/>
      <c r="E581" s="63"/>
      <c r="F581" s="43"/>
      <c r="G581" s="63"/>
      <c r="H581" s="43"/>
      <c r="I581" s="63"/>
      <c r="J581" s="43"/>
      <c r="K581" s="50"/>
      <c r="L581" s="43"/>
      <c r="M581" s="50"/>
      <c r="N581" s="43"/>
      <c r="O581" s="50"/>
      <c r="P581" s="43"/>
      <c r="Q581" s="50"/>
      <c r="R581" s="43"/>
      <c r="S581" s="50"/>
      <c r="T581" s="43"/>
      <c r="U581" s="50"/>
      <c r="V581" s="43"/>
      <c r="W581" s="50"/>
      <c r="X581" s="43"/>
      <c r="Y581" s="50"/>
      <c r="Z581" s="43"/>
      <c r="AA581" s="50"/>
      <c r="AB581" s="43"/>
      <c r="AC581" s="50"/>
      <c r="AD581" s="43"/>
      <c r="AE581" s="50"/>
      <c r="AF581" s="43"/>
      <c r="AG581" s="50"/>
      <c r="AH581" s="43"/>
      <c r="AI581" s="50"/>
      <c r="AJ581" s="43"/>
      <c r="AK581" s="50"/>
      <c r="AL581" s="43"/>
      <c r="AM581" s="50"/>
      <c r="AO581" s="43"/>
      <c r="AP581" s="46"/>
      <c r="AQ581" s="43"/>
      <c r="AR581" s="119"/>
      <c r="AS581" s="1"/>
      <c r="AT581" s="1"/>
    </row>
    <row r="582">
      <c r="A582" s="43"/>
      <c r="B582" s="59" t="str">
        <f>IFERROR(HYPERLINK(VLOOKUP(A582,Internal_lists_bugs!$A$2:$C$73,3,FALSE()), VLOOKUP(A582,Internal_lists_bugs!$A$2:$C$73,3,FALSE())&amp;Char(10) &amp; Char(10) &amp; VLOOKUP(A582,Internal_lists_bugs!$A$2:$Z$73,26,FALSE())),"please select a BUG ID")</f>
        <v>please select a BUG ID</v>
      </c>
      <c r="C582" s="51" t="str">
        <f>IFERROR(VLOOKUP(A582,Internal_lists_bugs!$A$2:$G2003,7,FALSE()),"please select a BUG ID")</f>
        <v>please select a BUG ID</v>
      </c>
      <c r="D582" s="43"/>
      <c r="E582" s="63"/>
      <c r="F582" s="43"/>
      <c r="G582" s="63"/>
      <c r="H582" s="43"/>
      <c r="I582" s="63"/>
      <c r="J582" s="43"/>
      <c r="K582" s="50"/>
      <c r="L582" s="43"/>
      <c r="M582" s="50"/>
      <c r="N582" s="43"/>
      <c r="O582" s="50"/>
      <c r="P582" s="43"/>
      <c r="Q582" s="50"/>
      <c r="R582" s="43"/>
      <c r="S582" s="50"/>
      <c r="T582" s="43"/>
      <c r="U582" s="50"/>
      <c r="V582" s="43"/>
      <c r="W582" s="50"/>
      <c r="X582" s="43"/>
      <c r="Y582" s="50"/>
      <c r="Z582" s="43"/>
      <c r="AA582" s="50"/>
      <c r="AB582" s="43"/>
      <c r="AC582" s="50"/>
      <c r="AD582" s="43"/>
      <c r="AE582" s="50"/>
      <c r="AF582" s="43"/>
      <c r="AG582" s="50"/>
      <c r="AH582" s="43"/>
      <c r="AI582" s="50"/>
      <c r="AJ582" s="43"/>
      <c r="AK582" s="50"/>
      <c r="AL582" s="43"/>
      <c r="AM582" s="50"/>
      <c r="AO582" s="43"/>
      <c r="AP582" s="46"/>
      <c r="AQ582" s="43"/>
      <c r="AR582" s="119"/>
      <c r="AS582" s="1"/>
      <c r="AT582" s="1"/>
    </row>
    <row r="583">
      <c r="A583" s="43"/>
      <c r="B583" s="59" t="str">
        <f>IFERROR(HYPERLINK(VLOOKUP(A583,Internal_lists_bugs!$A$2:$C$73,3,FALSE()), VLOOKUP(A583,Internal_lists_bugs!$A$2:$C$73,3,FALSE())&amp;Char(10) &amp; Char(10) &amp; VLOOKUP(A583,Internal_lists_bugs!$A$2:$Z$73,26,FALSE())),"please select a BUG ID")</f>
        <v>please select a BUG ID</v>
      </c>
      <c r="C583" s="51" t="str">
        <f>IFERROR(VLOOKUP(A583,Internal_lists_bugs!$A$2:$G2003,7,FALSE()),"please select a BUG ID")</f>
        <v>please select a BUG ID</v>
      </c>
      <c r="D583" s="43"/>
      <c r="E583" s="63"/>
      <c r="F583" s="43"/>
      <c r="G583" s="63"/>
      <c r="H583" s="43"/>
      <c r="I583" s="63"/>
      <c r="J583" s="43"/>
      <c r="K583" s="50"/>
      <c r="L583" s="43"/>
      <c r="M583" s="50"/>
      <c r="N583" s="43"/>
      <c r="O583" s="50"/>
      <c r="P583" s="43"/>
      <c r="Q583" s="50"/>
      <c r="R583" s="43"/>
      <c r="S583" s="50"/>
      <c r="T583" s="43"/>
      <c r="U583" s="50"/>
      <c r="V583" s="43"/>
      <c r="W583" s="50"/>
      <c r="X583" s="43"/>
      <c r="Y583" s="50"/>
      <c r="Z583" s="43"/>
      <c r="AA583" s="50"/>
      <c r="AB583" s="43"/>
      <c r="AC583" s="50"/>
      <c r="AD583" s="43"/>
      <c r="AE583" s="50"/>
      <c r="AF583" s="43"/>
      <c r="AG583" s="50"/>
      <c r="AH583" s="43"/>
      <c r="AI583" s="50"/>
      <c r="AJ583" s="43"/>
      <c r="AK583" s="50"/>
      <c r="AL583" s="43"/>
      <c r="AM583" s="50"/>
      <c r="AO583" s="43"/>
      <c r="AP583" s="46"/>
      <c r="AQ583" s="43"/>
      <c r="AR583" s="119"/>
      <c r="AS583" s="1"/>
      <c r="AT583" s="1"/>
    </row>
    <row r="584">
      <c r="A584" s="43"/>
      <c r="B584" s="59" t="str">
        <f>IFERROR(HYPERLINK(VLOOKUP(A584,Internal_lists_bugs!$A$2:$C$73,3,FALSE()), VLOOKUP(A584,Internal_lists_bugs!$A$2:$C$73,3,FALSE())&amp;Char(10) &amp; Char(10) &amp; VLOOKUP(A584,Internal_lists_bugs!$A$2:$Z$73,26,FALSE())),"please select a BUG ID")</f>
        <v>please select a BUG ID</v>
      </c>
      <c r="C584" s="51" t="str">
        <f>IFERROR(VLOOKUP(A584,Internal_lists_bugs!$A$2:$G2003,7,FALSE()),"please select a BUG ID")</f>
        <v>please select a BUG ID</v>
      </c>
      <c r="D584" s="43"/>
      <c r="E584" s="63"/>
      <c r="F584" s="43"/>
      <c r="G584" s="63"/>
      <c r="H584" s="43"/>
      <c r="I584" s="63"/>
      <c r="J584" s="43"/>
      <c r="K584" s="50"/>
      <c r="L584" s="43"/>
      <c r="M584" s="50"/>
      <c r="N584" s="43"/>
      <c r="O584" s="50"/>
      <c r="P584" s="43"/>
      <c r="Q584" s="50"/>
      <c r="R584" s="43"/>
      <c r="S584" s="50"/>
      <c r="T584" s="43"/>
      <c r="U584" s="50"/>
      <c r="V584" s="43"/>
      <c r="W584" s="50"/>
      <c r="X584" s="43"/>
      <c r="Y584" s="50"/>
      <c r="Z584" s="43"/>
      <c r="AA584" s="50"/>
      <c r="AB584" s="43"/>
      <c r="AC584" s="50"/>
      <c r="AD584" s="43"/>
      <c r="AE584" s="50"/>
      <c r="AF584" s="43"/>
      <c r="AG584" s="50"/>
      <c r="AH584" s="43"/>
      <c r="AI584" s="50"/>
      <c r="AJ584" s="43"/>
      <c r="AK584" s="50"/>
      <c r="AL584" s="43"/>
      <c r="AM584" s="50"/>
      <c r="AO584" s="43"/>
      <c r="AP584" s="46"/>
      <c r="AQ584" s="43"/>
      <c r="AR584" s="119"/>
      <c r="AS584" s="1"/>
      <c r="AT584" s="1"/>
    </row>
    <row r="585">
      <c r="A585" s="43"/>
      <c r="B585" s="59" t="str">
        <f>IFERROR(HYPERLINK(VLOOKUP(A585,Internal_lists_bugs!$A$2:$C$73,3,FALSE()), VLOOKUP(A585,Internal_lists_bugs!$A$2:$C$73,3,FALSE())&amp;Char(10) &amp; Char(10) &amp; VLOOKUP(A585,Internal_lists_bugs!$A$2:$Z$73,26,FALSE())),"please select a BUG ID")</f>
        <v>please select a BUG ID</v>
      </c>
      <c r="C585" s="51" t="str">
        <f>IFERROR(VLOOKUP(A585,Internal_lists_bugs!$A$2:$G2003,7,FALSE()),"please select a BUG ID")</f>
        <v>please select a BUG ID</v>
      </c>
      <c r="D585" s="43"/>
      <c r="E585" s="63"/>
      <c r="F585" s="43"/>
      <c r="G585" s="63"/>
      <c r="H585" s="43"/>
      <c r="I585" s="63"/>
      <c r="J585" s="43"/>
      <c r="K585" s="50"/>
      <c r="L585" s="43"/>
      <c r="M585" s="50"/>
      <c r="N585" s="43"/>
      <c r="O585" s="50"/>
      <c r="P585" s="43"/>
      <c r="Q585" s="50"/>
      <c r="R585" s="43"/>
      <c r="S585" s="50"/>
      <c r="T585" s="43"/>
      <c r="U585" s="50"/>
      <c r="V585" s="43"/>
      <c r="W585" s="50"/>
      <c r="X585" s="43"/>
      <c r="Y585" s="50"/>
      <c r="Z585" s="43"/>
      <c r="AA585" s="50"/>
      <c r="AB585" s="43"/>
      <c r="AC585" s="50"/>
      <c r="AD585" s="43"/>
      <c r="AE585" s="50"/>
      <c r="AF585" s="43"/>
      <c r="AG585" s="50"/>
      <c r="AH585" s="43"/>
      <c r="AI585" s="50"/>
      <c r="AJ585" s="43"/>
      <c r="AK585" s="50"/>
      <c r="AL585" s="43"/>
      <c r="AM585" s="50"/>
      <c r="AO585" s="43"/>
      <c r="AP585" s="46"/>
      <c r="AQ585" s="43"/>
      <c r="AR585" s="119"/>
      <c r="AS585" s="1"/>
      <c r="AT585" s="1"/>
    </row>
    <row r="586">
      <c r="A586" s="43"/>
      <c r="B586" s="59" t="str">
        <f>IFERROR(HYPERLINK(VLOOKUP(A586,Internal_lists_bugs!$A$2:$C$73,3,FALSE()), VLOOKUP(A586,Internal_lists_bugs!$A$2:$C$73,3,FALSE())&amp;Char(10) &amp; Char(10) &amp; VLOOKUP(A586,Internal_lists_bugs!$A$2:$Z$73,26,FALSE())),"please select a BUG ID")</f>
        <v>please select a BUG ID</v>
      </c>
      <c r="C586" s="51" t="str">
        <f>IFERROR(VLOOKUP(A586,Internal_lists_bugs!$A$2:$G2003,7,FALSE()),"please select a BUG ID")</f>
        <v>please select a BUG ID</v>
      </c>
      <c r="D586" s="43"/>
      <c r="E586" s="63"/>
      <c r="F586" s="43"/>
      <c r="G586" s="63"/>
      <c r="H586" s="43"/>
      <c r="I586" s="63"/>
      <c r="J586" s="43"/>
      <c r="K586" s="50"/>
      <c r="L586" s="43"/>
      <c r="M586" s="50"/>
      <c r="N586" s="43"/>
      <c r="O586" s="50"/>
      <c r="P586" s="43"/>
      <c r="Q586" s="50"/>
      <c r="R586" s="43"/>
      <c r="S586" s="50"/>
      <c r="T586" s="43"/>
      <c r="U586" s="50"/>
      <c r="V586" s="43"/>
      <c r="W586" s="50"/>
      <c r="X586" s="43"/>
      <c r="Y586" s="50"/>
      <c r="Z586" s="43"/>
      <c r="AA586" s="50"/>
      <c r="AB586" s="43"/>
      <c r="AC586" s="50"/>
      <c r="AD586" s="43"/>
      <c r="AE586" s="50"/>
      <c r="AF586" s="43"/>
      <c r="AG586" s="50"/>
      <c r="AH586" s="43"/>
      <c r="AI586" s="50"/>
      <c r="AJ586" s="43"/>
      <c r="AK586" s="50"/>
      <c r="AL586" s="43"/>
      <c r="AM586" s="50"/>
      <c r="AO586" s="43"/>
      <c r="AP586" s="46"/>
      <c r="AQ586" s="43"/>
      <c r="AR586" s="119"/>
      <c r="AS586" s="1"/>
      <c r="AT586" s="1"/>
    </row>
    <row r="587">
      <c r="A587" s="43"/>
      <c r="B587" s="59" t="str">
        <f>IFERROR(HYPERLINK(VLOOKUP(A587,Internal_lists_bugs!$A$2:$C$73,3,FALSE()), VLOOKUP(A587,Internal_lists_bugs!$A$2:$C$73,3,FALSE())&amp;Char(10) &amp; Char(10) &amp; VLOOKUP(A587,Internal_lists_bugs!$A$2:$Z$73,26,FALSE())),"please select a BUG ID")</f>
        <v>please select a BUG ID</v>
      </c>
      <c r="C587" s="51" t="str">
        <f>IFERROR(VLOOKUP(A587,Internal_lists_bugs!$A$2:$G2003,7,FALSE()),"please select a BUG ID")</f>
        <v>please select a BUG ID</v>
      </c>
      <c r="D587" s="43"/>
      <c r="E587" s="63"/>
      <c r="F587" s="43"/>
      <c r="G587" s="63"/>
      <c r="H587" s="43"/>
      <c r="I587" s="63"/>
      <c r="J587" s="43"/>
      <c r="K587" s="50"/>
      <c r="L587" s="43"/>
      <c r="M587" s="50"/>
      <c r="N587" s="43"/>
      <c r="O587" s="50"/>
      <c r="P587" s="43"/>
      <c r="Q587" s="50"/>
      <c r="R587" s="43"/>
      <c r="S587" s="50"/>
      <c r="T587" s="43"/>
      <c r="U587" s="50"/>
      <c r="V587" s="43"/>
      <c r="W587" s="50"/>
      <c r="X587" s="43"/>
      <c r="Y587" s="50"/>
      <c r="Z587" s="43"/>
      <c r="AA587" s="50"/>
      <c r="AB587" s="43"/>
      <c r="AC587" s="50"/>
      <c r="AD587" s="43"/>
      <c r="AE587" s="50"/>
      <c r="AF587" s="43"/>
      <c r="AG587" s="50"/>
      <c r="AH587" s="43"/>
      <c r="AI587" s="50"/>
      <c r="AJ587" s="43"/>
      <c r="AK587" s="50"/>
      <c r="AL587" s="43"/>
      <c r="AM587" s="50"/>
      <c r="AO587" s="43"/>
      <c r="AP587" s="46"/>
      <c r="AQ587" s="43"/>
      <c r="AR587" s="119"/>
      <c r="AS587" s="1"/>
      <c r="AT587" s="1"/>
    </row>
    <row r="588">
      <c r="A588" s="43"/>
      <c r="B588" s="59" t="str">
        <f>IFERROR(HYPERLINK(VLOOKUP(A588,Internal_lists_bugs!$A$2:$C$73,3,FALSE()), VLOOKUP(A588,Internal_lists_bugs!$A$2:$C$73,3,FALSE())&amp;Char(10) &amp; Char(10) &amp; VLOOKUP(A588,Internal_lists_bugs!$A$2:$Z$73,26,FALSE())),"please select a BUG ID")</f>
        <v>please select a BUG ID</v>
      </c>
      <c r="C588" s="51" t="str">
        <f>IFERROR(VLOOKUP(A588,Internal_lists_bugs!$A$2:$G2003,7,FALSE()),"please select a BUG ID")</f>
        <v>please select a BUG ID</v>
      </c>
      <c r="D588" s="43"/>
      <c r="E588" s="63"/>
      <c r="F588" s="43"/>
      <c r="G588" s="63"/>
      <c r="H588" s="43"/>
      <c r="I588" s="63"/>
      <c r="J588" s="43"/>
      <c r="K588" s="50"/>
      <c r="L588" s="43"/>
      <c r="M588" s="50"/>
      <c r="N588" s="43"/>
      <c r="O588" s="50"/>
      <c r="P588" s="43"/>
      <c r="Q588" s="50"/>
      <c r="R588" s="43"/>
      <c r="S588" s="50"/>
      <c r="T588" s="43"/>
      <c r="U588" s="50"/>
      <c r="V588" s="43"/>
      <c r="W588" s="50"/>
      <c r="X588" s="43"/>
      <c r="Y588" s="50"/>
      <c r="Z588" s="43"/>
      <c r="AA588" s="50"/>
      <c r="AB588" s="43"/>
      <c r="AC588" s="50"/>
      <c r="AD588" s="43"/>
      <c r="AE588" s="50"/>
      <c r="AF588" s="43"/>
      <c r="AG588" s="50"/>
      <c r="AH588" s="43"/>
      <c r="AI588" s="50"/>
      <c r="AJ588" s="43"/>
      <c r="AK588" s="50"/>
      <c r="AL588" s="43"/>
      <c r="AM588" s="50"/>
      <c r="AO588" s="43"/>
      <c r="AP588" s="46"/>
      <c r="AQ588" s="43"/>
      <c r="AR588" s="119"/>
      <c r="AS588" s="1"/>
      <c r="AT588" s="1"/>
    </row>
    <row r="589">
      <c r="A589" s="43"/>
      <c r="B589" s="59" t="str">
        <f>IFERROR(HYPERLINK(VLOOKUP(A589,Internal_lists_bugs!$A$2:$C$73,3,FALSE()), VLOOKUP(A589,Internal_lists_bugs!$A$2:$C$73,3,FALSE())&amp;Char(10) &amp; Char(10) &amp; VLOOKUP(A589,Internal_lists_bugs!$A$2:$Z$73,26,FALSE())),"please select a BUG ID")</f>
        <v>please select a BUG ID</v>
      </c>
      <c r="C589" s="51" t="str">
        <f>IFERROR(VLOOKUP(A589,Internal_lists_bugs!$A$2:$G2003,7,FALSE()),"please select a BUG ID")</f>
        <v>please select a BUG ID</v>
      </c>
      <c r="D589" s="43"/>
      <c r="E589" s="63"/>
      <c r="F589" s="43"/>
      <c r="G589" s="63"/>
      <c r="H589" s="43"/>
      <c r="I589" s="63"/>
      <c r="J589" s="43"/>
      <c r="K589" s="50"/>
      <c r="L589" s="43"/>
      <c r="M589" s="50"/>
      <c r="N589" s="43"/>
      <c r="O589" s="50"/>
      <c r="P589" s="43"/>
      <c r="Q589" s="50"/>
      <c r="R589" s="43"/>
      <c r="S589" s="50"/>
      <c r="T589" s="43"/>
      <c r="U589" s="50"/>
      <c r="V589" s="43"/>
      <c r="W589" s="50"/>
      <c r="X589" s="43"/>
      <c r="Y589" s="50"/>
      <c r="Z589" s="43"/>
      <c r="AA589" s="50"/>
      <c r="AB589" s="43"/>
      <c r="AC589" s="50"/>
      <c r="AD589" s="43"/>
      <c r="AE589" s="50"/>
      <c r="AF589" s="43"/>
      <c r="AG589" s="50"/>
      <c r="AH589" s="43"/>
      <c r="AI589" s="50"/>
      <c r="AJ589" s="43"/>
      <c r="AK589" s="50"/>
      <c r="AL589" s="43"/>
      <c r="AM589" s="50"/>
      <c r="AO589" s="43"/>
      <c r="AP589" s="46"/>
      <c r="AQ589" s="43"/>
      <c r="AR589" s="119"/>
      <c r="AS589" s="1"/>
      <c r="AT589" s="1"/>
    </row>
    <row r="590">
      <c r="A590" s="43"/>
      <c r="B590" s="59" t="str">
        <f>IFERROR(HYPERLINK(VLOOKUP(A590,Internal_lists_bugs!$A$2:$C$73,3,FALSE()), VLOOKUP(A590,Internal_lists_bugs!$A$2:$C$73,3,FALSE())&amp;Char(10) &amp; Char(10) &amp; VLOOKUP(A590,Internal_lists_bugs!$A$2:$Z$73,26,FALSE())),"please select a BUG ID")</f>
        <v>please select a BUG ID</v>
      </c>
      <c r="C590" s="51" t="str">
        <f>IFERROR(VLOOKUP(A590,Internal_lists_bugs!$A$2:$G2003,7,FALSE()),"please select a BUG ID")</f>
        <v>please select a BUG ID</v>
      </c>
      <c r="D590" s="43"/>
      <c r="E590" s="63"/>
      <c r="F590" s="43"/>
      <c r="G590" s="63"/>
      <c r="H590" s="43"/>
      <c r="I590" s="63"/>
      <c r="J590" s="43"/>
      <c r="K590" s="50"/>
      <c r="L590" s="43"/>
      <c r="M590" s="50"/>
      <c r="N590" s="43"/>
      <c r="O590" s="50"/>
      <c r="P590" s="43"/>
      <c r="Q590" s="50"/>
      <c r="R590" s="43"/>
      <c r="S590" s="50"/>
      <c r="T590" s="43"/>
      <c r="U590" s="50"/>
      <c r="V590" s="43"/>
      <c r="W590" s="50"/>
      <c r="X590" s="43"/>
      <c r="Y590" s="50"/>
      <c r="Z590" s="43"/>
      <c r="AA590" s="50"/>
      <c r="AB590" s="43"/>
      <c r="AC590" s="50"/>
      <c r="AD590" s="43"/>
      <c r="AE590" s="50"/>
      <c r="AF590" s="43"/>
      <c r="AG590" s="50"/>
      <c r="AH590" s="43"/>
      <c r="AI590" s="50"/>
      <c r="AJ590" s="43"/>
      <c r="AK590" s="50"/>
      <c r="AL590" s="43"/>
      <c r="AM590" s="50"/>
      <c r="AO590" s="43"/>
      <c r="AP590" s="46"/>
      <c r="AQ590" s="43"/>
      <c r="AR590" s="119"/>
      <c r="AS590" s="1"/>
      <c r="AT590" s="1"/>
    </row>
    <row r="591">
      <c r="A591" s="43"/>
      <c r="B591" s="59" t="str">
        <f>IFERROR(HYPERLINK(VLOOKUP(A591,Internal_lists_bugs!$A$2:$C$73,3,FALSE()), VLOOKUP(A591,Internal_lists_bugs!$A$2:$C$73,3,FALSE())&amp;Char(10) &amp; Char(10) &amp; VLOOKUP(A591,Internal_lists_bugs!$A$2:$Z$73,26,FALSE())),"please select a BUG ID")</f>
        <v>please select a BUG ID</v>
      </c>
      <c r="C591" s="51" t="str">
        <f>IFERROR(VLOOKUP(A591,Internal_lists_bugs!$A$2:$G2003,7,FALSE()),"please select a BUG ID")</f>
        <v>please select a BUG ID</v>
      </c>
      <c r="D591" s="43"/>
      <c r="E591" s="63"/>
      <c r="F591" s="43"/>
      <c r="G591" s="63"/>
      <c r="H591" s="43"/>
      <c r="I591" s="63"/>
      <c r="J591" s="43"/>
      <c r="K591" s="50"/>
      <c r="L591" s="43"/>
      <c r="M591" s="50"/>
      <c r="N591" s="43"/>
      <c r="O591" s="50"/>
      <c r="P591" s="43"/>
      <c r="Q591" s="50"/>
      <c r="R591" s="43"/>
      <c r="S591" s="50"/>
      <c r="T591" s="43"/>
      <c r="U591" s="50"/>
      <c r="V591" s="43"/>
      <c r="W591" s="50"/>
      <c r="X591" s="43"/>
      <c r="Y591" s="50"/>
      <c r="Z591" s="43"/>
      <c r="AA591" s="50"/>
      <c r="AB591" s="43"/>
      <c r="AC591" s="50"/>
      <c r="AD591" s="43"/>
      <c r="AE591" s="50"/>
      <c r="AF591" s="43"/>
      <c r="AG591" s="50"/>
      <c r="AH591" s="43"/>
      <c r="AI591" s="50"/>
      <c r="AJ591" s="43"/>
      <c r="AK591" s="50"/>
      <c r="AL591" s="43"/>
      <c r="AM591" s="50"/>
      <c r="AO591" s="43"/>
      <c r="AP591" s="46"/>
      <c r="AQ591" s="43"/>
      <c r="AR591" s="119"/>
      <c r="AS591" s="1"/>
      <c r="AT591" s="1"/>
    </row>
    <row r="592">
      <c r="A592" s="43"/>
      <c r="B592" s="59" t="str">
        <f>IFERROR(HYPERLINK(VLOOKUP(A592,Internal_lists_bugs!$A$2:$C$73,3,FALSE()), VLOOKUP(A592,Internal_lists_bugs!$A$2:$C$73,3,FALSE())&amp;Char(10) &amp; Char(10) &amp; VLOOKUP(A592,Internal_lists_bugs!$A$2:$Z$73,26,FALSE())),"please select a BUG ID")</f>
        <v>please select a BUG ID</v>
      </c>
      <c r="C592" s="51" t="str">
        <f>IFERROR(VLOOKUP(A592,Internal_lists_bugs!$A$2:$G2003,7,FALSE()),"please select a BUG ID")</f>
        <v>please select a BUG ID</v>
      </c>
      <c r="D592" s="43"/>
      <c r="E592" s="63"/>
      <c r="F592" s="43"/>
      <c r="G592" s="63"/>
      <c r="H592" s="43"/>
      <c r="I592" s="63"/>
      <c r="J592" s="43"/>
      <c r="K592" s="50"/>
      <c r="L592" s="43"/>
      <c r="M592" s="50"/>
      <c r="N592" s="43"/>
      <c r="O592" s="50"/>
      <c r="P592" s="43"/>
      <c r="Q592" s="50"/>
      <c r="R592" s="43"/>
      <c r="S592" s="50"/>
      <c r="T592" s="43"/>
      <c r="U592" s="50"/>
      <c r="V592" s="43"/>
      <c r="W592" s="50"/>
      <c r="X592" s="43"/>
      <c r="Y592" s="50"/>
      <c r="Z592" s="43"/>
      <c r="AA592" s="50"/>
      <c r="AB592" s="43"/>
      <c r="AC592" s="50"/>
      <c r="AD592" s="43"/>
      <c r="AE592" s="50"/>
      <c r="AF592" s="43"/>
      <c r="AG592" s="50"/>
      <c r="AH592" s="43"/>
      <c r="AI592" s="50"/>
      <c r="AJ592" s="43"/>
      <c r="AK592" s="50"/>
      <c r="AL592" s="43"/>
      <c r="AM592" s="50"/>
      <c r="AO592" s="43"/>
      <c r="AP592" s="46"/>
      <c r="AQ592" s="43"/>
      <c r="AR592" s="119"/>
      <c r="AS592" s="1"/>
      <c r="AT592" s="1"/>
    </row>
    <row r="593">
      <c r="A593" s="43"/>
      <c r="B593" s="59" t="str">
        <f>IFERROR(HYPERLINK(VLOOKUP(A593,Internal_lists_bugs!$A$2:$C$73,3,FALSE()), VLOOKUP(A593,Internal_lists_bugs!$A$2:$C$73,3,FALSE())&amp;Char(10) &amp; Char(10) &amp; VLOOKUP(A593,Internal_lists_bugs!$A$2:$Z$73,26,FALSE())),"please select a BUG ID")</f>
        <v>please select a BUG ID</v>
      </c>
      <c r="C593" s="51" t="str">
        <f>IFERROR(VLOOKUP(A593,Internal_lists_bugs!$A$2:$G2003,7,FALSE()),"please select a BUG ID")</f>
        <v>please select a BUG ID</v>
      </c>
      <c r="D593" s="43"/>
      <c r="E593" s="63"/>
      <c r="F593" s="43"/>
      <c r="G593" s="63"/>
      <c r="H593" s="43"/>
      <c r="I593" s="63"/>
      <c r="J593" s="43"/>
      <c r="K593" s="50"/>
      <c r="L593" s="43"/>
      <c r="M593" s="50"/>
      <c r="N593" s="43"/>
      <c r="O593" s="50"/>
      <c r="P593" s="43"/>
      <c r="Q593" s="50"/>
      <c r="R593" s="43"/>
      <c r="S593" s="50"/>
      <c r="T593" s="43"/>
      <c r="U593" s="50"/>
      <c r="V593" s="43"/>
      <c r="W593" s="50"/>
      <c r="X593" s="43"/>
      <c r="Y593" s="50"/>
      <c r="Z593" s="43"/>
      <c r="AA593" s="50"/>
      <c r="AB593" s="43"/>
      <c r="AC593" s="50"/>
      <c r="AD593" s="43"/>
      <c r="AE593" s="50"/>
      <c r="AF593" s="43"/>
      <c r="AG593" s="50"/>
      <c r="AH593" s="43"/>
      <c r="AI593" s="50"/>
      <c r="AJ593" s="43"/>
      <c r="AK593" s="50"/>
      <c r="AL593" s="43"/>
      <c r="AM593" s="50"/>
      <c r="AO593" s="43"/>
      <c r="AP593" s="46"/>
      <c r="AQ593" s="43"/>
      <c r="AR593" s="119"/>
      <c r="AS593" s="1"/>
      <c r="AT593" s="1"/>
    </row>
    <row r="594">
      <c r="A594" s="43"/>
      <c r="B594" s="59" t="str">
        <f>IFERROR(HYPERLINK(VLOOKUP(A594,Internal_lists_bugs!$A$2:$C$73,3,FALSE()), VLOOKUP(A594,Internal_lists_bugs!$A$2:$C$73,3,FALSE())&amp;Char(10) &amp; Char(10) &amp; VLOOKUP(A594,Internal_lists_bugs!$A$2:$Z$73,26,FALSE())),"please select a BUG ID")</f>
        <v>please select a BUG ID</v>
      </c>
      <c r="C594" s="51" t="str">
        <f>IFERROR(VLOOKUP(A594,Internal_lists_bugs!$A$2:$G2003,7,FALSE()),"please select a BUG ID")</f>
        <v>please select a BUG ID</v>
      </c>
      <c r="D594" s="43"/>
      <c r="E594" s="63"/>
      <c r="F594" s="43"/>
      <c r="G594" s="63"/>
      <c r="H594" s="43"/>
      <c r="I594" s="63"/>
      <c r="J594" s="43"/>
      <c r="K594" s="50"/>
      <c r="L594" s="43"/>
      <c r="M594" s="50"/>
      <c r="N594" s="43"/>
      <c r="O594" s="50"/>
      <c r="P594" s="43"/>
      <c r="Q594" s="50"/>
      <c r="R594" s="43"/>
      <c r="S594" s="50"/>
      <c r="T594" s="43"/>
      <c r="U594" s="50"/>
      <c r="V594" s="43"/>
      <c r="W594" s="50"/>
      <c r="X594" s="43"/>
      <c r="Y594" s="50"/>
      <c r="Z594" s="43"/>
      <c r="AA594" s="50"/>
      <c r="AB594" s="43"/>
      <c r="AC594" s="50"/>
      <c r="AD594" s="43"/>
      <c r="AE594" s="50"/>
      <c r="AF594" s="43"/>
      <c r="AG594" s="50"/>
      <c r="AH594" s="43"/>
      <c r="AI594" s="50"/>
      <c r="AJ594" s="43"/>
      <c r="AK594" s="50"/>
      <c r="AL594" s="43"/>
      <c r="AM594" s="50"/>
      <c r="AO594" s="43"/>
      <c r="AP594" s="46"/>
      <c r="AQ594" s="43"/>
      <c r="AR594" s="119"/>
      <c r="AS594" s="1"/>
      <c r="AT594" s="1"/>
    </row>
    <row r="595">
      <c r="A595" s="43"/>
      <c r="B595" s="59" t="str">
        <f>IFERROR(HYPERLINK(VLOOKUP(A595,Internal_lists_bugs!$A$2:$C$73,3,FALSE()), VLOOKUP(A595,Internal_lists_bugs!$A$2:$C$73,3,FALSE())&amp;Char(10) &amp; Char(10) &amp; VLOOKUP(A595,Internal_lists_bugs!$A$2:$Z$73,26,FALSE())),"please select a BUG ID")</f>
        <v>please select a BUG ID</v>
      </c>
      <c r="C595" s="51" t="str">
        <f>IFERROR(VLOOKUP(A595,Internal_lists_bugs!$A$2:$G2003,7,FALSE()),"please select a BUG ID")</f>
        <v>please select a BUG ID</v>
      </c>
      <c r="D595" s="43"/>
      <c r="E595" s="63"/>
      <c r="F595" s="43"/>
      <c r="G595" s="63"/>
      <c r="H595" s="43"/>
      <c r="I595" s="63"/>
      <c r="J595" s="43"/>
      <c r="K595" s="50"/>
      <c r="L595" s="43"/>
      <c r="M595" s="50"/>
      <c r="N595" s="43"/>
      <c r="O595" s="50"/>
      <c r="P595" s="43"/>
      <c r="Q595" s="50"/>
      <c r="R595" s="43"/>
      <c r="S595" s="50"/>
      <c r="T595" s="43"/>
      <c r="U595" s="50"/>
      <c r="V595" s="43"/>
      <c r="W595" s="50"/>
      <c r="X595" s="43"/>
      <c r="Y595" s="50"/>
      <c r="Z595" s="43"/>
      <c r="AA595" s="50"/>
      <c r="AB595" s="43"/>
      <c r="AC595" s="50"/>
      <c r="AD595" s="43"/>
      <c r="AE595" s="50"/>
      <c r="AF595" s="43"/>
      <c r="AG595" s="50"/>
      <c r="AH595" s="43"/>
      <c r="AI595" s="50"/>
      <c r="AJ595" s="43"/>
      <c r="AK595" s="50"/>
      <c r="AL595" s="43"/>
      <c r="AM595" s="50"/>
      <c r="AO595" s="43"/>
      <c r="AP595" s="46"/>
      <c r="AQ595" s="43"/>
      <c r="AR595" s="119"/>
      <c r="AS595" s="1"/>
      <c r="AT595" s="1"/>
    </row>
    <row r="596">
      <c r="A596" s="43"/>
      <c r="B596" s="59" t="str">
        <f>IFERROR(HYPERLINK(VLOOKUP(A596,Internal_lists_bugs!$A$2:$C$73,3,FALSE()), VLOOKUP(A596,Internal_lists_bugs!$A$2:$C$73,3,FALSE())&amp;Char(10) &amp; Char(10) &amp; VLOOKUP(A596,Internal_lists_bugs!$A$2:$Z$73,26,FALSE())),"please select a BUG ID")</f>
        <v>please select a BUG ID</v>
      </c>
      <c r="C596" s="51" t="str">
        <f>IFERROR(VLOOKUP(A596,Internal_lists_bugs!$A$2:$G2003,7,FALSE()),"please select a BUG ID")</f>
        <v>please select a BUG ID</v>
      </c>
      <c r="D596" s="43"/>
      <c r="E596" s="63"/>
      <c r="F596" s="43"/>
      <c r="G596" s="63"/>
      <c r="H596" s="43"/>
      <c r="I596" s="63"/>
      <c r="J596" s="43"/>
      <c r="K596" s="50"/>
      <c r="L596" s="43"/>
      <c r="M596" s="50"/>
      <c r="N596" s="43"/>
      <c r="O596" s="50"/>
      <c r="P596" s="43"/>
      <c r="Q596" s="50"/>
      <c r="R596" s="43"/>
      <c r="S596" s="50"/>
      <c r="T596" s="43"/>
      <c r="U596" s="50"/>
      <c r="V596" s="43"/>
      <c r="W596" s="50"/>
      <c r="X596" s="43"/>
      <c r="Y596" s="50"/>
      <c r="Z596" s="43"/>
      <c r="AA596" s="50"/>
      <c r="AB596" s="43"/>
      <c r="AC596" s="50"/>
      <c r="AD596" s="43"/>
      <c r="AE596" s="50"/>
      <c r="AF596" s="43"/>
      <c r="AG596" s="50"/>
      <c r="AH596" s="43"/>
      <c r="AI596" s="50"/>
      <c r="AJ596" s="43"/>
      <c r="AK596" s="50"/>
      <c r="AL596" s="43"/>
      <c r="AM596" s="50"/>
      <c r="AO596" s="43"/>
      <c r="AP596" s="46"/>
      <c r="AQ596" s="43"/>
      <c r="AR596" s="119"/>
      <c r="AS596" s="1"/>
      <c r="AT596" s="1"/>
    </row>
    <row r="597">
      <c r="A597" s="43"/>
      <c r="B597" s="59" t="str">
        <f>IFERROR(HYPERLINK(VLOOKUP(A597,Internal_lists_bugs!$A$2:$C$73,3,FALSE()), VLOOKUP(A597,Internal_lists_bugs!$A$2:$C$73,3,FALSE())&amp;Char(10) &amp; Char(10) &amp; VLOOKUP(A597,Internal_lists_bugs!$A$2:$Z$73,26,FALSE())),"please select a BUG ID")</f>
        <v>please select a BUG ID</v>
      </c>
      <c r="C597" s="51" t="str">
        <f>IFERROR(VLOOKUP(A597,Internal_lists_bugs!$A$2:$G2003,7,FALSE()),"please select a BUG ID")</f>
        <v>please select a BUG ID</v>
      </c>
      <c r="D597" s="43"/>
      <c r="E597" s="63"/>
      <c r="F597" s="43"/>
      <c r="G597" s="63"/>
      <c r="H597" s="43"/>
      <c r="I597" s="63"/>
      <c r="J597" s="43"/>
      <c r="K597" s="50"/>
      <c r="L597" s="43"/>
      <c r="M597" s="50"/>
      <c r="N597" s="43"/>
      <c r="O597" s="50"/>
      <c r="P597" s="43"/>
      <c r="Q597" s="50"/>
      <c r="R597" s="43"/>
      <c r="S597" s="50"/>
      <c r="T597" s="43"/>
      <c r="U597" s="50"/>
      <c r="V597" s="43"/>
      <c r="W597" s="50"/>
      <c r="X597" s="43"/>
      <c r="Y597" s="50"/>
      <c r="Z597" s="43"/>
      <c r="AA597" s="50"/>
      <c r="AB597" s="43"/>
      <c r="AC597" s="50"/>
      <c r="AD597" s="43"/>
      <c r="AE597" s="50"/>
      <c r="AF597" s="43"/>
      <c r="AG597" s="50"/>
      <c r="AH597" s="43"/>
      <c r="AI597" s="50"/>
      <c r="AJ597" s="43"/>
      <c r="AK597" s="50"/>
      <c r="AL597" s="43"/>
      <c r="AM597" s="50"/>
      <c r="AO597" s="43"/>
      <c r="AP597" s="46"/>
      <c r="AQ597" s="43"/>
      <c r="AR597" s="119"/>
      <c r="AS597" s="1"/>
      <c r="AT597" s="1"/>
    </row>
    <row r="598">
      <c r="A598" s="43"/>
      <c r="B598" s="59" t="str">
        <f>IFERROR(HYPERLINK(VLOOKUP(A598,Internal_lists_bugs!$A$2:$C$73,3,FALSE()), VLOOKUP(A598,Internal_lists_bugs!$A$2:$C$73,3,FALSE())&amp;Char(10) &amp; Char(10) &amp; VLOOKUP(A598,Internal_lists_bugs!$A$2:$Z$73,26,FALSE())),"please select a BUG ID")</f>
        <v>please select a BUG ID</v>
      </c>
      <c r="C598" s="51" t="str">
        <f>IFERROR(VLOOKUP(A598,Internal_lists_bugs!$A$2:$G2003,7,FALSE()),"please select a BUG ID")</f>
        <v>please select a BUG ID</v>
      </c>
      <c r="D598" s="43"/>
      <c r="E598" s="63"/>
      <c r="F598" s="43"/>
      <c r="G598" s="63"/>
      <c r="H598" s="43"/>
      <c r="I598" s="63"/>
      <c r="J598" s="43"/>
      <c r="K598" s="50"/>
      <c r="L598" s="43"/>
      <c r="M598" s="50"/>
      <c r="N598" s="43"/>
      <c r="O598" s="50"/>
      <c r="P598" s="43"/>
      <c r="Q598" s="50"/>
      <c r="R598" s="43"/>
      <c r="S598" s="50"/>
      <c r="T598" s="43"/>
      <c r="U598" s="50"/>
      <c r="V598" s="43"/>
      <c r="W598" s="50"/>
      <c r="X598" s="43"/>
      <c r="Y598" s="50"/>
      <c r="Z598" s="43"/>
      <c r="AA598" s="50"/>
      <c r="AB598" s="43"/>
      <c r="AC598" s="50"/>
      <c r="AD598" s="43"/>
      <c r="AE598" s="50"/>
      <c r="AF598" s="43"/>
      <c r="AG598" s="50"/>
      <c r="AH598" s="43"/>
      <c r="AI598" s="50"/>
      <c r="AJ598" s="43"/>
      <c r="AK598" s="50"/>
      <c r="AL598" s="43"/>
      <c r="AM598" s="50"/>
      <c r="AO598" s="43"/>
      <c r="AP598" s="46"/>
      <c r="AQ598" s="43"/>
      <c r="AR598" s="119"/>
      <c r="AS598" s="1"/>
      <c r="AT598" s="1"/>
    </row>
    <row r="599">
      <c r="A599" s="43"/>
      <c r="B599" s="59" t="str">
        <f>IFERROR(HYPERLINK(VLOOKUP(A599,Internal_lists_bugs!$A$2:$C$73,3,FALSE()), VLOOKUP(A599,Internal_lists_bugs!$A$2:$C$73,3,FALSE())&amp;Char(10) &amp; Char(10) &amp; VLOOKUP(A599,Internal_lists_bugs!$A$2:$Z$73,26,FALSE())),"please select a BUG ID")</f>
        <v>please select a BUG ID</v>
      </c>
      <c r="C599" s="51" t="str">
        <f>IFERROR(VLOOKUP(A599,Internal_lists_bugs!$A$2:$G2003,7,FALSE()),"please select a BUG ID")</f>
        <v>please select a BUG ID</v>
      </c>
      <c r="D599" s="43"/>
      <c r="E599" s="63"/>
      <c r="F599" s="43"/>
      <c r="G599" s="63"/>
      <c r="H599" s="43"/>
      <c r="I599" s="63"/>
      <c r="J599" s="43"/>
      <c r="K599" s="50"/>
      <c r="L599" s="43"/>
      <c r="M599" s="50"/>
      <c r="N599" s="43"/>
      <c r="O599" s="50"/>
      <c r="P599" s="43"/>
      <c r="Q599" s="50"/>
      <c r="R599" s="43"/>
      <c r="S599" s="50"/>
      <c r="T599" s="43"/>
      <c r="U599" s="50"/>
      <c r="V599" s="43"/>
      <c r="W599" s="50"/>
      <c r="X599" s="43"/>
      <c r="Y599" s="50"/>
      <c r="Z599" s="43"/>
      <c r="AA599" s="50"/>
      <c r="AB599" s="43"/>
      <c r="AC599" s="50"/>
      <c r="AD599" s="43"/>
      <c r="AE599" s="50"/>
      <c r="AF599" s="43"/>
      <c r="AG599" s="50"/>
      <c r="AH599" s="43"/>
      <c r="AI599" s="50"/>
      <c r="AJ599" s="43"/>
      <c r="AK599" s="50"/>
      <c r="AL599" s="43"/>
      <c r="AM599" s="50"/>
      <c r="AO599" s="43"/>
      <c r="AP599" s="46"/>
      <c r="AQ599" s="43"/>
      <c r="AR599" s="119"/>
      <c r="AS599" s="1"/>
      <c r="AT599" s="1"/>
    </row>
    <row r="600">
      <c r="A600" s="43"/>
      <c r="B600" s="59" t="str">
        <f>IFERROR(HYPERLINK(VLOOKUP(A600,Internal_lists_bugs!$A$2:$C$73,3,FALSE()), VLOOKUP(A600,Internal_lists_bugs!$A$2:$C$73,3,FALSE())&amp;Char(10) &amp; Char(10) &amp; VLOOKUP(A600,Internal_lists_bugs!$A$2:$Z$73,26,FALSE())),"please select a BUG ID")</f>
        <v>please select a BUG ID</v>
      </c>
      <c r="C600" s="51" t="str">
        <f>IFERROR(VLOOKUP(A600,Internal_lists_bugs!$A$2:$G2003,7,FALSE()),"please select a BUG ID")</f>
        <v>please select a BUG ID</v>
      </c>
      <c r="D600" s="43"/>
      <c r="E600" s="63"/>
      <c r="F600" s="43"/>
      <c r="G600" s="63"/>
      <c r="H600" s="43"/>
      <c r="I600" s="63"/>
      <c r="J600" s="43"/>
      <c r="K600" s="50"/>
      <c r="L600" s="43"/>
      <c r="M600" s="50"/>
      <c r="N600" s="43"/>
      <c r="O600" s="50"/>
      <c r="P600" s="43"/>
      <c r="Q600" s="50"/>
      <c r="R600" s="43"/>
      <c r="S600" s="50"/>
      <c r="T600" s="43"/>
      <c r="U600" s="50"/>
      <c r="V600" s="43"/>
      <c r="W600" s="50"/>
      <c r="X600" s="43"/>
      <c r="Y600" s="50"/>
      <c r="Z600" s="43"/>
      <c r="AA600" s="50"/>
      <c r="AB600" s="43"/>
      <c r="AC600" s="50"/>
      <c r="AD600" s="43"/>
      <c r="AE600" s="50"/>
      <c r="AF600" s="43"/>
      <c r="AG600" s="50"/>
      <c r="AH600" s="43"/>
      <c r="AI600" s="50"/>
      <c r="AJ600" s="43"/>
      <c r="AK600" s="50"/>
      <c r="AL600" s="43"/>
      <c r="AM600" s="50"/>
      <c r="AO600" s="43"/>
      <c r="AP600" s="46"/>
      <c r="AQ600" s="43"/>
      <c r="AR600" s="119"/>
      <c r="AS600" s="1"/>
      <c r="AT600" s="1"/>
    </row>
    <row r="601">
      <c r="A601" s="43"/>
      <c r="B601" s="59" t="str">
        <f>IFERROR(HYPERLINK(VLOOKUP(A601,Internal_lists_bugs!$A$2:$C$73,3,FALSE()), VLOOKUP(A601,Internal_lists_bugs!$A$2:$C$73,3,FALSE())&amp;Char(10) &amp; Char(10) &amp; VLOOKUP(A601,Internal_lists_bugs!$A$2:$Z$73,26,FALSE())),"please select a BUG ID")</f>
        <v>please select a BUG ID</v>
      </c>
      <c r="C601" s="51" t="str">
        <f>IFERROR(VLOOKUP(A601,Internal_lists_bugs!$A$2:$G2003,7,FALSE()),"please select a BUG ID")</f>
        <v>please select a BUG ID</v>
      </c>
      <c r="D601" s="43"/>
      <c r="E601" s="63"/>
      <c r="F601" s="43"/>
      <c r="G601" s="63"/>
      <c r="H601" s="43"/>
      <c r="I601" s="63"/>
      <c r="J601" s="43"/>
      <c r="K601" s="50"/>
      <c r="L601" s="43"/>
      <c r="M601" s="50"/>
      <c r="N601" s="43"/>
      <c r="O601" s="50"/>
      <c r="P601" s="43"/>
      <c r="Q601" s="50"/>
      <c r="R601" s="43"/>
      <c r="S601" s="50"/>
      <c r="T601" s="43"/>
      <c r="U601" s="50"/>
      <c r="V601" s="43"/>
      <c r="W601" s="50"/>
      <c r="X601" s="43"/>
      <c r="Y601" s="50"/>
      <c r="Z601" s="43"/>
      <c r="AA601" s="50"/>
      <c r="AB601" s="43"/>
      <c r="AC601" s="50"/>
      <c r="AD601" s="43"/>
      <c r="AE601" s="50"/>
      <c r="AF601" s="43"/>
      <c r="AG601" s="50"/>
      <c r="AH601" s="43"/>
      <c r="AI601" s="50"/>
      <c r="AJ601" s="43"/>
      <c r="AK601" s="50"/>
      <c r="AL601" s="43"/>
      <c r="AM601" s="50"/>
      <c r="AO601" s="43"/>
      <c r="AP601" s="46"/>
      <c r="AQ601" s="43"/>
      <c r="AR601" s="119"/>
      <c r="AS601" s="1"/>
      <c r="AT601" s="1"/>
    </row>
    <row r="602">
      <c r="A602" s="43"/>
      <c r="B602" s="59" t="str">
        <f>IFERROR(HYPERLINK(VLOOKUP(A602,Internal_lists_bugs!$A$2:$C$73,3,FALSE()), VLOOKUP(A602,Internal_lists_bugs!$A$2:$C$73,3,FALSE())&amp;Char(10) &amp; Char(10) &amp; VLOOKUP(A602,Internal_lists_bugs!$A$2:$Z$73,26,FALSE())),"please select a BUG ID")</f>
        <v>please select a BUG ID</v>
      </c>
      <c r="C602" s="51" t="str">
        <f>IFERROR(VLOOKUP(A602,Internal_lists_bugs!$A$2:$G2003,7,FALSE()),"please select a BUG ID")</f>
        <v>please select a BUG ID</v>
      </c>
      <c r="D602" s="43"/>
      <c r="E602" s="63"/>
      <c r="F602" s="43"/>
      <c r="G602" s="63"/>
      <c r="H602" s="43"/>
      <c r="I602" s="63"/>
      <c r="J602" s="43"/>
      <c r="K602" s="50"/>
      <c r="L602" s="43"/>
      <c r="M602" s="50"/>
      <c r="N602" s="43"/>
      <c r="O602" s="50"/>
      <c r="P602" s="43"/>
      <c r="Q602" s="50"/>
      <c r="R602" s="43"/>
      <c r="S602" s="50"/>
      <c r="T602" s="43"/>
      <c r="U602" s="50"/>
      <c r="V602" s="43"/>
      <c r="W602" s="50"/>
      <c r="X602" s="43"/>
      <c r="Y602" s="50"/>
      <c r="Z602" s="43"/>
      <c r="AA602" s="50"/>
      <c r="AB602" s="43"/>
      <c r="AC602" s="50"/>
      <c r="AD602" s="43"/>
      <c r="AE602" s="50"/>
      <c r="AF602" s="43"/>
      <c r="AG602" s="50"/>
      <c r="AH602" s="43"/>
      <c r="AI602" s="50"/>
      <c r="AJ602" s="43"/>
      <c r="AK602" s="50"/>
      <c r="AL602" s="43"/>
      <c r="AM602" s="50"/>
      <c r="AO602" s="43"/>
      <c r="AP602" s="46"/>
      <c r="AQ602" s="43"/>
      <c r="AR602" s="119"/>
      <c r="AS602" s="1"/>
      <c r="AT602" s="1"/>
    </row>
    <row r="603">
      <c r="A603" s="43"/>
      <c r="B603" s="59" t="str">
        <f>IFERROR(HYPERLINK(VLOOKUP(A603,Internal_lists_bugs!$A$2:$C$73,3,FALSE()), VLOOKUP(A603,Internal_lists_bugs!$A$2:$C$73,3,FALSE())&amp;Char(10) &amp; Char(10) &amp; VLOOKUP(A603,Internal_lists_bugs!$A$2:$Z$73,26,FALSE())),"please select a BUG ID")</f>
        <v>please select a BUG ID</v>
      </c>
      <c r="C603" s="51" t="str">
        <f>IFERROR(VLOOKUP(A603,Internal_lists_bugs!$A$2:$G2003,7,FALSE()),"please select a BUG ID")</f>
        <v>please select a BUG ID</v>
      </c>
      <c r="D603" s="43"/>
      <c r="E603" s="63"/>
      <c r="F603" s="43"/>
      <c r="G603" s="63"/>
      <c r="H603" s="43"/>
      <c r="I603" s="63"/>
      <c r="J603" s="43"/>
      <c r="K603" s="50"/>
      <c r="L603" s="43"/>
      <c r="M603" s="50"/>
      <c r="N603" s="43"/>
      <c r="O603" s="50"/>
      <c r="P603" s="43"/>
      <c r="Q603" s="50"/>
      <c r="R603" s="43"/>
      <c r="S603" s="50"/>
      <c r="T603" s="43"/>
      <c r="U603" s="50"/>
      <c r="V603" s="43"/>
      <c r="W603" s="50"/>
      <c r="X603" s="43"/>
      <c r="Y603" s="50"/>
      <c r="Z603" s="43"/>
      <c r="AA603" s="50"/>
      <c r="AB603" s="43"/>
      <c r="AC603" s="50"/>
      <c r="AD603" s="43"/>
      <c r="AE603" s="50"/>
      <c r="AF603" s="43"/>
      <c r="AG603" s="50"/>
      <c r="AH603" s="43"/>
      <c r="AI603" s="50"/>
      <c r="AJ603" s="43"/>
      <c r="AK603" s="50"/>
      <c r="AL603" s="43"/>
      <c r="AM603" s="50"/>
      <c r="AO603" s="43"/>
      <c r="AP603" s="46"/>
      <c r="AQ603" s="43"/>
      <c r="AR603" s="119"/>
      <c r="AS603" s="1"/>
      <c r="AT603" s="1"/>
    </row>
    <row r="604">
      <c r="A604" s="43"/>
      <c r="B604" s="59" t="str">
        <f>IFERROR(HYPERLINK(VLOOKUP(A604,Internal_lists_bugs!$A$2:$C$73,3,FALSE()), VLOOKUP(A604,Internal_lists_bugs!$A$2:$C$73,3,FALSE())&amp;Char(10) &amp; Char(10) &amp; VLOOKUP(A604,Internal_lists_bugs!$A$2:$Z$73,26,FALSE())),"please select a BUG ID")</f>
        <v>please select a BUG ID</v>
      </c>
      <c r="C604" s="51" t="str">
        <f>IFERROR(VLOOKUP(A604,Internal_lists_bugs!$A$2:$G2003,7,FALSE()),"please select a BUG ID")</f>
        <v>please select a BUG ID</v>
      </c>
      <c r="D604" s="43"/>
      <c r="E604" s="63"/>
      <c r="F604" s="43"/>
      <c r="G604" s="63"/>
      <c r="H604" s="43"/>
      <c r="I604" s="63"/>
      <c r="J604" s="43"/>
      <c r="K604" s="50"/>
      <c r="L604" s="43"/>
      <c r="M604" s="50"/>
      <c r="N604" s="43"/>
      <c r="O604" s="50"/>
      <c r="P604" s="43"/>
      <c r="Q604" s="50"/>
      <c r="R604" s="43"/>
      <c r="S604" s="50"/>
      <c r="T604" s="43"/>
      <c r="U604" s="50"/>
      <c r="V604" s="43"/>
      <c r="W604" s="50"/>
      <c r="X604" s="43"/>
      <c r="Y604" s="50"/>
      <c r="Z604" s="43"/>
      <c r="AA604" s="50"/>
      <c r="AB604" s="43"/>
      <c r="AC604" s="50"/>
      <c r="AD604" s="43"/>
      <c r="AE604" s="50"/>
      <c r="AF604" s="43"/>
      <c r="AG604" s="50"/>
      <c r="AH604" s="43"/>
      <c r="AI604" s="50"/>
      <c r="AJ604" s="43"/>
      <c r="AK604" s="50"/>
      <c r="AL604" s="43"/>
      <c r="AM604" s="50"/>
      <c r="AO604" s="43"/>
      <c r="AP604" s="46"/>
      <c r="AQ604" s="43"/>
      <c r="AR604" s="119"/>
      <c r="AS604" s="1"/>
      <c r="AT604" s="1"/>
    </row>
    <row r="605">
      <c r="A605" s="43"/>
      <c r="B605" s="59" t="str">
        <f>IFERROR(HYPERLINK(VLOOKUP(A605,Internal_lists_bugs!$A$2:$C$73,3,FALSE()), VLOOKUP(A605,Internal_lists_bugs!$A$2:$C$73,3,FALSE())&amp;Char(10) &amp; Char(10) &amp; VLOOKUP(A605,Internal_lists_bugs!$A$2:$Z$73,26,FALSE())),"please select a BUG ID")</f>
        <v>please select a BUG ID</v>
      </c>
      <c r="C605" s="51" t="str">
        <f>IFERROR(VLOOKUP(A605,Internal_lists_bugs!$A$2:$G2003,7,FALSE()),"please select a BUG ID")</f>
        <v>please select a BUG ID</v>
      </c>
      <c r="D605" s="43"/>
      <c r="E605" s="63"/>
      <c r="F605" s="43"/>
      <c r="G605" s="63"/>
      <c r="H605" s="43"/>
      <c r="I605" s="63"/>
      <c r="J605" s="43"/>
      <c r="K605" s="50"/>
      <c r="L605" s="43"/>
      <c r="M605" s="50"/>
      <c r="N605" s="43"/>
      <c r="O605" s="50"/>
      <c r="P605" s="43"/>
      <c r="Q605" s="50"/>
      <c r="R605" s="43"/>
      <c r="S605" s="50"/>
      <c r="T605" s="43"/>
      <c r="U605" s="50"/>
      <c r="V605" s="43"/>
      <c r="W605" s="50"/>
      <c r="X605" s="43"/>
      <c r="Y605" s="50"/>
      <c r="Z605" s="43"/>
      <c r="AA605" s="50"/>
      <c r="AB605" s="43"/>
      <c r="AC605" s="50"/>
      <c r="AD605" s="43"/>
      <c r="AE605" s="50"/>
      <c r="AF605" s="43"/>
      <c r="AG605" s="50"/>
      <c r="AH605" s="43"/>
      <c r="AI605" s="50"/>
      <c r="AJ605" s="43"/>
      <c r="AK605" s="50"/>
      <c r="AL605" s="43"/>
      <c r="AM605" s="50"/>
      <c r="AO605" s="43"/>
      <c r="AP605" s="46"/>
      <c r="AQ605" s="43"/>
      <c r="AR605" s="119"/>
      <c r="AS605" s="1"/>
      <c r="AT605" s="1"/>
    </row>
    <row r="606">
      <c r="A606" s="43"/>
      <c r="B606" s="59" t="str">
        <f>IFERROR(HYPERLINK(VLOOKUP(A606,Internal_lists_bugs!$A$2:$C$73,3,FALSE()), VLOOKUP(A606,Internal_lists_bugs!$A$2:$C$73,3,FALSE())&amp;Char(10) &amp; Char(10) &amp; VLOOKUP(A606,Internal_lists_bugs!$A$2:$Z$73,26,FALSE())),"please select a BUG ID")</f>
        <v>please select a BUG ID</v>
      </c>
      <c r="C606" s="51" t="str">
        <f>IFERROR(VLOOKUP(A606,Internal_lists_bugs!$A$2:$G2003,7,FALSE()),"please select a BUG ID")</f>
        <v>please select a BUG ID</v>
      </c>
      <c r="D606" s="43"/>
      <c r="E606" s="63"/>
      <c r="F606" s="43"/>
      <c r="G606" s="63"/>
      <c r="H606" s="43"/>
      <c r="I606" s="63"/>
      <c r="J606" s="43"/>
      <c r="K606" s="50"/>
      <c r="L606" s="43"/>
      <c r="M606" s="50"/>
      <c r="N606" s="43"/>
      <c r="O606" s="50"/>
      <c r="P606" s="43"/>
      <c r="Q606" s="50"/>
      <c r="R606" s="43"/>
      <c r="S606" s="50"/>
      <c r="T606" s="43"/>
      <c r="U606" s="50"/>
      <c r="V606" s="43"/>
      <c r="W606" s="50"/>
      <c r="X606" s="43"/>
      <c r="Y606" s="50"/>
      <c r="Z606" s="43"/>
      <c r="AA606" s="50"/>
      <c r="AB606" s="43"/>
      <c r="AC606" s="50"/>
      <c r="AD606" s="43"/>
      <c r="AE606" s="50"/>
      <c r="AF606" s="43"/>
      <c r="AG606" s="50"/>
      <c r="AH606" s="43"/>
      <c r="AI606" s="50"/>
      <c r="AJ606" s="43"/>
      <c r="AK606" s="50"/>
      <c r="AL606" s="43"/>
      <c r="AM606" s="50"/>
      <c r="AO606" s="43"/>
      <c r="AP606" s="46"/>
      <c r="AQ606" s="43"/>
      <c r="AR606" s="119"/>
      <c r="AS606" s="1"/>
      <c r="AT606" s="1"/>
    </row>
    <row r="607">
      <c r="A607" s="43"/>
      <c r="B607" s="59" t="str">
        <f>IFERROR(HYPERLINK(VLOOKUP(A607,Internal_lists_bugs!$A$2:$C$73,3,FALSE()), VLOOKUP(A607,Internal_lists_bugs!$A$2:$C$73,3,FALSE())&amp;Char(10) &amp; Char(10) &amp; VLOOKUP(A607,Internal_lists_bugs!$A$2:$Z$73,26,FALSE())),"please select a BUG ID")</f>
        <v>please select a BUG ID</v>
      </c>
      <c r="C607" s="51" t="str">
        <f>IFERROR(VLOOKUP(A607,Internal_lists_bugs!$A$2:$G2003,7,FALSE()),"please select a BUG ID")</f>
        <v>please select a BUG ID</v>
      </c>
      <c r="D607" s="43"/>
      <c r="E607" s="63"/>
      <c r="F607" s="43"/>
      <c r="G607" s="63"/>
      <c r="H607" s="43"/>
      <c r="I607" s="63"/>
      <c r="J607" s="43"/>
      <c r="K607" s="50"/>
      <c r="L607" s="43"/>
      <c r="M607" s="50"/>
      <c r="N607" s="43"/>
      <c r="O607" s="50"/>
      <c r="P607" s="43"/>
      <c r="Q607" s="50"/>
      <c r="R607" s="43"/>
      <c r="S607" s="50"/>
      <c r="T607" s="43"/>
      <c r="U607" s="50"/>
      <c r="V607" s="43"/>
      <c r="W607" s="50"/>
      <c r="X607" s="43"/>
      <c r="Y607" s="50"/>
      <c r="Z607" s="43"/>
      <c r="AA607" s="50"/>
      <c r="AB607" s="43"/>
      <c r="AC607" s="50"/>
      <c r="AD607" s="43"/>
      <c r="AE607" s="50"/>
      <c r="AF607" s="43"/>
      <c r="AG607" s="50"/>
      <c r="AH607" s="43"/>
      <c r="AI607" s="50"/>
      <c r="AJ607" s="43"/>
      <c r="AK607" s="50"/>
      <c r="AL607" s="43"/>
      <c r="AM607" s="50"/>
      <c r="AO607" s="43"/>
      <c r="AP607" s="46"/>
      <c r="AQ607" s="43"/>
      <c r="AR607" s="119"/>
      <c r="AS607" s="1"/>
      <c r="AT607" s="1"/>
    </row>
    <row r="608">
      <c r="A608" s="43"/>
      <c r="B608" s="59" t="str">
        <f>IFERROR(HYPERLINK(VLOOKUP(A608,Internal_lists_bugs!$A$2:$C$73,3,FALSE()), VLOOKUP(A608,Internal_lists_bugs!$A$2:$C$73,3,FALSE())&amp;Char(10) &amp; Char(10) &amp; VLOOKUP(A608,Internal_lists_bugs!$A$2:$Z$73,26,FALSE())),"please select a BUG ID")</f>
        <v>please select a BUG ID</v>
      </c>
      <c r="C608" s="51" t="str">
        <f>IFERROR(VLOOKUP(A608,Internal_lists_bugs!$A$2:$G2003,7,FALSE()),"please select a BUG ID")</f>
        <v>please select a BUG ID</v>
      </c>
      <c r="D608" s="43"/>
      <c r="E608" s="63"/>
      <c r="F608" s="43"/>
      <c r="G608" s="63"/>
      <c r="H608" s="43"/>
      <c r="I608" s="63"/>
      <c r="J608" s="43"/>
      <c r="K608" s="50"/>
      <c r="L608" s="43"/>
      <c r="M608" s="50"/>
      <c r="N608" s="43"/>
      <c r="O608" s="50"/>
      <c r="P608" s="43"/>
      <c r="Q608" s="50"/>
      <c r="R608" s="43"/>
      <c r="S608" s="50"/>
      <c r="T608" s="43"/>
      <c r="U608" s="50"/>
      <c r="V608" s="43"/>
      <c r="W608" s="50"/>
      <c r="X608" s="43"/>
      <c r="Y608" s="50"/>
      <c r="Z608" s="43"/>
      <c r="AA608" s="50"/>
      <c r="AB608" s="43"/>
      <c r="AC608" s="50"/>
      <c r="AD608" s="43"/>
      <c r="AE608" s="50"/>
      <c r="AF608" s="43"/>
      <c r="AG608" s="50"/>
      <c r="AH608" s="43"/>
      <c r="AI608" s="50"/>
      <c r="AJ608" s="43"/>
      <c r="AK608" s="50"/>
      <c r="AL608" s="43"/>
      <c r="AM608" s="50"/>
      <c r="AO608" s="43"/>
      <c r="AP608" s="46"/>
      <c r="AQ608" s="43"/>
      <c r="AR608" s="119"/>
      <c r="AS608" s="1"/>
      <c r="AT608" s="1"/>
    </row>
    <row r="609">
      <c r="A609" s="43"/>
      <c r="B609" s="59" t="str">
        <f>IFERROR(HYPERLINK(VLOOKUP(A609,Internal_lists_bugs!$A$2:$C$73,3,FALSE()), VLOOKUP(A609,Internal_lists_bugs!$A$2:$C$73,3,FALSE())&amp;Char(10) &amp; Char(10) &amp; VLOOKUP(A609,Internal_lists_bugs!$A$2:$Z$73,26,FALSE())),"please select a BUG ID")</f>
        <v>please select a BUG ID</v>
      </c>
      <c r="C609" s="51" t="str">
        <f>IFERROR(VLOOKUP(A609,Internal_lists_bugs!$A$2:$G2003,7,FALSE()),"please select a BUG ID")</f>
        <v>please select a BUG ID</v>
      </c>
      <c r="D609" s="43"/>
      <c r="E609" s="63"/>
      <c r="F609" s="43"/>
      <c r="G609" s="63"/>
      <c r="H609" s="43"/>
      <c r="I609" s="63"/>
      <c r="J609" s="43"/>
      <c r="K609" s="50"/>
      <c r="L609" s="43"/>
      <c r="M609" s="50"/>
      <c r="N609" s="43"/>
      <c r="O609" s="50"/>
      <c r="P609" s="43"/>
      <c r="Q609" s="50"/>
      <c r="R609" s="43"/>
      <c r="S609" s="50"/>
      <c r="T609" s="43"/>
      <c r="U609" s="50"/>
      <c r="V609" s="43"/>
      <c r="W609" s="50"/>
      <c r="X609" s="43"/>
      <c r="Y609" s="50"/>
      <c r="Z609" s="43"/>
      <c r="AA609" s="50"/>
      <c r="AB609" s="43"/>
      <c r="AC609" s="50"/>
      <c r="AD609" s="43"/>
      <c r="AE609" s="50"/>
      <c r="AF609" s="43"/>
      <c r="AG609" s="50"/>
      <c r="AH609" s="43"/>
      <c r="AI609" s="50"/>
      <c r="AJ609" s="43"/>
      <c r="AK609" s="50"/>
      <c r="AL609" s="43"/>
      <c r="AM609" s="50"/>
      <c r="AO609" s="43"/>
      <c r="AP609" s="46"/>
      <c r="AQ609" s="43"/>
      <c r="AR609" s="119"/>
      <c r="AS609" s="1"/>
      <c r="AT609" s="1"/>
    </row>
    <row r="610">
      <c r="A610" s="43"/>
      <c r="B610" s="59" t="str">
        <f>IFERROR(HYPERLINK(VLOOKUP(A610,Internal_lists_bugs!$A$2:$C$73,3,FALSE()), VLOOKUP(A610,Internal_lists_bugs!$A$2:$C$73,3,FALSE())&amp;Char(10) &amp; Char(10) &amp; VLOOKUP(A610,Internal_lists_bugs!$A$2:$Z$73,26,FALSE())),"please select a BUG ID")</f>
        <v>please select a BUG ID</v>
      </c>
      <c r="C610" s="51" t="str">
        <f>IFERROR(VLOOKUP(A610,Internal_lists_bugs!$A$2:$G2003,7,FALSE()),"please select a BUG ID")</f>
        <v>please select a BUG ID</v>
      </c>
      <c r="D610" s="43"/>
      <c r="E610" s="63"/>
      <c r="F610" s="43"/>
      <c r="G610" s="63"/>
      <c r="H610" s="43"/>
      <c r="I610" s="63"/>
      <c r="J610" s="43"/>
      <c r="K610" s="50"/>
      <c r="L610" s="43"/>
      <c r="M610" s="50"/>
      <c r="N610" s="43"/>
      <c r="O610" s="50"/>
      <c r="P610" s="43"/>
      <c r="Q610" s="50"/>
      <c r="R610" s="43"/>
      <c r="S610" s="50"/>
      <c r="T610" s="43"/>
      <c r="U610" s="50"/>
      <c r="V610" s="43"/>
      <c r="W610" s="50"/>
      <c r="X610" s="43"/>
      <c r="Y610" s="50"/>
      <c r="Z610" s="43"/>
      <c r="AA610" s="50"/>
      <c r="AB610" s="43"/>
      <c r="AC610" s="50"/>
      <c r="AD610" s="43"/>
      <c r="AE610" s="50"/>
      <c r="AF610" s="43"/>
      <c r="AG610" s="50"/>
      <c r="AH610" s="43"/>
      <c r="AI610" s="50"/>
      <c r="AJ610" s="43"/>
      <c r="AK610" s="50"/>
      <c r="AL610" s="43"/>
      <c r="AM610" s="50"/>
      <c r="AO610" s="43"/>
      <c r="AP610" s="46"/>
      <c r="AQ610" s="43"/>
      <c r="AR610" s="119"/>
      <c r="AS610" s="1"/>
      <c r="AT610" s="1"/>
    </row>
    <row r="611">
      <c r="A611" s="43"/>
      <c r="B611" s="59" t="str">
        <f>IFERROR(HYPERLINK(VLOOKUP(A611,Internal_lists_bugs!$A$2:$C$73,3,FALSE()), VLOOKUP(A611,Internal_lists_bugs!$A$2:$C$73,3,FALSE())&amp;Char(10) &amp; Char(10) &amp; VLOOKUP(A611,Internal_lists_bugs!$A$2:$Z$73,26,FALSE())),"please select a BUG ID")</f>
        <v>please select a BUG ID</v>
      </c>
      <c r="C611" s="51" t="str">
        <f>IFERROR(VLOOKUP(A611,Internal_lists_bugs!$A$2:$G2003,7,FALSE()),"please select a BUG ID")</f>
        <v>please select a BUG ID</v>
      </c>
      <c r="D611" s="43"/>
      <c r="E611" s="63"/>
      <c r="F611" s="43"/>
      <c r="G611" s="63"/>
      <c r="H611" s="43"/>
      <c r="I611" s="63"/>
      <c r="J611" s="43"/>
      <c r="K611" s="50"/>
      <c r="L611" s="43"/>
      <c r="M611" s="50"/>
      <c r="N611" s="43"/>
      <c r="O611" s="50"/>
      <c r="P611" s="43"/>
      <c r="Q611" s="50"/>
      <c r="R611" s="43"/>
      <c r="S611" s="50"/>
      <c r="T611" s="43"/>
      <c r="U611" s="50"/>
      <c r="V611" s="43"/>
      <c r="W611" s="50"/>
      <c r="X611" s="43"/>
      <c r="Y611" s="50"/>
      <c r="Z611" s="43"/>
      <c r="AA611" s="50"/>
      <c r="AB611" s="43"/>
      <c r="AC611" s="50"/>
      <c r="AD611" s="43"/>
      <c r="AE611" s="50"/>
      <c r="AF611" s="43"/>
      <c r="AG611" s="50"/>
      <c r="AH611" s="43"/>
      <c r="AI611" s="50"/>
      <c r="AJ611" s="43"/>
      <c r="AK611" s="50"/>
      <c r="AL611" s="43"/>
      <c r="AM611" s="50"/>
      <c r="AO611" s="43"/>
      <c r="AP611" s="46"/>
      <c r="AQ611" s="43"/>
      <c r="AR611" s="119"/>
      <c r="AS611" s="1"/>
      <c r="AT611" s="1"/>
    </row>
    <row r="612">
      <c r="A612" s="43"/>
      <c r="B612" s="59" t="str">
        <f>IFERROR(HYPERLINK(VLOOKUP(A612,Internal_lists_bugs!$A$2:$C$73,3,FALSE()), VLOOKUP(A612,Internal_lists_bugs!$A$2:$C$73,3,FALSE())&amp;Char(10) &amp; Char(10) &amp; VLOOKUP(A612,Internal_lists_bugs!$A$2:$Z$73,26,FALSE())),"please select a BUG ID")</f>
        <v>please select a BUG ID</v>
      </c>
      <c r="C612" s="51" t="str">
        <f>IFERROR(VLOOKUP(A612,Internal_lists_bugs!$A$2:$G2003,7,FALSE()),"please select a BUG ID")</f>
        <v>please select a BUG ID</v>
      </c>
      <c r="D612" s="43"/>
      <c r="E612" s="63"/>
      <c r="F612" s="43"/>
      <c r="G612" s="63"/>
      <c r="H612" s="43"/>
      <c r="I612" s="63"/>
      <c r="J612" s="43"/>
      <c r="K612" s="50"/>
      <c r="L612" s="43"/>
      <c r="M612" s="50"/>
      <c r="N612" s="43"/>
      <c r="O612" s="50"/>
      <c r="P612" s="43"/>
      <c r="Q612" s="50"/>
      <c r="R612" s="43"/>
      <c r="S612" s="50"/>
      <c r="T612" s="43"/>
      <c r="U612" s="50"/>
      <c r="V612" s="43"/>
      <c r="W612" s="50"/>
      <c r="X612" s="43"/>
      <c r="Y612" s="50"/>
      <c r="Z612" s="43"/>
      <c r="AA612" s="50"/>
      <c r="AB612" s="43"/>
      <c r="AC612" s="50"/>
      <c r="AD612" s="43"/>
      <c r="AE612" s="50"/>
      <c r="AF612" s="43"/>
      <c r="AG612" s="50"/>
      <c r="AH612" s="43"/>
      <c r="AI612" s="50"/>
      <c r="AJ612" s="43"/>
      <c r="AK612" s="50"/>
      <c r="AL612" s="43"/>
      <c r="AM612" s="50"/>
      <c r="AO612" s="43"/>
      <c r="AP612" s="46"/>
      <c r="AQ612" s="43"/>
      <c r="AR612" s="119"/>
      <c r="AS612" s="1"/>
      <c r="AT612" s="1"/>
    </row>
    <row r="613">
      <c r="A613" s="43"/>
      <c r="B613" s="59" t="str">
        <f>IFERROR(HYPERLINK(VLOOKUP(A613,Internal_lists_bugs!$A$2:$C$73,3,FALSE()), VLOOKUP(A613,Internal_lists_bugs!$A$2:$C$73,3,FALSE())&amp;Char(10) &amp; Char(10) &amp; VLOOKUP(A613,Internal_lists_bugs!$A$2:$Z$73,26,FALSE())),"please select a BUG ID")</f>
        <v>please select a BUG ID</v>
      </c>
      <c r="C613" s="51" t="str">
        <f>IFERROR(VLOOKUP(A613,Internal_lists_bugs!$A$2:$G2003,7,FALSE()),"please select a BUG ID")</f>
        <v>please select a BUG ID</v>
      </c>
      <c r="D613" s="43"/>
      <c r="E613" s="63"/>
      <c r="F613" s="43"/>
      <c r="G613" s="63"/>
      <c r="H613" s="43"/>
      <c r="I613" s="63"/>
      <c r="J613" s="43"/>
      <c r="K613" s="50"/>
      <c r="L613" s="43"/>
      <c r="M613" s="50"/>
      <c r="N613" s="43"/>
      <c r="O613" s="50"/>
      <c r="P613" s="43"/>
      <c r="Q613" s="50"/>
      <c r="R613" s="43"/>
      <c r="S613" s="50"/>
      <c r="T613" s="43"/>
      <c r="U613" s="50"/>
      <c r="V613" s="43"/>
      <c r="W613" s="50"/>
      <c r="X613" s="43"/>
      <c r="Y613" s="50"/>
      <c r="Z613" s="43"/>
      <c r="AA613" s="50"/>
      <c r="AB613" s="43"/>
      <c r="AC613" s="50"/>
      <c r="AD613" s="43"/>
      <c r="AE613" s="50"/>
      <c r="AF613" s="43"/>
      <c r="AG613" s="50"/>
      <c r="AH613" s="43"/>
      <c r="AI613" s="50"/>
      <c r="AJ613" s="43"/>
      <c r="AK613" s="50"/>
      <c r="AL613" s="43"/>
      <c r="AM613" s="50"/>
      <c r="AO613" s="43"/>
      <c r="AP613" s="46"/>
      <c r="AQ613" s="43"/>
      <c r="AR613" s="119"/>
      <c r="AS613" s="1"/>
      <c r="AT613" s="1"/>
    </row>
    <row r="614">
      <c r="A614" s="43"/>
      <c r="B614" s="59" t="str">
        <f>IFERROR(HYPERLINK(VLOOKUP(A614,Internal_lists_bugs!$A$2:$C$73,3,FALSE()), VLOOKUP(A614,Internal_lists_bugs!$A$2:$C$73,3,FALSE())&amp;Char(10) &amp; Char(10) &amp; VLOOKUP(A614,Internal_lists_bugs!$A$2:$Z$73,26,FALSE())),"please select a BUG ID")</f>
        <v>please select a BUG ID</v>
      </c>
      <c r="C614" s="51" t="str">
        <f>IFERROR(VLOOKUP(A614,Internal_lists_bugs!$A$2:$G2003,7,FALSE()),"please select a BUG ID")</f>
        <v>please select a BUG ID</v>
      </c>
      <c r="D614" s="43"/>
      <c r="E614" s="63"/>
      <c r="F614" s="43"/>
      <c r="G614" s="63"/>
      <c r="H614" s="43"/>
      <c r="I614" s="63"/>
      <c r="J614" s="43"/>
      <c r="K614" s="50"/>
      <c r="L614" s="43"/>
      <c r="M614" s="50"/>
      <c r="N614" s="43"/>
      <c r="O614" s="50"/>
      <c r="P614" s="43"/>
      <c r="Q614" s="50"/>
      <c r="R614" s="43"/>
      <c r="S614" s="50"/>
      <c r="T614" s="43"/>
      <c r="U614" s="50"/>
      <c r="V614" s="43"/>
      <c r="W614" s="50"/>
      <c r="X614" s="43"/>
      <c r="Y614" s="50"/>
      <c r="Z614" s="43"/>
      <c r="AA614" s="50"/>
      <c r="AB614" s="43"/>
      <c r="AC614" s="50"/>
      <c r="AD614" s="43"/>
      <c r="AE614" s="50"/>
      <c r="AF614" s="43"/>
      <c r="AG614" s="50"/>
      <c r="AH614" s="43"/>
      <c r="AI614" s="50"/>
      <c r="AJ614" s="43"/>
      <c r="AK614" s="50"/>
      <c r="AL614" s="43"/>
      <c r="AM614" s="50"/>
      <c r="AO614" s="43"/>
      <c r="AP614" s="46"/>
      <c r="AQ614" s="43"/>
      <c r="AR614" s="119"/>
      <c r="AS614" s="1"/>
      <c r="AT614" s="1"/>
    </row>
    <row r="615">
      <c r="A615" s="43"/>
      <c r="B615" s="59" t="str">
        <f>IFERROR(HYPERLINK(VLOOKUP(A615,Internal_lists_bugs!$A$2:$C$73,3,FALSE()), VLOOKUP(A615,Internal_lists_bugs!$A$2:$C$73,3,FALSE())&amp;Char(10) &amp; Char(10) &amp; VLOOKUP(A615,Internal_lists_bugs!$A$2:$Z$73,26,FALSE())),"please select a BUG ID")</f>
        <v>please select a BUG ID</v>
      </c>
      <c r="C615" s="51" t="str">
        <f>IFERROR(VLOOKUP(A615,Internal_lists_bugs!$A$2:$G2003,7,FALSE()),"please select a BUG ID")</f>
        <v>please select a BUG ID</v>
      </c>
      <c r="D615" s="43"/>
      <c r="E615" s="63"/>
      <c r="F615" s="43"/>
      <c r="G615" s="63"/>
      <c r="H615" s="43"/>
      <c r="I615" s="63"/>
      <c r="J615" s="43"/>
      <c r="K615" s="50"/>
      <c r="L615" s="43"/>
      <c r="M615" s="50"/>
      <c r="N615" s="43"/>
      <c r="O615" s="50"/>
      <c r="P615" s="43"/>
      <c r="Q615" s="50"/>
      <c r="R615" s="43"/>
      <c r="S615" s="50"/>
      <c r="T615" s="43"/>
      <c r="U615" s="50"/>
      <c r="V615" s="43"/>
      <c r="W615" s="50"/>
      <c r="X615" s="43"/>
      <c r="Y615" s="50"/>
      <c r="Z615" s="43"/>
      <c r="AA615" s="50"/>
      <c r="AB615" s="43"/>
      <c r="AC615" s="50"/>
      <c r="AD615" s="43"/>
      <c r="AE615" s="50"/>
      <c r="AF615" s="43"/>
      <c r="AG615" s="50"/>
      <c r="AH615" s="43"/>
      <c r="AI615" s="50"/>
      <c r="AJ615" s="43"/>
      <c r="AK615" s="50"/>
      <c r="AL615" s="43"/>
      <c r="AM615" s="50"/>
      <c r="AO615" s="43"/>
      <c r="AP615" s="46"/>
      <c r="AQ615" s="43"/>
      <c r="AR615" s="119"/>
      <c r="AS615" s="1"/>
      <c r="AT615" s="1"/>
    </row>
    <row r="616">
      <c r="A616" s="43"/>
      <c r="B616" s="59" t="str">
        <f>IFERROR(HYPERLINK(VLOOKUP(A616,Internal_lists_bugs!$A$2:$C$73,3,FALSE()), VLOOKUP(A616,Internal_lists_bugs!$A$2:$C$73,3,FALSE())&amp;Char(10) &amp; Char(10) &amp; VLOOKUP(A616,Internal_lists_bugs!$A$2:$Z$73,26,FALSE())),"please select a BUG ID")</f>
        <v>please select a BUG ID</v>
      </c>
      <c r="C616" s="51" t="str">
        <f>IFERROR(VLOOKUP(A616,Internal_lists_bugs!$A$2:$G2003,7,FALSE()),"please select a BUG ID")</f>
        <v>please select a BUG ID</v>
      </c>
      <c r="D616" s="43"/>
      <c r="E616" s="63"/>
      <c r="F616" s="43"/>
      <c r="G616" s="63"/>
      <c r="H616" s="43"/>
      <c r="I616" s="63"/>
      <c r="J616" s="43"/>
      <c r="K616" s="50"/>
      <c r="L616" s="43"/>
      <c r="M616" s="50"/>
      <c r="N616" s="43"/>
      <c r="O616" s="50"/>
      <c r="P616" s="43"/>
      <c r="Q616" s="50"/>
      <c r="R616" s="43"/>
      <c r="S616" s="50"/>
      <c r="T616" s="43"/>
      <c r="U616" s="50"/>
      <c r="V616" s="43"/>
      <c r="W616" s="50"/>
      <c r="X616" s="43"/>
      <c r="Y616" s="50"/>
      <c r="Z616" s="43"/>
      <c r="AA616" s="50"/>
      <c r="AB616" s="43"/>
      <c r="AC616" s="50"/>
      <c r="AD616" s="43"/>
      <c r="AE616" s="50"/>
      <c r="AF616" s="43"/>
      <c r="AG616" s="50"/>
      <c r="AH616" s="43"/>
      <c r="AI616" s="50"/>
      <c r="AJ616" s="43"/>
      <c r="AK616" s="50"/>
      <c r="AL616" s="43"/>
      <c r="AM616" s="50"/>
      <c r="AO616" s="43"/>
      <c r="AP616" s="46"/>
      <c r="AQ616" s="43"/>
      <c r="AR616" s="119"/>
      <c r="AS616" s="1"/>
      <c r="AT616" s="1"/>
    </row>
    <row r="617">
      <c r="A617" s="43"/>
      <c r="B617" s="59" t="str">
        <f>IFERROR(HYPERLINK(VLOOKUP(A617,Internal_lists_bugs!$A$2:$C$73,3,FALSE()), VLOOKUP(A617,Internal_lists_bugs!$A$2:$C$73,3,FALSE())&amp;Char(10) &amp; Char(10) &amp; VLOOKUP(A617,Internal_lists_bugs!$A$2:$Z$73,26,FALSE())),"please select a BUG ID")</f>
        <v>please select a BUG ID</v>
      </c>
      <c r="C617" s="51" t="str">
        <f>IFERROR(VLOOKUP(A617,Internal_lists_bugs!$A$2:$G2003,7,FALSE()),"please select a BUG ID")</f>
        <v>please select a BUG ID</v>
      </c>
      <c r="D617" s="43"/>
      <c r="E617" s="63"/>
      <c r="F617" s="43"/>
      <c r="G617" s="63"/>
      <c r="H617" s="43"/>
      <c r="I617" s="63"/>
      <c r="J617" s="43"/>
      <c r="K617" s="50"/>
      <c r="L617" s="43"/>
      <c r="M617" s="50"/>
      <c r="N617" s="43"/>
      <c r="O617" s="50"/>
      <c r="P617" s="43"/>
      <c r="Q617" s="50"/>
      <c r="R617" s="43"/>
      <c r="S617" s="50"/>
      <c r="T617" s="43"/>
      <c r="U617" s="50"/>
      <c r="V617" s="43"/>
      <c r="W617" s="50"/>
      <c r="X617" s="43"/>
      <c r="Y617" s="50"/>
      <c r="Z617" s="43"/>
      <c r="AA617" s="50"/>
      <c r="AB617" s="43"/>
      <c r="AC617" s="50"/>
      <c r="AD617" s="43"/>
      <c r="AE617" s="50"/>
      <c r="AF617" s="43"/>
      <c r="AG617" s="50"/>
      <c r="AH617" s="43"/>
      <c r="AI617" s="50"/>
      <c r="AJ617" s="43"/>
      <c r="AK617" s="50"/>
      <c r="AL617" s="43"/>
      <c r="AM617" s="50"/>
      <c r="AO617" s="43"/>
      <c r="AP617" s="46"/>
      <c r="AQ617" s="43"/>
      <c r="AR617" s="119"/>
      <c r="AS617" s="1"/>
      <c r="AT617" s="1"/>
    </row>
    <row r="618">
      <c r="A618" s="43"/>
      <c r="B618" s="59" t="str">
        <f>IFERROR(HYPERLINK(VLOOKUP(A618,Internal_lists_bugs!$A$2:$C$73,3,FALSE()), VLOOKUP(A618,Internal_lists_bugs!$A$2:$C$73,3,FALSE())&amp;Char(10) &amp; Char(10) &amp; VLOOKUP(A618,Internal_lists_bugs!$A$2:$Z$73,26,FALSE())),"please select a BUG ID")</f>
        <v>please select a BUG ID</v>
      </c>
      <c r="C618" s="51" t="str">
        <f>IFERROR(VLOOKUP(A618,Internal_lists_bugs!$A$2:$G2003,7,FALSE()),"please select a BUG ID")</f>
        <v>please select a BUG ID</v>
      </c>
      <c r="D618" s="43"/>
      <c r="E618" s="63"/>
      <c r="F618" s="43"/>
      <c r="G618" s="63"/>
      <c r="H618" s="43"/>
      <c r="I618" s="63"/>
      <c r="J618" s="43"/>
      <c r="K618" s="50"/>
      <c r="L618" s="43"/>
      <c r="M618" s="50"/>
      <c r="N618" s="43"/>
      <c r="O618" s="50"/>
      <c r="P618" s="43"/>
      <c r="Q618" s="50"/>
      <c r="R618" s="43"/>
      <c r="S618" s="50"/>
      <c r="T618" s="43"/>
      <c r="U618" s="50"/>
      <c r="V618" s="43"/>
      <c r="W618" s="50"/>
      <c r="X618" s="43"/>
      <c r="Y618" s="50"/>
      <c r="Z618" s="43"/>
      <c r="AA618" s="50"/>
      <c r="AB618" s="43"/>
      <c r="AC618" s="50"/>
      <c r="AD618" s="43"/>
      <c r="AE618" s="50"/>
      <c r="AF618" s="43"/>
      <c r="AG618" s="50"/>
      <c r="AH618" s="43"/>
      <c r="AI618" s="50"/>
      <c r="AJ618" s="43"/>
      <c r="AK618" s="50"/>
      <c r="AL618" s="43"/>
      <c r="AM618" s="50"/>
      <c r="AO618" s="43"/>
      <c r="AP618" s="46"/>
      <c r="AQ618" s="43"/>
      <c r="AR618" s="119"/>
      <c r="AS618" s="1"/>
      <c r="AT618" s="1"/>
    </row>
    <row r="619">
      <c r="A619" s="43"/>
      <c r="B619" s="59" t="str">
        <f>IFERROR(HYPERLINK(VLOOKUP(A619,Internal_lists_bugs!$A$2:$C$73,3,FALSE()), VLOOKUP(A619,Internal_lists_bugs!$A$2:$C$73,3,FALSE())&amp;Char(10) &amp; Char(10) &amp; VLOOKUP(A619,Internal_lists_bugs!$A$2:$Z$73,26,FALSE())),"please select a BUG ID")</f>
        <v>please select a BUG ID</v>
      </c>
      <c r="C619" s="51" t="str">
        <f>IFERROR(VLOOKUP(A619,Internal_lists_bugs!$A$2:$G2003,7,FALSE()),"please select a BUG ID")</f>
        <v>please select a BUG ID</v>
      </c>
      <c r="D619" s="43"/>
      <c r="E619" s="63"/>
      <c r="F619" s="43"/>
      <c r="G619" s="63"/>
      <c r="H619" s="43"/>
      <c r="I619" s="63"/>
      <c r="J619" s="43"/>
      <c r="K619" s="50"/>
      <c r="L619" s="43"/>
      <c r="M619" s="50"/>
      <c r="N619" s="43"/>
      <c r="O619" s="50"/>
      <c r="P619" s="43"/>
      <c r="Q619" s="50"/>
      <c r="R619" s="43"/>
      <c r="S619" s="50"/>
      <c r="T619" s="43"/>
      <c r="U619" s="50"/>
      <c r="V619" s="43"/>
      <c r="W619" s="50"/>
      <c r="X619" s="43"/>
      <c r="Y619" s="50"/>
      <c r="Z619" s="43"/>
      <c r="AA619" s="50"/>
      <c r="AB619" s="43"/>
      <c r="AC619" s="50"/>
      <c r="AD619" s="43"/>
      <c r="AE619" s="50"/>
      <c r="AF619" s="43"/>
      <c r="AG619" s="50"/>
      <c r="AH619" s="43"/>
      <c r="AI619" s="50"/>
      <c r="AJ619" s="43"/>
      <c r="AK619" s="50"/>
      <c r="AL619" s="43"/>
      <c r="AM619" s="50"/>
      <c r="AO619" s="43"/>
      <c r="AP619" s="46"/>
      <c r="AQ619" s="43"/>
      <c r="AR619" s="119"/>
      <c r="AS619" s="1"/>
      <c r="AT619" s="1"/>
    </row>
    <row r="620">
      <c r="A620" s="43"/>
      <c r="B620" s="59" t="str">
        <f>IFERROR(HYPERLINK(VLOOKUP(A620,Internal_lists_bugs!$A$2:$C$73,3,FALSE()), VLOOKUP(A620,Internal_lists_bugs!$A$2:$C$73,3,FALSE())&amp;Char(10) &amp; Char(10) &amp; VLOOKUP(A620,Internal_lists_bugs!$A$2:$Z$73,26,FALSE())),"please select a BUG ID")</f>
        <v>please select a BUG ID</v>
      </c>
      <c r="C620" s="51" t="str">
        <f>IFERROR(VLOOKUP(A620,Internal_lists_bugs!$A$2:$G2003,7,FALSE()),"please select a BUG ID")</f>
        <v>please select a BUG ID</v>
      </c>
      <c r="D620" s="43"/>
      <c r="E620" s="63"/>
      <c r="F620" s="43"/>
      <c r="G620" s="63"/>
      <c r="H620" s="43"/>
      <c r="I620" s="63"/>
      <c r="J620" s="43"/>
      <c r="K620" s="50"/>
      <c r="L620" s="43"/>
      <c r="M620" s="50"/>
      <c r="N620" s="43"/>
      <c r="O620" s="50"/>
      <c r="P620" s="43"/>
      <c r="Q620" s="50"/>
      <c r="R620" s="43"/>
      <c r="S620" s="50"/>
      <c r="T620" s="43"/>
      <c r="U620" s="50"/>
      <c r="V620" s="43"/>
      <c r="W620" s="50"/>
      <c r="X620" s="43"/>
      <c r="Y620" s="50"/>
      <c r="Z620" s="43"/>
      <c r="AA620" s="50"/>
      <c r="AB620" s="43"/>
      <c r="AC620" s="50"/>
      <c r="AD620" s="43"/>
      <c r="AE620" s="50"/>
      <c r="AF620" s="43"/>
      <c r="AG620" s="50"/>
      <c r="AH620" s="43"/>
      <c r="AI620" s="50"/>
      <c r="AJ620" s="43"/>
      <c r="AK620" s="50"/>
      <c r="AL620" s="43"/>
      <c r="AM620" s="50"/>
      <c r="AO620" s="43"/>
      <c r="AP620" s="46"/>
      <c r="AQ620" s="43"/>
      <c r="AR620" s="119"/>
      <c r="AS620" s="1"/>
      <c r="AT620" s="1"/>
    </row>
    <row r="621">
      <c r="A621" s="43"/>
      <c r="B621" s="59" t="str">
        <f>IFERROR(HYPERLINK(VLOOKUP(A621,Internal_lists_bugs!$A$2:$C$73,3,FALSE()), VLOOKUP(A621,Internal_lists_bugs!$A$2:$C$73,3,FALSE())&amp;Char(10) &amp; Char(10) &amp; VLOOKUP(A621,Internal_lists_bugs!$A$2:$Z$73,26,FALSE())),"please select a BUG ID")</f>
        <v>please select a BUG ID</v>
      </c>
      <c r="C621" s="51" t="str">
        <f>IFERROR(VLOOKUP(A621,Internal_lists_bugs!$A$2:$G2003,7,FALSE()),"please select a BUG ID")</f>
        <v>please select a BUG ID</v>
      </c>
      <c r="D621" s="43"/>
      <c r="E621" s="63"/>
      <c r="F621" s="43"/>
      <c r="G621" s="63"/>
      <c r="H621" s="43"/>
      <c r="I621" s="63"/>
      <c r="J621" s="43"/>
      <c r="K621" s="50"/>
      <c r="L621" s="43"/>
      <c r="M621" s="50"/>
      <c r="N621" s="43"/>
      <c r="O621" s="50"/>
      <c r="P621" s="43"/>
      <c r="Q621" s="50"/>
      <c r="R621" s="43"/>
      <c r="S621" s="50"/>
      <c r="T621" s="43"/>
      <c r="U621" s="50"/>
      <c r="V621" s="43"/>
      <c r="W621" s="50"/>
      <c r="X621" s="43"/>
      <c r="Y621" s="50"/>
      <c r="Z621" s="43"/>
      <c r="AA621" s="50"/>
      <c r="AB621" s="43"/>
      <c r="AC621" s="50"/>
      <c r="AD621" s="43"/>
      <c r="AE621" s="50"/>
      <c r="AF621" s="43"/>
      <c r="AG621" s="50"/>
      <c r="AH621" s="43"/>
      <c r="AI621" s="50"/>
      <c r="AJ621" s="43"/>
      <c r="AK621" s="50"/>
      <c r="AL621" s="43"/>
      <c r="AM621" s="50"/>
      <c r="AO621" s="43"/>
      <c r="AP621" s="46"/>
      <c r="AQ621" s="43"/>
      <c r="AR621" s="119"/>
      <c r="AS621" s="1"/>
      <c r="AT621" s="1"/>
    </row>
    <row r="622">
      <c r="A622" s="43"/>
      <c r="B622" s="59" t="str">
        <f>IFERROR(HYPERLINK(VLOOKUP(A622,Internal_lists_bugs!$A$2:$C$73,3,FALSE()), VLOOKUP(A622,Internal_lists_bugs!$A$2:$C$73,3,FALSE())&amp;Char(10) &amp; Char(10) &amp; VLOOKUP(A622,Internal_lists_bugs!$A$2:$Z$73,26,FALSE())),"please select a BUG ID")</f>
        <v>please select a BUG ID</v>
      </c>
      <c r="C622" s="51" t="str">
        <f>IFERROR(VLOOKUP(A622,Internal_lists_bugs!$A$2:$G2003,7,FALSE()),"please select a BUG ID")</f>
        <v>please select a BUG ID</v>
      </c>
      <c r="D622" s="43"/>
      <c r="E622" s="63"/>
      <c r="F622" s="43"/>
      <c r="G622" s="63"/>
      <c r="H622" s="43"/>
      <c r="I622" s="63"/>
      <c r="J622" s="43"/>
      <c r="K622" s="50"/>
      <c r="L622" s="43"/>
      <c r="M622" s="50"/>
      <c r="N622" s="43"/>
      <c r="O622" s="50"/>
      <c r="P622" s="43"/>
      <c r="Q622" s="50"/>
      <c r="R622" s="43"/>
      <c r="S622" s="50"/>
      <c r="T622" s="43"/>
      <c r="U622" s="50"/>
      <c r="V622" s="43"/>
      <c r="W622" s="50"/>
      <c r="X622" s="43"/>
      <c r="Y622" s="50"/>
      <c r="Z622" s="43"/>
      <c r="AA622" s="50"/>
      <c r="AB622" s="43"/>
      <c r="AC622" s="50"/>
      <c r="AD622" s="43"/>
      <c r="AE622" s="50"/>
      <c r="AF622" s="43"/>
      <c r="AG622" s="50"/>
      <c r="AH622" s="43"/>
      <c r="AI622" s="50"/>
      <c r="AJ622" s="43"/>
      <c r="AK622" s="50"/>
      <c r="AL622" s="43"/>
      <c r="AM622" s="50"/>
      <c r="AO622" s="43"/>
      <c r="AP622" s="46"/>
      <c r="AQ622" s="43"/>
      <c r="AR622" s="119"/>
      <c r="AS622" s="1"/>
      <c r="AT622" s="1"/>
    </row>
    <row r="623">
      <c r="A623" s="43"/>
      <c r="B623" s="59" t="str">
        <f>IFERROR(HYPERLINK(VLOOKUP(A623,Internal_lists_bugs!$A$2:$C$73,3,FALSE()), VLOOKUP(A623,Internal_lists_bugs!$A$2:$C$73,3,FALSE())&amp;Char(10) &amp; Char(10) &amp; VLOOKUP(A623,Internal_lists_bugs!$A$2:$Z$73,26,FALSE())),"please select a BUG ID")</f>
        <v>please select a BUG ID</v>
      </c>
      <c r="C623" s="51" t="str">
        <f>IFERROR(VLOOKUP(A623,Internal_lists_bugs!$A$2:$G2003,7,FALSE()),"please select a BUG ID")</f>
        <v>please select a BUG ID</v>
      </c>
      <c r="D623" s="43"/>
      <c r="E623" s="63"/>
      <c r="F623" s="43"/>
      <c r="G623" s="63"/>
      <c r="H623" s="43"/>
      <c r="I623" s="63"/>
      <c r="J623" s="43"/>
      <c r="K623" s="50"/>
      <c r="L623" s="43"/>
      <c r="M623" s="50"/>
      <c r="N623" s="43"/>
      <c r="O623" s="50"/>
      <c r="P623" s="43"/>
      <c r="Q623" s="50"/>
      <c r="R623" s="43"/>
      <c r="S623" s="50"/>
      <c r="T623" s="43"/>
      <c r="U623" s="50"/>
      <c r="V623" s="43"/>
      <c r="W623" s="50"/>
      <c r="X623" s="43"/>
      <c r="Y623" s="50"/>
      <c r="Z623" s="43"/>
      <c r="AA623" s="50"/>
      <c r="AB623" s="43"/>
      <c r="AC623" s="50"/>
      <c r="AD623" s="43"/>
      <c r="AE623" s="50"/>
      <c r="AF623" s="43"/>
      <c r="AG623" s="50"/>
      <c r="AH623" s="43"/>
      <c r="AI623" s="50"/>
      <c r="AJ623" s="43"/>
      <c r="AK623" s="50"/>
      <c r="AL623" s="43"/>
      <c r="AM623" s="50"/>
      <c r="AO623" s="43"/>
      <c r="AP623" s="46"/>
      <c r="AQ623" s="43"/>
      <c r="AR623" s="119"/>
      <c r="AS623" s="1"/>
      <c r="AT623" s="1"/>
    </row>
    <row r="624">
      <c r="A624" s="43"/>
      <c r="B624" s="59" t="str">
        <f>IFERROR(HYPERLINK(VLOOKUP(A624,Internal_lists_bugs!$A$2:$C$73,3,FALSE()), VLOOKUP(A624,Internal_lists_bugs!$A$2:$C$73,3,FALSE())&amp;Char(10) &amp; Char(10) &amp; VLOOKUP(A624,Internal_lists_bugs!$A$2:$Z$73,26,FALSE())),"please select a BUG ID")</f>
        <v>please select a BUG ID</v>
      </c>
      <c r="C624" s="51" t="str">
        <f>IFERROR(VLOOKUP(A624,Internal_lists_bugs!$A$2:$G2003,7,FALSE()),"please select a BUG ID")</f>
        <v>please select a BUG ID</v>
      </c>
      <c r="D624" s="43"/>
      <c r="E624" s="63"/>
      <c r="F624" s="43"/>
      <c r="G624" s="63"/>
      <c r="H624" s="43"/>
      <c r="I624" s="63"/>
      <c r="J624" s="43"/>
      <c r="K624" s="50"/>
      <c r="L624" s="43"/>
      <c r="M624" s="50"/>
      <c r="N624" s="43"/>
      <c r="O624" s="50"/>
      <c r="P624" s="43"/>
      <c r="Q624" s="50"/>
      <c r="R624" s="43"/>
      <c r="S624" s="50"/>
      <c r="T624" s="43"/>
      <c r="U624" s="50"/>
      <c r="V624" s="43"/>
      <c r="W624" s="50"/>
      <c r="X624" s="43"/>
      <c r="Y624" s="50"/>
      <c r="Z624" s="43"/>
      <c r="AA624" s="50"/>
      <c r="AB624" s="43"/>
      <c r="AC624" s="50"/>
      <c r="AD624" s="43"/>
      <c r="AE624" s="50"/>
      <c r="AF624" s="43"/>
      <c r="AG624" s="50"/>
      <c r="AH624" s="43"/>
      <c r="AI624" s="50"/>
      <c r="AJ624" s="43"/>
      <c r="AK624" s="50"/>
      <c r="AL624" s="43"/>
      <c r="AM624" s="50"/>
      <c r="AO624" s="43"/>
      <c r="AP624" s="46"/>
      <c r="AQ624" s="43"/>
      <c r="AR624" s="119"/>
      <c r="AS624" s="1"/>
      <c r="AT624" s="1"/>
    </row>
    <row r="625">
      <c r="A625" s="43"/>
      <c r="B625" s="59" t="str">
        <f>IFERROR(HYPERLINK(VLOOKUP(A625,Internal_lists_bugs!$A$2:$C$73,3,FALSE()), VLOOKUP(A625,Internal_lists_bugs!$A$2:$C$73,3,FALSE())&amp;Char(10) &amp; Char(10) &amp; VLOOKUP(A625,Internal_lists_bugs!$A$2:$Z$73,26,FALSE())),"please select a BUG ID")</f>
        <v>please select a BUG ID</v>
      </c>
      <c r="C625" s="51" t="str">
        <f>IFERROR(VLOOKUP(A625,Internal_lists_bugs!$A$2:$G2003,7,FALSE()),"please select a BUG ID")</f>
        <v>please select a BUG ID</v>
      </c>
      <c r="D625" s="43"/>
      <c r="E625" s="63"/>
      <c r="F625" s="43"/>
      <c r="G625" s="63"/>
      <c r="H625" s="43"/>
      <c r="I625" s="63"/>
      <c r="J625" s="43"/>
      <c r="K625" s="50"/>
      <c r="L625" s="43"/>
      <c r="M625" s="50"/>
      <c r="N625" s="43"/>
      <c r="O625" s="50"/>
      <c r="P625" s="43"/>
      <c r="Q625" s="50"/>
      <c r="R625" s="43"/>
      <c r="S625" s="50"/>
      <c r="T625" s="43"/>
      <c r="U625" s="50"/>
      <c r="V625" s="43"/>
      <c r="W625" s="50"/>
      <c r="X625" s="43"/>
      <c r="Y625" s="50"/>
      <c r="Z625" s="43"/>
      <c r="AA625" s="50"/>
      <c r="AB625" s="43"/>
      <c r="AC625" s="50"/>
      <c r="AD625" s="43"/>
      <c r="AE625" s="50"/>
      <c r="AF625" s="43"/>
      <c r="AG625" s="50"/>
      <c r="AH625" s="43"/>
      <c r="AI625" s="50"/>
      <c r="AJ625" s="43"/>
      <c r="AK625" s="50"/>
      <c r="AL625" s="43"/>
      <c r="AM625" s="50"/>
      <c r="AO625" s="43"/>
      <c r="AP625" s="46"/>
      <c r="AQ625" s="43"/>
      <c r="AR625" s="119"/>
      <c r="AS625" s="1"/>
      <c r="AT625" s="1"/>
    </row>
    <row r="626">
      <c r="A626" s="43"/>
      <c r="B626" s="59" t="str">
        <f>IFERROR(HYPERLINK(VLOOKUP(A626,Internal_lists_bugs!$A$2:$C$73,3,FALSE()), VLOOKUP(A626,Internal_lists_bugs!$A$2:$C$73,3,FALSE())&amp;Char(10) &amp; Char(10) &amp; VLOOKUP(A626,Internal_lists_bugs!$A$2:$Z$73,26,FALSE())),"please select a BUG ID")</f>
        <v>please select a BUG ID</v>
      </c>
      <c r="C626" s="51" t="str">
        <f>IFERROR(VLOOKUP(A626,Internal_lists_bugs!$A$2:$G2003,7,FALSE()),"please select a BUG ID")</f>
        <v>please select a BUG ID</v>
      </c>
      <c r="D626" s="43"/>
      <c r="E626" s="63"/>
      <c r="F626" s="43"/>
      <c r="G626" s="63"/>
      <c r="H626" s="43"/>
      <c r="I626" s="63"/>
      <c r="J626" s="43"/>
      <c r="K626" s="50"/>
      <c r="L626" s="43"/>
      <c r="M626" s="50"/>
      <c r="N626" s="43"/>
      <c r="O626" s="50"/>
      <c r="P626" s="43"/>
      <c r="Q626" s="50"/>
      <c r="R626" s="43"/>
      <c r="S626" s="50"/>
      <c r="T626" s="43"/>
      <c r="U626" s="50"/>
      <c r="V626" s="43"/>
      <c r="W626" s="50"/>
      <c r="X626" s="43"/>
      <c r="Y626" s="50"/>
      <c r="Z626" s="43"/>
      <c r="AA626" s="50"/>
      <c r="AB626" s="43"/>
      <c r="AC626" s="50"/>
      <c r="AD626" s="43"/>
      <c r="AE626" s="50"/>
      <c r="AF626" s="43"/>
      <c r="AG626" s="50"/>
      <c r="AH626" s="43"/>
      <c r="AI626" s="50"/>
      <c r="AJ626" s="43"/>
      <c r="AK626" s="50"/>
      <c r="AL626" s="43"/>
      <c r="AM626" s="50"/>
      <c r="AO626" s="43"/>
      <c r="AP626" s="46"/>
      <c r="AQ626" s="43"/>
      <c r="AR626" s="119"/>
      <c r="AS626" s="1"/>
      <c r="AT626" s="1"/>
    </row>
    <row r="627">
      <c r="A627" s="43"/>
      <c r="B627" s="59" t="str">
        <f>IFERROR(HYPERLINK(VLOOKUP(A627,Internal_lists_bugs!$A$2:$C$73,3,FALSE()), VLOOKUP(A627,Internal_lists_bugs!$A$2:$C$73,3,FALSE())&amp;Char(10) &amp; Char(10) &amp; VLOOKUP(A627,Internal_lists_bugs!$A$2:$Z$73,26,FALSE())),"please select a BUG ID")</f>
        <v>please select a BUG ID</v>
      </c>
      <c r="C627" s="51" t="str">
        <f>IFERROR(VLOOKUP(A627,Internal_lists_bugs!$A$2:$G2003,7,FALSE()),"please select a BUG ID")</f>
        <v>please select a BUG ID</v>
      </c>
      <c r="D627" s="43"/>
      <c r="E627" s="63"/>
      <c r="F627" s="43"/>
      <c r="G627" s="63"/>
      <c r="H627" s="43"/>
      <c r="I627" s="63"/>
      <c r="J627" s="43"/>
      <c r="K627" s="50"/>
      <c r="L627" s="43"/>
      <c r="M627" s="50"/>
      <c r="N627" s="43"/>
      <c r="O627" s="50"/>
      <c r="P627" s="43"/>
      <c r="Q627" s="50"/>
      <c r="R627" s="43"/>
      <c r="S627" s="50"/>
      <c r="T627" s="43"/>
      <c r="U627" s="50"/>
      <c r="V627" s="43"/>
      <c r="W627" s="50"/>
      <c r="X627" s="43"/>
      <c r="Y627" s="50"/>
      <c r="Z627" s="43"/>
      <c r="AA627" s="50"/>
      <c r="AB627" s="43"/>
      <c r="AC627" s="50"/>
      <c r="AD627" s="43"/>
      <c r="AE627" s="50"/>
      <c r="AF627" s="43"/>
      <c r="AG627" s="50"/>
      <c r="AH627" s="43"/>
      <c r="AI627" s="50"/>
      <c r="AJ627" s="43"/>
      <c r="AK627" s="50"/>
      <c r="AL627" s="43"/>
      <c r="AM627" s="50"/>
      <c r="AO627" s="43"/>
      <c r="AP627" s="46"/>
      <c r="AQ627" s="43"/>
      <c r="AR627" s="119"/>
      <c r="AS627" s="1"/>
      <c r="AT627" s="1"/>
    </row>
    <row r="628">
      <c r="A628" s="43"/>
      <c r="B628" s="59" t="str">
        <f>IFERROR(HYPERLINK(VLOOKUP(A628,Internal_lists_bugs!$A$2:$C$73,3,FALSE()), VLOOKUP(A628,Internal_lists_bugs!$A$2:$C$73,3,FALSE())&amp;Char(10) &amp; Char(10) &amp; VLOOKUP(A628,Internal_lists_bugs!$A$2:$Z$73,26,FALSE())),"please select a BUG ID")</f>
        <v>please select a BUG ID</v>
      </c>
      <c r="C628" s="51" t="str">
        <f>IFERROR(VLOOKUP(A628,Internal_lists_bugs!$A$2:$G2003,7,FALSE()),"please select a BUG ID")</f>
        <v>please select a BUG ID</v>
      </c>
      <c r="D628" s="43"/>
      <c r="E628" s="63"/>
      <c r="F628" s="43"/>
      <c r="G628" s="63"/>
      <c r="H628" s="43"/>
      <c r="I628" s="63"/>
      <c r="J628" s="43"/>
      <c r="K628" s="50"/>
      <c r="L628" s="43"/>
      <c r="M628" s="50"/>
      <c r="N628" s="43"/>
      <c r="O628" s="50"/>
      <c r="P628" s="43"/>
      <c r="Q628" s="50"/>
      <c r="R628" s="43"/>
      <c r="S628" s="50"/>
      <c r="T628" s="43"/>
      <c r="U628" s="50"/>
      <c r="V628" s="43"/>
      <c r="W628" s="50"/>
      <c r="X628" s="43"/>
      <c r="Y628" s="50"/>
      <c r="Z628" s="43"/>
      <c r="AA628" s="50"/>
      <c r="AB628" s="43"/>
      <c r="AC628" s="50"/>
      <c r="AD628" s="43"/>
      <c r="AE628" s="50"/>
      <c r="AF628" s="43"/>
      <c r="AG628" s="50"/>
      <c r="AH628" s="43"/>
      <c r="AI628" s="50"/>
      <c r="AJ628" s="43"/>
      <c r="AK628" s="50"/>
      <c r="AL628" s="43"/>
      <c r="AM628" s="50"/>
      <c r="AO628" s="43"/>
      <c r="AP628" s="46"/>
      <c r="AQ628" s="43"/>
      <c r="AR628" s="119"/>
      <c r="AS628" s="1"/>
      <c r="AT628" s="1"/>
    </row>
    <row r="629">
      <c r="A629" s="43"/>
      <c r="B629" s="59" t="str">
        <f>IFERROR(HYPERLINK(VLOOKUP(A629,Internal_lists_bugs!$A$2:$C$73,3,FALSE()), VLOOKUP(A629,Internal_lists_bugs!$A$2:$C$73,3,FALSE())&amp;Char(10) &amp; Char(10) &amp; VLOOKUP(A629,Internal_lists_bugs!$A$2:$Z$73,26,FALSE())),"please select a BUG ID")</f>
        <v>please select a BUG ID</v>
      </c>
      <c r="C629" s="51" t="str">
        <f>IFERROR(VLOOKUP(A629,Internal_lists_bugs!$A$2:$G2003,7,FALSE()),"please select a BUG ID")</f>
        <v>please select a BUG ID</v>
      </c>
      <c r="D629" s="43"/>
      <c r="E629" s="63"/>
      <c r="F629" s="43"/>
      <c r="G629" s="63"/>
      <c r="H629" s="43"/>
      <c r="I629" s="63"/>
      <c r="J629" s="43"/>
      <c r="K629" s="50"/>
      <c r="L629" s="43"/>
      <c r="M629" s="50"/>
      <c r="N629" s="43"/>
      <c r="O629" s="50"/>
      <c r="P629" s="43"/>
      <c r="Q629" s="50"/>
      <c r="R629" s="43"/>
      <c r="S629" s="50"/>
      <c r="T629" s="43"/>
      <c r="U629" s="50"/>
      <c r="V629" s="43"/>
      <c r="W629" s="50"/>
      <c r="X629" s="43"/>
      <c r="Y629" s="50"/>
      <c r="Z629" s="43"/>
      <c r="AA629" s="50"/>
      <c r="AB629" s="43"/>
      <c r="AC629" s="50"/>
      <c r="AD629" s="43"/>
      <c r="AE629" s="50"/>
      <c r="AF629" s="43"/>
      <c r="AG629" s="50"/>
      <c r="AH629" s="43"/>
      <c r="AI629" s="50"/>
      <c r="AJ629" s="43"/>
      <c r="AK629" s="50"/>
      <c r="AL629" s="43"/>
      <c r="AM629" s="50"/>
      <c r="AO629" s="43"/>
      <c r="AP629" s="46"/>
      <c r="AQ629" s="43"/>
      <c r="AR629" s="119"/>
      <c r="AS629" s="1"/>
      <c r="AT629" s="1"/>
    </row>
    <row r="630">
      <c r="A630" s="43"/>
      <c r="B630" s="59" t="str">
        <f>IFERROR(HYPERLINK(VLOOKUP(A630,Internal_lists_bugs!$A$2:$C$73,3,FALSE()), VLOOKUP(A630,Internal_lists_bugs!$A$2:$C$73,3,FALSE())&amp;Char(10) &amp; Char(10) &amp; VLOOKUP(A630,Internal_lists_bugs!$A$2:$Z$73,26,FALSE())),"please select a BUG ID")</f>
        <v>please select a BUG ID</v>
      </c>
      <c r="C630" s="51" t="str">
        <f>IFERROR(VLOOKUP(A630,Internal_lists_bugs!$A$2:$G2003,7,FALSE()),"please select a BUG ID")</f>
        <v>please select a BUG ID</v>
      </c>
      <c r="D630" s="43"/>
      <c r="E630" s="63"/>
      <c r="F630" s="43"/>
      <c r="G630" s="63"/>
      <c r="H630" s="43"/>
      <c r="I630" s="63"/>
      <c r="J630" s="43"/>
      <c r="K630" s="50"/>
      <c r="L630" s="43"/>
      <c r="M630" s="50"/>
      <c r="N630" s="43"/>
      <c r="O630" s="50"/>
      <c r="P630" s="43"/>
      <c r="Q630" s="50"/>
      <c r="R630" s="43"/>
      <c r="S630" s="50"/>
      <c r="T630" s="43"/>
      <c r="U630" s="50"/>
      <c r="V630" s="43"/>
      <c r="W630" s="50"/>
      <c r="X630" s="43"/>
      <c r="Y630" s="50"/>
      <c r="Z630" s="43"/>
      <c r="AA630" s="50"/>
      <c r="AB630" s="43"/>
      <c r="AC630" s="50"/>
      <c r="AD630" s="43"/>
      <c r="AE630" s="50"/>
      <c r="AF630" s="43"/>
      <c r="AG630" s="50"/>
      <c r="AH630" s="43"/>
      <c r="AI630" s="50"/>
      <c r="AJ630" s="43"/>
      <c r="AK630" s="50"/>
      <c r="AL630" s="43"/>
      <c r="AM630" s="50"/>
      <c r="AO630" s="43"/>
      <c r="AP630" s="46"/>
      <c r="AQ630" s="43"/>
      <c r="AR630" s="119"/>
      <c r="AS630" s="1"/>
      <c r="AT630" s="1"/>
    </row>
    <row r="631">
      <c r="A631" s="43"/>
      <c r="B631" s="59" t="str">
        <f>IFERROR(HYPERLINK(VLOOKUP(A631,Internal_lists_bugs!$A$2:$C$73,3,FALSE()), VLOOKUP(A631,Internal_lists_bugs!$A$2:$C$73,3,FALSE())&amp;Char(10) &amp; Char(10) &amp; VLOOKUP(A631,Internal_lists_bugs!$A$2:$Z$73,26,FALSE())),"please select a BUG ID")</f>
        <v>please select a BUG ID</v>
      </c>
      <c r="C631" s="51" t="str">
        <f>IFERROR(VLOOKUP(A631,Internal_lists_bugs!$A$2:$G2003,7,FALSE()),"please select a BUG ID")</f>
        <v>please select a BUG ID</v>
      </c>
      <c r="D631" s="43"/>
      <c r="E631" s="63"/>
      <c r="F631" s="43"/>
      <c r="G631" s="63"/>
      <c r="H631" s="43"/>
      <c r="I631" s="63"/>
      <c r="J631" s="43"/>
      <c r="K631" s="50"/>
      <c r="L631" s="43"/>
      <c r="M631" s="50"/>
      <c r="N631" s="43"/>
      <c r="O631" s="50"/>
      <c r="P631" s="43"/>
      <c r="Q631" s="50"/>
      <c r="R631" s="43"/>
      <c r="S631" s="50"/>
      <c r="T631" s="43"/>
      <c r="U631" s="50"/>
      <c r="V631" s="43"/>
      <c r="W631" s="50"/>
      <c r="X631" s="43"/>
      <c r="Y631" s="50"/>
      <c r="Z631" s="43"/>
      <c r="AA631" s="50"/>
      <c r="AB631" s="43"/>
      <c r="AC631" s="50"/>
      <c r="AD631" s="43"/>
      <c r="AE631" s="50"/>
      <c r="AF631" s="43"/>
      <c r="AG631" s="50"/>
      <c r="AH631" s="43"/>
      <c r="AI631" s="50"/>
      <c r="AJ631" s="43"/>
      <c r="AK631" s="50"/>
      <c r="AL631" s="43"/>
      <c r="AM631" s="50"/>
      <c r="AO631" s="43"/>
      <c r="AP631" s="46"/>
      <c r="AQ631" s="43"/>
      <c r="AR631" s="119"/>
      <c r="AS631" s="1"/>
      <c r="AT631" s="1"/>
    </row>
    <row r="632">
      <c r="A632" s="43"/>
      <c r="B632" s="59" t="str">
        <f>IFERROR(HYPERLINK(VLOOKUP(A632,Internal_lists_bugs!$A$2:$C$73,3,FALSE()), VLOOKUP(A632,Internal_lists_bugs!$A$2:$C$73,3,FALSE())&amp;Char(10) &amp; Char(10) &amp; VLOOKUP(A632,Internal_lists_bugs!$A$2:$Z$73,26,FALSE())),"please select a BUG ID")</f>
        <v>please select a BUG ID</v>
      </c>
      <c r="C632" s="51" t="str">
        <f>IFERROR(VLOOKUP(A632,Internal_lists_bugs!$A$2:$G2003,7,FALSE()),"please select a BUG ID")</f>
        <v>please select a BUG ID</v>
      </c>
      <c r="D632" s="43"/>
      <c r="E632" s="63"/>
      <c r="F632" s="43"/>
      <c r="G632" s="63"/>
      <c r="H632" s="43"/>
      <c r="I632" s="63"/>
      <c r="J632" s="43"/>
      <c r="K632" s="50"/>
      <c r="L632" s="43"/>
      <c r="M632" s="50"/>
      <c r="N632" s="43"/>
      <c r="O632" s="50"/>
      <c r="P632" s="43"/>
      <c r="Q632" s="50"/>
      <c r="R632" s="43"/>
      <c r="S632" s="50"/>
      <c r="T632" s="43"/>
      <c r="U632" s="50"/>
      <c r="V632" s="43"/>
      <c r="W632" s="50"/>
      <c r="X632" s="43"/>
      <c r="Y632" s="50"/>
      <c r="Z632" s="43"/>
      <c r="AA632" s="50"/>
      <c r="AB632" s="43"/>
      <c r="AC632" s="50"/>
      <c r="AD632" s="43"/>
      <c r="AE632" s="50"/>
      <c r="AF632" s="43"/>
      <c r="AG632" s="50"/>
      <c r="AH632" s="43"/>
      <c r="AI632" s="50"/>
      <c r="AJ632" s="43"/>
      <c r="AK632" s="50"/>
      <c r="AL632" s="43"/>
      <c r="AM632" s="50"/>
      <c r="AO632" s="43"/>
      <c r="AP632" s="46"/>
      <c r="AQ632" s="43"/>
      <c r="AR632" s="119"/>
      <c r="AS632" s="1"/>
      <c r="AT632" s="1"/>
    </row>
    <row r="633">
      <c r="A633" s="43"/>
      <c r="B633" s="59" t="str">
        <f>IFERROR(HYPERLINK(VLOOKUP(A633,Internal_lists_bugs!$A$2:$C$73,3,FALSE()), VLOOKUP(A633,Internal_lists_bugs!$A$2:$C$73,3,FALSE())&amp;Char(10) &amp; Char(10) &amp; VLOOKUP(A633,Internal_lists_bugs!$A$2:$Z$73,26,FALSE())),"please select a BUG ID")</f>
        <v>please select a BUG ID</v>
      </c>
      <c r="C633" s="51" t="str">
        <f>IFERROR(VLOOKUP(A633,Internal_lists_bugs!$A$2:$G2003,7,FALSE()),"please select a BUG ID")</f>
        <v>please select a BUG ID</v>
      </c>
      <c r="D633" s="43"/>
      <c r="E633" s="63"/>
      <c r="F633" s="43"/>
      <c r="G633" s="63"/>
      <c r="H633" s="43"/>
      <c r="I633" s="63"/>
      <c r="J633" s="43"/>
      <c r="K633" s="50"/>
      <c r="L633" s="43"/>
      <c r="M633" s="50"/>
      <c r="N633" s="43"/>
      <c r="O633" s="50"/>
      <c r="P633" s="43"/>
      <c r="Q633" s="50"/>
      <c r="R633" s="43"/>
      <c r="S633" s="50"/>
      <c r="T633" s="43"/>
      <c r="U633" s="50"/>
      <c r="V633" s="43"/>
      <c r="W633" s="50"/>
      <c r="X633" s="43"/>
      <c r="Y633" s="50"/>
      <c r="Z633" s="43"/>
      <c r="AA633" s="50"/>
      <c r="AB633" s="43"/>
      <c r="AC633" s="50"/>
      <c r="AD633" s="43"/>
      <c r="AE633" s="50"/>
      <c r="AF633" s="43"/>
      <c r="AG633" s="50"/>
      <c r="AH633" s="43"/>
      <c r="AI633" s="50"/>
      <c r="AJ633" s="43"/>
      <c r="AK633" s="50"/>
      <c r="AL633" s="43"/>
      <c r="AM633" s="50"/>
      <c r="AO633" s="43"/>
      <c r="AP633" s="46"/>
      <c r="AQ633" s="43"/>
      <c r="AR633" s="119"/>
      <c r="AS633" s="1"/>
      <c r="AT633" s="1"/>
    </row>
    <row r="634">
      <c r="A634" s="43"/>
      <c r="B634" s="59" t="str">
        <f>IFERROR(HYPERLINK(VLOOKUP(A634,Internal_lists_bugs!$A$2:$C$73,3,FALSE()), VLOOKUP(A634,Internal_lists_bugs!$A$2:$C$73,3,FALSE())&amp;Char(10) &amp; Char(10) &amp; VLOOKUP(A634,Internal_lists_bugs!$A$2:$Z$73,26,FALSE())),"please select a BUG ID")</f>
        <v>please select a BUG ID</v>
      </c>
      <c r="C634" s="51" t="str">
        <f>IFERROR(VLOOKUP(A634,Internal_lists_bugs!$A$2:$G2003,7,FALSE()),"please select a BUG ID")</f>
        <v>please select a BUG ID</v>
      </c>
      <c r="D634" s="43"/>
      <c r="E634" s="63"/>
      <c r="F634" s="43"/>
      <c r="G634" s="63"/>
      <c r="H634" s="43"/>
      <c r="I634" s="63"/>
      <c r="J634" s="43"/>
      <c r="K634" s="50"/>
      <c r="L634" s="43"/>
      <c r="M634" s="50"/>
      <c r="N634" s="43"/>
      <c r="O634" s="50"/>
      <c r="P634" s="43"/>
      <c r="Q634" s="50"/>
      <c r="R634" s="43"/>
      <c r="S634" s="50"/>
      <c r="T634" s="43"/>
      <c r="U634" s="50"/>
      <c r="V634" s="43"/>
      <c r="W634" s="50"/>
      <c r="X634" s="43"/>
      <c r="Y634" s="50"/>
      <c r="Z634" s="43"/>
      <c r="AA634" s="50"/>
      <c r="AB634" s="43"/>
      <c r="AC634" s="50"/>
      <c r="AD634" s="43"/>
      <c r="AE634" s="50"/>
      <c r="AF634" s="43"/>
      <c r="AG634" s="50"/>
      <c r="AH634" s="43"/>
      <c r="AI634" s="50"/>
      <c r="AJ634" s="43"/>
      <c r="AK634" s="50"/>
      <c r="AL634" s="43"/>
      <c r="AM634" s="50"/>
      <c r="AO634" s="43"/>
      <c r="AP634" s="46"/>
      <c r="AQ634" s="43"/>
      <c r="AR634" s="119"/>
      <c r="AS634" s="1"/>
      <c r="AT634" s="1"/>
    </row>
    <row r="635">
      <c r="A635" s="43"/>
      <c r="B635" s="59" t="str">
        <f>IFERROR(HYPERLINK(VLOOKUP(A635,Internal_lists_bugs!$A$2:$C$73,3,FALSE()), VLOOKUP(A635,Internal_lists_bugs!$A$2:$C$73,3,FALSE())&amp;Char(10) &amp; Char(10) &amp; VLOOKUP(A635,Internal_lists_bugs!$A$2:$Z$73,26,FALSE())),"please select a BUG ID")</f>
        <v>please select a BUG ID</v>
      </c>
      <c r="C635" s="51" t="str">
        <f>IFERROR(VLOOKUP(A635,Internal_lists_bugs!$A$2:$G2003,7,FALSE()),"please select a BUG ID")</f>
        <v>please select a BUG ID</v>
      </c>
      <c r="D635" s="43"/>
      <c r="E635" s="63"/>
      <c r="F635" s="43"/>
      <c r="G635" s="63"/>
      <c r="H635" s="43"/>
      <c r="I635" s="63"/>
      <c r="J635" s="43"/>
      <c r="K635" s="50"/>
      <c r="L635" s="43"/>
      <c r="M635" s="50"/>
      <c r="N635" s="43"/>
      <c r="O635" s="50"/>
      <c r="P635" s="43"/>
      <c r="Q635" s="50"/>
      <c r="R635" s="43"/>
      <c r="S635" s="50"/>
      <c r="T635" s="43"/>
      <c r="U635" s="50"/>
      <c r="V635" s="43"/>
      <c r="W635" s="50"/>
      <c r="X635" s="43"/>
      <c r="Y635" s="50"/>
      <c r="Z635" s="43"/>
      <c r="AA635" s="50"/>
      <c r="AB635" s="43"/>
      <c r="AC635" s="50"/>
      <c r="AD635" s="43"/>
      <c r="AE635" s="50"/>
      <c r="AF635" s="43"/>
      <c r="AG635" s="50"/>
      <c r="AH635" s="43"/>
      <c r="AI635" s="50"/>
      <c r="AJ635" s="43"/>
      <c r="AK635" s="50"/>
      <c r="AL635" s="43"/>
      <c r="AM635" s="50"/>
      <c r="AO635" s="43"/>
      <c r="AP635" s="46"/>
      <c r="AQ635" s="43"/>
      <c r="AR635" s="119"/>
      <c r="AS635" s="1"/>
      <c r="AT635" s="1"/>
    </row>
    <row r="636">
      <c r="A636" s="43"/>
      <c r="B636" s="59" t="str">
        <f>IFERROR(HYPERLINK(VLOOKUP(A636,Internal_lists_bugs!$A$2:$C$73,3,FALSE()), VLOOKUP(A636,Internal_lists_bugs!$A$2:$C$73,3,FALSE())&amp;Char(10) &amp; Char(10) &amp; VLOOKUP(A636,Internal_lists_bugs!$A$2:$Z$73,26,FALSE())),"please select a BUG ID")</f>
        <v>please select a BUG ID</v>
      </c>
      <c r="C636" s="51" t="str">
        <f>IFERROR(VLOOKUP(A636,Internal_lists_bugs!$A$2:$G2003,7,FALSE()),"please select a BUG ID")</f>
        <v>please select a BUG ID</v>
      </c>
      <c r="D636" s="43"/>
      <c r="E636" s="63"/>
      <c r="F636" s="43"/>
      <c r="G636" s="63"/>
      <c r="H636" s="43"/>
      <c r="I636" s="63"/>
      <c r="J636" s="43"/>
      <c r="K636" s="50"/>
      <c r="L636" s="43"/>
      <c r="M636" s="50"/>
      <c r="N636" s="43"/>
      <c r="O636" s="50"/>
      <c r="P636" s="43"/>
      <c r="Q636" s="50"/>
      <c r="R636" s="43"/>
      <c r="S636" s="50"/>
      <c r="T636" s="43"/>
      <c r="U636" s="50"/>
      <c r="V636" s="43"/>
      <c r="W636" s="50"/>
      <c r="X636" s="43"/>
      <c r="Y636" s="50"/>
      <c r="Z636" s="43"/>
      <c r="AA636" s="50"/>
      <c r="AB636" s="43"/>
      <c r="AC636" s="50"/>
      <c r="AD636" s="43"/>
      <c r="AE636" s="50"/>
      <c r="AF636" s="43"/>
      <c r="AG636" s="50"/>
      <c r="AH636" s="43"/>
      <c r="AI636" s="50"/>
      <c r="AJ636" s="43"/>
      <c r="AK636" s="50"/>
      <c r="AL636" s="43"/>
      <c r="AM636" s="50"/>
      <c r="AO636" s="43"/>
      <c r="AP636" s="46"/>
      <c r="AQ636" s="43"/>
      <c r="AR636" s="119"/>
      <c r="AS636" s="1"/>
      <c r="AT636" s="1"/>
    </row>
    <row r="637">
      <c r="A637" s="43"/>
      <c r="B637" s="59" t="str">
        <f>IFERROR(HYPERLINK(VLOOKUP(A637,Internal_lists_bugs!$A$2:$C$73,3,FALSE()), VLOOKUP(A637,Internal_lists_bugs!$A$2:$C$73,3,FALSE())&amp;Char(10) &amp; Char(10) &amp; VLOOKUP(A637,Internal_lists_bugs!$A$2:$Z$73,26,FALSE())),"please select a BUG ID")</f>
        <v>please select a BUG ID</v>
      </c>
      <c r="C637" s="51" t="str">
        <f>IFERROR(VLOOKUP(A637,Internal_lists_bugs!$A$2:$G2003,7,FALSE()),"please select a BUG ID")</f>
        <v>please select a BUG ID</v>
      </c>
      <c r="D637" s="43"/>
      <c r="E637" s="63"/>
      <c r="F637" s="43"/>
      <c r="G637" s="63"/>
      <c r="H637" s="43"/>
      <c r="I637" s="63"/>
      <c r="J637" s="43"/>
      <c r="K637" s="50"/>
      <c r="L637" s="43"/>
      <c r="M637" s="50"/>
      <c r="N637" s="43"/>
      <c r="O637" s="50"/>
      <c r="P637" s="43"/>
      <c r="Q637" s="50"/>
      <c r="R637" s="43"/>
      <c r="S637" s="50"/>
      <c r="T637" s="43"/>
      <c r="U637" s="50"/>
      <c r="V637" s="43"/>
      <c r="W637" s="50"/>
      <c r="X637" s="43"/>
      <c r="Y637" s="50"/>
      <c r="Z637" s="43"/>
      <c r="AA637" s="50"/>
      <c r="AB637" s="43"/>
      <c r="AC637" s="50"/>
      <c r="AD637" s="43"/>
      <c r="AE637" s="50"/>
      <c r="AF637" s="43"/>
      <c r="AG637" s="50"/>
      <c r="AH637" s="43"/>
      <c r="AI637" s="50"/>
      <c r="AJ637" s="43"/>
      <c r="AK637" s="50"/>
      <c r="AL637" s="43"/>
      <c r="AM637" s="50"/>
      <c r="AO637" s="43"/>
      <c r="AP637" s="46"/>
      <c r="AQ637" s="43"/>
      <c r="AR637" s="119"/>
      <c r="AS637" s="1"/>
      <c r="AT637" s="1"/>
    </row>
    <row r="638">
      <c r="A638" s="43"/>
      <c r="B638" s="59" t="str">
        <f>IFERROR(HYPERLINK(VLOOKUP(A638,Internal_lists_bugs!$A$2:$C$73,3,FALSE()), VLOOKUP(A638,Internal_lists_bugs!$A$2:$C$73,3,FALSE())&amp;Char(10) &amp; Char(10) &amp; VLOOKUP(A638,Internal_lists_bugs!$A$2:$Z$73,26,FALSE())),"please select a BUG ID")</f>
        <v>please select a BUG ID</v>
      </c>
      <c r="C638" s="51" t="str">
        <f>IFERROR(VLOOKUP(A638,Internal_lists_bugs!$A$2:$G2003,7,FALSE()),"please select a BUG ID")</f>
        <v>please select a BUG ID</v>
      </c>
      <c r="D638" s="43"/>
      <c r="E638" s="63"/>
      <c r="F638" s="43"/>
      <c r="G638" s="63"/>
      <c r="H638" s="43"/>
      <c r="I638" s="63"/>
      <c r="J638" s="43"/>
      <c r="K638" s="50"/>
      <c r="L638" s="43"/>
      <c r="M638" s="50"/>
      <c r="N638" s="43"/>
      <c r="O638" s="50"/>
      <c r="P638" s="43"/>
      <c r="Q638" s="50"/>
      <c r="R638" s="43"/>
      <c r="S638" s="50"/>
      <c r="T638" s="43"/>
      <c r="U638" s="50"/>
      <c r="V638" s="43"/>
      <c r="W638" s="50"/>
      <c r="X638" s="43"/>
      <c r="Y638" s="50"/>
      <c r="Z638" s="43"/>
      <c r="AA638" s="50"/>
      <c r="AB638" s="43"/>
      <c r="AC638" s="50"/>
      <c r="AD638" s="43"/>
      <c r="AE638" s="50"/>
      <c r="AF638" s="43"/>
      <c r="AG638" s="50"/>
      <c r="AH638" s="43"/>
      <c r="AI638" s="50"/>
      <c r="AJ638" s="43"/>
      <c r="AK638" s="50"/>
      <c r="AL638" s="43"/>
      <c r="AM638" s="50"/>
      <c r="AO638" s="43"/>
      <c r="AP638" s="46"/>
      <c r="AQ638" s="43"/>
      <c r="AR638" s="119"/>
      <c r="AS638" s="1"/>
      <c r="AT638" s="1"/>
    </row>
    <row r="639">
      <c r="A639" s="43"/>
      <c r="B639" s="59" t="str">
        <f>IFERROR(HYPERLINK(VLOOKUP(A639,Internal_lists_bugs!$A$2:$C$73,3,FALSE()), VLOOKUP(A639,Internal_lists_bugs!$A$2:$C$73,3,FALSE())&amp;Char(10) &amp; Char(10) &amp; VLOOKUP(A639,Internal_lists_bugs!$A$2:$Z$73,26,FALSE())),"please select a BUG ID")</f>
        <v>please select a BUG ID</v>
      </c>
      <c r="C639" s="51" t="str">
        <f>IFERROR(VLOOKUP(A639,Internal_lists_bugs!$A$2:$G2003,7,FALSE()),"please select a BUG ID")</f>
        <v>please select a BUG ID</v>
      </c>
      <c r="D639" s="43"/>
      <c r="E639" s="63"/>
      <c r="F639" s="43"/>
      <c r="G639" s="63"/>
      <c r="H639" s="43"/>
      <c r="I639" s="63"/>
      <c r="J639" s="43"/>
      <c r="K639" s="50"/>
      <c r="L639" s="43"/>
      <c r="M639" s="50"/>
      <c r="N639" s="43"/>
      <c r="O639" s="50"/>
      <c r="P639" s="43"/>
      <c r="Q639" s="50"/>
      <c r="R639" s="43"/>
      <c r="S639" s="50"/>
      <c r="T639" s="43"/>
      <c r="U639" s="50"/>
      <c r="V639" s="43"/>
      <c r="W639" s="50"/>
      <c r="X639" s="43"/>
      <c r="Y639" s="50"/>
      <c r="Z639" s="43"/>
      <c r="AA639" s="50"/>
      <c r="AB639" s="43"/>
      <c r="AC639" s="50"/>
      <c r="AD639" s="43"/>
      <c r="AE639" s="50"/>
      <c r="AF639" s="43"/>
      <c r="AG639" s="50"/>
      <c r="AH639" s="43"/>
      <c r="AI639" s="50"/>
      <c r="AJ639" s="43"/>
      <c r="AK639" s="50"/>
      <c r="AL639" s="43"/>
      <c r="AM639" s="50"/>
      <c r="AO639" s="43"/>
      <c r="AP639" s="46"/>
      <c r="AQ639" s="43"/>
      <c r="AR639" s="119"/>
      <c r="AS639" s="1"/>
      <c r="AT639" s="1"/>
    </row>
    <row r="640">
      <c r="A640" s="43"/>
      <c r="B640" s="59" t="str">
        <f>IFERROR(HYPERLINK(VLOOKUP(A640,Internal_lists_bugs!$A$2:$C$73,3,FALSE()), VLOOKUP(A640,Internal_lists_bugs!$A$2:$C$73,3,FALSE())&amp;Char(10) &amp; Char(10) &amp; VLOOKUP(A640,Internal_lists_bugs!$A$2:$Z$73,26,FALSE())),"please select a BUG ID")</f>
        <v>please select a BUG ID</v>
      </c>
      <c r="C640" s="51" t="str">
        <f>IFERROR(VLOOKUP(A640,Internal_lists_bugs!$A$2:$G2003,7,FALSE()),"please select a BUG ID")</f>
        <v>please select a BUG ID</v>
      </c>
      <c r="D640" s="43"/>
      <c r="E640" s="63"/>
      <c r="F640" s="43"/>
      <c r="G640" s="63"/>
      <c r="H640" s="43"/>
      <c r="I640" s="63"/>
      <c r="J640" s="43"/>
      <c r="K640" s="50"/>
      <c r="L640" s="43"/>
      <c r="M640" s="50"/>
      <c r="N640" s="43"/>
      <c r="O640" s="50"/>
      <c r="P640" s="43"/>
      <c r="Q640" s="50"/>
      <c r="R640" s="43"/>
      <c r="S640" s="50"/>
      <c r="T640" s="43"/>
      <c r="U640" s="50"/>
      <c r="V640" s="43"/>
      <c r="W640" s="50"/>
      <c r="X640" s="43"/>
      <c r="Y640" s="50"/>
      <c r="Z640" s="43"/>
      <c r="AA640" s="50"/>
      <c r="AB640" s="43"/>
      <c r="AC640" s="50"/>
      <c r="AD640" s="43"/>
      <c r="AE640" s="50"/>
      <c r="AF640" s="43"/>
      <c r="AG640" s="50"/>
      <c r="AH640" s="43"/>
      <c r="AI640" s="50"/>
      <c r="AJ640" s="43"/>
      <c r="AK640" s="50"/>
      <c r="AL640" s="43"/>
      <c r="AM640" s="50"/>
      <c r="AO640" s="43"/>
      <c r="AP640" s="46"/>
      <c r="AQ640" s="43"/>
      <c r="AR640" s="119"/>
      <c r="AS640" s="1"/>
      <c r="AT640" s="1"/>
    </row>
    <row r="641">
      <c r="A641" s="43"/>
      <c r="B641" s="59" t="str">
        <f>IFERROR(HYPERLINK(VLOOKUP(A641,Internal_lists_bugs!$A$2:$C$73,3,FALSE()), VLOOKUP(A641,Internal_lists_bugs!$A$2:$C$73,3,FALSE())&amp;Char(10) &amp; Char(10) &amp; VLOOKUP(A641,Internal_lists_bugs!$A$2:$Z$73,26,FALSE())),"please select a BUG ID")</f>
        <v>please select a BUG ID</v>
      </c>
      <c r="C641" s="51" t="str">
        <f>IFERROR(VLOOKUP(A641,Internal_lists_bugs!$A$2:$G2003,7,FALSE()),"please select a BUG ID")</f>
        <v>please select a BUG ID</v>
      </c>
      <c r="D641" s="43"/>
      <c r="E641" s="63"/>
      <c r="F641" s="43"/>
      <c r="G641" s="63"/>
      <c r="H641" s="43"/>
      <c r="I641" s="63"/>
      <c r="J641" s="43"/>
      <c r="K641" s="50"/>
      <c r="L641" s="43"/>
      <c r="M641" s="50"/>
      <c r="N641" s="43"/>
      <c r="O641" s="50"/>
      <c r="P641" s="43"/>
      <c r="Q641" s="50"/>
      <c r="R641" s="43"/>
      <c r="S641" s="50"/>
      <c r="T641" s="43"/>
      <c r="U641" s="50"/>
      <c r="V641" s="43"/>
      <c r="W641" s="50"/>
      <c r="X641" s="43"/>
      <c r="Y641" s="50"/>
      <c r="Z641" s="43"/>
      <c r="AA641" s="50"/>
      <c r="AB641" s="43"/>
      <c r="AC641" s="50"/>
      <c r="AD641" s="43"/>
      <c r="AE641" s="50"/>
      <c r="AF641" s="43"/>
      <c r="AG641" s="50"/>
      <c r="AH641" s="43"/>
      <c r="AI641" s="50"/>
      <c r="AJ641" s="43"/>
      <c r="AK641" s="50"/>
      <c r="AL641" s="43"/>
      <c r="AM641" s="50"/>
      <c r="AO641" s="43"/>
      <c r="AP641" s="46"/>
      <c r="AQ641" s="43"/>
      <c r="AR641" s="119"/>
      <c r="AS641" s="1"/>
      <c r="AT641" s="1"/>
    </row>
    <row r="642">
      <c r="A642" s="43"/>
      <c r="B642" s="59" t="str">
        <f>IFERROR(HYPERLINK(VLOOKUP(A642,Internal_lists_bugs!$A$2:$C$73,3,FALSE()), VLOOKUP(A642,Internal_lists_bugs!$A$2:$C$73,3,FALSE())&amp;Char(10) &amp; Char(10) &amp; VLOOKUP(A642,Internal_lists_bugs!$A$2:$Z$73,26,FALSE())),"please select a BUG ID")</f>
        <v>please select a BUG ID</v>
      </c>
      <c r="C642" s="51" t="str">
        <f>IFERROR(VLOOKUP(A642,Internal_lists_bugs!$A$2:$G2003,7,FALSE()),"please select a BUG ID")</f>
        <v>please select a BUG ID</v>
      </c>
      <c r="D642" s="43"/>
      <c r="E642" s="63"/>
      <c r="F642" s="43"/>
      <c r="G642" s="63"/>
      <c r="H642" s="43"/>
      <c r="I642" s="63"/>
      <c r="J642" s="43"/>
      <c r="K642" s="50"/>
      <c r="L642" s="43"/>
      <c r="M642" s="50"/>
      <c r="N642" s="43"/>
      <c r="O642" s="50"/>
      <c r="P642" s="43"/>
      <c r="Q642" s="50"/>
      <c r="R642" s="43"/>
      <c r="S642" s="50"/>
      <c r="T642" s="43"/>
      <c r="U642" s="50"/>
      <c r="V642" s="43"/>
      <c r="W642" s="50"/>
      <c r="X642" s="43"/>
      <c r="Y642" s="50"/>
      <c r="Z642" s="43"/>
      <c r="AA642" s="50"/>
      <c r="AB642" s="43"/>
      <c r="AC642" s="50"/>
      <c r="AD642" s="43"/>
      <c r="AE642" s="50"/>
      <c r="AF642" s="43"/>
      <c r="AG642" s="50"/>
      <c r="AH642" s="43"/>
      <c r="AI642" s="50"/>
      <c r="AJ642" s="43"/>
      <c r="AK642" s="50"/>
      <c r="AL642" s="43"/>
      <c r="AM642" s="50"/>
      <c r="AO642" s="43"/>
      <c r="AP642" s="46"/>
      <c r="AQ642" s="43"/>
      <c r="AR642" s="119"/>
      <c r="AS642" s="1"/>
      <c r="AT642" s="1"/>
    </row>
    <row r="643">
      <c r="A643" s="43"/>
      <c r="B643" s="59" t="str">
        <f>IFERROR(HYPERLINK(VLOOKUP(A643,Internal_lists_bugs!$A$2:$C$73,3,FALSE()), VLOOKUP(A643,Internal_lists_bugs!$A$2:$C$73,3,FALSE())&amp;Char(10) &amp; Char(10) &amp; VLOOKUP(A643,Internal_lists_bugs!$A$2:$Z$73,26,FALSE())),"please select a BUG ID")</f>
        <v>please select a BUG ID</v>
      </c>
      <c r="C643" s="51" t="str">
        <f>IFERROR(VLOOKUP(A643,Internal_lists_bugs!$A$2:$G2003,7,FALSE()),"please select a BUG ID")</f>
        <v>please select a BUG ID</v>
      </c>
      <c r="D643" s="43"/>
      <c r="E643" s="63"/>
      <c r="F643" s="43"/>
      <c r="G643" s="63"/>
      <c r="H643" s="43"/>
      <c r="I643" s="63"/>
      <c r="J643" s="43"/>
      <c r="K643" s="50"/>
      <c r="L643" s="43"/>
      <c r="M643" s="50"/>
      <c r="N643" s="43"/>
      <c r="O643" s="50"/>
      <c r="P643" s="43"/>
      <c r="Q643" s="50"/>
      <c r="R643" s="43"/>
      <c r="S643" s="50"/>
      <c r="T643" s="43"/>
      <c r="U643" s="50"/>
      <c r="V643" s="43"/>
      <c r="W643" s="50"/>
      <c r="X643" s="43"/>
      <c r="Y643" s="50"/>
      <c r="Z643" s="43"/>
      <c r="AA643" s="50"/>
      <c r="AB643" s="43"/>
      <c r="AC643" s="50"/>
      <c r="AD643" s="43"/>
      <c r="AE643" s="50"/>
      <c r="AF643" s="43"/>
      <c r="AG643" s="50"/>
      <c r="AH643" s="43"/>
      <c r="AI643" s="50"/>
      <c r="AJ643" s="43"/>
      <c r="AK643" s="50"/>
      <c r="AL643" s="43"/>
      <c r="AM643" s="50"/>
      <c r="AO643" s="43"/>
      <c r="AP643" s="46"/>
      <c r="AQ643" s="43"/>
      <c r="AR643" s="119"/>
      <c r="AS643" s="1"/>
      <c r="AT643" s="1"/>
    </row>
    <row r="644">
      <c r="A644" s="43"/>
      <c r="B644" s="59" t="str">
        <f>IFERROR(HYPERLINK(VLOOKUP(A644,Internal_lists_bugs!$A$2:$C$73,3,FALSE()), VLOOKUP(A644,Internal_lists_bugs!$A$2:$C$73,3,FALSE())&amp;Char(10) &amp; Char(10) &amp; VLOOKUP(A644,Internal_lists_bugs!$A$2:$Z$73,26,FALSE())),"please select a BUG ID")</f>
        <v>please select a BUG ID</v>
      </c>
      <c r="C644" s="51" t="str">
        <f>IFERROR(VLOOKUP(A644,Internal_lists_bugs!$A$2:$G2003,7,FALSE()),"please select a BUG ID")</f>
        <v>please select a BUG ID</v>
      </c>
      <c r="D644" s="43"/>
      <c r="E644" s="63"/>
      <c r="F644" s="43"/>
      <c r="G644" s="63"/>
      <c r="H644" s="43"/>
      <c r="I644" s="63"/>
      <c r="J644" s="43"/>
      <c r="K644" s="50"/>
      <c r="L644" s="43"/>
      <c r="M644" s="50"/>
      <c r="N644" s="43"/>
      <c r="O644" s="50"/>
      <c r="P644" s="43"/>
      <c r="Q644" s="50"/>
      <c r="R644" s="43"/>
      <c r="S644" s="50"/>
      <c r="T644" s="43"/>
      <c r="U644" s="50"/>
      <c r="V644" s="43"/>
      <c r="W644" s="50"/>
      <c r="X644" s="43"/>
      <c r="Y644" s="50"/>
      <c r="Z644" s="43"/>
      <c r="AA644" s="50"/>
      <c r="AB644" s="43"/>
      <c r="AC644" s="50"/>
      <c r="AD644" s="43"/>
      <c r="AE644" s="50"/>
      <c r="AF644" s="43"/>
      <c r="AG644" s="50"/>
      <c r="AH644" s="43"/>
      <c r="AI644" s="50"/>
      <c r="AJ644" s="43"/>
      <c r="AK644" s="50"/>
      <c r="AL644" s="43"/>
      <c r="AM644" s="50"/>
      <c r="AO644" s="43"/>
      <c r="AP644" s="46"/>
      <c r="AQ644" s="43"/>
      <c r="AR644" s="119"/>
      <c r="AS644" s="1"/>
      <c r="AT644" s="1"/>
    </row>
    <row r="645">
      <c r="A645" s="43"/>
      <c r="B645" s="59" t="str">
        <f>IFERROR(HYPERLINK(VLOOKUP(A645,Internal_lists_bugs!$A$2:$C$73,3,FALSE()), VLOOKUP(A645,Internal_lists_bugs!$A$2:$C$73,3,FALSE())&amp;Char(10) &amp; Char(10) &amp; VLOOKUP(A645,Internal_lists_bugs!$A$2:$Z$73,26,FALSE())),"please select a BUG ID")</f>
        <v>please select a BUG ID</v>
      </c>
      <c r="C645" s="51" t="str">
        <f>IFERROR(VLOOKUP(A645,Internal_lists_bugs!$A$2:$G2003,7,FALSE()),"please select a BUG ID")</f>
        <v>please select a BUG ID</v>
      </c>
      <c r="D645" s="43"/>
      <c r="E645" s="63"/>
      <c r="F645" s="43"/>
      <c r="G645" s="63"/>
      <c r="H645" s="43"/>
      <c r="I645" s="63"/>
      <c r="J645" s="43"/>
      <c r="K645" s="50"/>
      <c r="L645" s="43"/>
      <c r="M645" s="50"/>
      <c r="N645" s="43"/>
      <c r="O645" s="50"/>
      <c r="P645" s="43"/>
      <c r="Q645" s="50"/>
      <c r="R645" s="43"/>
      <c r="S645" s="50"/>
      <c r="T645" s="43"/>
      <c r="U645" s="50"/>
      <c r="V645" s="43"/>
      <c r="W645" s="50"/>
      <c r="X645" s="43"/>
      <c r="Y645" s="50"/>
      <c r="Z645" s="43"/>
      <c r="AA645" s="50"/>
      <c r="AB645" s="43"/>
      <c r="AC645" s="50"/>
      <c r="AD645" s="43"/>
      <c r="AE645" s="50"/>
      <c r="AF645" s="43"/>
      <c r="AG645" s="50"/>
      <c r="AH645" s="43"/>
      <c r="AI645" s="50"/>
      <c r="AJ645" s="43"/>
      <c r="AK645" s="50"/>
      <c r="AL645" s="43"/>
      <c r="AM645" s="50"/>
      <c r="AO645" s="43"/>
      <c r="AP645" s="46"/>
      <c r="AQ645" s="43"/>
      <c r="AR645" s="119"/>
      <c r="AS645" s="1"/>
      <c r="AT645" s="1"/>
    </row>
    <row r="646">
      <c r="A646" s="43"/>
      <c r="B646" s="59" t="str">
        <f>IFERROR(HYPERLINK(VLOOKUP(A646,Internal_lists_bugs!$A$2:$C$73,3,FALSE()), VLOOKUP(A646,Internal_lists_bugs!$A$2:$C$73,3,FALSE())&amp;Char(10) &amp; Char(10) &amp; VLOOKUP(A646,Internal_lists_bugs!$A$2:$Z$73,26,FALSE())),"please select a BUG ID")</f>
        <v>please select a BUG ID</v>
      </c>
      <c r="C646" s="51" t="str">
        <f>IFERROR(VLOOKUP(A646,Internal_lists_bugs!$A$2:$G2003,7,FALSE()),"please select a BUG ID")</f>
        <v>please select a BUG ID</v>
      </c>
      <c r="D646" s="43"/>
      <c r="E646" s="63"/>
      <c r="F646" s="43"/>
      <c r="G646" s="63"/>
      <c r="H646" s="43"/>
      <c r="I646" s="63"/>
      <c r="J646" s="43"/>
      <c r="K646" s="50"/>
      <c r="L646" s="43"/>
      <c r="M646" s="50"/>
      <c r="N646" s="43"/>
      <c r="O646" s="50"/>
      <c r="P646" s="43"/>
      <c r="Q646" s="50"/>
      <c r="R646" s="43"/>
      <c r="S646" s="50"/>
      <c r="T646" s="43"/>
      <c r="U646" s="50"/>
      <c r="V646" s="43"/>
      <c r="W646" s="50"/>
      <c r="X646" s="43"/>
      <c r="Y646" s="50"/>
      <c r="Z646" s="43"/>
      <c r="AA646" s="50"/>
      <c r="AB646" s="43"/>
      <c r="AC646" s="50"/>
      <c r="AD646" s="43"/>
      <c r="AE646" s="50"/>
      <c r="AF646" s="43"/>
      <c r="AG646" s="50"/>
      <c r="AH646" s="43"/>
      <c r="AI646" s="50"/>
      <c r="AJ646" s="43"/>
      <c r="AK646" s="50"/>
      <c r="AL646" s="43"/>
      <c r="AM646" s="50"/>
      <c r="AO646" s="43"/>
      <c r="AP646" s="46"/>
      <c r="AQ646" s="43"/>
      <c r="AR646" s="119"/>
      <c r="AS646" s="1"/>
      <c r="AT646" s="1"/>
    </row>
    <row r="647">
      <c r="A647" s="43"/>
      <c r="B647" s="59" t="str">
        <f>IFERROR(HYPERLINK(VLOOKUP(A647,Internal_lists_bugs!$A$2:$C$73,3,FALSE()), VLOOKUP(A647,Internal_lists_bugs!$A$2:$C$73,3,FALSE())&amp;Char(10) &amp; Char(10) &amp; VLOOKUP(A647,Internal_lists_bugs!$A$2:$Z$73,26,FALSE())),"please select a BUG ID")</f>
        <v>please select a BUG ID</v>
      </c>
      <c r="C647" s="51" t="str">
        <f>IFERROR(VLOOKUP(A647,Internal_lists_bugs!$A$2:$G2003,7,FALSE()),"please select a BUG ID")</f>
        <v>please select a BUG ID</v>
      </c>
      <c r="D647" s="43"/>
      <c r="E647" s="63"/>
      <c r="F647" s="43"/>
      <c r="G647" s="63"/>
      <c r="H647" s="43"/>
      <c r="I647" s="63"/>
      <c r="J647" s="43"/>
      <c r="K647" s="50"/>
      <c r="L647" s="43"/>
      <c r="M647" s="50"/>
      <c r="N647" s="43"/>
      <c r="O647" s="50"/>
      <c r="P647" s="43"/>
      <c r="Q647" s="50"/>
      <c r="R647" s="43"/>
      <c r="S647" s="50"/>
      <c r="T647" s="43"/>
      <c r="U647" s="50"/>
      <c r="V647" s="43"/>
      <c r="W647" s="50"/>
      <c r="X647" s="43"/>
      <c r="Y647" s="50"/>
      <c r="Z647" s="43"/>
      <c r="AA647" s="50"/>
      <c r="AB647" s="43"/>
      <c r="AC647" s="50"/>
      <c r="AD647" s="43"/>
      <c r="AE647" s="50"/>
      <c r="AF647" s="43"/>
      <c r="AG647" s="50"/>
      <c r="AH647" s="43"/>
      <c r="AI647" s="50"/>
      <c r="AJ647" s="43"/>
      <c r="AK647" s="50"/>
      <c r="AL647" s="43"/>
      <c r="AM647" s="50"/>
      <c r="AO647" s="43"/>
      <c r="AP647" s="46"/>
      <c r="AQ647" s="43"/>
      <c r="AR647" s="119"/>
      <c r="AS647" s="1"/>
      <c r="AT647" s="1"/>
    </row>
    <row r="648">
      <c r="A648" s="43"/>
      <c r="B648" s="59" t="str">
        <f>IFERROR(HYPERLINK(VLOOKUP(A648,Internal_lists_bugs!$A$2:$C$73,3,FALSE()), VLOOKUP(A648,Internal_lists_bugs!$A$2:$C$73,3,FALSE())&amp;Char(10) &amp; Char(10) &amp; VLOOKUP(A648,Internal_lists_bugs!$A$2:$Z$73,26,FALSE())),"please select a BUG ID")</f>
        <v>please select a BUG ID</v>
      </c>
      <c r="C648" s="51" t="str">
        <f>IFERROR(VLOOKUP(A648,Internal_lists_bugs!$A$2:$G2003,7,FALSE()),"please select a BUG ID")</f>
        <v>please select a BUG ID</v>
      </c>
      <c r="D648" s="43"/>
      <c r="E648" s="63"/>
      <c r="F648" s="43"/>
      <c r="G648" s="63"/>
      <c r="H648" s="43"/>
      <c r="I648" s="63"/>
      <c r="J648" s="43"/>
      <c r="K648" s="50"/>
      <c r="L648" s="43"/>
      <c r="M648" s="50"/>
      <c r="N648" s="43"/>
      <c r="O648" s="50"/>
      <c r="P648" s="43"/>
      <c r="Q648" s="50"/>
      <c r="R648" s="43"/>
      <c r="S648" s="50"/>
      <c r="T648" s="43"/>
      <c r="U648" s="50"/>
      <c r="V648" s="43"/>
      <c r="W648" s="50"/>
      <c r="X648" s="43"/>
      <c r="Y648" s="50"/>
      <c r="Z648" s="43"/>
      <c r="AA648" s="50"/>
      <c r="AB648" s="43"/>
      <c r="AC648" s="50"/>
      <c r="AD648" s="43"/>
      <c r="AE648" s="50"/>
      <c r="AF648" s="43"/>
      <c r="AG648" s="50"/>
      <c r="AH648" s="43"/>
      <c r="AI648" s="50"/>
      <c r="AJ648" s="43"/>
      <c r="AK648" s="50"/>
      <c r="AL648" s="43"/>
      <c r="AM648" s="50"/>
      <c r="AO648" s="43"/>
      <c r="AP648" s="46"/>
      <c r="AQ648" s="43"/>
      <c r="AR648" s="119"/>
      <c r="AS648" s="1"/>
      <c r="AT648" s="1"/>
    </row>
    <row r="649">
      <c r="A649" s="43"/>
      <c r="B649" s="59" t="str">
        <f>IFERROR(HYPERLINK(VLOOKUP(A649,Internal_lists_bugs!$A$2:$C$73,3,FALSE()), VLOOKUP(A649,Internal_lists_bugs!$A$2:$C$73,3,FALSE())&amp;Char(10) &amp; Char(10) &amp; VLOOKUP(A649,Internal_lists_bugs!$A$2:$Z$73,26,FALSE())),"please select a BUG ID")</f>
        <v>please select a BUG ID</v>
      </c>
      <c r="C649" s="51" t="str">
        <f>IFERROR(VLOOKUP(A649,Internal_lists_bugs!$A$2:$G2003,7,FALSE()),"please select a BUG ID")</f>
        <v>please select a BUG ID</v>
      </c>
      <c r="D649" s="43"/>
      <c r="E649" s="63"/>
      <c r="F649" s="43"/>
      <c r="G649" s="63"/>
      <c r="H649" s="43"/>
      <c r="I649" s="63"/>
      <c r="J649" s="43"/>
      <c r="K649" s="50"/>
      <c r="L649" s="43"/>
      <c r="M649" s="50"/>
      <c r="N649" s="43"/>
      <c r="O649" s="50"/>
      <c r="P649" s="43"/>
      <c r="Q649" s="50"/>
      <c r="R649" s="43"/>
      <c r="S649" s="50"/>
      <c r="T649" s="43"/>
      <c r="U649" s="50"/>
      <c r="V649" s="43"/>
      <c r="W649" s="50"/>
      <c r="X649" s="43"/>
      <c r="Y649" s="50"/>
      <c r="Z649" s="43"/>
      <c r="AA649" s="50"/>
      <c r="AB649" s="43"/>
      <c r="AC649" s="50"/>
      <c r="AD649" s="43"/>
      <c r="AE649" s="50"/>
      <c r="AF649" s="43"/>
      <c r="AG649" s="50"/>
      <c r="AH649" s="43"/>
      <c r="AI649" s="50"/>
      <c r="AJ649" s="43"/>
      <c r="AK649" s="50"/>
      <c r="AL649" s="43"/>
      <c r="AM649" s="50"/>
      <c r="AO649" s="43"/>
      <c r="AP649" s="46"/>
      <c r="AQ649" s="43"/>
      <c r="AR649" s="119"/>
      <c r="AS649" s="1"/>
      <c r="AT649" s="1"/>
    </row>
    <row r="650">
      <c r="A650" s="43"/>
      <c r="B650" s="59" t="str">
        <f>IFERROR(HYPERLINK(VLOOKUP(A650,Internal_lists_bugs!$A$2:$C$73,3,FALSE()), VLOOKUP(A650,Internal_lists_bugs!$A$2:$C$73,3,FALSE())&amp;Char(10) &amp; Char(10) &amp; VLOOKUP(A650,Internal_lists_bugs!$A$2:$Z$73,26,FALSE())),"please select a BUG ID")</f>
        <v>please select a BUG ID</v>
      </c>
      <c r="C650" s="51" t="str">
        <f>IFERROR(VLOOKUP(A650,Internal_lists_bugs!$A$2:$G2003,7,FALSE()),"please select a BUG ID")</f>
        <v>please select a BUG ID</v>
      </c>
      <c r="D650" s="43"/>
      <c r="E650" s="63"/>
      <c r="F650" s="43"/>
      <c r="G650" s="63"/>
      <c r="H650" s="43"/>
      <c r="I650" s="63"/>
      <c r="J650" s="43"/>
      <c r="K650" s="50"/>
      <c r="L650" s="43"/>
      <c r="M650" s="50"/>
      <c r="N650" s="43"/>
      <c r="O650" s="50"/>
      <c r="P650" s="43"/>
      <c r="Q650" s="50"/>
      <c r="R650" s="43"/>
      <c r="S650" s="50"/>
      <c r="T650" s="43"/>
      <c r="U650" s="50"/>
      <c r="V650" s="43"/>
      <c r="W650" s="50"/>
      <c r="X650" s="43"/>
      <c r="Y650" s="50"/>
      <c r="Z650" s="43"/>
      <c r="AA650" s="50"/>
      <c r="AB650" s="43"/>
      <c r="AC650" s="50"/>
      <c r="AD650" s="43"/>
      <c r="AE650" s="50"/>
      <c r="AF650" s="43"/>
      <c r="AG650" s="50"/>
      <c r="AH650" s="43"/>
      <c r="AI650" s="50"/>
      <c r="AJ650" s="43"/>
      <c r="AK650" s="50"/>
      <c r="AL650" s="43"/>
      <c r="AM650" s="50"/>
      <c r="AO650" s="43"/>
      <c r="AP650" s="46"/>
      <c r="AQ650" s="43"/>
      <c r="AR650" s="119"/>
      <c r="AS650" s="1"/>
      <c r="AT650" s="1"/>
    </row>
    <row r="651">
      <c r="A651" s="43"/>
      <c r="B651" s="59" t="str">
        <f>IFERROR(HYPERLINK(VLOOKUP(A651,Internal_lists_bugs!$A$2:$C$73,3,FALSE()), VLOOKUP(A651,Internal_lists_bugs!$A$2:$C$73,3,FALSE())&amp;Char(10) &amp; Char(10) &amp; VLOOKUP(A651,Internal_lists_bugs!$A$2:$Z$73,26,FALSE())),"please select a BUG ID")</f>
        <v>please select a BUG ID</v>
      </c>
      <c r="C651" s="51" t="str">
        <f>IFERROR(VLOOKUP(A651,Internal_lists_bugs!$A$2:$G2003,7,FALSE()),"please select a BUG ID")</f>
        <v>please select a BUG ID</v>
      </c>
      <c r="D651" s="43"/>
      <c r="E651" s="63"/>
      <c r="F651" s="43"/>
      <c r="G651" s="63"/>
      <c r="H651" s="43"/>
      <c r="I651" s="63"/>
      <c r="J651" s="43"/>
      <c r="K651" s="50"/>
      <c r="L651" s="43"/>
      <c r="M651" s="50"/>
      <c r="N651" s="43"/>
      <c r="O651" s="50"/>
      <c r="P651" s="43"/>
      <c r="Q651" s="50"/>
      <c r="R651" s="43"/>
      <c r="S651" s="50"/>
      <c r="T651" s="43"/>
      <c r="U651" s="50"/>
      <c r="V651" s="43"/>
      <c r="W651" s="50"/>
      <c r="X651" s="43"/>
      <c r="Y651" s="50"/>
      <c r="Z651" s="43"/>
      <c r="AA651" s="50"/>
      <c r="AB651" s="43"/>
      <c r="AC651" s="50"/>
      <c r="AD651" s="43"/>
      <c r="AE651" s="50"/>
      <c r="AF651" s="43"/>
      <c r="AG651" s="50"/>
      <c r="AH651" s="43"/>
      <c r="AI651" s="50"/>
      <c r="AJ651" s="43"/>
      <c r="AK651" s="50"/>
      <c r="AL651" s="43"/>
      <c r="AM651" s="50"/>
      <c r="AO651" s="43"/>
      <c r="AP651" s="46"/>
      <c r="AQ651" s="43"/>
      <c r="AR651" s="119"/>
      <c r="AS651" s="1"/>
      <c r="AT651" s="1"/>
    </row>
    <row r="652">
      <c r="A652" s="43"/>
      <c r="B652" s="59" t="str">
        <f>IFERROR(HYPERLINK(VLOOKUP(A652,Internal_lists_bugs!$A$2:$C$73,3,FALSE()), VLOOKUP(A652,Internal_lists_bugs!$A$2:$C$73,3,FALSE())&amp;Char(10) &amp; Char(10) &amp; VLOOKUP(A652,Internal_lists_bugs!$A$2:$Z$73,26,FALSE())),"please select a BUG ID")</f>
        <v>please select a BUG ID</v>
      </c>
      <c r="C652" s="51" t="str">
        <f>IFERROR(VLOOKUP(A652,Internal_lists_bugs!$A$2:$G2003,7,FALSE()),"please select a BUG ID")</f>
        <v>please select a BUG ID</v>
      </c>
      <c r="D652" s="43"/>
      <c r="E652" s="63"/>
      <c r="F652" s="43"/>
      <c r="G652" s="63"/>
      <c r="H652" s="43"/>
      <c r="I652" s="63"/>
      <c r="J652" s="43"/>
      <c r="K652" s="50"/>
      <c r="L652" s="43"/>
      <c r="M652" s="50"/>
      <c r="N652" s="43"/>
      <c r="O652" s="50"/>
      <c r="P652" s="43"/>
      <c r="Q652" s="50"/>
      <c r="R652" s="43"/>
      <c r="S652" s="50"/>
      <c r="T652" s="43"/>
      <c r="U652" s="50"/>
      <c r="V652" s="43"/>
      <c r="W652" s="50"/>
      <c r="X652" s="43"/>
      <c r="Y652" s="50"/>
      <c r="Z652" s="43"/>
      <c r="AA652" s="50"/>
      <c r="AB652" s="43"/>
      <c r="AC652" s="50"/>
      <c r="AD652" s="43"/>
      <c r="AE652" s="50"/>
      <c r="AF652" s="43"/>
      <c r="AG652" s="50"/>
      <c r="AH652" s="43"/>
      <c r="AI652" s="50"/>
      <c r="AJ652" s="43"/>
      <c r="AK652" s="50"/>
      <c r="AL652" s="43"/>
      <c r="AM652" s="50"/>
      <c r="AO652" s="43"/>
      <c r="AP652" s="46"/>
      <c r="AQ652" s="43"/>
      <c r="AR652" s="119"/>
      <c r="AS652" s="1"/>
      <c r="AT652" s="1"/>
    </row>
    <row r="653">
      <c r="A653" s="43"/>
      <c r="B653" s="59" t="str">
        <f>IFERROR(HYPERLINK(VLOOKUP(A653,Internal_lists_bugs!$A$2:$C$73,3,FALSE()), VLOOKUP(A653,Internal_lists_bugs!$A$2:$C$73,3,FALSE())&amp;Char(10) &amp; Char(10) &amp; VLOOKUP(A653,Internal_lists_bugs!$A$2:$Z$73,26,FALSE())),"please select a BUG ID")</f>
        <v>please select a BUG ID</v>
      </c>
      <c r="C653" s="51" t="str">
        <f>IFERROR(VLOOKUP(A653,Internal_lists_bugs!$A$2:$G2003,7,FALSE()),"please select a BUG ID")</f>
        <v>please select a BUG ID</v>
      </c>
      <c r="D653" s="43"/>
      <c r="E653" s="63"/>
      <c r="F653" s="43"/>
      <c r="G653" s="63"/>
      <c r="H653" s="43"/>
      <c r="I653" s="63"/>
      <c r="J653" s="43"/>
      <c r="K653" s="50"/>
      <c r="L653" s="43"/>
      <c r="M653" s="50"/>
      <c r="N653" s="43"/>
      <c r="O653" s="50"/>
      <c r="P653" s="43"/>
      <c r="Q653" s="50"/>
      <c r="R653" s="43"/>
      <c r="S653" s="50"/>
      <c r="T653" s="43"/>
      <c r="U653" s="50"/>
      <c r="V653" s="43"/>
      <c r="W653" s="50"/>
      <c r="X653" s="43"/>
      <c r="Y653" s="50"/>
      <c r="Z653" s="43"/>
      <c r="AA653" s="50"/>
      <c r="AB653" s="43"/>
      <c r="AC653" s="50"/>
      <c r="AD653" s="43"/>
      <c r="AE653" s="50"/>
      <c r="AF653" s="43"/>
      <c r="AG653" s="50"/>
      <c r="AH653" s="43"/>
      <c r="AI653" s="50"/>
      <c r="AJ653" s="43"/>
      <c r="AK653" s="50"/>
      <c r="AL653" s="43"/>
      <c r="AM653" s="50"/>
      <c r="AO653" s="43"/>
      <c r="AP653" s="46"/>
      <c r="AQ653" s="43"/>
      <c r="AR653" s="119"/>
      <c r="AS653" s="1"/>
      <c r="AT653" s="1"/>
    </row>
    <row r="654">
      <c r="A654" s="43"/>
      <c r="B654" s="59" t="str">
        <f>IFERROR(HYPERLINK(VLOOKUP(A654,Internal_lists_bugs!$A$2:$C$73,3,FALSE()), VLOOKUP(A654,Internal_lists_bugs!$A$2:$C$73,3,FALSE())&amp;Char(10) &amp; Char(10) &amp; VLOOKUP(A654,Internal_lists_bugs!$A$2:$Z$73,26,FALSE())),"please select a BUG ID")</f>
        <v>please select a BUG ID</v>
      </c>
      <c r="C654" s="51" t="str">
        <f>IFERROR(VLOOKUP(A654,Internal_lists_bugs!$A$2:$G2003,7,FALSE()),"please select a BUG ID")</f>
        <v>please select a BUG ID</v>
      </c>
      <c r="D654" s="43"/>
      <c r="E654" s="63"/>
      <c r="F654" s="43"/>
      <c r="G654" s="63"/>
      <c r="H654" s="43"/>
      <c r="I654" s="63"/>
      <c r="J654" s="43"/>
      <c r="K654" s="50"/>
      <c r="L654" s="43"/>
      <c r="M654" s="50"/>
      <c r="N654" s="43"/>
      <c r="O654" s="50"/>
      <c r="P654" s="43"/>
      <c r="Q654" s="50"/>
      <c r="R654" s="43"/>
      <c r="S654" s="50"/>
      <c r="T654" s="43"/>
      <c r="U654" s="50"/>
      <c r="V654" s="43"/>
      <c r="W654" s="50"/>
      <c r="X654" s="43"/>
      <c r="Y654" s="50"/>
      <c r="Z654" s="43"/>
      <c r="AA654" s="50"/>
      <c r="AB654" s="43"/>
      <c r="AC654" s="50"/>
      <c r="AD654" s="43"/>
      <c r="AE654" s="50"/>
      <c r="AF654" s="43"/>
      <c r="AG654" s="50"/>
      <c r="AH654" s="43"/>
      <c r="AI654" s="50"/>
      <c r="AJ654" s="43"/>
      <c r="AK654" s="50"/>
      <c r="AL654" s="43"/>
      <c r="AM654" s="50"/>
      <c r="AO654" s="43"/>
      <c r="AP654" s="46"/>
      <c r="AQ654" s="43"/>
      <c r="AR654" s="119"/>
      <c r="AS654" s="1"/>
      <c r="AT654" s="1"/>
    </row>
    <row r="655">
      <c r="A655" s="43"/>
      <c r="B655" s="59" t="str">
        <f>IFERROR(HYPERLINK(VLOOKUP(A655,Internal_lists_bugs!$A$2:$C$73,3,FALSE()), VLOOKUP(A655,Internal_lists_bugs!$A$2:$C$73,3,FALSE())&amp;Char(10) &amp; Char(10) &amp; VLOOKUP(A655,Internal_lists_bugs!$A$2:$Z$73,26,FALSE())),"please select a BUG ID")</f>
        <v>please select a BUG ID</v>
      </c>
      <c r="C655" s="51" t="str">
        <f>IFERROR(VLOOKUP(A655,Internal_lists_bugs!$A$2:$G2003,7,FALSE()),"please select a BUG ID")</f>
        <v>please select a BUG ID</v>
      </c>
      <c r="D655" s="43"/>
      <c r="E655" s="63"/>
      <c r="F655" s="43"/>
      <c r="G655" s="63"/>
      <c r="H655" s="43"/>
      <c r="I655" s="63"/>
      <c r="J655" s="43"/>
      <c r="K655" s="50"/>
      <c r="L655" s="43"/>
      <c r="M655" s="50"/>
      <c r="N655" s="43"/>
      <c r="O655" s="50"/>
      <c r="P655" s="43"/>
      <c r="Q655" s="50"/>
      <c r="R655" s="43"/>
      <c r="S655" s="50"/>
      <c r="T655" s="43"/>
      <c r="U655" s="50"/>
      <c r="V655" s="43"/>
      <c r="W655" s="50"/>
      <c r="X655" s="43"/>
      <c r="Y655" s="50"/>
      <c r="Z655" s="43"/>
      <c r="AA655" s="50"/>
      <c r="AB655" s="43"/>
      <c r="AC655" s="50"/>
      <c r="AD655" s="43"/>
      <c r="AE655" s="50"/>
      <c r="AF655" s="43"/>
      <c r="AG655" s="50"/>
      <c r="AH655" s="43"/>
      <c r="AI655" s="50"/>
      <c r="AJ655" s="43"/>
      <c r="AK655" s="50"/>
      <c r="AL655" s="43"/>
      <c r="AM655" s="50"/>
      <c r="AO655" s="43"/>
      <c r="AP655" s="46"/>
      <c r="AQ655" s="43"/>
      <c r="AR655" s="119"/>
      <c r="AS655" s="1"/>
      <c r="AT655" s="1"/>
    </row>
    <row r="656">
      <c r="A656" s="43"/>
      <c r="B656" s="59" t="str">
        <f>IFERROR(HYPERLINK(VLOOKUP(A656,Internal_lists_bugs!$A$2:$C$73,3,FALSE()), VLOOKUP(A656,Internal_lists_bugs!$A$2:$C$73,3,FALSE())&amp;Char(10) &amp; Char(10) &amp; VLOOKUP(A656,Internal_lists_bugs!$A$2:$Z$73,26,FALSE())),"please select a BUG ID")</f>
        <v>please select a BUG ID</v>
      </c>
      <c r="C656" s="51" t="str">
        <f>IFERROR(VLOOKUP(A656,Internal_lists_bugs!$A$2:$G2003,7,FALSE()),"please select a BUG ID")</f>
        <v>please select a BUG ID</v>
      </c>
      <c r="D656" s="43"/>
      <c r="E656" s="63"/>
      <c r="F656" s="43"/>
      <c r="G656" s="63"/>
      <c r="H656" s="43"/>
      <c r="I656" s="63"/>
      <c r="J656" s="43"/>
      <c r="K656" s="50"/>
      <c r="L656" s="43"/>
      <c r="M656" s="50"/>
      <c r="N656" s="43"/>
      <c r="O656" s="50"/>
      <c r="P656" s="43"/>
      <c r="Q656" s="50"/>
      <c r="R656" s="43"/>
      <c r="S656" s="50"/>
      <c r="T656" s="43"/>
      <c r="U656" s="50"/>
      <c r="V656" s="43"/>
      <c r="W656" s="50"/>
      <c r="X656" s="43"/>
      <c r="Y656" s="50"/>
      <c r="Z656" s="43"/>
      <c r="AA656" s="50"/>
      <c r="AB656" s="43"/>
      <c r="AC656" s="50"/>
      <c r="AD656" s="43"/>
      <c r="AE656" s="50"/>
      <c r="AF656" s="43"/>
      <c r="AG656" s="50"/>
      <c r="AH656" s="43"/>
      <c r="AI656" s="50"/>
      <c r="AJ656" s="43"/>
      <c r="AK656" s="50"/>
      <c r="AL656" s="43"/>
      <c r="AM656" s="50"/>
      <c r="AO656" s="43"/>
      <c r="AP656" s="46"/>
      <c r="AQ656" s="43"/>
      <c r="AR656" s="119"/>
      <c r="AS656" s="1"/>
      <c r="AT656" s="1"/>
    </row>
    <row r="657">
      <c r="A657" s="43"/>
      <c r="B657" s="59" t="str">
        <f>IFERROR(HYPERLINK(VLOOKUP(A657,Internal_lists_bugs!$A$2:$C$73,3,FALSE()), VLOOKUP(A657,Internal_lists_bugs!$A$2:$C$73,3,FALSE())&amp;Char(10) &amp; Char(10) &amp; VLOOKUP(A657,Internal_lists_bugs!$A$2:$Z$73,26,FALSE())),"please select a BUG ID")</f>
        <v>please select a BUG ID</v>
      </c>
      <c r="C657" s="51" t="str">
        <f>IFERROR(VLOOKUP(A657,Internal_lists_bugs!$A$2:$G2003,7,FALSE()),"please select a BUG ID")</f>
        <v>please select a BUG ID</v>
      </c>
      <c r="D657" s="43"/>
      <c r="E657" s="63"/>
      <c r="F657" s="43"/>
      <c r="G657" s="63"/>
      <c r="H657" s="43"/>
      <c r="I657" s="63"/>
      <c r="J657" s="43"/>
      <c r="K657" s="50"/>
      <c r="L657" s="43"/>
      <c r="M657" s="50"/>
      <c r="N657" s="43"/>
      <c r="O657" s="50"/>
      <c r="P657" s="43"/>
      <c r="Q657" s="50"/>
      <c r="R657" s="43"/>
      <c r="S657" s="50"/>
      <c r="T657" s="43"/>
      <c r="U657" s="50"/>
      <c r="V657" s="43"/>
      <c r="W657" s="50"/>
      <c r="X657" s="43"/>
      <c r="Y657" s="50"/>
      <c r="Z657" s="43"/>
      <c r="AA657" s="50"/>
      <c r="AB657" s="43"/>
      <c r="AC657" s="50"/>
      <c r="AD657" s="43"/>
      <c r="AE657" s="50"/>
      <c r="AF657" s="43"/>
      <c r="AG657" s="50"/>
      <c r="AH657" s="43"/>
      <c r="AI657" s="50"/>
      <c r="AJ657" s="43"/>
      <c r="AK657" s="50"/>
      <c r="AL657" s="43"/>
      <c r="AM657" s="50"/>
      <c r="AO657" s="43"/>
      <c r="AP657" s="46"/>
      <c r="AQ657" s="43"/>
      <c r="AR657" s="119"/>
      <c r="AS657" s="1"/>
      <c r="AT657" s="1"/>
    </row>
    <row r="658">
      <c r="A658" s="43"/>
      <c r="B658" s="59" t="str">
        <f>IFERROR(HYPERLINK(VLOOKUP(A658,Internal_lists_bugs!$A$2:$C$73,3,FALSE()), VLOOKUP(A658,Internal_lists_bugs!$A$2:$C$73,3,FALSE())&amp;Char(10) &amp; Char(10) &amp; VLOOKUP(A658,Internal_lists_bugs!$A$2:$Z$73,26,FALSE())),"please select a BUG ID")</f>
        <v>please select a BUG ID</v>
      </c>
      <c r="C658" s="51" t="str">
        <f>IFERROR(VLOOKUP(A658,Internal_lists_bugs!$A$2:$G2003,7,FALSE()),"please select a BUG ID")</f>
        <v>please select a BUG ID</v>
      </c>
      <c r="D658" s="43"/>
      <c r="E658" s="63"/>
      <c r="F658" s="43"/>
      <c r="G658" s="63"/>
      <c r="H658" s="43"/>
      <c r="I658" s="63"/>
      <c r="J658" s="43"/>
      <c r="K658" s="50"/>
      <c r="L658" s="43"/>
      <c r="M658" s="50"/>
      <c r="N658" s="43"/>
      <c r="O658" s="50"/>
      <c r="P658" s="43"/>
      <c r="Q658" s="50"/>
      <c r="R658" s="43"/>
      <c r="S658" s="50"/>
      <c r="T658" s="43"/>
      <c r="U658" s="50"/>
      <c r="V658" s="43"/>
      <c r="W658" s="50"/>
      <c r="X658" s="43"/>
      <c r="Y658" s="50"/>
      <c r="Z658" s="43"/>
      <c r="AA658" s="50"/>
      <c r="AB658" s="43"/>
      <c r="AC658" s="50"/>
      <c r="AD658" s="43"/>
      <c r="AE658" s="50"/>
      <c r="AF658" s="43"/>
      <c r="AG658" s="50"/>
      <c r="AH658" s="43"/>
      <c r="AI658" s="50"/>
      <c r="AJ658" s="43"/>
      <c r="AK658" s="50"/>
      <c r="AL658" s="43"/>
      <c r="AM658" s="50"/>
      <c r="AO658" s="43"/>
      <c r="AP658" s="46"/>
      <c r="AQ658" s="43"/>
      <c r="AR658" s="119"/>
      <c r="AS658" s="1"/>
      <c r="AT658" s="1"/>
    </row>
    <row r="659">
      <c r="A659" s="43"/>
      <c r="B659" s="59" t="str">
        <f>IFERROR(HYPERLINK(VLOOKUP(A659,Internal_lists_bugs!$A$2:$C$73,3,FALSE()), VLOOKUP(A659,Internal_lists_bugs!$A$2:$C$73,3,FALSE())&amp;Char(10) &amp; Char(10) &amp; VLOOKUP(A659,Internal_lists_bugs!$A$2:$Z$73,26,FALSE())),"please select a BUG ID")</f>
        <v>please select a BUG ID</v>
      </c>
      <c r="C659" s="51" t="str">
        <f>IFERROR(VLOOKUP(A659,Internal_lists_bugs!$A$2:$G2003,7,FALSE()),"please select a BUG ID")</f>
        <v>please select a BUG ID</v>
      </c>
      <c r="D659" s="43"/>
      <c r="E659" s="63"/>
      <c r="F659" s="43"/>
      <c r="G659" s="63"/>
      <c r="H659" s="43"/>
      <c r="I659" s="63"/>
      <c r="J659" s="43"/>
      <c r="K659" s="50"/>
      <c r="L659" s="43"/>
      <c r="M659" s="50"/>
      <c r="N659" s="43"/>
      <c r="O659" s="50"/>
      <c r="P659" s="43"/>
      <c r="Q659" s="50"/>
      <c r="R659" s="43"/>
      <c r="S659" s="50"/>
      <c r="T659" s="43"/>
      <c r="U659" s="50"/>
      <c r="V659" s="43"/>
      <c r="W659" s="50"/>
      <c r="X659" s="43"/>
      <c r="Y659" s="50"/>
      <c r="Z659" s="43"/>
      <c r="AA659" s="50"/>
      <c r="AB659" s="43"/>
      <c r="AC659" s="50"/>
      <c r="AD659" s="43"/>
      <c r="AE659" s="50"/>
      <c r="AF659" s="43"/>
      <c r="AG659" s="50"/>
      <c r="AH659" s="43"/>
      <c r="AI659" s="50"/>
      <c r="AJ659" s="43"/>
      <c r="AK659" s="50"/>
      <c r="AL659" s="43"/>
      <c r="AM659" s="50"/>
      <c r="AO659" s="43"/>
      <c r="AP659" s="46"/>
      <c r="AQ659" s="43"/>
      <c r="AR659" s="119"/>
      <c r="AS659" s="1"/>
      <c r="AT659" s="1"/>
    </row>
    <row r="660">
      <c r="A660" s="43"/>
      <c r="B660" s="59" t="str">
        <f>IFERROR(HYPERLINK(VLOOKUP(A660,Internal_lists_bugs!$A$2:$C$73,3,FALSE()), VLOOKUP(A660,Internal_lists_bugs!$A$2:$C$73,3,FALSE())&amp;Char(10) &amp; Char(10) &amp; VLOOKUP(A660,Internal_lists_bugs!$A$2:$Z$73,26,FALSE())),"please select a BUG ID")</f>
        <v>please select a BUG ID</v>
      </c>
      <c r="C660" s="51" t="str">
        <f>IFERROR(VLOOKUP(A660,Internal_lists_bugs!$A$2:$G2003,7,FALSE()),"please select a BUG ID")</f>
        <v>please select a BUG ID</v>
      </c>
      <c r="D660" s="43"/>
      <c r="E660" s="63"/>
      <c r="F660" s="43"/>
      <c r="G660" s="63"/>
      <c r="H660" s="43"/>
      <c r="I660" s="63"/>
      <c r="J660" s="43"/>
      <c r="K660" s="50"/>
      <c r="L660" s="43"/>
      <c r="M660" s="50"/>
      <c r="N660" s="43"/>
      <c r="O660" s="50"/>
      <c r="P660" s="43"/>
      <c r="Q660" s="50"/>
      <c r="R660" s="43"/>
      <c r="S660" s="50"/>
      <c r="T660" s="43"/>
      <c r="U660" s="50"/>
      <c r="V660" s="43"/>
      <c r="W660" s="50"/>
      <c r="X660" s="43"/>
      <c r="Y660" s="50"/>
      <c r="Z660" s="43"/>
      <c r="AA660" s="50"/>
      <c r="AB660" s="43"/>
      <c r="AC660" s="50"/>
      <c r="AD660" s="43"/>
      <c r="AE660" s="50"/>
      <c r="AF660" s="43"/>
      <c r="AG660" s="50"/>
      <c r="AH660" s="43"/>
      <c r="AI660" s="50"/>
      <c r="AJ660" s="43"/>
      <c r="AK660" s="50"/>
      <c r="AL660" s="43"/>
      <c r="AM660" s="50"/>
      <c r="AO660" s="43"/>
      <c r="AP660" s="46"/>
      <c r="AQ660" s="43"/>
      <c r="AR660" s="119"/>
      <c r="AS660" s="1"/>
      <c r="AT660" s="1"/>
    </row>
    <row r="661">
      <c r="A661" s="43"/>
      <c r="B661" s="59" t="str">
        <f>IFERROR(HYPERLINK(VLOOKUP(A661,Internal_lists_bugs!$A$2:$C$73,3,FALSE()), VLOOKUP(A661,Internal_lists_bugs!$A$2:$C$73,3,FALSE())&amp;Char(10) &amp; Char(10) &amp; VLOOKUP(A661,Internal_lists_bugs!$A$2:$Z$73,26,FALSE())),"please select a BUG ID")</f>
        <v>please select a BUG ID</v>
      </c>
      <c r="C661" s="51" t="str">
        <f>IFERROR(VLOOKUP(A661,Internal_lists_bugs!$A$2:$G2003,7,FALSE()),"please select a BUG ID")</f>
        <v>please select a BUG ID</v>
      </c>
      <c r="D661" s="43"/>
      <c r="E661" s="63"/>
      <c r="F661" s="43"/>
      <c r="G661" s="63"/>
      <c r="H661" s="43"/>
      <c r="I661" s="63"/>
      <c r="J661" s="43"/>
      <c r="K661" s="50"/>
      <c r="L661" s="43"/>
      <c r="M661" s="50"/>
      <c r="N661" s="43"/>
      <c r="O661" s="50"/>
      <c r="P661" s="43"/>
      <c r="Q661" s="50"/>
      <c r="R661" s="43"/>
      <c r="S661" s="50"/>
      <c r="T661" s="43"/>
      <c r="U661" s="50"/>
      <c r="V661" s="43"/>
      <c r="W661" s="50"/>
      <c r="X661" s="43"/>
      <c r="Y661" s="50"/>
      <c r="Z661" s="43"/>
      <c r="AA661" s="50"/>
      <c r="AB661" s="43"/>
      <c r="AC661" s="50"/>
      <c r="AD661" s="43"/>
      <c r="AE661" s="50"/>
      <c r="AF661" s="43"/>
      <c r="AG661" s="50"/>
      <c r="AH661" s="43"/>
      <c r="AI661" s="50"/>
      <c r="AJ661" s="43"/>
      <c r="AK661" s="50"/>
      <c r="AL661" s="43"/>
      <c r="AM661" s="50"/>
      <c r="AO661" s="43"/>
      <c r="AP661" s="46"/>
      <c r="AQ661" s="43"/>
      <c r="AR661" s="119"/>
      <c r="AS661" s="1"/>
      <c r="AT661" s="1"/>
    </row>
    <row r="662">
      <c r="A662" s="43"/>
      <c r="B662" s="59" t="str">
        <f>IFERROR(HYPERLINK(VLOOKUP(A662,Internal_lists_bugs!$A$2:$C$73,3,FALSE()), VLOOKUP(A662,Internal_lists_bugs!$A$2:$C$73,3,FALSE())&amp;Char(10) &amp; Char(10) &amp; VLOOKUP(A662,Internal_lists_bugs!$A$2:$Z$73,26,FALSE())),"please select a BUG ID")</f>
        <v>please select a BUG ID</v>
      </c>
      <c r="C662" s="51" t="str">
        <f>IFERROR(VLOOKUP(A662,Internal_lists_bugs!$A$2:$G2003,7,FALSE()),"please select a BUG ID")</f>
        <v>please select a BUG ID</v>
      </c>
      <c r="D662" s="43"/>
      <c r="E662" s="63"/>
      <c r="F662" s="43"/>
      <c r="G662" s="63"/>
      <c r="H662" s="43"/>
      <c r="I662" s="63"/>
      <c r="J662" s="43"/>
      <c r="K662" s="50"/>
      <c r="L662" s="43"/>
      <c r="M662" s="50"/>
      <c r="N662" s="43"/>
      <c r="O662" s="50"/>
      <c r="P662" s="43"/>
      <c r="Q662" s="50"/>
      <c r="R662" s="43"/>
      <c r="S662" s="50"/>
      <c r="T662" s="43"/>
      <c r="U662" s="50"/>
      <c r="V662" s="43"/>
      <c r="W662" s="50"/>
      <c r="X662" s="43"/>
      <c r="Y662" s="50"/>
      <c r="Z662" s="43"/>
      <c r="AA662" s="50"/>
      <c r="AB662" s="43"/>
      <c r="AC662" s="50"/>
      <c r="AD662" s="43"/>
      <c r="AE662" s="50"/>
      <c r="AF662" s="43"/>
      <c r="AG662" s="50"/>
      <c r="AH662" s="43"/>
      <c r="AI662" s="50"/>
      <c r="AJ662" s="43"/>
      <c r="AK662" s="50"/>
      <c r="AL662" s="43"/>
      <c r="AM662" s="50"/>
      <c r="AO662" s="43"/>
      <c r="AP662" s="46"/>
      <c r="AQ662" s="43"/>
      <c r="AR662" s="119"/>
      <c r="AS662" s="1"/>
      <c r="AT662" s="1"/>
    </row>
    <row r="663">
      <c r="A663" s="43"/>
      <c r="B663" s="59" t="str">
        <f>IFERROR(HYPERLINK(VLOOKUP(A663,Internal_lists_bugs!$A$2:$C$73,3,FALSE()), VLOOKUP(A663,Internal_lists_bugs!$A$2:$C$73,3,FALSE())&amp;Char(10) &amp; Char(10) &amp; VLOOKUP(A663,Internal_lists_bugs!$A$2:$Z$73,26,FALSE())),"please select a BUG ID")</f>
        <v>please select a BUG ID</v>
      </c>
      <c r="C663" s="51" t="str">
        <f>IFERROR(VLOOKUP(A663,Internal_lists_bugs!$A$2:$G2003,7,FALSE()),"please select a BUG ID")</f>
        <v>please select a BUG ID</v>
      </c>
      <c r="D663" s="43"/>
      <c r="E663" s="63"/>
      <c r="F663" s="43"/>
      <c r="G663" s="63"/>
      <c r="H663" s="43"/>
      <c r="I663" s="63"/>
      <c r="J663" s="43"/>
      <c r="K663" s="50"/>
      <c r="L663" s="43"/>
      <c r="M663" s="50"/>
      <c r="N663" s="43"/>
      <c r="O663" s="50"/>
      <c r="P663" s="43"/>
      <c r="Q663" s="50"/>
      <c r="R663" s="43"/>
      <c r="S663" s="50"/>
      <c r="T663" s="43"/>
      <c r="U663" s="50"/>
      <c r="V663" s="43"/>
      <c r="W663" s="50"/>
      <c r="X663" s="43"/>
      <c r="Y663" s="50"/>
      <c r="Z663" s="43"/>
      <c r="AA663" s="50"/>
      <c r="AB663" s="43"/>
      <c r="AC663" s="50"/>
      <c r="AD663" s="43"/>
      <c r="AE663" s="50"/>
      <c r="AF663" s="43"/>
      <c r="AG663" s="50"/>
      <c r="AH663" s="43"/>
      <c r="AI663" s="50"/>
      <c r="AJ663" s="43"/>
      <c r="AK663" s="50"/>
      <c r="AL663" s="43"/>
      <c r="AM663" s="50"/>
      <c r="AO663" s="43"/>
      <c r="AP663" s="46"/>
      <c r="AQ663" s="43"/>
      <c r="AR663" s="119"/>
      <c r="AS663" s="1"/>
      <c r="AT663" s="1"/>
    </row>
    <row r="664">
      <c r="A664" s="43"/>
      <c r="B664" s="59" t="str">
        <f>IFERROR(HYPERLINK(VLOOKUP(A664,Internal_lists_bugs!$A$2:$C$73,3,FALSE()), VLOOKUP(A664,Internal_lists_bugs!$A$2:$C$73,3,FALSE())&amp;Char(10) &amp; Char(10) &amp; VLOOKUP(A664,Internal_lists_bugs!$A$2:$Z$73,26,FALSE())),"please select a BUG ID")</f>
        <v>please select a BUG ID</v>
      </c>
      <c r="C664" s="51" t="str">
        <f>IFERROR(VLOOKUP(A664,Internal_lists_bugs!$A$2:$G2003,7,FALSE()),"please select a BUG ID")</f>
        <v>please select a BUG ID</v>
      </c>
      <c r="D664" s="43"/>
      <c r="E664" s="63"/>
      <c r="F664" s="43"/>
      <c r="G664" s="63"/>
      <c r="H664" s="43"/>
      <c r="I664" s="63"/>
      <c r="J664" s="43"/>
      <c r="K664" s="50"/>
      <c r="L664" s="43"/>
      <c r="M664" s="50"/>
      <c r="N664" s="43"/>
      <c r="O664" s="50"/>
      <c r="P664" s="43"/>
      <c r="Q664" s="50"/>
      <c r="R664" s="43"/>
      <c r="S664" s="50"/>
      <c r="T664" s="43"/>
      <c r="U664" s="50"/>
      <c r="V664" s="43"/>
      <c r="W664" s="50"/>
      <c r="X664" s="43"/>
      <c r="Y664" s="50"/>
      <c r="Z664" s="43"/>
      <c r="AA664" s="50"/>
      <c r="AB664" s="43"/>
      <c r="AC664" s="50"/>
      <c r="AD664" s="43"/>
      <c r="AE664" s="50"/>
      <c r="AF664" s="43"/>
      <c r="AG664" s="50"/>
      <c r="AH664" s="43"/>
      <c r="AI664" s="50"/>
      <c r="AJ664" s="43"/>
      <c r="AK664" s="50"/>
      <c r="AL664" s="43"/>
      <c r="AM664" s="50"/>
      <c r="AO664" s="43"/>
      <c r="AP664" s="46"/>
      <c r="AQ664" s="43"/>
      <c r="AR664" s="119"/>
      <c r="AS664" s="1"/>
      <c r="AT664" s="1"/>
    </row>
    <row r="665">
      <c r="A665" s="43"/>
      <c r="B665" s="59" t="str">
        <f>IFERROR(HYPERLINK(VLOOKUP(A665,Internal_lists_bugs!$A$2:$C$73,3,FALSE()), VLOOKUP(A665,Internal_lists_bugs!$A$2:$C$73,3,FALSE())&amp;Char(10) &amp; Char(10) &amp; VLOOKUP(A665,Internal_lists_bugs!$A$2:$Z$73,26,FALSE())),"please select a BUG ID")</f>
        <v>please select a BUG ID</v>
      </c>
      <c r="C665" s="51" t="str">
        <f>IFERROR(VLOOKUP(A665,Internal_lists_bugs!$A$2:$G2003,7,FALSE()),"please select a BUG ID")</f>
        <v>please select a BUG ID</v>
      </c>
      <c r="D665" s="43"/>
      <c r="E665" s="63"/>
      <c r="F665" s="43"/>
      <c r="G665" s="63"/>
      <c r="H665" s="43"/>
      <c r="I665" s="63"/>
      <c r="J665" s="43"/>
      <c r="K665" s="50"/>
      <c r="L665" s="43"/>
      <c r="M665" s="50"/>
      <c r="N665" s="43"/>
      <c r="O665" s="50"/>
      <c r="P665" s="43"/>
      <c r="Q665" s="50"/>
      <c r="R665" s="43"/>
      <c r="S665" s="50"/>
      <c r="T665" s="43"/>
      <c r="U665" s="50"/>
      <c r="V665" s="43"/>
      <c r="W665" s="50"/>
      <c r="X665" s="43"/>
      <c r="Y665" s="50"/>
      <c r="Z665" s="43"/>
      <c r="AA665" s="50"/>
      <c r="AB665" s="43"/>
      <c r="AC665" s="50"/>
      <c r="AD665" s="43"/>
      <c r="AE665" s="50"/>
      <c r="AF665" s="43"/>
      <c r="AG665" s="50"/>
      <c r="AH665" s="43"/>
      <c r="AI665" s="50"/>
      <c r="AJ665" s="43"/>
      <c r="AK665" s="50"/>
      <c r="AL665" s="43"/>
      <c r="AM665" s="50"/>
      <c r="AO665" s="43"/>
      <c r="AP665" s="46"/>
      <c r="AQ665" s="43"/>
      <c r="AR665" s="119"/>
      <c r="AS665" s="1"/>
      <c r="AT665" s="1"/>
    </row>
    <row r="666">
      <c r="A666" s="43"/>
      <c r="B666" s="59" t="str">
        <f>IFERROR(HYPERLINK(VLOOKUP(A666,Internal_lists_bugs!$A$2:$C$73,3,FALSE()), VLOOKUP(A666,Internal_lists_bugs!$A$2:$C$73,3,FALSE())&amp;Char(10) &amp; Char(10) &amp; VLOOKUP(A666,Internal_lists_bugs!$A$2:$Z$73,26,FALSE())),"please select a BUG ID")</f>
        <v>please select a BUG ID</v>
      </c>
      <c r="C666" s="51" t="str">
        <f>IFERROR(VLOOKUP(A666,Internal_lists_bugs!$A$2:$G2003,7,FALSE()),"please select a BUG ID")</f>
        <v>please select a BUG ID</v>
      </c>
      <c r="D666" s="43"/>
      <c r="E666" s="63"/>
      <c r="F666" s="43"/>
      <c r="G666" s="63"/>
      <c r="H666" s="43"/>
      <c r="I666" s="63"/>
      <c r="J666" s="43"/>
      <c r="K666" s="50"/>
      <c r="L666" s="43"/>
      <c r="M666" s="50"/>
      <c r="N666" s="43"/>
      <c r="O666" s="50"/>
      <c r="P666" s="43"/>
      <c r="Q666" s="50"/>
      <c r="R666" s="43"/>
      <c r="S666" s="50"/>
      <c r="T666" s="43"/>
      <c r="U666" s="50"/>
      <c r="V666" s="43"/>
      <c r="W666" s="50"/>
      <c r="X666" s="43"/>
      <c r="Y666" s="50"/>
      <c r="Z666" s="43"/>
      <c r="AA666" s="50"/>
      <c r="AB666" s="43"/>
      <c r="AC666" s="50"/>
      <c r="AD666" s="43"/>
      <c r="AE666" s="50"/>
      <c r="AF666" s="43"/>
      <c r="AG666" s="50"/>
      <c r="AH666" s="43"/>
      <c r="AI666" s="50"/>
      <c r="AJ666" s="43"/>
      <c r="AK666" s="50"/>
      <c r="AL666" s="43"/>
      <c r="AM666" s="50"/>
      <c r="AO666" s="43"/>
      <c r="AP666" s="46"/>
      <c r="AQ666" s="43"/>
      <c r="AR666" s="119"/>
      <c r="AS666" s="1"/>
      <c r="AT666" s="1"/>
    </row>
    <row r="667">
      <c r="A667" s="43"/>
      <c r="B667" s="59" t="str">
        <f>IFERROR(HYPERLINK(VLOOKUP(A667,Internal_lists_bugs!$A$2:$C$73,3,FALSE()), VLOOKUP(A667,Internal_lists_bugs!$A$2:$C$73,3,FALSE())&amp;Char(10) &amp; Char(10) &amp; VLOOKUP(A667,Internal_lists_bugs!$A$2:$Z$73,26,FALSE())),"please select a BUG ID")</f>
        <v>please select a BUG ID</v>
      </c>
      <c r="C667" s="51" t="str">
        <f>IFERROR(VLOOKUP(A667,Internal_lists_bugs!$A$2:$G2003,7,FALSE()),"please select a BUG ID")</f>
        <v>please select a BUG ID</v>
      </c>
      <c r="D667" s="43"/>
      <c r="E667" s="63"/>
      <c r="F667" s="43"/>
      <c r="G667" s="63"/>
      <c r="H667" s="43"/>
      <c r="I667" s="63"/>
      <c r="J667" s="43"/>
      <c r="K667" s="50"/>
      <c r="L667" s="43"/>
      <c r="M667" s="50"/>
      <c r="N667" s="43"/>
      <c r="O667" s="50"/>
      <c r="P667" s="43"/>
      <c r="Q667" s="50"/>
      <c r="R667" s="43"/>
      <c r="S667" s="50"/>
      <c r="T667" s="43"/>
      <c r="U667" s="50"/>
      <c r="V667" s="43"/>
      <c r="W667" s="50"/>
      <c r="X667" s="43"/>
      <c r="Y667" s="50"/>
      <c r="Z667" s="43"/>
      <c r="AA667" s="50"/>
      <c r="AB667" s="43"/>
      <c r="AC667" s="50"/>
      <c r="AD667" s="43"/>
      <c r="AE667" s="50"/>
      <c r="AF667" s="43"/>
      <c r="AG667" s="50"/>
      <c r="AH667" s="43"/>
      <c r="AI667" s="50"/>
      <c r="AJ667" s="43"/>
      <c r="AK667" s="50"/>
      <c r="AL667" s="43"/>
      <c r="AM667" s="50"/>
      <c r="AO667" s="43"/>
      <c r="AP667" s="46"/>
      <c r="AQ667" s="43"/>
      <c r="AR667" s="119"/>
      <c r="AS667" s="1"/>
      <c r="AT667" s="1"/>
    </row>
    <row r="668">
      <c r="A668" s="43"/>
      <c r="B668" s="59" t="str">
        <f>IFERROR(HYPERLINK(VLOOKUP(A668,Internal_lists_bugs!$A$2:$C$73,3,FALSE()), VLOOKUP(A668,Internal_lists_bugs!$A$2:$C$73,3,FALSE())&amp;Char(10) &amp; Char(10) &amp; VLOOKUP(A668,Internal_lists_bugs!$A$2:$Z$73,26,FALSE())),"please select a BUG ID")</f>
        <v>please select a BUG ID</v>
      </c>
      <c r="C668" s="51" t="str">
        <f>IFERROR(VLOOKUP(A668,Internal_lists_bugs!$A$2:$G2003,7,FALSE()),"please select a BUG ID")</f>
        <v>please select a BUG ID</v>
      </c>
      <c r="D668" s="43"/>
      <c r="E668" s="63"/>
      <c r="F668" s="43"/>
      <c r="G668" s="63"/>
      <c r="H668" s="43"/>
      <c r="I668" s="63"/>
      <c r="J668" s="43"/>
      <c r="K668" s="50"/>
      <c r="L668" s="43"/>
      <c r="M668" s="50"/>
      <c r="N668" s="43"/>
      <c r="O668" s="50"/>
      <c r="P668" s="43"/>
      <c r="Q668" s="50"/>
      <c r="R668" s="43"/>
      <c r="S668" s="50"/>
      <c r="T668" s="43"/>
      <c r="U668" s="50"/>
      <c r="V668" s="43"/>
      <c r="W668" s="50"/>
      <c r="X668" s="43"/>
      <c r="Y668" s="50"/>
      <c r="Z668" s="43"/>
      <c r="AA668" s="50"/>
      <c r="AB668" s="43"/>
      <c r="AC668" s="50"/>
      <c r="AD668" s="43"/>
      <c r="AE668" s="50"/>
      <c r="AF668" s="43"/>
      <c r="AG668" s="50"/>
      <c r="AH668" s="43"/>
      <c r="AI668" s="50"/>
      <c r="AJ668" s="43"/>
      <c r="AK668" s="50"/>
      <c r="AL668" s="43"/>
      <c r="AM668" s="50"/>
      <c r="AO668" s="43"/>
      <c r="AP668" s="46"/>
      <c r="AQ668" s="43"/>
      <c r="AR668" s="119"/>
      <c r="AS668" s="1"/>
      <c r="AT668" s="1"/>
    </row>
    <row r="669">
      <c r="A669" s="43"/>
      <c r="B669" s="59" t="str">
        <f>IFERROR(HYPERLINK(VLOOKUP(A669,Internal_lists_bugs!$A$2:$C$73,3,FALSE()), VLOOKUP(A669,Internal_lists_bugs!$A$2:$C$73,3,FALSE())&amp;Char(10) &amp; Char(10) &amp; VLOOKUP(A669,Internal_lists_bugs!$A$2:$Z$73,26,FALSE())),"please select a BUG ID")</f>
        <v>please select a BUG ID</v>
      </c>
      <c r="C669" s="51" t="str">
        <f>IFERROR(VLOOKUP(A669,Internal_lists_bugs!$A$2:$G2003,7,FALSE()),"please select a BUG ID")</f>
        <v>please select a BUG ID</v>
      </c>
      <c r="D669" s="43"/>
      <c r="E669" s="63"/>
      <c r="F669" s="43"/>
      <c r="G669" s="63"/>
      <c r="H669" s="43"/>
      <c r="I669" s="63"/>
      <c r="J669" s="43"/>
      <c r="K669" s="50"/>
      <c r="L669" s="43"/>
      <c r="M669" s="50"/>
      <c r="N669" s="43"/>
      <c r="O669" s="50"/>
      <c r="P669" s="43"/>
      <c r="Q669" s="50"/>
      <c r="R669" s="43"/>
      <c r="S669" s="50"/>
      <c r="T669" s="43"/>
      <c r="U669" s="50"/>
      <c r="V669" s="43"/>
      <c r="W669" s="50"/>
      <c r="X669" s="43"/>
      <c r="Y669" s="50"/>
      <c r="Z669" s="43"/>
      <c r="AA669" s="50"/>
      <c r="AB669" s="43"/>
      <c r="AC669" s="50"/>
      <c r="AD669" s="43"/>
      <c r="AE669" s="50"/>
      <c r="AF669" s="43"/>
      <c r="AG669" s="50"/>
      <c r="AH669" s="43"/>
      <c r="AI669" s="50"/>
      <c r="AJ669" s="43"/>
      <c r="AK669" s="50"/>
      <c r="AL669" s="43"/>
      <c r="AM669" s="50"/>
      <c r="AO669" s="43"/>
      <c r="AP669" s="46"/>
      <c r="AQ669" s="43"/>
      <c r="AR669" s="119"/>
      <c r="AS669" s="1"/>
      <c r="AT669" s="1"/>
    </row>
    <row r="670">
      <c r="A670" s="43"/>
      <c r="B670" s="59" t="str">
        <f>IFERROR(HYPERLINK(VLOOKUP(A670,Internal_lists_bugs!$A$2:$C$73,3,FALSE()), VLOOKUP(A670,Internal_lists_bugs!$A$2:$C$73,3,FALSE())&amp;Char(10) &amp; Char(10) &amp; VLOOKUP(A670,Internal_lists_bugs!$A$2:$Z$73,26,FALSE())),"please select a BUG ID")</f>
        <v>please select a BUG ID</v>
      </c>
      <c r="C670" s="51" t="str">
        <f>IFERROR(VLOOKUP(A670,Internal_lists_bugs!$A$2:$G2003,7,FALSE()),"please select a BUG ID")</f>
        <v>please select a BUG ID</v>
      </c>
      <c r="D670" s="43"/>
      <c r="E670" s="63"/>
      <c r="F670" s="43"/>
      <c r="G670" s="63"/>
      <c r="H670" s="43"/>
      <c r="I670" s="63"/>
      <c r="J670" s="43"/>
      <c r="K670" s="50"/>
      <c r="L670" s="43"/>
      <c r="M670" s="50"/>
      <c r="N670" s="43"/>
      <c r="O670" s="50"/>
      <c r="P670" s="43"/>
      <c r="Q670" s="50"/>
      <c r="R670" s="43"/>
      <c r="S670" s="50"/>
      <c r="T670" s="43"/>
      <c r="U670" s="50"/>
      <c r="V670" s="43"/>
      <c r="W670" s="50"/>
      <c r="X670" s="43"/>
      <c r="Y670" s="50"/>
      <c r="Z670" s="43"/>
      <c r="AA670" s="50"/>
      <c r="AB670" s="43"/>
      <c r="AC670" s="50"/>
      <c r="AD670" s="43"/>
      <c r="AE670" s="50"/>
      <c r="AF670" s="43"/>
      <c r="AG670" s="50"/>
      <c r="AH670" s="43"/>
      <c r="AI670" s="50"/>
      <c r="AJ670" s="43"/>
      <c r="AK670" s="50"/>
      <c r="AL670" s="43"/>
      <c r="AM670" s="50"/>
      <c r="AO670" s="43"/>
      <c r="AP670" s="46"/>
      <c r="AQ670" s="43"/>
      <c r="AR670" s="119"/>
      <c r="AS670" s="1"/>
      <c r="AT670" s="1"/>
    </row>
    <row r="671">
      <c r="A671" s="43"/>
      <c r="B671" s="59" t="str">
        <f>IFERROR(HYPERLINK(VLOOKUP(A671,Internal_lists_bugs!$A$2:$C$73,3,FALSE()), VLOOKUP(A671,Internal_lists_bugs!$A$2:$C$73,3,FALSE())&amp;Char(10) &amp; Char(10) &amp; VLOOKUP(A671,Internal_lists_bugs!$A$2:$Z$73,26,FALSE())),"please select a BUG ID")</f>
        <v>please select a BUG ID</v>
      </c>
      <c r="C671" s="51" t="str">
        <f>IFERROR(VLOOKUP(A671,Internal_lists_bugs!$A$2:$G2003,7,FALSE()),"please select a BUG ID")</f>
        <v>please select a BUG ID</v>
      </c>
      <c r="D671" s="43"/>
      <c r="E671" s="63"/>
      <c r="F671" s="43"/>
      <c r="G671" s="63"/>
      <c r="H671" s="43"/>
      <c r="I671" s="63"/>
      <c r="J671" s="43"/>
      <c r="K671" s="50"/>
      <c r="L671" s="43"/>
      <c r="M671" s="50"/>
      <c r="N671" s="43"/>
      <c r="O671" s="50"/>
      <c r="P671" s="43"/>
      <c r="Q671" s="50"/>
      <c r="R671" s="43"/>
      <c r="S671" s="50"/>
      <c r="T671" s="43"/>
      <c r="U671" s="50"/>
      <c r="V671" s="43"/>
      <c r="W671" s="50"/>
      <c r="X671" s="43"/>
      <c r="Y671" s="50"/>
      <c r="Z671" s="43"/>
      <c r="AA671" s="50"/>
      <c r="AB671" s="43"/>
      <c r="AC671" s="50"/>
      <c r="AD671" s="43"/>
      <c r="AE671" s="50"/>
      <c r="AF671" s="43"/>
      <c r="AG671" s="50"/>
      <c r="AH671" s="43"/>
      <c r="AI671" s="50"/>
      <c r="AJ671" s="43"/>
      <c r="AK671" s="50"/>
      <c r="AL671" s="43"/>
      <c r="AM671" s="50"/>
      <c r="AO671" s="43"/>
      <c r="AP671" s="46"/>
      <c r="AQ671" s="43"/>
      <c r="AR671" s="119"/>
      <c r="AS671" s="1"/>
      <c r="AT671" s="1"/>
    </row>
    <row r="672">
      <c r="A672" s="43"/>
      <c r="B672" s="59" t="str">
        <f>IFERROR(HYPERLINK(VLOOKUP(A672,Internal_lists_bugs!$A$2:$C$73,3,FALSE()), VLOOKUP(A672,Internal_lists_bugs!$A$2:$C$73,3,FALSE())&amp;Char(10) &amp; Char(10) &amp; VLOOKUP(A672,Internal_lists_bugs!$A$2:$Z$73,26,FALSE())),"please select a BUG ID")</f>
        <v>please select a BUG ID</v>
      </c>
      <c r="C672" s="51" t="str">
        <f>IFERROR(VLOOKUP(A672,Internal_lists_bugs!$A$2:$G2003,7,FALSE()),"please select a BUG ID")</f>
        <v>please select a BUG ID</v>
      </c>
      <c r="D672" s="43"/>
      <c r="E672" s="63"/>
      <c r="F672" s="43"/>
      <c r="G672" s="63"/>
      <c r="H672" s="43"/>
      <c r="I672" s="63"/>
      <c r="J672" s="43"/>
      <c r="K672" s="50"/>
      <c r="L672" s="43"/>
      <c r="M672" s="50"/>
      <c r="N672" s="43"/>
      <c r="O672" s="50"/>
      <c r="P672" s="43"/>
      <c r="Q672" s="50"/>
      <c r="R672" s="43"/>
      <c r="S672" s="50"/>
      <c r="T672" s="43"/>
      <c r="U672" s="50"/>
      <c r="V672" s="43"/>
      <c r="W672" s="50"/>
      <c r="X672" s="43"/>
      <c r="Y672" s="50"/>
      <c r="Z672" s="43"/>
      <c r="AA672" s="50"/>
      <c r="AB672" s="43"/>
      <c r="AC672" s="50"/>
      <c r="AD672" s="43"/>
      <c r="AE672" s="50"/>
      <c r="AF672" s="43"/>
      <c r="AG672" s="50"/>
      <c r="AH672" s="43"/>
      <c r="AI672" s="50"/>
      <c r="AJ672" s="43"/>
      <c r="AK672" s="50"/>
      <c r="AL672" s="43"/>
      <c r="AM672" s="50"/>
      <c r="AO672" s="43"/>
      <c r="AP672" s="46"/>
      <c r="AQ672" s="43"/>
      <c r="AR672" s="119"/>
      <c r="AS672" s="1"/>
      <c r="AT672" s="1"/>
    </row>
    <row r="673">
      <c r="A673" s="43"/>
      <c r="B673" s="59" t="str">
        <f>IFERROR(HYPERLINK(VLOOKUP(A673,Internal_lists_bugs!$A$2:$C$73,3,FALSE()), VLOOKUP(A673,Internal_lists_bugs!$A$2:$C$73,3,FALSE())&amp;Char(10) &amp; Char(10) &amp; VLOOKUP(A673,Internal_lists_bugs!$A$2:$Z$73,26,FALSE())),"please select a BUG ID")</f>
        <v>please select a BUG ID</v>
      </c>
      <c r="C673" s="51" t="str">
        <f>IFERROR(VLOOKUP(A673,Internal_lists_bugs!$A$2:$G2003,7,FALSE()),"please select a BUG ID")</f>
        <v>please select a BUG ID</v>
      </c>
      <c r="D673" s="43"/>
      <c r="E673" s="63"/>
      <c r="F673" s="43"/>
      <c r="G673" s="63"/>
      <c r="H673" s="43"/>
      <c r="I673" s="63"/>
      <c r="J673" s="43"/>
      <c r="K673" s="50"/>
      <c r="L673" s="43"/>
      <c r="M673" s="50"/>
      <c r="N673" s="43"/>
      <c r="O673" s="50"/>
      <c r="P673" s="43"/>
      <c r="Q673" s="50"/>
      <c r="R673" s="43"/>
      <c r="S673" s="50"/>
      <c r="T673" s="43"/>
      <c r="U673" s="50"/>
      <c r="V673" s="43"/>
      <c r="W673" s="50"/>
      <c r="X673" s="43"/>
      <c r="Y673" s="50"/>
      <c r="Z673" s="43"/>
      <c r="AA673" s="50"/>
      <c r="AB673" s="43"/>
      <c r="AC673" s="50"/>
      <c r="AD673" s="43"/>
      <c r="AE673" s="50"/>
      <c r="AF673" s="43"/>
      <c r="AG673" s="50"/>
      <c r="AH673" s="43"/>
      <c r="AI673" s="50"/>
      <c r="AJ673" s="43"/>
      <c r="AK673" s="50"/>
      <c r="AL673" s="43"/>
      <c r="AM673" s="50"/>
      <c r="AO673" s="43"/>
      <c r="AP673" s="46"/>
      <c r="AQ673" s="43"/>
      <c r="AR673" s="119"/>
      <c r="AS673" s="1"/>
      <c r="AT673" s="1"/>
    </row>
    <row r="674">
      <c r="A674" s="43"/>
      <c r="B674" s="59" t="str">
        <f>IFERROR(HYPERLINK(VLOOKUP(A674,Internal_lists_bugs!$A$2:$C$73,3,FALSE()), VLOOKUP(A674,Internal_lists_bugs!$A$2:$C$73,3,FALSE())&amp;Char(10) &amp; Char(10) &amp; VLOOKUP(A674,Internal_lists_bugs!$A$2:$Z$73,26,FALSE())),"please select a BUG ID")</f>
        <v>please select a BUG ID</v>
      </c>
      <c r="C674" s="51" t="str">
        <f>IFERROR(VLOOKUP(A674,Internal_lists_bugs!$A$2:$G2003,7,FALSE()),"please select a BUG ID")</f>
        <v>please select a BUG ID</v>
      </c>
      <c r="D674" s="43"/>
      <c r="E674" s="63"/>
      <c r="F674" s="43"/>
      <c r="G674" s="63"/>
      <c r="H674" s="43"/>
      <c r="I674" s="63"/>
      <c r="J674" s="43"/>
      <c r="K674" s="50"/>
      <c r="L674" s="43"/>
      <c r="M674" s="50"/>
      <c r="N674" s="43"/>
      <c r="O674" s="50"/>
      <c r="P674" s="43"/>
      <c r="Q674" s="50"/>
      <c r="R674" s="43"/>
      <c r="S674" s="50"/>
      <c r="T674" s="43"/>
      <c r="U674" s="50"/>
      <c r="V674" s="43"/>
      <c r="W674" s="50"/>
      <c r="X674" s="43"/>
      <c r="Y674" s="50"/>
      <c r="Z674" s="43"/>
      <c r="AA674" s="50"/>
      <c r="AB674" s="43"/>
      <c r="AC674" s="50"/>
      <c r="AD674" s="43"/>
      <c r="AE674" s="50"/>
      <c r="AF674" s="43"/>
      <c r="AG674" s="50"/>
      <c r="AH674" s="43"/>
      <c r="AI674" s="50"/>
      <c r="AJ674" s="43"/>
      <c r="AK674" s="50"/>
      <c r="AL674" s="43"/>
      <c r="AM674" s="50"/>
      <c r="AO674" s="43"/>
      <c r="AP674" s="46"/>
      <c r="AQ674" s="43"/>
      <c r="AR674" s="119"/>
      <c r="AS674" s="1"/>
      <c r="AT674" s="1"/>
    </row>
    <row r="675">
      <c r="A675" s="43"/>
      <c r="B675" s="59" t="str">
        <f>IFERROR(HYPERLINK(VLOOKUP(A675,Internal_lists_bugs!$A$2:$C$73,3,FALSE()), VLOOKUP(A675,Internal_lists_bugs!$A$2:$C$73,3,FALSE())&amp;Char(10) &amp; Char(10) &amp; VLOOKUP(A675,Internal_lists_bugs!$A$2:$Z$73,26,FALSE())),"please select a BUG ID")</f>
        <v>please select a BUG ID</v>
      </c>
      <c r="C675" s="51" t="str">
        <f>IFERROR(VLOOKUP(A675,Internal_lists_bugs!$A$2:$G2003,7,FALSE()),"please select a BUG ID")</f>
        <v>please select a BUG ID</v>
      </c>
      <c r="D675" s="43"/>
      <c r="E675" s="63"/>
      <c r="F675" s="43"/>
      <c r="G675" s="63"/>
      <c r="H675" s="43"/>
      <c r="I675" s="63"/>
      <c r="J675" s="43"/>
      <c r="K675" s="50"/>
      <c r="L675" s="43"/>
      <c r="M675" s="50"/>
      <c r="N675" s="43"/>
      <c r="O675" s="50"/>
      <c r="P675" s="43"/>
      <c r="Q675" s="50"/>
      <c r="R675" s="43"/>
      <c r="S675" s="50"/>
      <c r="T675" s="43"/>
      <c r="U675" s="50"/>
      <c r="V675" s="43"/>
      <c r="W675" s="50"/>
      <c r="X675" s="43"/>
      <c r="Y675" s="50"/>
      <c r="Z675" s="43"/>
      <c r="AA675" s="50"/>
      <c r="AB675" s="43"/>
      <c r="AC675" s="50"/>
      <c r="AD675" s="43"/>
      <c r="AE675" s="50"/>
      <c r="AF675" s="43"/>
      <c r="AG675" s="50"/>
      <c r="AH675" s="43"/>
      <c r="AI675" s="50"/>
      <c r="AJ675" s="43"/>
      <c r="AK675" s="50"/>
      <c r="AL675" s="43"/>
      <c r="AM675" s="50"/>
      <c r="AO675" s="43"/>
      <c r="AP675" s="46"/>
      <c r="AQ675" s="43"/>
      <c r="AR675" s="119"/>
      <c r="AS675" s="1"/>
      <c r="AT675" s="1"/>
    </row>
    <row r="676">
      <c r="A676" s="43"/>
      <c r="B676" s="59" t="str">
        <f>IFERROR(HYPERLINK(VLOOKUP(A676,Internal_lists_bugs!$A$2:$C$73,3,FALSE()), VLOOKUP(A676,Internal_lists_bugs!$A$2:$C$73,3,FALSE())&amp;Char(10) &amp; Char(10) &amp; VLOOKUP(A676,Internal_lists_bugs!$A$2:$Z$73,26,FALSE())),"please select a BUG ID")</f>
        <v>please select a BUG ID</v>
      </c>
      <c r="C676" s="51" t="str">
        <f>IFERROR(VLOOKUP(A676,Internal_lists_bugs!$A$2:$G2003,7,FALSE()),"please select a BUG ID")</f>
        <v>please select a BUG ID</v>
      </c>
      <c r="D676" s="43"/>
      <c r="E676" s="63"/>
      <c r="F676" s="43"/>
      <c r="G676" s="63"/>
      <c r="H676" s="43"/>
      <c r="I676" s="63"/>
      <c r="J676" s="43"/>
      <c r="K676" s="50"/>
      <c r="L676" s="43"/>
      <c r="M676" s="50"/>
      <c r="N676" s="43"/>
      <c r="O676" s="50"/>
      <c r="P676" s="43"/>
      <c r="Q676" s="50"/>
      <c r="R676" s="43"/>
      <c r="S676" s="50"/>
      <c r="T676" s="43"/>
      <c r="U676" s="50"/>
      <c r="V676" s="43"/>
      <c r="W676" s="50"/>
      <c r="X676" s="43"/>
      <c r="Y676" s="50"/>
      <c r="Z676" s="43"/>
      <c r="AA676" s="50"/>
      <c r="AB676" s="43"/>
      <c r="AC676" s="50"/>
      <c r="AD676" s="43"/>
      <c r="AE676" s="50"/>
      <c r="AF676" s="43"/>
      <c r="AG676" s="50"/>
      <c r="AH676" s="43"/>
      <c r="AI676" s="50"/>
      <c r="AJ676" s="43"/>
      <c r="AK676" s="50"/>
      <c r="AL676" s="43"/>
      <c r="AM676" s="50"/>
      <c r="AO676" s="43"/>
      <c r="AP676" s="46"/>
      <c r="AQ676" s="43"/>
      <c r="AR676" s="119"/>
      <c r="AS676" s="1"/>
      <c r="AT676" s="1"/>
    </row>
    <row r="677">
      <c r="A677" s="43"/>
      <c r="B677" s="59" t="str">
        <f>IFERROR(HYPERLINK(VLOOKUP(A677,Internal_lists_bugs!$A$2:$C$73,3,FALSE()), VLOOKUP(A677,Internal_lists_bugs!$A$2:$C$73,3,FALSE())&amp;Char(10) &amp; Char(10) &amp; VLOOKUP(A677,Internal_lists_bugs!$A$2:$Z$73,26,FALSE())),"please select a BUG ID")</f>
        <v>please select a BUG ID</v>
      </c>
      <c r="C677" s="51" t="str">
        <f>IFERROR(VLOOKUP(A677,Internal_lists_bugs!$A$2:$G2003,7,FALSE()),"please select a BUG ID")</f>
        <v>please select a BUG ID</v>
      </c>
      <c r="D677" s="43"/>
      <c r="E677" s="63"/>
      <c r="F677" s="43"/>
      <c r="G677" s="63"/>
      <c r="H677" s="43"/>
      <c r="I677" s="63"/>
      <c r="J677" s="43"/>
      <c r="K677" s="50"/>
      <c r="L677" s="43"/>
      <c r="M677" s="50"/>
      <c r="N677" s="43"/>
      <c r="O677" s="50"/>
      <c r="P677" s="43"/>
      <c r="Q677" s="50"/>
      <c r="R677" s="43"/>
      <c r="S677" s="50"/>
      <c r="T677" s="43"/>
      <c r="U677" s="50"/>
      <c r="V677" s="43"/>
      <c r="W677" s="50"/>
      <c r="X677" s="43"/>
      <c r="Y677" s="50"/>
      <c r="Z677" s="43"/>
      <c r="AA677" s="50"/>
      <c r="AB677" s="43"/>
      <c r="AC677" s="50"/>
      <c r="AD677" s="43"/>
      <c r="AE677" s="50"/>
      <c r="AF677" s="43"/>
      <c r="AG677" s="50"/>
      <c r="AH677" s="43"/>
      <c r="AI677" s="50"/>
      <c r="AJ677" s="43"/>
      <c r="AK677" s="50"/>
      <c r="AL677" s="43"/>
      <c r="AM677" s="50"/>
      <c r="AO677" s="43"/>
      <c r="AP677" s="46"/>
      <c r="AQ677" s="43"/>
      <c r="AR677" s="119"/>
      <c r="AS677" s="1"/>
      <c r="AT677" s="1"/>
    </row>
    <row r="678">
      <c r="A678" s="43"/>
      <c r="B678" s="59" t="str">
        <f>IFERROR(HYPERLINK(VLOOKUP(A678,Internal_lists_bugs!$A$2:$C$73,3,FALSE()), VLOOKUP(A678,Internal_lists_bugs!$A$2:$C$73,3,FALSE())&amp;Char(10) &amp; Char(10) &amp; VLOOKUP(A678,Internal_lists_bugs!$A$2:$Z$73,26,FALSE())),"please select a BUG ID")</f>
        <v>please select a BUG ID</v>
      </c>
      <c r="C678" s="51" t="str">
        <f>IFERROR(VLOOKUP(A678,Internal_lists_bugs!$A$2:$G2003,7,FALSE()),"please select a BUG ID")</f>
        <v>please select a BUG ID</v>
      </c>
      <c r="D678" s="43"/>
      <c r="E678" s="63"/>
      <c r="F678" s="43"/>
      <c r="G678" s="63"/>
      <c r="H678" s="43"/>
      <c r="I678" s="63"/>
      <c r="J678" s="43"/>
      <c r="K678" s="50"/>
      <c r="L678" s="43"/>
      <c r="M678" s="50"/>
      <c r="N678" s="43"/>
      <c r="O678" s="50"/>
      <c r="P678" s="43"/>
      <c r="Q678" s="50"/>
      <c r="R678" s="43"/>
      <c r="S678" s="50"/>
      <c r="T678" s="43"/>
      <c r="U678" s="50"/>
      <c r="V678" s="43"/>
      <c r="W678" s="50"/>
      <c r="X678" s="43"/>
      <c r="Y678" s="50"/>
      <c r="Z678" s="43"/>
      <c r="AA678" s="50"/>
      <c r="AB678" s="43"/>
      <c r="AC678" s="50"/>
      <c r="AD678" s="43"/>
      <c r="AE678" s="50"/>
      <c r="AF678" s="43"/>
      <c r="AG678" s="50"/>
      <c r="AH678" s="43"/>
      <c r="AI678" s="50"/>
      <c r="AJ678" s="43"/>
      <c r="AK678" s="50"/>
      <c r="AL678" s="43"/>
      <c r="AM678" s="50"/>
      <c r="AO678" s="43"/>
      <c r="AP678" s="46"/>
      <c r="AQ678" s="43"/>
      <c r="AR678" s="119"/>
      <c r="AS678" s="1"/>
      <c r="AT678" s="1"/>
    </row>
    <row r="679">
      <c r="A679" s="43"/>
      <c r="B679" s="59" t="str">
        <f>IFERROR(HYPERLINK(VLOOKUP(A679,Internal_lists_bugs!$A$2:$C$73,3,FALSE()), VLOOKUP(A679,Internal_lists_bugs!$A$2:$C$73,3,FALSE())&amp;Char(10) &amp; Char(10) &amp; VLOOKUP(A679,Internal_lists_bugs!$A$2:$Z$73,26,FALSE())),"please select a BUG ID")</f>
        <v>please select a BUG ID</v>
      </c>
      <c r="C679" s="51" t="str">
        <f>IFERROR(VLOOKUP(A679,Internal_lists_bugs!$A$2:$G2003,7,FALSE()),"please select a BUG ID")</f>
        <v>please select a BUG ID</v>
      </c>
      <c r="D679" s="43"/>
      <c r="E679" s="63"/>
      <c r="F679" s="43"/>
      <c r="G679" s="63"/>
      <c r="H679" s="43"/>
      <c r="I679" s="63"/>
      <c r="J679" s="43"/>
      <c r="K679" s="50"/>
      <c r="L679" s="43"/>
      <c r="M679" s="50"/>
      <c r="N679" s="43"/>
      <c r="O679" s="50"/>
      <c r="P679" s="43"/>
      <c r="Q679" s="50"/>
      <c r="R679" s="43"/>
      <c r="S679" s="50"/>
      <c r="T679" s="43"/>
      <c r="U679" s="50"/>
      <c r="V679" s="43"/>
      <c r="W679" s="50"/>
      <c r="X679" s="43"/>
      <c r="Y679" s="50"/>
      <c r="Z679" s="43"/>
      <c r="AA679" s="50"/>
      <c r="AB679" s="43"/>
      <c r="AC679" s="50"/>
      <c r="AD679" s="43"/>
      <c r="AE679" s="50"/>
      <c r="AF679" s="43"/>
      <c r="AG679" s="50"/>
      <c r="AH679" s="43"/>
      <c r="AI679" s="50"/>
      <c r="AJ679" s="43"/>
      <c r="AK679" s="50"/>
      <c r="AL679" s="43"/>
      <c r="AM679" s="50"/>
      <c r="AO679" s="43"/>
      <c r="AP679" s="46"/>
      <c r="AQ679" s="43"/>
      <c r="AR679" s="119"/>
      <c r="AS679" s="1"/>
      <c r="AT679" s="1"/>
    </row>
    <row r="680">
      <c r="A680" s="43"/>
      <c r="B680" s="59" t="str">
        <f>IFERROR(HYPERLINK(VLOOKUP(A680,Internal_lists_bugs!$A$2:$C$73,3,FALSE()), VLOOKUP(A680,Internal_lists_bugs!$A$2:$C$73,3,FALSE())&amp;Char(10) &amp; Char(10) &amp; VLOOKUP(A680,Internal_lists_bugs!$A$2:$Z$73,26,FALSE())),"please select a BUG ID")</f>
        <v>please select a BUG ID</v>
      </c>
      <c r="C680" s="51" t="str">
        <f>IFERROR(VLOOKUP(A680,Internal_lists_bugs!$A$2:$G2003,7,FALSE()),"please select a BUG ID")</f>
        <v>please select a BUG ID</v>
      </c>
      <c r="D680" s="43"/>
      <c r="E680" s="63"/>
      <c r="F680" s="43"/>
      <c r="G680" s="63"/>
      <c r="H680" s="43"/>
      <c r="I680" s="63"/>
      <c r="J680" s="43"/>
      <c r="K680" s="50"/>
      <c r="L680" s="43"/>
      <c r="M680" s="50"/>
      <c r="N680" s="43"/>
      <c r="O680" s="50"/>
      <c r="P680" s="43"/>
      <c r="Q680" s="50"/>
      <c r="R680" s="43"/>
      <c r="S680" s="50"/>
      <c r="T680" s="43"/>
      <c r="U680" s="50"/>
      <c r="V680" s="43"/>
      <c r="W680" s="50"/>
      <c r="X680" s="43"/>
      <c r="Y680" s="50"/>
      <c r="Z680" s="43"/>
      <c r="AA680" s="50"/>
      <c r="AB680" s="43"/>
      <c r="AC680" s="50"/>
      <c r="AD680" s="43"/>
      <c r="AE680" s="50"/>
      <c r="AF680" s="43"/>
      <c r="AG680" s="50"/>
      <c r="AH680" s="43"/>
      <c r="AI680" s="50"/>
      <c r="AJ680" s="43"/>
      <c r="AK680" s="50"/>
      <c r="AL680" s="43"/>
      <c r="AM680" s="50"/>
      <c r="AO680" s="43"/>
      <c r="AP680" s="46"/>
      <c r="AQ680" s="43"/>
      <c r="AR680" s="119"/>
      <c r="AS680" s="1"/>
      <c r="AT680" s="1"/>
    </row>
    <row r="681">
      <c r="A681" s="43"/>
      <c r="B681" s="59" t="str">
        <f>IFERROR(HYPERLINK(VLOOKUP(A681,Internal_lists_bugs!$A$2:$C$73,3,FALSE()), VLOOKUP(A681,Internal_lists_bugs!$A$2:$C$73,3,FALSE())&amp;Char(10) &amp; Char(10) &amp; VLOOKUP(A681,Internal_lists_bugs!$A$2:$Z$73,26,FALSE())),"please select a BUG ID")</f>
        <v>please select a BUG ID</v>
      </c>
      <c r="C681" s="51" t="str">
        <f>IFERROR(VLOOKUP(A681,Internal_lists_bugs!$A$2:$G2003,7,FALSE()),"please select a BUG ID")</f>
        <v>please select a BUG ID</v>
      </c>
      <c r="D681" s="43"/>
      <c r="E681" s="63"/>
      <c r="F681" s="43"/>
      <c r="G681" s="63"/>
      <c r="H681" s="43"/>
      <c r="I681" s="63"/>
      <c r="J681" s="43"/>
      <c r="K681" s="50"/>
      <c r="L681" s="43"/>
      <c r="M681" s="50"/>
      <c r="N681" s="43"/>
      <c r="O681" s="50"/>
      <c r="P681" s="43"/>
      <c r="Q681" s="50"/>
      <c r="R681" s="43"/>
      <c r="S681" s="50"/>
      <c r="T681" s="43"/>
      <c r="U681" s="50"/>
      <c r="V681" s="43"/>
      <c r="W681" s="50"/>
      <c r="X681" s="43"/>
      <c r="Y681" s="50"/>
      <c r="Z681" s="43"/>
      <c r="AA681" s="50"/>
      <c r="AB681" s="43"/>
      <c r="AC681" s="50"/>
      <c r="AD681" s="43"/>
      <c r="AE681" s="50"/>
      <c r="AF681" s="43"/>
      <c r="AG681" s="50"/>
      <c r="AH681" s="43"/>
      <c r="AI681" s="50"/>
      <c r="AJ681" s="43"/>
      <c r="AK681" s="50"/>
      <c r="AL681" s="43"/>
      <c r="AM681" s="50"/>
      <c r="AO681" s="43"/>
      <c r="AP681" s="46"/>
      <c r="AQ681" s="43"/>
      <c r="AR681" s="119"/>
      <c r="AS681" s="1"/>
      <c r="AT681" s="1"/>
    </row>
    <row r="682">
      <c r="A682" s="43"/>
      <c r="B682" s="59" t="str">
        <f>IFERROR(HYPERLINK(VLOOKUP(A682,Internal_lists_bugs!$A$2:$C$73,3,FALSE()), VLOOKUP(A682,Internal_lists_bugs!$A$2:$C$73,3,FALSE())&amp;Char(10) &amp; Char(10) &amp; VLOOKUP(A682,Internal_lists_bugs!$A$2:$Z$73,26,FALSE())),"please select a BUG ID")</f>
        <v>please select a BUG ID</v>
      </c>
      <c r="C682" s="51" t="str">
        <f>IFERROR(VLOOKUP(A682,Internal_lists_bugs!$A$2:$G2003,7,FALSE()),"please select a BUG ID")</f>
        <v>please select a BUG ID</v>
      </c>
      <c r="D682" s="43"/>
      <c r="E682" s="63"/>
      <c r="F682" s="43"/>
      <c r="G682" s="63"/>
      <c r="H682" s="43"/>
      <c r="I682" s="63"/>
      <c r="J682" s="43"/>
      <c r="K682" s="50"/>
      <c r="L682" s="43"/>
      <c r="M682" s="50"/>
      <c r="N682" s="43"/>
      <c r="O682" s="50"/>
      <c r="P682" s="43"/>
      <c r="Q682" s="50"/>
      <c r="R682" s="43"/>
      <c r="S682" s="50"/>
      <c r="T682" s="43"/>
      <c r="U682" s="50"/>
      <c r="V682" s="43"/>
      <c r="W682" s="50"/>
      <c r="X682" s="43"/>
      <c r="Y682" s="50"/>
      <c r="Z682" s="43"/>
      <c r="AA682" s="50"/>
      <c r="AB682" s="43"/>
      <c r="AC682" s="50"/>
      <c r="AD682" s="43"/>
      <c r="AE682" s="50"/>
      <c r="AF682" s="43"/>
      <c r="AG682" s="50"/>
      <c r="AH682" s="43"/>
      <c r="AI682" s="50"/>
      <c r="AJ682" s="43"/>
      <c r="AK682" s="50"/>
      <c r="AL682" s="43"/>
      <c r="AM682" s="50"/>
      <c r="AO682" s="43"/>
      <c r="AP682" s="46"/>
      <c r="AQ682" s="43"/>
      <c r="AR682" s="119"/>
      <c r="AS682" s="1"/>
      <c r="AT682" s="1"/>
    </row>
    <row r="683">
      <c r="A683" s="43"/>
      <c r="B683" s="59" t="str">
        <f>IFERROR(HYPERLINK(VLOOKUP(A683,Internal_lists_bugs!$A$2:$C$73,3,FALSE()), VLOOKUP(A683,Internal_lists_bugs!$A$2:$C$73,3,FALSE())&amp;Char(10) &amp; Char(10) &amp; VLOOKUP(A683,Internal_lists_bugs!$A$2:$Z$73,26,FALSE())),"please select a BUG ID")</f>
        <v>please select a BUG ID</v>
      </c>
      <c r="C683" s="51" t="str">
        <f>IFERROR(VLOOKUP(A683,Internal_lists_bugs!$A$2:$G2003,7,FALSE()),"please select a BUG ID")</f>
        <v>please select a BUG ID</v>
      </c>
      <c r="D683" s="43"/>
      <c r="E683" s="63"/>
      <c r="F683" s="43"/>
      <c r="G683" s="63"/>
      <c r="H683" s="43"/>
      <c r="I683" s="63"/>
      <c r="J683" s="43"/>
      <c r="K683" s="50"/>
      <c r="L683" s="43"/>
      <c r="M683" s="50"/>
      <c r="N683" s="43"/>
      <c r="O683" s="50"/>
      <c r="P683" s="43"/>
      <c r="Q683" s="50"/>
      <c r="R683" s="43"/>
      <c r="S683" s="50"/>
      <c r="T683" s="43"/>
      <c r="U683" s="50"/>
      <c r="V683" s="43"/>
      <c r="W683" s="50"/>
      <c r="X683" s="43"/>
      <c r="Y683" s="50"/>
      <c r="Z683" s="43"/>
      <c r="AA683" s="50"/>
      <c r="AB683" s="43"/>
      <c r="AC683" s="50"/>
      <c r="AD683" s="43"/>
      <c r="AE683" s="50"/>
      <c r="AF683" s="43"/>
      <c r="AG683" s="50"/>
      <c r="AH683" s="43"/>
      <c r="AI683" s="50"/>
      <c r="AJ683" s="43"/>
      <c r="AK683" s="50"/>
      <c r="AL683" s="43"/>
      <c r="AM683" s="50"/>
      <c r="AO683" s="43"/>
      <c r="AP683" s="46"/>
      <c r="AQ683" s="43"/>
      <c r="AR683" s="119"/>
      <c r="AS683" s="1"/>
      <c r="AT683" s="1"/>
    </row>
    <row r="684">
      <c r="A684" s="43"/>
      <c r="B684" s="59" t="str">
        <f>IFERROR(HYPERLINK(VLOOKUP(A684,Internal_lists_bugs!$A$2:$C$73,3,FALSE()), VLOOKUP(A684,Internal_lists_bugs!$A$2:$C$73,3,FALSE())&amp;Char(10) &amp; Char(10) &amp; VLOOKUP(A684,Internal_lists_bugs!$A$2:$Z$73,26,FALSE())),"please select a BUG ID")</f>
        <v>please select a BUG ID</v>
      </c>
      <c r="C684" s="51" t="str">
        <f>IFERROR(VLOOKUP(A684,Internal_lists_bugs!$A$2:$G2003,7,FALSE()),"please select a BUG ID")</f>
        <v>please select a BUG ID</v>
      </c>
      <c r="D684" s="43"/>
      <c r="E684" s="63"/>
      <c r="F684" s="43"/>
      <c r="G684" s="63"/>
      <c r="H684" s="43"/>
      <c r="I684" s="63"/>
      <c r="J684" s="43"/>
      <c r="K684" s="50"/>
      <c r="L684" s="43"/>
      <c r="M684" s="50"/>
      <c r="N684" s="43"/>
      <c r="O684" s="50"/>
      <c r="P684" s="43"/>
      <c r="Q684" s="50"/>
      <c r="R684" s="43"/>
      <c r="S684" s="50"/>
      <c r="T684" s="43"/>
      <c r="U684" s="50"/>
      <c r="V684" s="43"/>
      <c r="W684" s="50"/>
      <c r="X684" s="43"/>
      <c r="Y684" s="50"/>
      <c r="Z684" s="43"/>
      <c r="AA684" s="50"/>
      <c r="AB684" s="43"/>
      <c r="AC684" s="50"/>
      <c r="AD684" s="43"/>
      <c r="AE684" s="50"/>
      <c r="AF684" s="43"/>
      <c r="AG684" s="50"/>
      <c r="AH684" s="43"/>
      <c r="AI684" s="50"/>
      <c r="AJ684" s="43"/>
      <c r="AK684" s="50"/>
      <c r="AL684" s="43"/>
      <c r="AM684" s="50"/>
      <c r="AO684" s="43"/>
      <c r="AP684" s="46"/>
      <c r="AQ684" s="43"/>
      <c r="AR684" s="119"/>
      <c r="AS684" s="1"/>
      <c r="AT684" s="1"/>
    </row>
    <row r="685">
      <c r="A685" s="43"/>
      <c r="B685" s="59" t="str">
        <f>IFERROR(HYPERLINK(VLOOKUP(A685,Internal_lists_bugs!$A$2:$C$73,3,FALSE()), VLOOKUP(A685,Internal_lists_bugs!$A$2:$C$73,3,FALSE())&amp;Char(10) &amp; Char(10) &amp; VLOOKUP(A685,Internal_lists_bugs!$A$2:$Z$73,26,FALSE())),"please select a BUG ID")</f>
        <v>please select a BUG ID</v>
      </c>
      <c r="C685" s="51" t="str">
        <f>IFERROR(VLOOKUP(A685,Internal_lists_bugs!$A$2:$G2003,7,FALSE()),"please select a BUG ID")</f>
        <v>please select a BUG ID</v>
      </c>
      <c r="D685" s="43"/>
      <c r="E685" s="63"/>
      <c r="F685" s="43"/>
      <c r="G685" s="63"/>
      <c r="H685" s="43"/>
      <c r="I685" s="63"/>
      <c r="J685" s="43"/>
      <c r="K685" s="50"/>
      <c r="L685" s="43"/>
      <c r="M685" s="50"/>
      <c r="N685" s="43"/>
      <c r="O685" s="50"/>
      <c r="P685" s="43"/>
      <c r="Q685" s="50"/>
      <c r="R685" s="43"/>
      <c r="S685" s="50"/>
      <c r="T685" s="43"/>
      <c r="U685" s="50"/>
      <c r="V685" s="43"/>
      <c r="W685" s="50"/>
      <c r="X685" s="43"/>
      <c r="Y685" s="50"/>
      <c r="Z685" s="43"/>
      <c r="AA685" s="50"/>
      <c r="AB685" s="43"/>
      <c r="AC685" s="50"/>
      <c r="AD685" s="43"/>
      <c r="AE685" s="50"/>
      <c r="AF685" s="43"/>
      <c r="AG685" s="50"/>
      <c r="AH685" s="43"/>
      <c r="AI685" s="50"/>
      <c r="AJ685" s="43"/>
      <c r="AK685" s="50"/>
      <c r="AL685" s="43"/>
      <c r="AM685" s="50"/>
      <c r="AO685" s="43"/>
      <c r="AP685" s="46"/>
      <c r="AQ685" s="43"/>
      <c r="AR685" s="119"/>
      <c r="AS685" s="1"/>
      <c r="AT685" s="1"/>
    </row>
    <row r="686">
      <c r="A686" s="43"/>
      <c r="B686" s="59" t="str">
        <f>IFERROR(HYPERLINK(VLOOKUP(A686,Internal_lists_bugs!$A$2:$C$73,3,FALSE()), VLOOKUP(A686,Internal_lists_bugs!$A$2:$C$73,3,FALSE())&amp;Char(10) &amp; Char(10) &amp; VLOOKUP(A686,Internal_lists_bugs!$A$2:$Z$73,26,FALSE())),"please select a BUG ID")</f>
        <v>please select a BUG ID</v>
      </c>
      <c r="C686" s="51" t="str">
        <f>IFERROR(VLOOKUP(A686,Internal_lists_bugs!$A$2:$G2003,7,FALSE()),"please select a BUG ID")</f>
        <v>please select a BUG ID</v>
      </c>
      <c r="D686" s="43"/>
      <c r="E686" s="63"/>
      <c r="F686" s="43"/>
      <c r="G686" s="63"/>
      <c r="H686" s="43"/>
      <c r="I686" s="63"/>
      <c r="J686" s="43"/>
      <c r="K686" s="50"/>
      <c r="L686" s="43"/>
      <c r="M686" s="50"/>
      <c r="N686" s="43"/>
      <c r="O686" s="50"/>
      <c r="P686" s="43"/>
      <c r="Q686" s="50"/>
      <c r="R686" s="43"/>
      <c r="S686" s="50"/>
      <c r="T686" s="43"/>
      <c r="U686" s="50"/>
      <c r="V686" s="43"/>
      <c r="W686" s="50"/>
      <c r="X686" s="43"/>
      <c r="Y686" s="50"/>
      <c r="Z686" s="43"/>
      <c r="AA686" s="50"/>
      <c r="AB686" s="43"/>
      <c r="AC686" s="50"/>
      <c r="AD686" s="43"/>
      <c r="AE686" s="50"/>
      <c r="AF686" s="43"/>
      <c r="AG686" s="50"/>
      <c r="AH686" s="43"/>
      <c r="AI686" s="50"/>
      <c r="AJ686" s="43"/>
      <c r="AK686" s="50"/>
      <c r="AL686" s="43"/>
      <c r="AM686" s="50"/>
      <c r="AO686" s="43"/>
      <c r="AP686" s="46"/>
      <c r="AQ686" s="43"/>
      <c r="AR686" s="119"/>
      <c r="AS686" s="1"/>
      <c r="AT686" s="1"/>
    </row>
    <row r="687">
      <c r="A687" s="43"/>
      <c r="B687" s="59" t="str">
        <f>IFERROR(HYPERLINK(VLOOKUP(A687,Internal_lists_bugs!$A$2:$C$73,3,FALSE()), VLOOKUP(A687,Internal_lists_bugs!$A$2:$C$73,3,FALSE())&amp;Char(10) &amp; Char(10) &amp; VLOOKUP(A687,Internal_lists_bugs!$A$2:$Z$73,26,FALSE())),"please select a BUG ID")</f>
        <v>please select a BUG ID</v>
      </c>
      <c r="C687" s="51" t="str">
        <f>IFERROR(VLOOKUP(A687,Internal_lists_bugs!$A$2:$G2003,7,FALSE()),"please select a BUG ID")</f>
        <v>please select a BUG ID</v>
      </c>
      <c r="D687" s="43"/>
      <c r="E687" s="63"/>
      <c r="F687" s="43"/>
      <c r="G687" s="63"/>
      <c r="H687" s="43"/>
      <c r="I687" s="63"/>
      <c r="J687" s="43"/>
      <c r="K687" s="50"/>
      <c r="L687" s="43"/>
      <c r="M687" s="50"/>
      <c r="N687" s="43"/>
      <c r="O687" s="50"/>
      <c r="P687" s="43"/>
      <c r="Q687" s="50"/>
      <c r="R687" s="43"/>
      <c r="S687" s="50"/>
      <c r="T687" s="43"/>
      <c r="U687" s="50"/>
      <c r="V687" s="43"/>
      <c r="W687" s="50"/>
      <c r="X687" s="43"/>
      <c r="Y687" s="50"/>
      <c r="Z687" s="43"/>
      <c r="AA687" s="50"/>
      <c r="AB687" s="43"/>
      <c r="AC687" s="50"/>
      <c r="AD687" s="43"/>
      <c r="AE687" s="50"/>
      <c r="AF687" s="43"/>
      <c r="AG687" s="50"/>
      <c r="AH687" s="43"/>
      <c r="AI687" s="50"/>
      <c r="AJ687" s="43"/>
      <c r="AK687" s="50"/>
      <c r="AL687" s="43"/>
      <c r="AM687" s="50"/>
      <c r="AO687" s="43"/>
      <c r="AP687" s="46"/>
      <c r="AQ687" s="43"/>
      <c r="AR687" s="119"/>
      <c r="AS687" s="1"/>
      <c r="AT687" s="1"/>
    </row>
    <row r="688">
      <c r="A688" s="43"/>
      <c r="B688" s="59" t="str">
        <f>IFERROR(HYPERLINK(VLOOKUP(A688,Internal_lists_bugs!$A$2:$C$73,3,FALSE()), VLOOKUP(A688,Internal_lists_bugs!$A$2:$C$73,3,FALSE())&amp;Char(10) &amp; Char(10) &amp; VLOOKUP(A688,Internal_lists_bugs!$A$2:$Z$73,26,FALSE())),"please select a BUG ID")</f>
        <v>please select a BUG ID</v>
      </c>
      <c r="C688" s="51" t="str">
        <f>IFERROR(VLOOKUP(A688,Internal_lists_bugs!$A$2:$G2003,7,FALSE()),"please select a BUG ID")</f>
        <v>please select a BUG ID</v>
      </c>
      <c r="D688" s="43"/>
      <c r="E688" s="63"/>
      <c r="F688" s="43"/>
      <c r="G688" s="63"/>
      <c r="H688" s="43"/>
      <c r="I688" s="63"/>
      <c r="J688" s="43"/>
      <c r="K688" s="50"/>
      <c r="L688" s="43"/>
      <c r="M688" s="50"/>
      <c r="N688" s="43"/>
      <c r="O688" s="50"/>
      <c r="P688" s="43"/>
      <c r="Q688" s="50"/>
      <c r="R688" s="43"/>
      <c r="S688" s="50"/>
      <c r="T688" s="43"/>
      <c r="U688" s="50"/>
      <c r="V688" s="43"/>
      <c r="W688" s="50"/>
      <c r="X688" s="43"/>
      <c r="Y688" s="50"/>
      <c r="Z688" s="43"/>
      <c r="AA688" s="50"/>
      <c r="AB688" s="43"/>
      <c r="AC688" s="50"/>
      <c r="AD688" s="43"/>
      <c r="AE688" s="50"/>
      <c r="AF688" s="43"/>
      <c r="AG688" s="50"/>
      <c r="AH688" s="43"/>
      <c r="AI688" s="50"/>
      <c r="AJ688" s="43"/>
      <c r="AK688" s="50"/>
      <c r="AL688" s="43"/>
      <c r="AM688" s="50"/>
      <c r="AO688" s="43"/>
      <c r="AP688" s="46"/>
      <c r="AQ688" s="43"/>
      <c r="AR688" s="119"/>
      <c r="AS688" s="1"/>
      <c r="AT688" s="1"/>
    </row>
    <row r="689">
      <c r="A689" s="43"/>
      <c r="B689" s="59" t="str">
        <f>IFERROR(HYPERLINK(VLOOKUP(A689,Internal_lists_bugs!$A$2:$C$73,3,FALSE()), VLOOKUP(A689,Internal_lists_bugs!$A$2:$C$73,3,FALSE())&amp;Char(10) &amp; Char(10) &amp; VLOOKUP(A689,Internal_lists_bugs!$A$2:$Z$73,26,FALSE())),"please select a BUG ID")</f>
        <v>please select a BUG ID</v>
      </c>
      <c r="C689" s="51" t="str">
        <f>IFERROR(VLOOKUP(A689,Internal_lists_bugs!$A$2:$G2003,7,FALSE()),"please select a BUG ID")</f>
        <v>please select a BUG ID</v>
      </c>
      <c r="D689" s="43"/>
      <c r="E689" s="63"/>
      <c r="F689" s="43"/>
      <c r="G689" s="63"/>
      <c r="H689" s="43"/>
      <c r="I689" s="63"/>
      <c r="J689" s="43"/>
      <c r="K689" s="50"/>
      <c r="L689" s="43"/>
      <c r="M689" s="50"/>
      <c r="N689" s="43"/>
      <c r="O689" s="50"/>
      <c r="P689" s="43"/>
      <c r="Q689" s="50"/>
      <c r="R689" s="43"/>
      <c r="S689" s="50"/>
      <c r="T689" s="43"/>
      <c r="U689" s="50"/>
      <c r="V689" s="43"/>
      <c r="W689" s="50"/>
      <c r="X689" s="43"/>
      <c r="Y689" s="50"/>
      <c r="Z689" s="43"/>
      <c r="AA689" s="50"/>
      <c r="AB689" s="43"/>
      <c r="AC689" s="50"/>
      <c r="AD689" s="43"/>
      <c r="AE689" s="50"/>
      <c r="AF689" s="43"/>
      <c r="AG689" s="50"/>
      <c r="AH689" s="43"/>
      <c r="AI689" s="50"/>
      <c r="AJ689" s="43"/>
      <c r="AK689" s="50"/>
      <c r="AL689" s="43"/>
      <c r="AM689" s="50"/>
      <c r="AO689" s="43"/>
      <c r="AP689" s="46"/>
      <c r="AQ689" s="43"/>
      <c r="AR689" s="119"/>
      <c r="AS689" s="1"/>
      <c r="AT689" s="1"/>
    </row>
    <row r="690">
      <c r="A690" s="43"/>
      <c r="B690" s="59" t="str">
        <f>IFERROR(HYPERLINK(VLOOKUP(A690,Internal_lists_bugs!$A$2:$C$73,3,FALSE()), VLOOKUP(A690,Internal_lists_bugs!$A$2:$C$73,3,FALSE())&amp;Char(10) &amp; Char(10) &amp; VLOOKUP(A690,Internal_lists_bugs!$A$2:$Z$73,26,FALSE())),"please select a BUG ID")</f>
        <v>please select a BUG ID</v>
      </c>
      <c r="C690" s="51" t="str">
        <f>IFERROR(VLOOKUP(A690,Internal_lists_bugs!$A$2:$G2003,7,FALSE()),"please select a BUG ID")</f>
        <v>please select a BUG ID</v>
      </c>
      <c r="D690" s="43"/>
      <c r="E690" s="63"/>
      <c r="F690" s="43"/>
      <c r="G690" s="63"/>
      <c r="H690" s="43"/>
      <c r="I690" s="63"/>
      <c r="J690" s="43"/>
      <c r="K690" s="50"/>
      <c r="L690" s="43"/>
      <c r="M690" s="50"/>
      <c r="N690" s="43"/>
      <c r="O690" s="50"/>
      <c r="P690" s="43"/>
      <c r="Q690" s="50"/>
      <c r="R690" s="43"/>
      <c r="S690" s="50"/>
      <c r="T690" s="43"/>
      <c r="U690" s="50"/>
      <c r="V690" s="43"/>
      <c r="W690" s="50"/>
      <c r="X690" s="43"/>
      <c r="Y690" s="50"/>
      <c r="Z690" s="43"/>
      <c r="AA690" s="50"/>
      <c r="AB690" s="43"/>
      <c r="AC690" s="50"/>
      <c r="AD690" s="43"/>
      <c r="AE690" s="50"/>
      <c r="AF690" s="43"/>
      <c r="AG690" s="50"/>
      <c r="AH690" s="43"/>
      <c r="AI690" s="50"/>
      <c r="AJ690" s="43"/>
      <c r="AK690" s="50"/>
      <c r="AL690" s="43"/>
      <c r="AM690" s="50"/>
      <c r="AO690" s="43"/>
      <c r="AP690" s="46"/>
      <c r="AQ690" s="43"/>
      <c r="AR690" s="119"/>
      <c r="AS690" s="1"/>
      <c r="AT690" s="1"/>
    </row>
    <row r="691">
      <c r="A691" s="43"/>
      <c r="B691" s="59" t="str">
        <f>IFERROR(HYPERLINK(VLOOKUP(A691,Internal_lists_bugs!$A$2:$C$73,3,FALSE()), VLOOKUP(A691,Internal_lists_bugs!$A$2:$C$73,3,FALSE())&amp;Char(10) &amp; Char(10) &amp; VLOOKUP(A691,Internal_lists_bugs!$A$2:$Z$73,26,FALSE())),"please select a BUG ID")</f>
        <v>please select a BUG ID</v>
      </c>
      <c r="C691" s="51" t="str">
        <f>IFERROR(VLOOKUP(A691,Internal_lists_bugs!$A$2:$G2003,7,FALSE()),"please select a BUG ID")</f>
        <v>please select a BUG ID</v>
      </c>
      <c r="D691" s="43"/>
      <c r="E691" s="63"/>
      <c r="F691" s="43"/>
      <c r="G691" s="63"/>
      <c r="H691" s="43"/>
      <c r="I691" s="63"/>
      <c r="J691" s="43"/>
      <c r="K691" s="50"/>
      <c r="L691" s="43"/>
      <c r="M691" s="50"/>
      <c r="N691" s="43"/>
      <c r="O691" s="50"/>
      <c r="P691" s="43"/>
      <c r="Q691" s="50"/>
      <c r="R691" s="43"/>
      <c r="S691" s="50"/>
      <c r="T691" s="43"/>
      <c r="U691" s="50"/>
      <c r="V691" s="43"/>
      <c r="W691" s="50"/>
      <c r="X691" s="43"/>
      <c r="Y691" s="50"/>
      <c r="Z691" s="43"/>
      <c r="AA691" s="50"/>
      <c r="AB691" s="43"/>
      <c r="AC691" s="50"/>
      <c r="AD691" s="43"/>
      <c r="AE691" s="50"/>
      <c r="AF691" s="43"/>
      <c r="AG691" s="50"/>
      <c r="AH691" s="43"/>
      <c r="AI691" s="50"/>
      <c r="AJ691" s="43"/>
      <c r="AK691" s="50"/>
      <c r="AL691" s="43"/>
      <c r="AM691" s="50"/>
      <c r="AO691" s="43"/>
      <c r="AP691" s="46"/>
      <c r="AQ691" s="43"/>
      <c r="AR691" s="119"/>
      <c r="AS691" s="1"/>
      <c r="AT691" s="1"/>
    </row>
    <row r="692">
      <c r="A692" s="43"/>
      <c r="B692" s="59" t="str">
        <f>IFERROR(HYPERLINK(VLOOKUP(A692,Internal_lists_bugs!$A$2:$C$73,3,FALSE()), VLOOKUP(A692,Internal_lists_bugs!$A$2:$C$73,3,FALSE())&amp;Char(10) &amp; Char(10) &amp; VLOOKUP(A692,Internal_lists_bugs!$A$2:$Z$73,26,FALSE())),"please select a BUG ID")</f>
        <v>please select a BUG ID</v>
      </c>
      <c r="C692" s="51" t="str">
        <f>IFERROR(VLOOKUP(A692,Internal_lists_bugs!$A$2:$G2003,7,FALSE()),"please select a BUG ID")</f>
        <v>please select a BUG ID</v>
      </c>
      <c r="D692" s="43"/>
      <c r="E692" s="63"/>
      <c r="F692" s="43"/>
      <c r="G692" s="63"/>
      <c r="H692" s="43"/>
      <c r="I692" s="63"/>
      <c r="J692" s="43"/>
      <c r="K692" s="50"/>
      <c r="L692" s="43"/>
      <c r="M692" s="50"/>
      <c r="N692" s="43"/>
      <c r="O692" s="50"/>
      <c r="P692" s="43"/>
      <c r="Q692" s="50"/>
      <c r="R692" s="43"/>
      <c r="S692" s="50"/>
      <c r="T692" s="43"/>
      <c r="U692" s="50"/>
      <c r="V692" s="43"/>
      <c r="W692" s="50"/>
      <c r="X692" s="43"/>
      <c r="Y692" s="50"/>
      <c r="Z692" s="43"/>
      <c r="AA692" s="50"/>
      <c r="AB692" s="43"/>
      <c r="AC692" s="50"/>
      <c r="AD692" s="43"/>
      <c r="AE692" s="50"/>
      <c r="AF692" s="43"/>
      <c r="AG692" s="50"/>
      <c r="AH692" s="43"/>
      <c r="AI692" s="50"/>
      <c r="AJ692" s="43"/>
      <c r="AK692" s="50"/>
      <c r="AL692" s="43"/>
      <c r="AM692" s="50"/>
      <c r="AO692" s="43"/>
      <c r="AP692" s="46"/>
      <c r="AQ692" s="43"/>
      <c r="AR692" s="119"/>
      <c r="AS692" s="1"/>
      <c r="AT692" s="1"/>
    </row>
    <row r="693">
      <c r="A693" s="43"/>
      <c r="B693" s="59" t="str">
        <f>IFERROR(HYPERLINK(VLOOKUP(A693,Internal_lists_bugs!$A$2:$C$73,3,FALSE()), VLOOKUP(A693,Internal_lists_bugs!$A$2:$C$73,3,FALSE())&amp;Char(10) &amp; Char(10) &amp; VLOOKUP(A693,Internal_lists_bugs!$A$2:$Z$73,26,FALSE())),"please select a BUG ID")</f>
        <v>please select a BUG ID</v>
      </c>
      <c r="C693" s="51" t="str">
        <f>IFERROR(VLOOKUP(A693,Internal_lists_bugs!$A$2:$G2003,7,FALSE()),"please select a BUG ID")</f>
        <v>please select a BUG ID</v>
      </c>
      <c r="D693" s="43"/>
      <c r="E693" s="63"/>
      <c r="F693" s="43"/>
      <c r="G693" s="63"/>
      <c r="H693" s="43"/>
      <c r="I693" s="63"/>
      <c r="J693" s="43"/>
      <c r="K693" s="50"/>
      <c r="L693" s="43"/>
      <c r="M693" s="50"/>
      <c r="N693" s="43"/>
      <c r="O693" s="50"/>
      <c r="P693" s="43"/>
      <c r="Q693" s="50"/>
      <c r="R693" s="43"/>
      <c r="S693" s="50"/>
      <c r="T693" s="43"/>
      <c r="U693" s="50"/>
      <c r="V693" s="43"/>
      <c r="W693" s="50"/>
      <c r="X693" s="43"/>
      <c r="Y693" s="50"/>
      <c r="Z693" s="43"/>
      <c r="AA693" s="50"/>
      <c r="AB693" s="43"/>
      <c r="AC693" s="50"/>
      <c r="AD693" s="43"/>
      <c r="AE693" s="50"/>
      <c r="AF693" s="43"/>
      <c r="AG693" s="50"/>
      <c r="AH693" s="43"/>
      <c r="AI693" s="50"/>
      <c r="AJ693" s="43"/>
      <c r="AK693" s="50"/>
      <c r="AL693" s="43"/>
      <c r="AM693" s="50"/>
      <c r="AO693" s="43"/>
      <c r="AP693" s="46"/>
      <c r="AQ693" s="43"/>
      <c r="AR693" s="119"/>
      <c r="AS693" s="1"/>
      <c r="AT693" s="1"/>
    </row>
    <row r="694">
      <c r="A694" s="43"/>
      <c r="B694" s="59" t="str">
        <f>IFERROR(HYPERLINK(VLOOKUP(A694,Internal_lists_bugs!$A$2:$C$73,3,FALSE()), VLOOKUP(A694,Internal_lists_bugs!$A$2:$C$73,3,FALSE())&amp;Char(10) &amp; Char(10) &amp; VLOOKUP(A694,Internal_lists_bugs!$A$2:$Z$73,26,FALSE())),"please select a BUG ID")</f>
        <v>please select a BUG ID</v>
      </c>
      <c r="C694" s="51" t="str">
        <f>IFERROR(VLOOKUP(A694,Internal_lists_bugs!$A$2:$G2003,7,FALSE()),"please select a BUG ID")</f>
        <v>please select a BUG ID</v>
      </c>
      <c r="D694" s="43"/>
      <c r="E694" s="63"/>
      <c r="F694" s="43"/>
      <c r="G694" s="63"/>
      <c r="H694" s="43"/>
      <c r="I694" s="63"/>
      <c r="J694" s="43"/>
      <c r="K694" s="50"/>
      <c r="L694" s="43"/>
      <c r="M694" s="50"/>
      <c r="N694" s="43"/>
      <c r="O694" s="50"/>
      <c r="P694" s="43"/>
      <c r="Q694" s="50"/>
      <c r="R694" s="43"/>
      <c r="S694" s="50"/>
      <c r="T694" s="43"/>
      <c r="U694" s="50"/>
      <c r="V694" s="43"/>
      <c r="W694" s="50"/>
      <c r="X694" s="43"/>
      <c r="Y694" s="50"/>
      <c r="Z694" s="43"/>
      <c r="AA694" s="50"/>
      <c r="AB694" s="43"/>
      <c r="AC694" s="50"/>
      <c r="AD694" s="43"/>
      <c r="AE694" s="50"/>
      <c r="AF694" s="43"/>
      <c r="AG694" s="50"/>
      <c r="AH694" s="43"/>
      <c r="AI694" s="50"/>
      <c r="AJ694" s="43"/>
      <c r="AK694" s="50"/>
      <c r="AL694" s="43"/>
      <c r="AM694" s="50"/>
      <c r="AO694" s="43"/>
      <c r="AP694" s="46"/>
      <c r="AQ694" s="43"/>
      <c r="AR694" s="119"/>
      <c r="AS694" s="1"/>
      <c r="AT694" s="1"/>
    </row>
    <row r="695">
      <c r="A695" s="43"/>
      <c r="B695" s="59" t="str">
        <f>IFERROR(HYPERLINK(VLOOKUP(A695,Internal_lists_bugs!$A$2:$C$73,3,FALSE()), VLOOKUP(A695,Internal_lists_bugs!$A$2:$C$73,3,FALSE())&amp;Char(10) &amp; Char(10) &amp; VLOOKUP(A695,Internal_lists_bugs!$A$2:$Z$73,26,FALSE())),"please select a BUG ID")</f>
        <v>please select a BUG ID</v>
      </c>
      <c r="C695" s="51" t="str">
        <f>IFERROR(VLOOKUP(A695,Internal_lists_bugs!$A$2:$G2003,7,FALSE()),"please select a BUG ID")</f>
        <v>please select a BUG ID</v>
      </c>
      <c r="D695" s="43"/>
      <c r="E695" s="63"/>
      <c r="F695" s="43"/>
      <c r="G695" s="63"/>
      <c r="H695" s="43"/>
      <c r="I695" s="63"/>
      <c r="J695" s="43"/>
      <c r="K695" s="50"/>
      <c r="L695" s="43"/>
      <c r="M695" s="50"/>
      <c r="N695" s="43"/>
      <c r="O695" s="50"/>
      <c r="P695" s="43"/>
      <c r="Q695" s="50"/>
      <c r="R695" s="43"/>
      <c r="S695" s="50"/>
      <c r="T695" s="43"/>
      <c r="U695" s="50"/>
      <c r="V695" s="43"/>
      <c r="W695" s="50"/>
      <c r="X695" s="43"/>
      <c r="Y695" s="50"/>
      <c r="Z695" s="43"/>
      <c r="AA695" s="50"/>
      <c r="AB695" s="43"/>
      <c r="AC695" s="50"/>
      <c r="AD695" s="43"/>
      <c r="AE695" s="50"/>
      <c r="AF695" s="43"/>
      <c r="AG695" s="50"/>
      <c r="AH695" s="43"/>
      <c r="AI695" s="50"/>
      <c r="AJ695" s="43"/>
      <c r="AK695" s="50"/>
      <c r="AL695" s="43"/>
      <c r="AM695" s="50"/>
      <c r="AO695" s="43"/>
      <c r="AP695" s="46"/>
      <c r="AQ695" s="43"/>
      <c r="AR695" s="119"/>
      <c r="AS695" s="1"/>
      <c r="AT695" s="1"/>
    </row>
    <row r="696">
      <c r="A696" s="43"/>
      <c r="B696" s="59" t="str">
        <f>IFERROR(HYPERLINK(VLOOKUP(A696,Internal_lists_bugs!$A$2:$C$73,3,FALSE()), VLOOKUP(A696,Internal_lists_bugs!$A$2:$C$73,3,FALSE())&amp;Char(10) &amp; Char(10) &amp; VLOOKUP(A696,Internal_lists_bugs!$A$2:$Z$73,26,FALSE())),"please select a BUG ID")</f>
        <v>please select a BUG ID</v>
      </c>
      <c r="C696" s="51" t="str">
        <f>IFERROR(VLOOKUP(A696,Internal_lists_bugs!$A$2:$G2003,7,FALSE()),"please select a BUG ID")</f>
        <v>please select a BUG ID</v>
      </c>
      <c r="D696" s="43"/>
      <c r="E696" s="63"/>
      <c r="F696" s="43"/>
      <c r="G696" s="63"/>
      <c r="H696" s="43"/>
      <c r="I696" s="63"/>
      <c r="J696" s="43"/>
      <c r="K696" s="50"/>
      <c r="L696" s="43"/>
      <c r="M696" s="50"/>
      <c r="N696" s="43"/>
      <c r="O696" s="50"/>
      <c r="P696" s="43"/>
      <c r="Q696" s="50"/>
      <c r="R696" s="43"/>
      <c r="S696" s="50"/>
      <c r="T696" s="43"/>
      <c r="U696" s="50"/>
      <c r="V696" s="43"/>
      <c r="W696" s="50"/>
      <c r="X696" s="43"/>
      <c r="Y696" s="50"/>
      <c r="Z696" s="43"/>
      <c r="AA696" s="50"/>
      <c r="AB696" s="43"/>
      <c r="AC696" s="50"/>
      <c r="AD696" s="43"/>
      <c r="AE696" s="50"/>
      <c r="AF696" s="43"/>
      <c r="AG696" s="50"/>
      <c r="AH696" s="43"/>
      <c r="AI696" s="50"/>
      <c r="AJ696" s="43"/>
      <c r="AK696" s="50"/>
      <c r="AL696" s="43"/>
      <c r="AM696" s="50"/>
      <c r="AO696" s="43"/>
      <c r="AP696" s="46"/>
      <c r="AQ696" s="43"/>
      <c r="AR696" s="119"/>
      <c r="AS696" s="1"/>
      <c r="AT696" s="1"/>
    </row>
    <row r="697">
      <c r="A697" s="43"/>
      <c r="B697" s="59" t="str">
        <f>IFERROR(HYPERLINK(VLOOKUP(A697,Internal_lists_bugs!$A$2:$C$73,3,FALSE()), VLOOKUP(A697,Internal_lists_bugs!$A$2:$C$73,3,FALSE())&amp;Char(10) &amp; Char(10) &amp; VLOOKUP(A697,Internal_lists_bugs!$A$2:$Z$73,26,FALSE())),"please select a BUG ID")</f>
        <v>please select a BUG ID</v>
      </c>
      <c r="C697" s="51" t="str">
        <f>IFERROR(VLOOKUP(A697,Internal_lists_bugs!$A$2:$G2003,7,FALSE()),"please select a BUG ID")</f>
        <v>please select a BUG ID</v>
      </c>
      <c r="D697" s="43"/>
      <c r="E697" s="63"/>
      <c r="F697" s="43"/>
      <c r="G697" s="63"/>
      <c r="H697" s="43"/>
      <c r="I697" s="63"/>
      <c r="J697" s="43"/>
      <c r="K697" s="50"/>
      <c r="L697" s="43"/>
      <c r="M697" s="50"/>
      <c r="N697" s="43"/>
      <c r="O697" s="50"/>
      <c r="P697" s="43"/>
      <c r="Q697" s="50"/>
      <c r="R697" s="43"/>
      <c r="S697" s="50"/>
      <c r="T697" s="43"/>
      <c r="U697" s="50"/>
      <c r="V697" s="43"/>
      <c r="W697" s="50"/>
      <c r="X697" s="43"/>
      <c r="Y697" s="50"/>
      <c r="Z697" s="43"/>
      <c r="AA697" s="50"/>
      <c r="AB697" s="43"/>
      <c r="AC697" s="50"/>
      <c r="AD697" s="43"/>
      <c r="AE697" s="50"/>
      <c r="AF697" s="43"/>
      <c r="AG697" s="50"/>
      <c r="AH697" s="43"/>
      <c r="AI697" s="50"/>
      <c r="AJ697" s="43"/>
      <c r="AK697" s="50"/>
      <c r="AL697" s="43"/>
      <c r="AM697" s="50"/>
      <c r="AO697" s="43"/>
      <c r="AP697" s="46"/>
      <c r="AQ697" s="43"/>
      <c r="AR697" s="119"/>
      <c r="AS697" s="1"/>
      <c r="AT697" s="1"/>
    </row>
    <row r="698">
      <c r="A698" s="43"/>
      <c r="B698" s="59" t="str">
        <f>IFERROR(HYPERLINK(VLOOKUP(A698,Internal_lists_bugs!$A$2:$C$73,3,FALSE()), VLOOKUP(A698,Internal_lists_bugs!$A$2:$C$73,3,FALSE())&amp;Char(10) &amp; Char(10) &amp; VLOOKUP(A698,Internal_lists_bugs!$A$2:$Z$73,26,FALSE())),"please select a BUG ID")</f>
        <v>please select a BUG ID</v>
      </c>
      <c r="C698" s="51" t="str">
        <f>IFERROR(VLOOKUP(A698,Internal_lists_bugs!$A$2:$G2003,7,FALSE()),"please select a BUG ID")</f>
        <v>please select a BUG ID</v>
      </c>
      <c r="D698" s="43"/>
      <c r="E698" s="63"/>
      <c r="F698" s="43"/>
      <c r="G698" s="63"/>
      <c r="H698" s="43"/>
      <c r="I698" s="63"/>
      <c r="J698" s="43"/>
      <c r="K698" s="50"/>
      <c r="L698" s="43"/>
      <c r="M698" s="50"/>
      <c r="N698" s="43"/>
      <c r="O698" s="50"/>
      <c r="P698" s="43"/>
      <c r="Q698" s="50"/>
      <c r="R698" s="43"/>
      <c r="S698" s="50"/>
      <c r="T698" s="43"/>
      <c r="U698" s="50"/>
      <c r="V698" s="43"/>
      <c r="W698" s="50"/>
      <c r="X698" s="43"/>
      <c r="Y698" s="50"/>
      <c r="Z698" s="43"/>
      <c r="AA698" s="50"/>
      <c r="AB698" s="43"/>
      <c r="AC698" s="50"/>
      <c r="AD698" s="43"/>
      <c r="AE698" s="50"/>
      <c r="AF698" s="43"/>
      <c r="AG698" s="50"/>
      <c r="AH698" s="43"/>
      <c r="AI698" s="50"/>
      <c r="AJ698" s="43"/>
      <c r="AK698" s="50"/>
      <c r="AL698" s="43"/>
      <c r="AM698" s="50"/>
      <c r="AO698" s="43"/>
      <c r="AP698" s="46"/>
      <c r="AQ698" s="43"/>
      <c r="AR698" s="119"/>
      <c r="AS698" s="1"/>
      <c r="AT698" s="1"/>
    </row>
    <row r="699">
      <c r="A699" s="43"/>
      <c r="B699" s="59" t="str">
        <f>IFERROR(HYPERLINK(VLOOKUP(A699,Internal_lists_bugs!$A$2:$C$73,3,FALSE()), VLOOKUP(A699,Internal_lists_bugs!$A$2:$C$73,3,FALSE())&amp;Char(10) &amp; Char(10) &amp; VLOOKUP(A699,Internal_lists_bugs!$A$2:$Z$73,26,FALSE())),"please select a BUG ID")</f>
        <v>please select a BUG ID</v>
      </c>
      <c r="C699" s="51" t="str">
        <f>IFERROR(VLOOKUP(A699,Internal_lists_bugs!$A$2:$G2003,7,FALSE()),"please select a BUG ID")</f>
        <v>please select a BUG ID</v>
      </c>
      <c r="D699" s="43"/>
      <c r="E699" s="63"/>
      <c r="F699" s="43"/>
      <c r="G699" s="63"/>
      <c r="H699" s="43"/>
      <c r="I699" s="63"/>
      <c r="J699" s="43"/>
      <c r="K699" s="50"/>
      <c r="L699" s="43"/>
      <c r="M699" s="50"/>
      <c r="N699" s="43"/>
      <c r="O699" s="50"/>
      <c r="P699" s="43"/>
      <c r="Q699" s="50"/>
      <c r="R699" s="43"/>
      <c r="S699" s="50"/>
      <c r="T699" s="43"/>
      <c r="U699" s="50"/>
      <c r="V699" s="43"/>
      <c r="W699" s="50"/>
      <c r="X699" s="43"/>
      <c r="Y699" s="50"/>
      <c r="Z699" s="43"/>
      <c r="AA699" s="50"/>
      <c r="AB699" s="43"/>
      <c r="AC699" s="50"/>
      <c r="AD699" s="43"/>
      <c r="AE699" s="50"/>
      <c r="AF699" s="43"/>
      <c r="AG699" s="50"/>
      <c r="AH699" s="43"/>
      <c r="AI699" s="50"/>
      <c r="AJ699" s="43"/>
      <c r="AK699" s="50"/>
      <c r="AL699" s="43"/>
      <c r="AM699" s="50"/>
      <c r="AO699" s="43"/>
      <c r="AP699" s="46"/>
      <c r="AQ699" s="43"/>
      <c r="AR699" s="119"/>
      <c r="AS699" s="1"/>
      <c r="AT699" s="1"/>
    </row>
    <row r="700">
      <c r="A700" s="43"/>
      <c r="B700" s="59" t="str">
        <f>IFERROR(HYPERLINK(VLOOKUP(A700,Internal_lists_bugs!$A$2:$C$73,3,FALSE()), VLOOKUP(A700,Internal_lists_bugs!$A$2:$C$73,3,FALSE())&amp;Char(10) &amp; Char(10) &amp; VLOOKUP(A700,Internal_lists_bugs!$A$2:$Z$73,26,FALSE())),"please select a BUG ID")</f>
        <v>please select a BUG ID</v>
      </c>
      <c r="C700" s="51" t="str">
        <f>IFERROR(VLOOKUP(A700,Internal_lists_bugs!$A$2:$G2003,7,FALSE()),"please select a BUG ID")</f>
        <v>please select a BUG ID</v>
      </c>
      <c r="D700" s="43"/>
      <c r="E700" s="63"/>
      <c r="F700" s="43"/>
      <c r="G700" s="63"/>
      <c r="H700" s="43"/>
      <c r="I700" s="63"/>
      <c r="J700" s="43"/>
      <c r="K700" s="50"/>
      <c r="L700" s="43"/>
      <c r="M700" s="50"/>
      <c r="N700" s="43"/>
      <c r="O700" s="50"/>
      <c r="P700" s="43"/>
      <c r="Q700" s="50"/>
      <c r="R700" s="43"/>
      <c r="S700" s="50"/>
      <c r="T700" s="43"/>
      <c r="U700" s="50"/>
      <c r="V700" s="43"/>
      <c r="W700" s="50"/>
      <c r="X700" s="43"/>
      <c r="Y700" s="50"/>
      <c r="Z700" s="43"/>
      <c r="AA700" s="50"/>
      <c r="AB700" s="43"/>
      <c r="AC700" s="50"/>
      <c r="AD700" s="43"/>
      <c r="AE700" s="50"/>
      <c r="AF700" s="43"/>
      <c r="AG700" s="50"/>
      <c r="AH700" s="43"/>
      <c r="AI700" s="50"/>
      <c r="AJ700" s="43"/>
      <c r="AK700" s="50"/>
      <c r="AL700" s="43"/>
      <c r="AM700" s="50"/>
      <c r="AO700" s="43"/>
      <c r="AP700" s="46"/>
      <c r="AQ700" s="43"/>
      <c r="AR700" s="119"/>
      <c r="AS700" s="1"/>
      <c r="AT700" s="1"/>
    </row>
    <row r="701">
      <c r="A701" s="43"/>
      <c r="B701" s="59" t="str">
        <f>IFERROR(HYPERLINK(VLOOKUP(A701,Internal_lists_bugs!$A$2:$C$73,3,FALSE()), VLOOKUP(A701,Internal_lists_bugs!$A$2:$C$73,3,FALSE())&amp;Char(10) &amp; Char(10) &amp; VLOOKUP(A701,Internal_lists_bugs!$A$2:$Z$73,26,FALSE())),"please select a BUG ID")</f>
        <v>please select a BUG ID</v>
      </c>
      <c r="C701" s="51" t="str">
        <f>IFERROR(VLOOKUP(A701,Internal_lists_bugs!$A$2:$G2003,7,FALSE()),"please select a BUG ID")</f>
        <v>please select a BUG ID</v>
      </c>
      <c r="D701" s="43"/>
      <c r="E701" s="63"/>
      <c r="F701" s="43"/>
      <c r="G701" s="63"/>
      <c r="H701" s="43"/>
      <c r="I701" s="63"/>
      <c r="J701" s="43"/>
      <c r="K701" s="50"/>
      <c r="L701" s="43"/>
      <c r="M701" s="50"/>
      <c r="N701" s="43"/>
      <c r="O701" s="50"/>
      <c r="P701" s="43"/>
      <c r="Q701" s="50"/>
      <c r="R701" s="43"/>
      <c r="S701" s="50"/>
      <c r="T701" s="43"/>
      <c r="U701" s="50"/>
      <c r="V701" s="43"/>
      <c r="W701" s="50"/>
      <c r="X701" s="43"/>
      <c r="Y701" s="50"/>
      <c r="Z701" s="43"/>
      <c r="AA701" s="50"/>
      <c r="AB701" s="43"/>
      <c r="AC701" s="50"/>
      <c r="AD701" s="43"/>
      <c r="AE701" s="50"/>
      <c r="AF701" s="43"/>
      <c r="AG701" s="50"/>
      <c r="AH701" s="43"/>
      <c r="AI701" s="50"/>
      <c r="AJ701" s="43"/>
      <c r="AK701" s="50"/>
      <c r="AL701" s="43"/>
      <c r="AM701" s="50"/>
      <c r="AO701" s="43"/>
      <c r="AP701" s="46"/>
      <c r="AQ701" s="43"/>
      <c r="AR701" s="119"/>
      <c r="AS701" s="1"/>
      <c r="AT701" s="1"/>
    </row>
    <row r="702">
      <c r="A702" s="43"/>
      <c r="B702" s="59" t="str">
        <f>IFERROR(HYPERLINK(VLOOKUP(A702,Internal_lists_bugs!$A$2:$C$73,3,FALSE()), VLOOKUP(A702,Internal_lists_bugs!$A$2:$C$73,3,FALSE())&amp;Char(10) &amp; Char(10) &amp; VLOOKUP(A702,Internal_lists_bugs!$A$2:$Z$73,26,FALSE())),"please select a BUG ID")</f>
        <v>please select a BUG ID</v>
      </c>
      <c r="C702" s="51" t="str">
        <f>IFERROR(VLOOKUP(A702,Internal_lists_bugs!$A$2:$G2003,7,FALSE()),"please select a BUG ID")</f>
        <v>please select a BUG ID</v>
      </c>
      <c r="D702" s="43"/>
      <c r="E702" s="63"/>
      <c r="F702" s="43"/>
      <c r="G702" s="63"/>
      <c r="H702" s="43"/>
      <c r="I702" s="63"/>
      <c r="J702" s="43"/>
      <c r="K702" s="50"/>
      <c r="L702" s="43"/>
      <c r="M702" s="50"/>
      <c r="N702" s="43"/>
      <c r="O702" s="50"/>
      <c r="P702" s="43"/>
      <c r="Q702" s="50"/>
      <c r="R702" s="43"/>
      <c r="S702" s="50"/>
      <c r="T702" s="43"/>
      <c r="U702" s="50"/>
      <c r="V702" s="43"/>
      <c r="W702" s="50"/>
      <c r="X702" s="43"/>
      <c r="Y702" s="50"/>
      <c r="Z702" s="43"/>
      <c r="AA702" s="50"/>
      <c r="AB702" s="43"/>
      <c r="AC702" s="50"/>
      <c r="AD702" s="43"/>
      <c r="AE702" s="50"/>
      <c r="AF702" s="43"/>
      <c r="AG702" s="50"/>
      <c r="AH702" s="43"/>
      <c r="AI702" s="50"/>
      <c r="AJ702" s="43"/>
      <c r="AK702" s="50"/>
      <c r="AL702" s="43"/>
      <c r="AM702" s="50"/>
      <c r="AO702" s="43"/>
      <c r="AP702" s="46"/>
      <c r="AQ702" s="43"/>
      <c r="AR702" s="119"/>
      <c r="AS702" s="1"/>
      <c r="AT702" s="1"/>
    </row>
    <row r="703">
      <c r="A703" s="43"/>
      <c r="B703" s="59" t="str">
        <f>IFERROR(HYPERLINK(VLOOKUP(A703,Internal_lists_bugs!$A$2:$C$73,3,FALSE()), VLOOKUP(A703,Internal_lists_bugs!$A$2:$C$73,3,FALSE())&amp;Char(10) &amp; Char(10) &amp; VLOOKUP(A703,Internal_lists_bugs!$A$2:$Z$73,26,FALSE())),"please select a BUG ID")</f>
        <v>please select a BUG ID</v>
      </c>
      <c r="C703" s="51" t="str">
        <f>IFERROR(VLOOKUP(A703,Internal_lists_bugs!$A$2:$G2003,7,FALSE()),"please select a BUG ID")</f>
        <v>please select a BUG ID</v>
      </c>
      <c r="D703" s="43"/>
      <c r="E703" s="63"/>
      <c r="F703" s="43"/>
      <c r="G703" s="63"/>
      <c r="H703" s="43"/>
      <c r="I703" s="63"/>
      <c r="J703" s="43"/>
      <c r="K703" s="50"/>
      <c r="L703" s="43"/>
      <c r="M703" s="50"/>
      <c r="N703" s="43"/>
      <c r="O703" s="50"/>
      <c r="P703" s="43"/>
      <c r="Q703" s="50"/>
      <c r="R703" s="43"/>
      <c r="S703" s="50"/>
      <c r="T703" s="43"/>
      <c r="U703" s="50"/>
      <c r="V703" s="43"/>
      <c r="W703" s="50"/>
      <c r="X703" s="43"/>
      <c r="Y703" s="50"/>
      <c r="Z703" s="43"/>
      <c r="AA703" s="50"/>
      <c r="AB703" s="43"/>
      <c r="AC703" s="50"/>
      <c r="AD703" s="43"/>
      <c r="AE703" s="50"/>
      <c r="AF703" s="43"/>
      <c r="AG703" s="50"/>
      <c r="AH703" s="43"/>
      <c r="AI703" s="50"/>
      <c r="AJ703" s="43"/>
      <c r="AK703" s="50"/>
      <c r="AL703" s="43"/>
      <c r="AM703" s="50"/>
      <c r="AO703" s="43"/>
      <c r="AP703" s="46"/>
      <c r="AQ703" s="43"/>
      <c r="AR703" s="119"/>
      <c r="AS703" s="1"/>
      <c r="AT703" s="1"/>
    </row>
    <row r="704">
      <c r="A704" s="43"/>
      <c r="B704" s="59" t="str">
        <f>IFERROR(HYPERLINK(VLOOKUP(A704,Internal_lists_bugs!$A$2:$C$73,3,FALSE()), VLOOKUP(A704,Internal_lists_bugs!$A$2:$C$73,3,FALSE())&amp;Char(10) &amp; Char(10) &amp; VLOOKUP(A704,Internal_lists_bugs!$A$2:$Z$73,26,FALSE())),"please select a BUG ID")</f>
        <v>please select a BUG ID</v>
      </c>
      <c r="C704" s="51" t="str">
        <f>IFERROR(VLOOKUP(A704,Internal_lists_bugs!$A$2:$G2003,7,FALSE()),"please select a BUG ID")</f>
        <v>please select a BUG ID</v>
      </c>
      <c r="D704" s="43"/>
      <c r="E704" s="63"/>
      <c r="F704" s="43"/>
      <c r="G704" s="63"/>
      <c r="H704" s="43"/>
      <c r="I704" s="63"/>
      <c r="J704" s="43"/>
      <c r="K704" s="50"/>
      <c r="L704" s="43"/>
      <c r="M704" s="50"/>
      <c r="N704" s="43"/>
      <c r="O704" s="50"/>
      <c r="P704" s="43"/>
      <c r="Q704" s="50"/>
      <c r="R704" s="43"/>
      <c r="S704" s="50"/>
      <c r="T704" s="43"/>
      <c r="U704" s="50"/>
      <c r="V704" s="43"/>
      <c r="W704" s="50"/>
      <c r="X704" s="43"/>
      <c r="Y704" s="50"/>
      <c r="Z704" s="43"/>
      <c r="AA704" s="50"/>
      <c r="AB704" s="43"/>
      <c r="AC704" s="50"/>
      <c r="AD704" s="43"/>
      <c r="AE704" s="50"/>
      <c r="AF704" s="43"/>
      <c r="AG704" s="50"/>
      <c r="AH704" s="43"/>
      <c r="AI704" s="50"/>
      <c r="AJ704" s="43"/>
      <c r="AK704" s="50"/>
      <c r="AL704" s="43"/>
      <c r="AM704" s="50"/>
      <c r="AO704" s="43"/>
      <c r="AP704" s="46"/>
      <c r="AQ704" s="43"/>
      <c r="AR704" s="119"/>
      <c r="AS704" s="1"/>
      <c r="AT704" s="1"/>
    </row>
    <row r="705">
      <c r="A705" s="43"/>
      <c r="B705" s="59" t="str">
        <f>IFERROR(HYPERLINK(VLOOKUP(A705,Internal_lists_bugs!$A$2:$C$73,3,FALSE()), VLOOKUP(A705,Internal_lists_bugs!$A$2:$C$73,3,FALSE())&amp;Char(10) &amp; Char(10) &amp; VLOOKUP(A705,Internal_lists_bugs!$A$2:$Z$73,26,FALSE())),"please select a BUG ID")</f>
        <v>please select a BUG ID</v>
      </c>
      <c r="C705" s="51" t="str">
        <f>IFERROR(VLOOKUP(A705,Internal_lists_bugs!$A$2:$G2003,7,FALSE()),"please select a BUG ID")</f>
        <v>please select a BUG ID</v>
      </c>
      <c r="D705" s="43"/>
      <c r="E705" s="63"/>
      <c r="F705" s="43"/>
      <c r="G705" s="63"/>
      <c r="H705" s="43"/>
      <c r="I705" s="63"/>
      <c r="J705" s="43"/>
      <c r="K705" s="50"/>
      <c r="L705" s="43"/>
      <c r="M705" s="50"/>
      <c r="N705" s="43"/>
      <c r="O705" s="50"/>
      <c r="P705" s="43"/>
      <c r="Q705" s="50"/>
      <c r="R705" s="43"/>
      <c r="S705" s="50"/>
      <c r="T705" s="43"/>
      <c r="U705" s="50"/>
      <c r="V705" s="43"/>
      <c r="W705" s="50"/>
      <c r="X705" s="43"/>
      <c r="Y705" s="50"/>
      <c r="Z705" s="43"/>
      <c r="AA705" s="50"/>
      <c r="AB705" s="43"/>
      <c r="AC705" s="50"/>
      <c r="AD705" s="43"/>
      <c r="AE705" s="50"/>
      <c r="AF705" s="43"/>
      <c r="AG705" s="50"/>
      <c r="AH705" s="43"/>
      <c r="AI705" s="50"/>
      <c r="AJ705" s="43"/>
      <c r="AK705" s="50"/>
      <c r="AL705" s="43"/>
      <c r="AM705" s="50"/>
      <c r="AO705" s="43"/>
      <c r="AP705" s="46"/>
      <c r="AQ705" s="43"/>
      <c r="AR705" s="119"/>
      <c r="AS705" s="1"/>
      <c r="AT705" s="1"/>
    </row>
    <row r="706">
      <c r="A706" s="43"/>
      <c r="B706" s="59" t="str">
        <f>IFERROR(HYPERLINK(VLOOKUP(A706,Internal_lists_bugs!$A$2:$C$73,3,FALSE()), VLOOKUP(A706,Internal_lists_bugs!$A$2:$C$73,3,FALSE())&amp;Char(10) &amp; Char(10) &amp; VLOOKUP(A706,Internal_lists_bugs!$A$2:$Z$73,26,FALSE())),"please select a BUG ID")</f>
        <v>please select a BUG ID</v>
      </c>
      <c r="C706" s="51" t="str">
        <f>IFERROR(VLOOKUP(A706,Internal_lists_bugs!$A$2:$G2003,7,FALSE()),"please select a BUG ID")</f>
        <v>please select a BUG ID</v>
      </c>
      <c r="D706" s="43"/>
      <c r="E706" s="63"/>
      <c r="F706" s="43"/>
      <c r="G706" s="63"/>
      <c r="H706" s="43"/>
      <c r="I706" s="63"/>
      <c r="J706" s="43"/>
      <c r="K706" s="50"/>
      <c r="L706" s="43"/>
      <c r="M706" s="50"/>
      <c r="N706" s="43"/>
      <c r="O706" s="50"/>
      <c r="P706" s="43"/>
      <c r="Q706" s="50"/>
      <c r="R706" s="43"/>
      <c r="S706" s="50"/>
      <c r="T706" s="43"/>
      <c r="U706" s="50"/>
      <c r="V706" s="43"/>
      <c r="W706" s="50"/>
      <c r="X706" s="43"/>
      <c r="Y706" s="50"/>
      <c r="Z706" s="43"/>
      <c r="AA706" s="50"/>
      <c r="AB706" s="43"/>
      <c r="AC706" s="50"/>
      <c r="AD706" s="43"/>
      <c r="AE706" s="50"/>
      <c r="AF706" s="43"/>
      <c r="AG706" s="50"/>
      <c r="AH706" s="43"/>
      <c r="AI706" s="50"/>
      <c r="AJ706" s="43"/>
      <c r="AK706" s="50"/>
      <c r="AL706" s="43"/>
      <c r="AM706" s="50"/>
      <c r="AO706" s="43"/>
      <c r="AP706" s="46"/>
      <c r="AQ706" s="43"/>
      <c r="AR706" s="119"/>
      <c r="AS706" s="1"/>
      <c r="AT706" s="1"/>
    </row>
    <row r="707">
      <c r="A707" s="43"/>
      <c r="B707" s="59" t="str">
        <f>IFERROR(HYPERLINK(VLOOKUP(A707,Internal_lists_bugs!$A$2:$C$73,3,FALSE()), VLOOKUP(A707,Internal_lists_bugs!$A$2:$C$73,3,FALSE())&amp;Char(10) &amp; Char(10) &amp; VLOOKUP(A707,Internal_lists_bugs!$A$2:$Z$73,26,FALSE())),"please select a BUG ID")</f>
        <v>please select a BUG ID</v>
      </c>
      <c r="C707" s="51" t="str">
        <f>IFERROR(VLOOKUP(A707,Internal_lists_bugs!$A$2:$G2003,7,FALSE()),"please select a BUG ID")</f>
        <v>please select a BUG ID</v>
      </c>
      <c r="D707" s="43"/>
      <c r="E707" s="63"/>
      <c r="F707" s="43"/>
      <c r="G707" s="63"/>
      <c r="H707" s="43"/>
      <c r="I707" s="63"/>
      <c r="J707" s="43"/>
      <c r="K707" s="50"/>
      <c r="L707" s="43"/>
      <c r="M707" s="50"/>
      <c r="N707" s="43"/>
      <c r="O707" s="50"/>
      <c r="P707" s="43"/>
      <c r="Q707" s="50"/>
      <c r="R707" s="43"/>
      <c r="S707" s="50"/>
      <c r="T707" s="43"/>
      <c r="U707" s="50"/>
      <c r="V707" s="43"/>
      <c r="W707" s="50"/>
      <c r="X707" s="43"/>
      <c r="Y707" s="50"/>
      <c r="Z707" s="43"/>
      <c r="AA707" s="50"/>
      <c r="AB707" s="43"/>
      <c r="AC707" s="50"/>
      <c r="AD707" s="43"/>
      <c r="AE707" s="50"/>
      <c r="AF707" s="43"/>
      <c r="AG707" s="50"/>
      <c r="AH707" s="43"/>
      <c r="AI707" s="50"/>
      <c r="AJ707" s="43"/>
      <c r="AK707" s="50"/>
      <c r="AL707" s="43"/>
      <c r="AM707" s="50"/>
      <c r="AO707" s="43"/>
      <c r="AP707" s="46"/>
      <c r="AQ707" s="43"/>
      <c r="AR707" s="119"/>
      <c r="AS707" s="1"/>
      <c r="AT707" s="1"/>
    </row>
    <row r="708">
      <c r="A708" s="43"/>
      <c r="B708" s="59" t="str">
        <f>IFERROR(HYPERLINK(VLOOKUP(A708,Internal_lists_bugs!$A$2:$C$73,3,FALSE()), VLOOKUP(A708,Internal_lists_bugs!$A$2:$C$73,3,FALSE())&amp;Char(10) &amp; Char(10) &amp; VLOOKUP(A708,Internal_lists_bugs!$A$2:$Z$73,26,FALSE())),"please select a BUG ID")</f>
        <v>please select a BUG ID</v>
      </c>
      <c r="C708" s="51" t="str">
        <f>IFERROR(VLOOKUP(A708,Internal_lists_bugs!$A$2:$G2003,7,FALSE()),"please select a BUG ID")</f>
        <v>please select a BUG ID</v>
      </c>
      <c r="D708" s="43"/>
      <c r="E708" s="63"/>
      <c r="F708" s="43"/>
      <c r="G708" s="63"/>
      <c r="H708" s="43"/>
      <c r="I708" s="63"/>
      <c r="J708" s="43"/>
      <c r="K708" s="50"/>
      <c r="L708" s="43"/>
      <c r="M708" s="50"/>
      <c r="N708" s="43"/>
      <c r="O708" s="50"/>
      <c r="P708" s="43"/>
      <c r="Q708" s="50"/>
      <c r="R708" s="43"/>
      <c r="S708" s="50"/>
      <c r="T708" s="43"/>
      <c r="U708" s="50"/>
      <c r="V708" s="43"/>
      <c r="W708" s="50"/>
      <c r="X708" s="43"/>
      <c r="Y708" s="50"/>
      <c r="Z708" s="43"/>
      <c r="AA708" s="50"/>
      <c r="AB708" s="43"/>
      <c r="AC708" s="50"/>
      <c r="AD708" s="43"/>
      <c r="AE708" s="50"/>
      <c r="AF708" s="43"/>
      <c r="AG708" s="50"/>
      <c r="AH708" s="43"/>
      <c r="AI708" s="50"/>
      <c r="AJ708" s="43"/>
      <c r="AK708" s="50"/>
      <c r="AL708" s="43"/>
      <c r="AM708" s="50"/>
      <c r="AO708" s="43"/>
      <c r="AP708" s="46"/>
      <c r="AQ708" s="43"/>
      <c r="AR708" s="119"/>
      <c r="AS708" s="1"/>
      <c r="AT708" s="1"/>
    </row>
    <row r="709">
      <c r="A709" s="43"/>
      <c r="B709" s="59" t="str">
        <f>IFERROR(HYPERLINK(VLOOKUP(A709,Internal_lists_bugs!$A$2:$C$73,3,FALSE()), VLOOKUP(A709,Internal_lists_bugs!$A$2:$C$73,3,FALSE())&amp;Char(10) &amp; Char(10) &amp; VLOOKUP(A709,Internal_lists_bugs!$A$2:$Z$73,26,FALSE())),"please select a BUG ID")</f>
        <v>please select a BUG ID</v>
      </c>
      <c r="C709" s="51" t="str">
        <f>IFERROR(VLOOKUP(A709,Internal_lists_bugs!$A$2:$G2003,7,FALSE()),"please select a BUG ID")</f>
        <v>please select a BUG ID</v>
      </c>
      <c r="D709" s="43"/>
      <c r="E709" s="63"/>
      <c r="F709" s="43"/>
      <c r="G709" s="63"/>
      <c r="H709" s="43"/>
      <c r="I709" s="63"/>
      <c r="J709" s="43"/>
      <c r="K709" s="50"/>
      <c r="L709" s="43"/>
      <c r="M709" s="50"/>
      <c r="N709" s="43"/>
      <c r="O709" s="50"/>
      <c r="P709" s="43"/>
      <c r="Q709" s="50"/>
      <c r="R709" s="43"/>
      <c r="S709" s="50"/>
      <c r="T709" s="43"/>
      <c r="U709" s="50"/>
      <c r="V709" s="43"/>
      <c r="W709" s="50"/>
      <c r="X709" s="43"/>
      <c r="Y709" s="50"/>
      <c r="Z709" s="43"/>
      <c r="AA709" s="50"/>
      <c r="AB709" s="43"/>
      <c r="AC709" s="50"/>
      <c r="AD709" s="43"/>
      <c r="AE709" s="50"/>
      <c r="AF709" s="43"/>
      <c r="AG709" s="50"/>
      <c r="AH709" s="43"/>
      <c r="AI709" s="50"/>
      <c r="AJ709" s="43"/>
      <c r="AK709" s="50"/>
      <c r="AL709" s="43"/>
      <c r="AM709" s="50"/>
      <c r="AO709" s="43"/>
      <c r="AP709" s="46"/>
      <c r="AQ709" s="43"/>
      <c r="AR709" s="119"/>
      <c r="AS709" s="1"/>
      <c r="AT709" s="1"/>
    </row>
    <row r="710">
      <c r="A710" s="43"/>
      <c r="B710" s="59" t="str">
        <f>IFERROR(HYPERLINK(VLOOKUP(A710,Internal_lists_bugs!$A$2:$C$73,3,FALSE()), VLOOKUP(A710,Internal_lists_bugs!$A$2:$C$73,3,FALSE())&amp;Char(10) &amp; Char(10) &amp; VLOOKUP(A710,Internal_lists_bugs!$A$2:$Z$73,26,FALSE())),"please select a BUG ID")</f>
        <v>please select a BUG ID</v>
      </c>
      <c r="C710" s="51" t="str">
        <f>IFERROR(VLOOKUP(A710,Internal_lists_bugs!$A$2:$G2003,7,FALSE()),"please select a BUG ID")</f>
        <v>please select a BUG ID</v>
      </c>
      <c r="D710" s="43"/>
      <c r="E710" s="63"/>
      <c r="F710" s="43"/>
      <c r="G710" s="63"/>
      <c r="H710" s="43"/>
      <c r="I710" s="63"/>
      <c r="J710" s="43"/>
      <c r="K710" s="50"/>
      <c r="L710" s="43"/>
      <c r="M710" s="50"/>
      <c r="N710" s="43"/>
      <c r="O710" s="50"/>
      <c r="P710" s="43"/>
      <c r="Q710" s="50"/>
      <c r="R710" s="43"/>
      <c r="S710" s="50"/>
      <c r="T710" s="43"/>
      <c r="U710" s="50"/>
      <c r="V710" s="43"/>
      <c r="W710" s="50"/>
      <c r="X710" s="43"/>
      <c r="Y710" s="50"/>
      <c r="Z710" s="43"/>
      <c r="AA710" s="50"/>
      <c r="AB710" s="43"/>
      <c r="AC710" s="50"/>
      <c r="AD710" s="43"/>
      <c r="AE710" s="50"/>
      <c r="AF710" s="43"/>
      <c r="AG710" s="50"/>
      <c r="AH710" s="43"/>
      <c r="AI710" s="50"/>
      <c r="AJ710" s="43"/>
      <c r="AK710" s="50"/>
      <c r="AL710" s="43"/>
      <c r="AM710" s="50"/>
      <c r="AO710" s="43"/>
      <c r="AP710" s="46"/>
      <c r="AQ710" s="43"/>
      <c r="AR710" s="119"/>
      <c r="AS710" s="1"/>
      <c r="AT710" s="1"/>
    </row>
    <row r="711">
      <c r="A711" s="43"/>
      <c r="B711" s="59" t="str">
        <f>IFERROR(HYPERLINK(VLOOKUP(A711,Internal_lists_bugs!$A$2:$C$73,3,FALSE()), VLOOKUP(A711,Internal_lists_bugs!$A$2:$C$73,3,FALSE())&amp;Char(10) &amp; Char(10) &amp; VLOOKUP(A711,Internal_lists_bugs!$A$2:$Z$73,26,FALSE())),"please select a BUG ID")</f>
        <v>please select a BUG ID</v>
      </c>
      <c r="C711" s="51" t="str">
        <f>IFERROR(VLOOKUP(A711,Internal_lists_bugs!$A$2:$G2003,7,FALSE()),"please select a BUG ID")</f>
        <v>please select a BUG ID</v>
      </c>
      <c r="D711" s="43"/>
      <c r="E711" s="63"/>
      <c r="F711" s="43"/>
      <c r="G711" s="63"/>
      <c r="H711" s="43"/>
      <c r="I711" s="63"/>
      <c r="J711" s="43"/>
      <c r="K711" s="50"/>
      <c r="L711" s="43"/>
      <c r="M711" s="50"/>
      <c r="N711" s="43"/>
      <c r="O711" s="50"/>
      <c r="P711" s="43"/>
      <c r="Q711" s="50"/>
      <c r="R711" s="43"/>
      <c r="S711" s="50"/>
      <c r="T711" s="43"/>
      <c r="U711" s="50"/>
      <c r="V711" s="43"/>
      <c r="W711" s="50"/>
      <c r="X711" s="43"/>
      <c r="Y711" s="50"/>
      <c r="Z711" s="43"/>
      <c r="AA711" s="50"/>
      <c r="AB711" s="43"/>
      <c r="AC711" s="50"/>
      <c r="AD711" s="43"/>
      <c r="AE711" s="50"/>
      <c r="AF711" s="43"/>
      <c r="AG711" s="50"/>
      <c r="AH711" s="43"/>
      <c r="AI711" s="50"/>
      <c r="AJ711" s="43"/>
      <c r="AK711" s="50"/>
      <c r="AL711" s="43"/>
      <c r="AM711" s="50"/>
      <c r="AO711" s="43"/>
      <c r="AP711" s="46"/>
      <c r="AQ711" s="43"/>
      <c r="AR711" s="119"/>
      <c r="AS711" s="1"/>
      <c r="AT711" s="1"/>
    </row>
    <row r="712">
      <c r="A712" s="43"/>
      <c r="B712" s="59" t="str">
        <f>IFERROR(HYPERLINK(VLOOKUP(A712,Internal_lists_bugs!$A$2:$C$73,3,FALSE()), VLOOKUP(A712,Internal_lists_bugs!$A$2:$C$73,3,FALSE())&amp;Char(10) &amp; Char(10) &amp; VLOOKUP(A712,Internal_lists_bugs!$A$2:$Z$73,26,FALSE())),"please select a BUG ID")</f>
        <v>please select a BUG ID</v>
      </c>
      <c r="C712" s="51" t="str">
        <f>IFERROR(VLOOKUP(A712,Internal_lists_bugs!$A$2:$G2003,7,FALSE()),"please select a BUG ID")</f>
        <v>please select a BUG ID</v>
      </c>
      <c r="D712" s="43"/>
      <c r="E712" s="63"/>
      <c r="F712" s="43"/>
      <c r="G712" s="63"/>
      <c r="H712" s="43"/>
      <c r="I712" s="63"/>
      <c r="J712" s="43"/>
      <c r="K712" s="50"/>
      <c r="L712" s="43"/>
      <c r="M712" s="50"/>
      <c r="N712" s="43"/>
      <c r="O712" s="50"/>
      <c r="P712" s="43"/>
      <c r="Q712" s="50"/>
      <c r="R712" s="43"/>
      <c r="S712" s="50"/>
      <c r="T712" s="43"/>
      <c r="U712" s="50"/>
      <c r="V712" s="43"/>
      <c r="W712" s="50"/>
      <c r="X712" s="43"/>
      <c r="Y712" s="50"/>
      <c r="Z712" s="43"/>
      <c r="AA712" s="50"/>
      <c r="AB712" s="43"/>
      <c r="AC712" s="50"/>
      <c r="AD712" s="43"/>
      <c r="AE712" s="50"/>
      <c r="AF712" s="43"/>
      <c r="AG712" s="50"/>
      <c r="AH712" s="43"/>
      <c r="AI712" s="50"/>
      <c r="AJ712" s="43"/>
      <c r="AK712" s="50"/>
      <c r="AL712" s="43"/>
      <c r="AM712" s="50"/>
      <c r="AO712" s="43"/>
      <c r="AP712" s="46"/>
      <c r="AQ712" s="43"/>
      <c r="AR712" s="119"/>
      <c r="AS712" s="1"/>
      <c r="AT712" s="1"/>
    </row>
    <row r="713">
      <c r="A713" s="43"/>
      <c r="B713" s="59" t="str">
        <f>IFERROR(HYPERLINK(VLOOKUP(A713,Internal_lists_bugs!$A$2:$C$73,3,FALSE()), VLOOKUP(A713,Internal_lists_bugs!$A$2:$C$73,3,FALSE())&amp;Char(10) &amp; Char(10) &amp; VLOOKUP(A713,Internal_lists_bugs!$A$2:$Z$73,26,FALSE())),"please select a BUG ID")</f>
        <v>please select a BUG ID</v>
      </c>
      <c r="C713" s="51" t="str">
        <f>IFERROR(VLOOKUP(A713,Internal_lists_bugs!$A$2:$G2003,7,FALSE()),"please select a BUG ID")</f>
        <v>please select a BUG ID</v>
      </c>
      <c r="D713" s="43"/>
      <c r="E713" s="63"/>
      <c r="F713" s="43"/>
      <c r="G713" s="63"/>
      <c r="H713" s="43"/>
      <c r="I713" s="63"/>
      <c r="J713" s="43"/>
      <c r="K713" s="50"/>
      <c r="L713" s="43"/>
      <c r="M713" s="50"/>
      <c r="N713" s="43"/>
      <c r="O713" s="50"/>
      <c r="P713" s="43"/>
      <c r="Q713" s="50"/>
      <c r="R713" s="43"/>
      <c r="S713" s="50"/>
      <c r="T713" s="43"/>
      <c r="U713" s="50"/>
      <c r="V713" s="43"/>
      <c r="W713" s="50"/>
      <c r="X713" s="43"/>
      <c r="Y713" s="50"/>
      <c r="Z713" s="43"/>
      <c r="AA713" s="50"/>
      <c r="AB713" s="43"/>
      <c r="AC713" s="50"/>
      <c r="AD713" s="43"/>
      <c r="AE713" s="50"/>
      <c r="AF713" s="43"/>
      <c r="AG713" s="50"/>
      <c r="AH713" s="43"/>
      <c r="AI713" s="50"/>
      <c r="AJ713" s="43"/>
      <c r="AK713" s="50"/>
      <c r="AL713" s="43"/>
      <c r="AM713" s="50"/>
      <c r="AO713" s="43"/>
      <c r="AP713" s="46"/>
      <c r="AQ713" s="43"/>
      <c r="AR713" s="119"/>
      <c r="AS713" s="1"/>
      <c r="AT713" s="1"/>
    </row>
    <row r="714">
      <c r="A714" s="43"/>
      <c r="B714" s="59" t="str">
        <f>IFERROR(HYPERLINK(VLOOKUP(A714,Internal_lists_bugs!$A$2:$C$73,3,FALSE()), VLOOKUP(A714,Internal_lists_bugs!$A$2:$C$73,3,FALSE())&amp;Char(10) &amp; Char(10) &amp; VLOOKUP(A714,Internal_lists_bugs!$A$2:$Z$73,26,FALSE())),"please select a BUG ID")</f>
        <v>please select a BUG ID</v>
      </c>
      <c r="C714" s="51" t="str">
        <f>IFERROR(VLOOKUP(A714,Internal_lists_bugs!$A$2:$G2003,7,FALSE()),"please select a BUG ID")</f>
        <v>please select a BUG ID</v>
      </c>
      <c r="D714" s="43"/>
      <c r="E714" s="63"/>
      <c r="F714" s="43"/>
      <c r="G714" s="63"/>
      <c r="H714" s="43"/>
      <c r="I714" s="63"/>
      <c r="J714" s="43"/>
      <c r="K714" s="50"/>
      <c r="L714" s="43"/>
      <c r="M714" s="50"/>
      <c r="N714" s="43"/>
      <c r="O714" s="50"/>
      <c r="P714" s="43"/>
      <c r="Q714" s="50"/>
      <c r="R714" s="43"/>
      <c r="S714" s="50"/>
      <c r="T714" s="43"/>
      <c r="U714" s="50"/>
      <c r="V714" s="43"/>
      <c r="W714" s="50"/>
      <c r="X714" s="43"/>
      <c r="Y714" s="50"/>
      <c r="Z714" s="43"/>
      <c r="AA714" s="50"/>
      <c r="AB714" s="43"/>
      <c r="AC714" s="50"/>
      <c r="AD714" s="43"/>
      <c r="AE714" s="50"/>
      <c r="AF714" s="43"/>
      <c r="AG714" s="50"/>
      <c r="AH714" s="43"/>
      <c r="AI714" s="50"/>
      <c r="AJ714" s="43"/>
      <c r="AK714" s="50"/>
      <c r="AL714" s="43"/>
      <c r="AM714" s="50"/>
      <c r="AO714" s="43"/>
      <c r="AP714" s="46"/>
      <c r="AQ714" s="43"/>
      <c r="AR714" s="119"/>
      <c r="AS714" s="1"/>
      <c r="AT714" s="1"/>
    </row>
    <row r="715">
      <c r="A715" s="43"/>
      <c r="B715" s="59" t="str">
        <f>IFERROR(HYPERLINK(VLOOKUP(A715,Internal_lists_bugs!$A$2:$C$73,3,FALSE()), VLOOKUP(A715,Internal_lists_bugs!$A$2:$C$73,3,FALSE())&amp;Char(10) &amp; Char(10) &amp; VLOOKUP(A715,Internal_lists_bugs!$A$2:$Z$73,26,FALSE())),"please select a BUG ID")</f>
        <v>please select a BUG ID</v>
      </c>
      <c r="C715" s="51" t="str">
        <f>IFERROR(VLOOKUP(A715,Internal_lists_bugs!$A$2:$G2003,7,FALSE()),"please select a BUG ID")</f>
        <v>please select a BUG ID</v>
      </c>
      <c r="D715" s="43"/>
      <c r="E715" s="63"/>
      <c r="F715" s="43"/>
      <c r="G715" s="63"/>
      <c r="H715" s="43"/>
      <c r="I715" s="63"/>
      <c r="J715" s="43"/>
      <c r="K715" s="50"/>
      <c r="L715" s="43"/>
      <c r="M715" s="50"/>
      <c r="N715" s="43"/>
      <c r="O715" s="50"/>
      <c r="P715" s="43"/>
      <c r="Q715" s="50"/>
      <c r="R715" s="43"/>
      <c r="S715" s="50"/>
      <c r="T715" s="43"/>
      <c r="U715" s="50"/>
      <c r="V715" s="43"/>
      <c r="W715" s="50"/>
      <c r="X715" s="43"/>
      <c r="Y715" s="50"/>
      <c r="Z715" s="43"/>
      <c r="AA715" s="50"/>
      <c r="AB715" s="43"/>
      <c r="AC715" s="50"/>
      <c r="AD715" s="43"/>
      <c r="AE715" s="50"/>
      <c r="AF715" s="43"/>
      <c r="AG715" s="50"/>
      <c r="AH715" s="43"/>
      <c r="AI715" s="50"/>
      <c r="AJ715" s="43"/>
      <c r="AK715" s="50"/>
      <c r="AL715" s="43"/>
      <c r="AM715" s="50"/>
      <c r="AO715" s="43"/>
      <c r="AP715" s="46"/>
      <c r="AQ715" s="43"/>
      <c r="AR715" s="119"/>
      <c r="AS715" s="1"/>
      <c r="AT715" s="1"/>
    </row>
    <row r="716">
      <c r="A716" s="43"/>
      <c r="B716" s="59" t="str">
        <f>IFERROR(HYPERLINK(VLOOKUP(A716,Internal_lists_bugs!$A$2:$C$73,3,FALSE()), VLOOKUP(A716,Internal_lists_bugs!$A$2:$C$73,3,FALSE())&amp;Char(10) &amp; Char(10) &amp; VLOOKUP(A716,Internal_lists_bugs!$A$2:$Z$73,26,FALSE())),"please select a BUG ID")</f>
        <v>please select a BUG ID</v>
      </c>
      <c r="C716" s="51" t="str">
        <f>IFERROR(VLOOKUP(A716,Internal_lists_bugs!$A$2:$G2003,7,FALSE()),"please select a BUG ID")</f>
        <v>please select a BUG ID</v>
      </c>
      <c r="D716" s="43"/>
      <c r="E716" s="63"/>
      <c r="F716" s="43"/>
      <c r="G716" s="63"/>
      <c r="H716" s="43"/>
      <c r="I716" s="63"/>
      <c r="J716" s="43"/>
      <c r="K716" s="50"/>
      <c r="L716" s="43"/>
      <c r="M716" s="50"/>
      <c r="N716" s="43"/>
      <c r="O716" s="50"/>
      <c r="P716" s="43"/>
      <c r="Q716" s="50"/>
      <c r="R716" s="43"/>
      <c r="S716" s="50"/>
      <c r="T716" s="43"/>
      <c r="U716" s="50"/>
      <c r="V716" s="43"/>
      <c r="W716" s="50"/>
      <c r="X716" s="43"/>
      <c r="Y716" s="50"/>
      <c r="Z716" s="43"/>
      <c r="AA716" s="50"/>
      <c r="AB716" s="43"/>
      <c r="AC716" s="50"/>
      <c r="AD716" s="43"/>
      <c r="AE716" s="50"/>
      <c r="AF716" s="43"/>
      <c r="AG716" s="50"/>
      <c r="AH716" s="43"/>
      <c r="AI716" s="50"/>
      <c r="AJ716" s="43"/>
      <c r="AK716" s="50"/>
      <c r="AL716" s="43"/>
      <c r="AM716" s="50"/>
      <c r="AO716" s="43"/>
      <c r="AP716" s="46"/>
      <c r="AQ716" s="43"/>
      <c r="AR716" s="119"/>
      <c r="AS716" s="1"/>
      <c r="AT716" s="1"/>
    </row>
    <row r="717">
      <c r="A717" s="43"/>
      <c r="B717" s="59" t="str">
        <f>IFERROR(HYPERLINK(VLOOKUP(A717,Internal_lists_bugs!$A$2:$C$73,3,FALSE()), VLOOKUP(A717,Internal_lists_bugs!$A$2:$C$73,3,FALSE())&amp;Char(10) &amp; Char(10) &amp; VLOOKUP(A717,Internal_lists_bugs!$A$2:$Z$73,26,FALSE())),"please select a BUG ID")</f>
        <v>please select a BUG ID</v>
      </c>
      <c r="C717" s="51" t="str">
        <f>IFERROR(VLOOKUP(A717,Internal_lists_bugs!$A$2:$G2003,7,FALSE()),"please select a BUG ID")</f>
        <v>please select a BUG ID</v>
      </c>
      <c r="D717" s="43"/>
      <c r="E717" s="63"/>
      <c r="F717" s="43"/>
      <c r="G717" s="63"/>
      <c r="H717" s="43"/>
      <c r="I717" s="63"/>
      <c r="J717" s="43"/>
      <c r="K717" s="50"/>
      <c r="L717" s="43"/>
      <c r="M717" s="50"/>
      <c r="N717" s="43"/>
      <c r="O717" s="50"/>
      <c r="P717" s="43"/>
      <c r="Q717" s="50"/>
      <c r="R717" s="43"/>
      <c r="S717" s="50"/>
      <c r="T717" s="43"/>
      <c r="U717" s="50"/>
      <c r="V717" s="43"/>
      <c r="W717" s="50"/>
      <c r="X717" s="43"/>
      <c r="Y717" s="50"/>
      <c r="Z717" s="43"/>
      <c r="AA717" s="50"/>
      <c r="AB717" s="43"/>
      <c r="AC717" s="50"/>
      <c r="AD717" s="43"/>
      <c r="AE717" s="50"/>
      <c r="AF717" s="43"/>
      <c r="AG717" s="50"/>
      <c r="AH717" s="43"/>
      <c r="AI717" s="50"/>
      <c r="AJ717" s="43"/>
      <c r="AK717" s="50"/>
      <c r="AL717" s="43"/>
      <c r="AM717" s="50"/>
      <c r="AO717" s="43"/>
      <c r="AP717" s="46"/>
      <c r="AQ717" s="43"/>
      <c r="AR717" s="119"/>
      <c r="AS717" s="1"/>
      <c r="AT717" s="1"/>
    </row>
    <row r="718">
      <c r="A718" s="43"/>
      <c r="B718" s="59" t="str">
        <f>IFERROR(HYPERLINK(VLOOKUP(A718,Internal_lists_bugs!$A$2:$C$73,3,FALSE()), VLOOKUP(A718,Internal_lists_bugs!$A$2:$C$73,3,FALSE())&amp;Char(10) &amp; Char(10) &amp; VLOOKUP(A718,Internal_lists_bugs!$A$2:$Z$73,26,FALSE())),"please select a BUG ID")</f>
        <v>please select a BUG ID</v>
      </c>
      <c r="C718" s="51" t="str">
        <f>IFERROR(VLOOKUP(A718,Internal_lists_bugs!$A$2:$G2003,7,FALSE()),"please select a BUG ID")</f>
        <v>please select a BUG ID</v>
      </c>
      <c r="D718" s="43"/>
      <c r="E718" s="63"/>
      <c r="F718" s="43"/>
      <c r="G718" s="63"/>
      <c r="H718" s="43"/>
      <c r="I718" s="63"/>
      <c r="J718" s="43"/>
      <c r="K718" s="50"/>
      <c r="L718" s="43"/>
      <c r="M718" s="50"/>
      <c r="N718" s="43"/>
      <c r="O718" s="50"/>
      <c r="P718" s="43"/>
      <c r="Q718" s="50"/>
      <c r="R718" s="43"/>
      <c r="S718" s="50"/>
      <c r="T718" s="43"/>
      <c r="U718" s="50"/>
      <c r="V718" s="43"/>
      <c r="W718" s="50"/>
      <c r="X718" s="43"/>
      <c r="Y718" s="50"/>
      <c r="Z718" s="43"/>
      <c r="AA718" s="50"/>
      <c r="AB718" s="43"/>
      <c r="AC718" s="50"/>
      <c r="AD718" s="43"/>
      <c r="AE718" s="50"/>
      <c r="AF718" s="43"/>
      <c r="AG718" s="50"/>
      <c r="AH718" s="43"/>
      <c r="AI718" s="50"/>
      <c r="AJ718" s="43"/>
      <c r="AK718" s="50"/>
      <c r="AL718" s="43"/>
      <c r="AM718" s="50"/>
      <c r="AO718" s="43"/>
      <c r="AP718" s="46"/>
      <c r="AQ718" s="43"/>
      <c r="AR718" s="119"/>
      <c r="AS718" s="1"/>
      <c r="AT718" s="1"/>
    </row>
    <row r="719">
      <c r="A719" s="43"/>
      <c r="B719" s="59" t="str">
        <f>IFERROR(HYPERLINK(VLOOKUP(A719,Internal_lists_bugs!$A$2:$C$73,3,FALSE()), VLOOKUP(A719,Internal_lists_bugs!$A$2:$C$73,3,FALSE())&amp;Char(10) &amp; Char(10) &amp; VLOOKUP(A719,Internal_lists_bugs!$A$2:$Z$73,26,FALSE())),"please select a BUG ID")</f>
        <v>please select a BUG ID</v>
      </c>
      <c r="C719" s="51" t="str">
        <f>IFERROR(VLOOKUP(A719,Internal_lists_bugs!$A$2:$G2003,7,FALSE()),"please select a BUG ID")</f>
        <v>please select a BUG ID</v>
      </c>
      <c r="D719" s="43"/>
      <c r="E719" s="63"/>
      <c r="F719" s="43"/>
      <c r="G719" s="63"/>
      <c r="H719" s="43"/>
      <c r="I719" s="63"/>
      <c r="J719" s="43"/>
      <c r="K719" s="50"/>
      <c r="L719" s="43"/>
      <c r="M719" s="50"/>
      <c r="N719" s="43"/>
      <c r="O719" s="50"/>
      <c r="P719" s="43"/>
      <c r="Q719" s="50"/>
      <c r="R719" s="43"/>
      <c r="S719" s="50"/>
      <c r="T719" s="43"/>
      <c r="U719" s="50"/>
      <c r="V719" s="43"/>
      <c r="W719" s="50"/>
      <c r="X719" s="43"/>
      <c r="Y719" s="50"/>
      <c r="Z719" s="43"/>
      <c r="AA719" s="50"/>
      <c r="AB719" s="43"/>
      <c r="AC719" s="50"/>
      <c r="AD719" s="43"/>
      <c r="AE719" s="50"/>
      <c r="AF719" s="43"/>
      <c r="AG719" s="50"/>
      <c r="AH719" s="43"/>
      <c r="AI719" s="50"/>
      <c r="AJ719" s="43"/>
      <c r="AK719" s="50"/>
      <c r="AL719" s="43"/>
      <c r="AM719" s="50"/>
      <c r="AO719" s="43"/>
      <c r="AP719" s="46"/>
      <c r="AQ719" s="43"/>
      <c r="AR719" s="119"/>
      <c r="AS719" s="1"/>
      <c r="AT719" s="1"/>
    </row>
    <row r="720">
      <c r="A720" s="43"/>
      <c r="B720" s="59" t="str">
        <f>IFERROR(HYPERLINK(VLOOKUP(A720,Internal_lists_bugs!$A$2:$C$73,3,FALSE()), VLOOKUP(A720,Internal_lists_bugs!$A$2:$C$73,3,FALSE())&amp;Char(10) &amp; Char(10) &amp; VLOOKUP(A720,Internal_lists_bugs!$A$2:$Z$73,26,FALSE())),"please select a BUG ID")</f>
        <v>please select a BUG ID</v>
      </c>
      <c r="C720" s="51" t="str">
        <f>IFERROR(VLOOKUP(A720,Internal_lists_bugs!$A$2:$G2003,7,FALSE()),"please select a BUG ID")</f>
        <v>please select a BUG ID</v>
      </c>
      <c r="D720" s="43"/>
      <c r="E720" s="63"/>
      <c r="F720" s="43"/>
      <c r="G720" s="63"/>
      <c r="H720" s="43"/>
      <c r="I720" s="63"/>
      <c r="J720" s="43"/>
      <c r="K720" s="50"/>
      <c r="L720" s="43"/>
      <c r="M720" s="50"/>
      <c r="N720" s="43"/>
      <c r="O720" s="50"/>
      <c r="P720" s="43"/>
      <c r="Q720" s="50"/>
      <c r="R720" s="43"/>
      <c r="S720" s="50"/>
      <c r="T720" s="43"/>
      <c r="U720" s="50"/>
      <c r="V720" s="43"/>
      <c r="W720" s="50"/>
      <c r="X720" s="43"/>
      <c r="Y720" s="50"/>
      <c r="Z720" s="43"/>
      <c r="AA720" s="50"/>
      <c r="AB720" s="43"/>
      <c r="AC720" s="50"/>
      <c r="AD720" s="43"/>
      <c r="AE720" s="50"/>
      <c r="AF720" s="43"/>
      <c r="AG720" s="50"/>
      <c r="AH720" s="43"/>
      <c r="AI720" s="50"/>
      <c r="AJ720" s="43"/>
      <c r="AK720" s="50"/>
      <c r="AL720" s="43"/>
      <c r="AM720" s="50"/>
      <c r="AO720" s="43"/>
      <c r="AP720" s="46"/>
      <c r="AQ720" s="43"/>
      <c r="AR720" s="119"/>
      <c r="AS720" s="1"/>
      <c r="AT720" s="1"/>
    </row>
    <row r="721">
      <c r="A721" s="43"/>
      <c r="B721" s="59" t="str">
        <f>IFERROR(HYPERLINK(VLOOKUP(A721,Internal_lists_bugs!$A$2:$C$73,3,FALSE()), VLOOKUP(A721,Internal_lists_bugs!$A$2:$C$73,3,FALSE())&amp;Char(10) &amp; Char(10) &amp; VLOOKUP(A721,Internal_lists_bugs!$A$2:$Z$73,26,FALSE())),"please select a BUG ID")</f>
        <v>please select a BUG ID</v>
      </c>
      <c r="C721" s="51" t="str">
        <f>IFERROR(VLOOKUP(A721,Internal_lists_bugs!$A$2:$G2003,7,FALSE()),"please select a BUG ID")</f>
        <v>please select a BUG ID</v>
      </c>
      <c r="D721" s="43"/>
      <c r="E721" s="63"/>
      <c r="F721" s="43"/>
      <c r="G721" s="63"/>
      <c r="H721" s="43"/>
      <c r="I721" s="63"/>
      <c r="J721" s="43"/>
      <c r="K721" s="50"/>
      <c r="L721" s="43"/>
      <c r="M721" s="50"/>
      <c r="N721" s="43"/>
      <c r="O721" s="50"/>
      <c r="P721" s="43"/>
      <c r="Q721" s="50"/>
      <c r="R721" s="43"/>
      <c r="S721" s="50"/>
      <c r="T721" s="43"/>
      <c r="U721" s="50"/>
      <c r="V721" s="43"/>
      <c r="W721" s="50"/>
      <c r="X721" s="43"/>
      <c r="Y721" s="50"/>
      <c r="Z721" s="43"/>
      <c r="AA721" s="50"/>
      <c r="AB721" s="43"/>
      <c r="AC721" s="50"/>
      <c r="AD721" s="43"/>
      <c r="AE721" s="50"/>
      <c r="AF721" s="43"/>
      <c r="AG721" s="50"/>
      <c r="AH721" s="43"/>
      <c r="AI721" s="50"/>
      <c r="AJ721" s="43"/>
      <c r="AK721" s="50"/>
      <c r="AL721" s="43"/>
      <c r="AM721" s="50"/>
      <c r="AO721" s="43"/>
      <c r="AP721" s="46"/>
      <c r="AQ721" s="43"/>
      <c r="AR721" s="119"/>
      <c r="AS721" s="1"/>
      <c r="AT721" s="1"/>
    </row>
    <row r="722">
      <c r="A722" s="43"/>
      <c r="B722" s="59" t="str">
        <f>IFERROR(HYPERLINK(VLOOKUP(A722,Internal_lists_bugs!$A$2:$C$73,3,FALSE()), VLOOKUP(A722,Internal_lists_bugs!$A$2:$C$73,3,FALSE())&amp;Char(10) &amp; Char(10) &amp; VLOOKUP(A722,Internal_lists_bugs!$A$2:$Z$73,26,FALSE())),"please select a BUG ID")</f>
        <v>please select a BUG ID</v>
      </c>
      <c r="C722" s="51" t="str">
        <f>IFERROR(VLOOKUP(A722,Internal_lists_bugs!$A$2:$G2003,7,FALSE()),"please select a BUG ID")</f>
        <v>please select a BUG ID</v>
      </c>
      <c r="D722" s="43"/>
      <c r="E722" s="63"/>
      <c r="F722" s="43"/>
      <c r="G722" s="63"/>
      <c r="H722" s="43"/>
      <c r="I722" s="63"/>
      <c r="J722" s="43"/>
      <c r="K722" s="50"/>
      <c r="L722" s="43"/>
      <c r="M722" s="50"/>
      <c r="N722" s="43"/>
      <c r="O722" s="50"/>
      <c r="P722" s="43"/>
      <c r="Q722" s="50"/>
      <c r="R722" s="43"/>
      <c r="S722" s="50"/>
      <c r="T722" s="43"/>
      <c r="U722" s="50"/>
      <c r="V722" s="43"/>
      <c r="W722" s="50"/>
      <c r="X722" s="43"/>
      <c r="Y722" s="50"/>
      <c r="Z722" s="43"/>
      <c r="AA722" s="50"/>
      <c r="AB722" s="43"/>
      <c r="AC722" s="50"/>
      <c r="AD722" s="43"/>
      <c r="AE722" s="50"/>
      <c r="AF722" s="43"/>
      <c r="AG722" s="50"/>
      <c r="AH722" s="43"/>
      <c r="AI722" s="50"/>
      <c r="AJ722" s="43"/>
      <c r="AK722" s="50"/>
      <c r="AL722" s="43"/>
      <c r="AM722" s="50"/>
      <c r="AO722" s="43"/>
      <c r="AP722" s="46"/>
      <c r="AQ722" s="43"/>
      <c r="AR722" s="119"/>
      <c r="AS722" s="1"/>
      <c r="AT722" s="1"/>
    </row>
    <row r="723">
      <c r="A723" s="43"/>
      <c r="B723" s="59" t="str">
        <f>IFERROR(HYPERLINK(VLOOKUP(A723,Internal_lists_bugs!$A$2:$C$73,3,FALSE()), VLOOKUP(A723,Internal_lists_bugs!$A$2:$C$73,3,FALSE())&amp;Char(10) &amp; Char(10) &amp; VLOOKUP(A723,Internal_lists_bugs!$A$2:$Z$73,26,FALSE())),"please select a BUG ID")</f>
        <v>please select a BUG ID</v>
      </c>
      <c r="C723" s="51" t="str">
        <f>IFERROR(VLOOKUP(A723,Internal_lists_bugs!$A$2:$G2003,7,FALSE()),"please select a BUG ID")</f>
        <v>please select a BUG ID</v>
      </c>
      <c r="D723" s="43"/>
      <c r="E723" s="63"/>
      <c r="F723" s="43"/>
      <c r="G723" s="63"/>
      <c r="H723" s="43"/>
      <c r="I723" s="63"/>
      <c r="J723" s="43"/>
      <c r="K723" s="50"/>
      <c r="L723" s="43"/>
      <c r="M723" s="50"/>
      <c r="N723" s="43"/>
      <c r="O723" s="50"/>
      <c r="P723" s="43"/>
      <c r="Q723" s="50"/>
      <c r="R723" s="43"/>
      <c r="S723" s="50"/>
      <c r="T723" s="43"/>
      <c r="U723" s="50"/>
      <c r="V723" s="43"/>
      <c r="W723" s="50"/>
      <c r="X723" s="43"/>
      <c r="Y723" s="50"/>
      <c r="Z723" s="43"/>
      <c r="AA723" s="50"/>
      <c r="AB723" s="43"/>
      <c r="AC723" s="50"/>
      <c r="AD723" s="43"/>
      <c r="AE723" s="50"/>
      <c r="AF723" s="43"/>
      <c r="AG723" s="50"/>
      <c r="AH723" s="43"/>
      <c r="AI723" s="50"/>
      <c r="AJ723" s="43"/>
      <c r="AK723" s="50"/>
      <c r="AL723" s="43"/>
      <c r="AM723" s="50"/>
      <c r="AO723" s="43"/>
      <c r="AP723" s="46"/>
      <c r="AQ723" s="43"/>
      <c r="AR723" s="119"/>
      <c r="AS723" s="1"/>
      <c r="AT723" s="1"/>
    </row>
    <row r="724">
      <c r="A724" s="43"/>
      <c r="B724" s="59" t="str">
        <f>IFERROR(HYPERLINK(VLOOKUP(A724,Internal_lists_bugs!$A$2:$C$73,3,FALSE()), VLOOKUP(A724,Internal_lists_bugs!$A$2:$C$73,3,FALSE())&amp;Char(10) &amp; Char(10) &amp; VLOOKUP(A724,Internal_lists_bugs!$A$2:$Z$73,26,FALSE())),"please select a BUG ID")</f>
        <v>please select a BUG ID</v>
      </c>
      <c r="C724" s="51" t="str">
        <f>IFERROR(VLOOKUP(A724,Internal_lists_bugs!$A$2:$G2003,7,FALSE()),"please select a BUG ID")</f>
        <v>please select a BUG ID</v>
      </c>
      <c r="D724" s="43"/>
      <c r="E724" s="63"/>
      <c r="F724" s="43"/>
      <c r="G724" s="63"/>
      <c r="H724" s="43"/>
      <c r="I724" s="63"/>
      <c r="J724" s="43"/>
      <c r="K724" s="50"/>
      <c r="L724" s="43"/>
      <c r="M724" s="50"/>
      <c r="N724" s="43"/>
      <c r="O724" s="50"/>
      <c r="P724" s="43"/>
      <c r="Q724" s="50"/>
      <c r="R724" s="43"/>
      <c r="S724" s="50"/>
      <c r="T724" s="43"/>
      <c r="U724" s="50"/>
      <c r="V724" s="43"/>
      <c r="W724" s="50"/>
      <c r="X724" s="43"/>
      <c r="Y724" s="50"/>
      <c r="Z724" s="43"/>
      <c r="AA724" s="50"/>
      <c r="AB724" s="43"/>
      <c r="AC724" s="50"/>
      <c r="AD724" s="43"/>
      <c r="AE724" s="50"/>
      <c r="AF724" s="43"/>
      <c r="AG724" s="50"/>
      <c r="AH724" s="43"/>
      <c r="AI724" s="50"/>
      <c r="AJ724" s="43"/>
      <c r="AK724" s="50"/>
      <c r="AL724" s="43"/>
      <c r="AM724" s="50"/>
      <c r="AO724" s="43"/>
      <c r="AP724" s="46"/>
      <c r="AQ724" s="43"/>
      <c r="AR724" s="119"/>
      <c r="AS724" s="1"/>
      <c r="AT724" s="1"/>
    </row>
    <row r="725">
      <c r="A725" s="43"/>
      <c r="B725" s="59" t="str">
        <f>IFERROR(HYPERLINK(VLOOKUP(A725,Internal_lists_bugs!$A$2:$C$73,3,FALSE()), VLOOKUP(A725,Internal_lists_bugs!$A$2:$C$73,3,FALSE())&amp;Char(10) &amp; Char(10) &amp; VLOOKUP(A725,Internal_lists_bugs!$A$2:$Z$73,26,FALSE())),"please select a BUG ID")</f>
        <v>please select a BUG ID</v>
      </c>
      <c r="C725" s="51" t="str">
        <f>IFERROR(VLOOKUP(A725,Internal_lists_bugs!$A$2:$G2003,7,FALSE()),"please select a BUG ID")</f>
        <v>please select a BUG ID</v>
      </c>
      <c r="D725" s="43"/>
      <c r="E725" s="63"/>
      <c r="F725" s="43"/>
      <c r="G725" s="63"/>
      <c r="H725" s="43"/>
      <c r="I725" s="63"/>
      <c r="J725" s="43"/>
      <c r="K725" s="50"/>
      <c r="L725" s="43"/>
      <c r="M725" s="50"/>
      <c r="N725" s="43"/>
      <c r="O725" s="50"/>
      <c r="P725" s="43"/>
      <c r="Q725" s="50"/>
      <c r="R725" s="43"/>
      <c r="S725" s="50"/>
      <c r="T725" s="43"/>
      <c r="U725" s="50"/>
      <c r="V725" s="43"/>
      <c r="W725" s="50"/>
      <c r="X725" s="43"/>
      <c r="Y725" s="50"/>
      <c r="Z725" s="43"/>
      <c r="AA725" s="50"/>
      <c r="AB725" s="43"/>
      <c r="AC725" s="50"/>
      <c r="AD725" s="43"/>
      <c r="AE725" s="50"/>
      <c r="AF725" s="43"/>
      <c r="AG725" s="50"/>
      <c r="AH725" s="43"/>
      <c r="AI725" s="50"/>
      <c r="AJ725" s="43"/>
      <c r="AK725" s="50"/>
      <c r="AL725" s="43"/>
      <c r="AM725" s="50"/>
      <c r="AO725" s="43"/>
      <c r="AP725" s="46"/>
      <c r="AQ725" s="43"/>
      <c r="AR725" s="119"/>
      <c r="AS725" s="1"/>
      <c r="AT725" s="1"/>
    </row>
    <row r="726">
      <c r="A726" s="43"/>
      <c r="B726" s="59" t="str">
        <f>IFERROR(HYPERLINK(VLOOKUP(A726,Internal_lists_bugs!$A$2:$C$73,3,FALSE()), VLOOKUP(A726,Internal_lists_bugs!$A$2:$C$73,3,FALSE())&amp;Char(10) &amp; Char(10) &amp; VLOOKUP(A726,Internal_lists_bugs!$A$2:$Z$73,26,FALSE())),"please select a BUG ID")</f>
        <v>please select a BUG ID</v>
      </c>
      <c r="C726" s="51" t="str">
        <f>IFERROR(VLOOKUP(A726,Internal_lists_bugs!$A$2:$G2003,7,FALSE()),"please select a BUG ID")</f>
        <v>please select a BUG ID</v>
      </c>
      <c r="D726" s="43"/>
      <c r="E726" s="63"/>
      <c r="F726" s="43"/>
      <c r="G726" s="63"/>
      <c r="H726" s="43"/>
      <c r="I726" s="63"/>
      <c r="J726" s="43"/>
      <c r="K726" s="50"/>
      <c r="L726" s="43"/>
      <c r="M726" s="50"/>
      <c r="N726" s="43"/>
      <c r="O726" s="50"/>
      <c r="P726" s="43"/>
      <c r="Q726" s="50"/>
      <c r="R726" s="43"/>
      <c r="S726" s="50"/>
      <c r="T726" s="43"/>
      <c r="U726" s="50"/>
      <c r="V726" s="43"/>
      <c r="W726" s="50"/>
      <c r="X726" s="43"/>
      <c r="Y726" s="50"/>
      <c r="Z726" s="43"/>
      <c r="AA726" s="50"/>
      <c r="AB726" s="43"/>
      <c r="AC726" s="50"/>
      <c r="AD726" s="43"/>
      <c r="AE726" s="50"/>
      <c r="AF726" s="43"/>
      <c r="AG726" s="50"/>
      <c r="AH726" s="43"/>
      <c r="AI726" s="50"/>
      <c r="AJ726" s="43"/>
      <c r="AK726" s="50"/>
      <c r="AL726" s="43"/>
      <c r="AM726" s="50"/>
      <c r="AO726" s="43"/>
      <c r="AP726" s="46"/>
      <c r="AQ726" s="43"/>
      <c r="AR726" s="119"/>
      <c r="AS726" s="1"/>
      <c r="AT726" s="1"/>
    </row>
    <row r="727">
      <c r="A727" s="43"/>
      <c r="B727" s="59" t="str">
        <f>IFERROR(HYPERLINK(VLOOKUP(A727,Internal_lists_bugs!$A$2:$C$73,3,FALSE()), VLOOKUP(A727,Internal_lists_bugs!$A$2:$C$73,3,FALSE())&amp;Char(10) &amp; Char(10) &amp; VLOOKUP(A727,Internal_lists_bugs!$A$2:$Z$73,26,FALSE())),"please select a BUG ID")</f>
        <v>please select a BUG ID</v>
      </c>
      <c r="C727" s="51" t="str">
        <f>IFERROR(VLOOKUP(A727,Internal_lists_bugs!$A$2:$G2003,7,FALSE()),"please select a BUG ID")</f>
        <v>please select a BUG ID</v>
      </c>
      <c r="D727" s="43"/>
      <c r="E727" s="63"/>
      <c r="F727" s="43"/>
      <c r="G727" s="63"/>
      <c r="H727" s="43"/>
      <c r="I727" s="63"/>
      <c r="J727" s="43"/>
      <c r="K727" s="50"/>
      <c r="L727" s="43"/>
      <c r="M727" s="50"/>
      <c r="N727" s="43"/>
      <c r="O727" s="50"/>
      <c r="P727" s="43"/>
      <c r="Q727" s="50"/>
      <c r="R727" s="43"/>
      <c r="S727" s="50"/>
      <c r="T727" s="43"/>
      <c r="U727" s="50"/>
      <c r="V727" s="43"/>
      <c r="W727" s="50"/>
      <c r="X727" s="43"/>
      <c r="Y727" s="50"/>
      <c r="Z727" s="43"/>
      <c r="AA727" s="50"/>
      <c r="AB727" s="43"/>
      <c r="AC727" s="50"/>
      <c r="AD727" s="43"/>
      <c r="AE727" s="50"/>
      <c r="AF727" s="43"/>
      <c r="AG727" s="50"/>
      <c r="AH727" s="43"/>
      <c r="AI727" s="50"/>
      <c r="AJ727" s="43"/>
      <c r="AK727" s="50"/>
      <c r="AL727" s="43"/>
      <c r="AM727" s="50"/>
      <c r="AO727" s="43"/>
      <c r="AP727" s="46"/>
      <c r="AQ727" s="43"/>
      <c r="AR727" s="119"/>
      <c r="AS727" s="1"/>
      <c r="AT727" s="1"/>
    </row>
    <row r="728">
      <c r="A728" s="43"/>
      <c r="B728" s="59" t="str">
        <f>IFERROR(HYPERLINK(VLOOKUP(A728,Internal_lists_bugs!$A$2:$C$73,3,FALSE()), VLOOKUP(A728,Internal_lists_bugs!$A$2:$C$73,3,FALSE())&amp;Char(10) &amp; Char(10) &amp; VLOOKUP(A728,Internal_lists_bugs!$A$2:$Z$73,26,FALSE())),"please select a BUG ID")</f>
        <v>please select a BUG ID</v>
      </c>
      <c r="C728" s="51" t="str">
        <f>IFERROR(VLOOKUP(A728,Internal_lists_bugs!$A$2:$G2003,7,FALSE()),"please select a BUG ID")</f>
        <v>please select a BUG ID</v>
      </c>
      <c r="D728" s="43"/>
      <c r="E728" s="63"/>
      <c r="F728" s="43"/>
      <c r="G728" s="63"/>
      <c r="H728" s="43"/>
      <c r="I728" s="63"/>
      <c r="J728" s="43"/>
      <c r="K728" s="50"/>
      <c r="L728" s="43"/>
      <c r="M728" s="50"/>
      <c r="N728" s="43"/>
      <c r="O728" s="50"/>
      <c r="P728" s="43"/>
      <c r="Q728" s="50"/>
      <c r="R728" s="43"/>
      <c r="S728" s="50"/>
      <c r="T728" s="43"/>
      <c r="U728" s="50"/>
      <c r="V728" s="43"/>
      <c r="W728" s="50"/>
      <c r="X728" s="43"/>
      <c r="Y728" s="50"/>
      <c r="Z728" s="43"/>
      <c r="AA728" s="50"/>
      <c r="AB728" s="43"/>
      <c r="AC728" s="50"/>
      <c r="AD728" s="43"/>
      <c r="AE728" s="50"/>
      <c r="AF728" s="43"/>
      <c r="AG728" s="50"/>
      <c r="AH728" s="43"/>
      <c r="AI728" s="50"/>
      <c r="AJ728" s="43"/>
      <c r="AK728" s="50"/>
      <c r="AL728" s="43"/>
      <c r="AM728" s="50"/>
      <c r="AO728" s="43"/>
      <c r="AP728" s="46"/>
      <c r="AQ728" s="43"/>
      <c r="AR728" s="119"/>
      <c r="AS728" s="1"/>
      <c r="AT728" s="1"/>
    </row>
    <row r="729">
      <c r="A729" s="43"/>
      <c r="B729" s="59" t="str">
        <f>IFERROR(HYPERLINK(VLOOKUP(A729,Internal_lists_bugs!$A$2:$C$73,3,FALSE()), VLOOKUP(A729,Internal_lists_bugs!$A$2:$C$73,3,FALSE())&amp;Char(10) &amp; Char(10) &amp; VLOOKUP(A729,Internal_lists_bugs!$A$2:$Z$73,26,FALSE())),"please select a BUG ID")</f>
        <v>please select a BUG ID</v>
      </c>
      <c r="C729" s="51" t="str">
        <f>IFERROR(VLOOKUP(A729,Internal_lists_bugs!$A$2:$G2003,7,FALSE()),"please select a BUG ID")</f>
        <v>please select a BUG ID</v>
      </c>
      <c r="D729" s="43"/>
      <c r="E729" s="63"/>
      <c r="F729" s="43"/>
      <c r="G729" s="63"/>
      <c r="H729" s="43"/>
      <c r="I729" s="63"/>
      <c r="J729" s="43"/>
      <c r="K729" s="50"/>
      <c r="L729" s="43"/>
      <c r="M729" s="50"/>
      <c r="N729" s="43"/>
      <c r="O729" s="50"/>
      <c r="P729" s="43"/>
      <c r="Q729" s="50"/>
      <c r="R729" s="43"/>
      <c r="S729" s="50"/>
      <c r="T729" s="43"/>
      <c r="U729" s="50"/>
      <c r="V729" s="43"/>
      <c r="W729" s="50"/>
      <c r="X729" s="43"/>
      <c r="Y729" s="50"/>
      <c r="Z729" s="43"/>
      <c r="AA729" s="50"/>
      <c r="AB729" s="43"/>
      <c r="AC729" s="50"/>
      <c r="AD729" s="43"/>
      <c r="AE729" s="50"/>
      <c r="AF729" s="43"/>
      <c r="AG729" s="50"/>
      <c r="AH729" s="43"/>
      <c r="AI729" s="50"/>
      <c r="AJ729" s="43"/>
      <c r="AK729" s="50"/>
      <c r="AL729" s="43"/>
      <c r="AM729" s="50"/>
      <c r="AO729" s="43"/>
      <c r="AP729" s="46"/>
      <c r="AQ729" s="43"/>
      <c r="AR729" s="119"/>
      <c r="AS729" s="1"/>
      <c r="AT729" s="1"/>
    </row>
    <row r="730">
      <c r="A730" s="43"/>
      <c r="B730" s="59" t="str">
        <f>IFERROR(HYPERLINK(VLOOKUP(A730,Internal_lists_bugs!$A$2:$C$73,3,FALSE()), VLOOKUP(A730,Internal_lists_bugs!$A$2:$C$73,3,FALSE())&amp;Char(10) &amp; Char(10) &amp; VLOOKUP(A730,Internal_lists_bugs!$A$2:$Z$73,26,FALSE())),"please select a BUG ID")</f>
        <v>please select a BUG ID</v>
      </c>
      <c r="C730" s="51" t="str">
        <f>IFERROR(VLOOKUP(A730,Internal_lists_bugs!$A$2:$G2003,7,FALSE()),"please select a BUG ID")</f>
        <v>please select a BUG ID</v>
      </c>
      <c r="D730" s="43"/>
      <c r="E730" s="63"/>
      <c r="F730" s="43"/>
      <c r="G730" s="63"/>
      <c r="H730" s="43"/>
      <c r="I730" s="63"/>
      <c r="J730" s="43"/>
      <c r="K730" s="50"/>
      <c r="L730" s="43"/>
      <c r="M730" s="50"/>
      <c r="N730" s="43"/>
      <c r="O730" s="50"/>
      <c r="P730" s="43"/>
      <c r="Q730" s="50"/>
      <c r="R730" s="43"/>
      <c r="S730" s="50"/>
      <c r="T730" s="43"/>
      <c r="U730" s="50"/>
      <c r="V730" s="43"/>
      <c r="W730" s="50"/>
      <c r="X730" s="43"/>
      <c r="Y730" s="50"/>
      <c r="Z730" s="43"/>
      <c r="AA730" s="50"/>
      <c r="AB730" s="43"/>
      <c r="AC730" s="50"/>
      <c r="AD730" s="43"/>
      <c r="AE730" s="50"/>
      <c r="AF730" s="43"/>
      <c r="AG730" s="50"/>
      <c r="AH730" s="43"/>
      <c r="AI730" s="50"/>
      <c r="AJ730" s="43"/>
      <c r="AK730" s="50"/>
      <c r="AL730" s="43"/>
      <c r="AM730" s="50"/>
      <c r="AO730" s="43"/>
      <c r="AP730" s="46"/>
      <c r="AQ730" s="43"/>
      <c r="AR730" s="119"/>
      <c r="AS730" s="1"/>
      <c r="AT730" s="1"/>
    </row>
    <row r="731">
      <c r="A731" s="43"/>
      <c r="B731" s="59" t="str">
        <f>IFERROR(HYPERLINK(VLOOKUP(A731,Internal_lists_bugs!$A$2:$C$73,3,FALSE()), VLOOKUP(A731,Internal_lists_bugs!$A$2:$C$73,3,FALSE())&amp;Char(10) &amp; Char(10) &amp; VLOOKUP(A731,Internal_lists_bugs!$A$2:$Z$73,26,FALSE())),"please select a BUG ID")</f>
        <v>please select a BUG ID</v>
      </c>
      <c r="C731" s="51" t="str">
        <f>IFERROR(VLOOKUP(A731,Internal_lists_bugs!$A$2:$G2003,7,FALSE()),"please select a BUG ID")</f>
        <v>please select a BUG ID</v>
      </c>
      <c r="D731" s="43"/>
      <c r="E731" s="63"/>
      <c r="F731" s="43"/>
      <c r="G731" s="63"/>
      <c r="H731" s="43"/>
      <c r="I731" s="63"/>
      <c r="J731" s="43"/>
      <c r="K731" s="50"/>
      <c r="L731" s="43"/>
      <c r="M731" s="50"/>
      <c r="N731" s="43"/>
      <c r="O731" s="50"/>
      <c r="P731" s="43"/>
      <c r="Q731" s="50"/>
      <c r="R731" s="43"/>
      <c r="S731" s="50"/>
      <c r="T731" s="43"/>
      <c r="U731" s="50"/>
      <c r="V731" s="43"/>
      <c r="W731" s="50"/>
      <c r="X731" s="43"/>
      <c r="Y731" s="50"/>
      <c r="Z731" s="43"/>
      <c r="AA731" s="50"/>
      <c r="AB731" s="43"/>
      <c r="AC731" s="50"/>
      <c r="AD731" s="43"/>
      <c r="AE731" s="50"/>
      <c r="AF731" s="43"/>
      <c r="AG731" s="50"/>
      <c r="AH731" s="43"/>
      <c r="AI731" s="50"/>
      <c r="AJ731" s="43"/>
      <c r="AK731" s="50"/>
      <c r="AL731" s="43"/>
      <c r="AM731" s="50"/>
      <c r="AO731" s="43"/>
      <c r="AP731" s="46"/>
      <c r="AQ731" s="43"/>
      <c r="AR731" s="119"/>
      <c r="AS731" s="1"/>
      <c r="AT731" s="1"/>
    </row>
    <row r="732">
      <c r="A732" s="43"/>
      <c r="B732" s="59" t="str">
        <f>IFERROR(HYPERLINK(VLOOKUP(A732,Internal_lists_bugs!$A$2:$C$73,3,FALSE()), VLOOKUP(A732,Internal_lists_bugs!$A$2:$C$73,3,FALSE())&amp;Char(10) &amp; Char(10) &amp; VLOOKUP(A732,Internal_lists_bugs!$A$2:$Z$73,26,FALSE())),"please select a BUG ID")</f>
        <v>please select a BUG ID</v>
      </c>
      <c r="C732" s="51" t="str">
        <f>IFERROR(VLOOKUP(A732,Internal_lists_bugs!$A$2:$G2003,7,FALSE()),"please select a BUG ID")</f>
        <v>please select a BUG ID</v>
      </c>
      <c r="D732" s="43"/>
      <c r="E732" s="63"/>
      <c r="F732" s="43"/>
      <c r="G732" s="63"/>
      <c r="H732" s="43"/>
      <c r="I732" s="63"/>
      <c r="J732" s="43"/>
      <c r="K732" s="50"/>
      <c r="L732" s="43"/>
      <c r="M732" s="50"/>
      <c r="N732" s="43"/>
      <c r="O732" s="50"/>
      <c r="P732" s="43"/>
      <c r="Q732" s="50"/>
      <c r="R732" s="43"/>
      <c r="S732" s="50"/>
      <c r="T732" s="43"/>
      <c r="U732" s="50"/>
      <c r="V732" s="43"/>
      <c r="W732" s="50"/>
      <c r="X732" s="43"/>
      <c r="Y732" s="50"/>
      <c r="Z732" s="43"/>
      <c r="AA732" s="50"/>
      <c r="AB732" s="43"/>
      <c r="AC732" s="50"/>
      <c r="AD732" s="43"/>
      <c r="AE732" s="50"/>
      <c r="AF732" s="43"/>
      <c r="AG732" s="50"/>
      <c r="AH732" s="43"/>
      <c r="AI732" s="50"/>
      <c r="AJ732" s="43"/>
      <c r="AK732" s="50"/>
      <c r="AL732" s="43"/>
      <c r="AM732" s="50"/>
      <c r="AO732" s="43"/>
      <c r="AP732" s="46"/>
      <c r="AQ732" s="43"/>
      <c r="AR732" s="119"/>
      <c r="AS732" s="1"/>
      <c r="AT732" s="1"/>
    </row>
    <row r="733">
      <c r="A733" s="43"/>
      <c r="B733" s="59" t="str">
        <f>IFERROR(HYPERLINK(VLOOKUP(A733,Internal_lists_bugs!$A$2:$C$73,3,FALSE()), VLOOKUP(A733,Internal_lists_bugs!$A$2:$C$73,3,FALSE())&amp;Char(10) &amp; Char(10) &amp; VLOOKUP(A733,Internal_lists_bugs!$A$2:$Z$73,26,FALSE())),"please select a BUG ID")</f>
        <v>please select a BUG ID</v>
      </c>
      <c r="C733" s="51" t="str">
        <f>IFERROR(VLOOKUP(A733,Internal_lists_bugs!$A$2:$G2003,7,FALSE()),"please select a BUG ID")</f>
        <v>please select a BUG ID</v>
      </c>
      <c r="D733" s="43"/>
      <c r="E733" s="63"/>
      <c r="F733" s="43"/>
      <c r="G733" s="63"/>
      <c r="H733" s="43"/>
      <c r="I733" s="63"/>
      <c r="J733" s="43"/>
      <c r="K733" s="50"/>
      <c r="L733" s="43"/>
      <c r="M733" s="50"/>
      <c r="N733" s="43"/>
      <c r="O733" s="50"/>
      <c r="P733" s="43"/>
      <c r="Q733" s="50"/>
      <c r="R733" s="43"/>
      <c r="S733" s="50"/>
      <c r="T733" s="43"/>
      <c r="U733" s="50"/>
      <c r="V733" s="43"/>
      <c r="W733" s="50"/>
      <c r="X733" s="43"/>
      <c r="Y733" s="50"/>
      <c r="Z733" s="43"/>
      <c r="AA733" s="50"/>
      <c r="AB733" s="43"/>
      <c r="AC733" s="50"/>
      <c r="AD733" s="43"/>
      <c r="AE733" s="50"/>
      <c r="AF733" s="43"/>
      <c r="AG733" s="50"/>
      <c r="AH733" s="43"/>
      <c r="AI733" s="50"/>
      <c r="AJ733" s="43"/>
      <c r="AK733" s="50"/>
      <c r="AL733" s="43"/>
      <c r="AM733" s="50"/>
      <c r="AO733" s="43"/>
      <c r="AP733" s="46"/>
      <c r="AQ733" s="43"/>
      <c r="AR733" s="119"/>
      <c r="AS733" s="1"/>
      <c r="AT733" s="1"/>
    </row>
    <row r="734">
      <c r="A734" s="43"/>
      <c r="B734" s="59" t="str">
        <f>IFERROR(HYPERLINK(VLOOKUP(A734,Internal_lists_bugs!$A$2:$C$73,3,FALSE()), VLOOKUP(A734,Internal_lists_bugs!$A$2:$C$73,3,FALSE())&amp;Char(10) &amp; Char(10) &amp; VLOOKUP(A734,Internal_lists_bugs!$A$2:$Z$73,26,FALSE())),"please select a BUG ID")</f>
        <v>please select a BUG ID</v>
      </c>
      <c r="C734" s="51" t="str">
        <f>IFERROR(VLOOKUP(A734,Internal_lists_bugs!$A$2:$G2003,7,FALSE()),"please select a BUG ID")</f>
        <v>please select a BUG ID</v>
      </c>
      <c r="D734" s="43"/>
      <c r="E734" s="63"/>
      <c r="F734" s="43"/>
      <c r="G734" s="63"/>
      <c r="H734" s="43"/>
      <c r="I734" s="63"/>
      <c r="J734" s="43"/>
      <c r="K734" s="50"/>
      <c r="L734" s="43"/>
      <c r="M734" s="50"/>
      <c r="N734" s="43"/>
      <c r="O734" s="50"/>
      <c r="P734" s="43"/>
      <c r="Q734" s="50"/>
      <c r="R734" s="43"/>
      <c r="S734" s="50"/>
      <c r="T734" s="43"/>
      <c r="U734" s="50"/>
      <c r="V734" s="43"/>
      <c r="W734" s="50"/>
      <c r="X734" s="43"/>
      <c r="Y734" s="50"/>
      <c r="Z734" s="43"/>
      <c r="AA734" s="50"/>
      <c r="AB734" s="43"/>
      <c r="AC734" s="50"/>
      <c r="AD734" s="43"/>
      <c r="AE734" s="50"/>
      <c r="AF734" s="43"/>
      <c r="AG734" s="50"/>
      <c r="AH734" s="43"/>
      <c r="AI734" s="50"/>
      <c r="AJ734" s="43"/>
      <c r="AK734" s="50"/>
      <c r="AL734" s="43"/>
      <c r="AM734" s="50"/>
      <c r="AO734" s="43"/>
      <c r="AP734" s="46"/>
      <c r="AQ734" s="43"/>
      <c r="AR734" s="119"/>
      <c r="AS734" s="1"/>
      <c r="AT734" s="1"/>
    </row>
    <row r="735">
      <c r="A735" s="43"/>
      <c r="B735" s="59" t="str">
        <f>IFERROR(HYPERLINK(VLOOKUP(A735,Internal_lists_bugs!$A$2:$C$73,3,FALSE()), VLOOKUP(A735,Internal_lists_bugs!$A$2:$C$73,3,FALSE())&amp;Char(10) &amp; Char(10) &amp; VLOOKUP(A735,Internal_lists_bugs!$A$2:$Z$73,26,FALSE())),"please select a BUG ID")</f>
        <v>please select a BUG ID</v>
      </c>
      <c r="C735" s="51" t="str">
        <f>IFERROR(VLOOKUP(A735,Internal_lists_bugs!$A$2:$G2003,7,FALSE()),"please select a BUG ID")</f>
        <v>please select a BUG ID</v>
      </c>
      <c r="D735" s="43"/>
      <c r="E735" s="63"/>
      <c r="F735" s="43"/>
      <c r="G735" s="63"/>
      <c r="H735" s="43"/>
      <c r="I735" s="63"/>
      <c r="J735" s="43"/>
      <c r="K735" s="50"/>
      <c r="L735" s="43"/>
      <c r="M735" s="50"/>
      <c r="N735" s="43"/>
      <c r="O735" s="50"/>
      <c r="P735" s="43"/>
      <c r="Q735" s="50"/>
      <c r="R735" s="43"/>
      <c r="S735" s="50"/>
      <c r="T735" s="43"/>
      <c r="U735" s="50"/>
      <c r="V735" s="43"/>
      <c r="W735" s="50"/>
      <c r="X735" s="43"/>
      <c r="Y735" s="50"/>
      <c r="Z735" s="43"/>
      <c r="AA735" s="50"/>
      <c r="AB735" s="43"/>
      <c r="AC735" s="50"/>
      <c r="AD735" s="43"/>
      <c r="AE735" s="50"/>
      <c r="AF735" s="43"/>
      <c r="AG735" s="50"/>
      <c r="AH735" s="43"/>
      <c r="AI735" s="50"/>
      <c r="AJ735" s="43"/>
      <c r="AK735" s="50"/>
      <c r="AL735" s="43"/>
      <c r="AM735" s="50"/>
      <c r="AO735" s="43"/>
      <c r="AP735" s="46"/>
      <c r="AQ735" s="43"/>
      <c r="AR735" s="119"/>
      <c r="AS735" s="1"/>
      <c r="AT735" s="1"/>
    </row>
    <row r="736">
      <c r="A736" s="43"/>
      <c r="B736" s="59" t="str">
        <f>IFERROR(HYPERLINK(VLOOKUP(A736,Internal_lists_bugs!$A$2:$C$73,3,FALSE()), VLOOKUP(A736,Internal_lists_bugs!$A$2:$C$73,3,FALSE())&amp;Char(10) &amp; Char(10) &amp; VLOOKUP(A736,Internal_lists_bugs!$A$2:$Z$73,26,FALSE())),"please select a BUG ID")</f>
        <v>please select a BUG ID</v>
      </c>
      <c r="C736" s="51" t="str">
        <f>IFERROR(VLOOKUP(A736,Internal_lists_bugs!$A$2:$G2003,7,FALSE()),"please select a BUG ID")</f>
        <v>please select a BUG ID</v>
      </c>
      <c r="D736" s="43"/>
      <c r="E736" s="63"/>
      <c r="F736" s="43"/>
      <c r="G736" s="63"/>
      <c r="H736" s="43"/>
      <c r="I736" s="63"/>
      <c r="J736" s="43"/>
      <c r="K736" s="50"/>
      <c r="L736" s="43"/>
      <c r="M736" s="50"/>
      <c r="N736" s="43"/>
      <c r="O736" s="50"/>
      <c r="P736" s="43"/>
      <c r="Q736" s="50"/>
      <c r="R736" s="43"/>
      <c r="S736" s="50"/>
      <c r="T736" s="43"/>
      <c r="U736" s="50"/>
      <c r="V736" s="43"/>
      <c r="W736" s="50"/>
      <c r="X736" s="43"/>
      <c r="Y736" s="50"/>
      <c r="Z736" s="43"/>
      <c r="AA736" s="50"/>
      <c r="AB736" s="43"/>
      <c r="AC736" s="50"/>
      <c r="AD736" s="43"/>
      <c r="AE736" s="50"/>
      <c r="AF736" s="43"/>
      <c r="AG736" s="50"/>
      <c r="AH736" s="43"/>
      <c r="AI736" s="50"/>
      <c r="AJ736" s="43"/>
      <c r="AK736" s="50"/>
      <c r="AL736" s="43"/>
      <c r="AM736" s="50"/>
      <c r="AO736" s="43"/>
      <c r="AP736" s="46"/>
      <c r="AQ736" s="43"/>
      <c r="AR736" s="119"/>
      <c r="AS736" s="1"/>
      <c r="AT736" s="1"/>
    </row>
    <row r="737">
      <c r="A737" s="43"/>
      <c r="B737" s="59" t="str">
        <f>IFERROR(HYPERLINK(VLOOKUP(A737,Internal_lists_bugs!$A$2:$C$73,3,FALSE()), VLOOKUP(A737,Internal_lists_bugs!$A$2:$C$73,3,FALSE())&amp;Char(10) &amp; Char(10) &amp; VLOOKUP(A737,Internal_lists_bugs!$A$2:$Z$73,26,FALSE())),"please select a BUG ID")</f>
        <v>please select a BUG ID</v>
      </c>
      <c r="C737" s="51" t="str">
        <f>IFERROR(VLOOKUP(A737,Internal_lists_bugs!$A$2:$G2003,7,FALSE()),"please select a BUG ID")</f>
        <v>please select a BUG ID</v>
      </c>
      <c r="D737" s="43"/>
      <c r="E737" s="63"/>
      <c r="F737" s="43"/>
      <c r="G737" s="63"/>
      <c r="H737" s="43"/>
      <c r="I737" s="63"/>
      <c r="J737" s="43"/>
      <c r="K737" s="50"/>
      <c r="L737" s="43"/>
      <c r="M737" s="50"/>
      <c r="N737" s="43"/>
      <c r="O737" s="50"/>
      <c r="P737" s="43"/>
      <c r="Q737" s="50"/>
      <c r="R737" s="43"/>
      <c r="S737" s="50"/>
      <c r="T737" s="43"/>
      <c r="U737" s="50"/>
      <c r="V737" s="43"/>
      <c r="W737" s="50"/>
      <c r="X737" s="43"/>
      <c r="Y737" s="50"/>
      <c r="Z737" s="43"/>
      <c r="AA737" s="50"/>
      <c r="AB737" s="43"/>
      <c r="AC737" s="50"/>
      <c r="AD737" s="43"/>
      <c r="AE737" s="50"/>
      <c r="AF737" s="43"/>
      <c r="AG737" s="50"/>
      <c r="AH737" s="43"/>
      <c r="AI737" s="50"/>
      <c r="AJ737" s="43"/>
      <c r="AK737" s="50"/>
      <c r="AL737" s="43"/>
      <c r="AM737" s="50"/>
      <c r="AO737" s="43"/>
      <c r="AP737" s="46"/>
      <c r="AQ737" s="43"/>
      <c r="AR737" s="119"/>
      <c r="AS737" s="1"/>
      <c r="AT737" s="1"/>
    </row>
    <row r="738">
      <c r="A738" s="43"/>
      <c r="B738" s="59" t="str">
        <f>IFERROR(HYPERLINK(VLOOKUP(A738,Internal_lists_bugs!$A$2:$C$73,3,FALSE()), VLOOKUP(A738,Internal_lists_bugs!$A$2:$C$73,3,FALSE())&amp;Char(10) &amp; Char(10) &amp; VLOOKUP(A738,Internal_lists_bugs!$A$2:$Z$73,26,FALSE())),"please select a BUG ID")</f>
        <v>please select a BUG ID</v>
      </c>
      <c r="C738" s="51" t="str">
        <f>IFERROR(VLOOKUP(A738,Internal_lists_bugs!$A$2:$G2003,7,FALSE()),"please select a BUG ID")</f>
        <v>please select a BUG ID</v>
      </c>
      <c r="D738" s="43"/>
      <c r="E738" s="63"/>
      <c r="F738" s="43"/>
      <c r="G738" s="63"/>
      <c r="H738" s="43"/>
      <c r="I738" s="63"/>
      <c r="J738" s="43"/>
      <c r="K738" s="50"/>
      <c r="L738" s="43"/>
      <c r="M738" s="50"/>
      <c r="N738" s="43"/>
      <c r="O738" s="50"/>
      <c r="P738" s="43"/>
      <c r="Q738" s="50"/>
      <c r="R738" s="43"/>
      <c r="S738" s="50"/>
      <c r="T738" s="43"/>
      <c r="U738" s="50"/>
      <c r="V738" s="43"/>
      <c r="W738" s="50"/>
      <c r="X738" s="43"/>
      <c r="Y738" s="50"/>
      <c r="Z738" s="43"/>
      <c r="AA738" s="50"/>
      <c r="AB738" s="43"/>
      <c r="AC738" s="50"/>
      <c r="AD738" s="43"/>
      <c r="AE738" s="50"/>
      <c r="AF738" s="43"/>
      <c r="AG738" s="50"/>
      <c r="AH738" s="43"/>
      <c r="AI738" s="50"/>
      <c r="AJ738" s="43"/>
      <c r="AK738" s="50"/>
      <c r="AL738" s="43"/>
      <c r="AM738" s="50"/>
      <c r="AO738" s="43"/>
      <c r="AP738" s="46"/>
      <c r="AQ738" s="43"/>
      <c r="AR738" s="119"/>
      <c r="AS738" s="1"/>
      <c r="AT738" s="1"/>
    </row>
    <row r="739">
      <c r="A739" s="43"/>
      <c r="B739" s="59" t="str">
        <f>IFERROR(HYPERLINK(VLOOKUP(A739,Internal_lists_bugs!$A$2:$C$73,3,FALSE()), VLOOKUP(A739,Internal_lists_bugs!$A$2:$C$73,3,FALSE())&amp;Char(10) &amp; Char(10) &amp; VLOOKUP(A739,Internal_lists_bugs!$A$2:$Z$73,26,FALSE())),"please select a BUG ID")</f>
        <v>please select a BUG ID</v>
      </c>
      <c r="C739" s="51" t="str">
        <f>IFERROR(VLOOKUP(A739,Internal_lists_bugs!$A$2:$G2003,7,FALSE()),"please select a BUG ID")</f>
        <v>please select a BUG ID</v>
      </c>
      <c r="D739" s="43"/>
      <c r="E739" s="63"/>
      <c r="F739" s="43"/>
      <c r="G739" s="63"/>
      <c r="H739" s="43"/>
      <c r="I739" s="63"/>
      <c r="J739" s="43"/>
      <c r="K739" s="50"/>
      <c r="L739" s="43"/>
      <c r="M739" s="50"/>
      <c r="N739" s="43"/>
      <c r="O739" s="50"/>
      <c r="P739" s="43"/>
      <c r="Q739" s="50"/>
      <c r="R739" s="43"/>
      <c r="S739" s="50"/>
      <c r="T739" s="43"/>
      <c r="U739" s="50"/>
      <c r="V739" s="43"/>
      <c r="W739" s="50"/>
      <c r="X739" s="43"/>
      <c r="Y739" s="50"/>
      <c r="Z739" s="43"/>
      <c r="AA739" s="50"/>
      <c r="AB739" s="43"/>
      <c r="AC739" s="50"/>
      <c r="AD739" s="43"/>
      <c r="AE739" s="50"/>
      <c r="AF739" s="43"/>
      <c r="AG739" s="50"/>
      <c r="AH739" s="43"/>
      <c r="AI739" s="50"/>
      <c r="AJ739" s="43"/>
      <c r="AK739" s="50"/>
      <c r="AL739" s="43"/>
      <c r="AM739" s="50"/>
      <c r="AO739" s="43"/>
      <c r="AP739" s="46"/>
      <c r="AQ739" s="43"/>
      <c r="AR739" s="119"/>
      <c r="AS739" s="1"/>
      <c r="AT739" s="1"/>
    </row>
    <row r="740">
      <c r="A740" s="43"/>
      <c r="B740" s="59" t="str">
        <f>IFERROR(HYPERLINK(VLOOKUP(A740,Internal_lists_bugs!$A$2:$C$73,3,FALSE()), VLOOKUP(A740,Internal_lists_bugs!$A$2:$C$73,3,FALSE())&amp;Char(10) &amp; Char(10) &amp; VLOOKUP(A740,Internal_lists_bugs!$A$2:$Z$73,26,FALSE())),"please select a BUG ID")</f>
        <v>please select a BUG ID</v>
      </c>
      <c r="C740" s="51" t="str">
        <f>IFERROR(VLOOKUP(A740,Internal_lists_bugs!$A$2:$G2003,7,FALSE()),"please select a BUG ID")</f>
        <v>please select a BUG ID</v>
      </c>
      <c r="D740" s="43"/>
      <c r="E740" s="63"/>
      <c r="F740" s="43"/>
      <c r="G740" s="63"/>
      <c r="H740" s="43"/>
      <c r="I740" s="63"/>
      <c r="J740" s="43"/>
      <c r="K740" s="50"/>
      <c r="L740" s="43"/>
      <c r="M740" s="50"/>
      <c r="N740" s="43"/>
      <c r="O740" s="50"/>
      <c r="P740" s="43"/>
      <c r="Q740" s="50"/>
      <c r="R740" s="43"/>
      <c r="S740" s="50"/>
      <c r="T740" s="43"/>
      <c r="U740" s="50"/>
      <c r="V740" s="43"/>
      <c r="W740" s="50"/>
      <c r="X740" s="43"/>
      <c r="Y740" s="50"/>
      <c r="Z740" s="43"/>
      <c r="AA740" s="50"/>
      <c r="AB740" s="43"/>
      <c r="AC740" s="50"/>
      <c r="AD740" s="43"/>
      <c r="AE740" s="50"/>
      <c r="AF740" s="43"/>
      <c r="AG740" s="50"/>
      <c r="AH740" s="43"/>
      <c r="AI740" s="50"/>
      <c r="AJ740" s="43"/>
      <c r="AK740" s="50"/>
      <c r="AL740" s="43"/>
      <c r="AM740" s="50"/>
      <c r="AO740" s="43"/>
      <c r="AP740" s="46"/>
      <c r="AQ740" s="43"/>
      <c r="AR740" s="119"/>
      <c r="AS740" s="1"/>
      <c r="AT740" s="1"/>
    </row>
    <row r="741">
      <c r="A741" s="43"/>
      <c r="B741" s="59" t="str">
        <f>IFERROR(HYPERLINK(VLOOKUP(A741,Internal_lists_bugs!$A$2:$C$73,3,FALSE()), VLOOKUP(A741,Internal_lists_bugs!$A$2:$C$73,3,FALSE())&amp;Char(10) &amp; Char(10) &amp; VLOOKUP(A741,Internal_lists_bugs!$A$2:$Z$73,26,FALSE())),"please select a BUG ID")</f>
        <v>please select a BUG ID</v>
      </c>
      <c r="C741" s="51" t="str">
        <f>IFERROR(VLOOKUP(A741,Internal_lists_bugs!$A$2:$G2003,7,FALSE()),"please select a BUG ID")</f>
        <v>please select a BUG ID</v>
      </c>
      <c r="D741" s="43"/>
      <c r="E741" s="63"/>
      <c r="F741" s="43"/>
      <c r="G741" s="63"/>
      <c r="H741" s="43"/>
      <c r="I741" s="63"/>
      <c r="J741" s="43"/>
      <c r="K741" s="50"/>
      <c r="L741" s="43"/>
      <c r="M741" s="50"/>
      <c r="N741" s="43"/>
      <c r="O741" s="50"/>
      <c r="P741" s="43"/>
      <c r="Q741" s="50"/>
      <c r="R741" s="43"/>
      <c r="S741" s="50"/>
      <c r="T741" s="43"/>
      <c r="U741" s="50"/>
      <c r="V741" s="43"/>
      <c r="W741" s="50"/>
      <c r="X741" s="43"/>
      <c r="Y741" s="50"/>
      <c r="Z741" s="43"/>
      <c r="AA741" s="50"/>
      <c r="AB741" s="43"/>
      <c r="AC741" s="50"/>
      <c r="AD741" s="43"/>
      <c r="AE741" s="50"/>
      <c r="AF741" s="43"/>
      <c r="AG741" s="50"/>
      <c r="AH741" s="43"/>
      <c r="AI741" s="50"/>
      <c r="AJ741" s="43"/>
      <c r="AK741" s="50"/>
      <c r="AL741" s="43"/>
      <c r="AM741" s="50"/>
      <c r="AO741" s="43"/>
      <c r="AP741" s="46"/>
      <c r="AQ741" s="43"/>
      <c r="AR741" s="119"/>
      <c r="AS741" s="1"/>
      <c r="AT741" s="1"/>
    </row>
    <row r="742">
      <c r="A742" s="43"/>
      <c r="B742" s="59" t="str">
        <f>IFERROR(HYPERLINK(VLOOKUP(A742,Internal_lists_bugs!$A$2:$C$73,3,FALSE()), VLOOKUP(A742,Internal_lists_bugs!$A$2:$C$73,3,FALSE())&amp;Char(10) &amp; Char(10) &amp; VLOOKUP(A742,Internal_lists_bugs!$A$2:$Z$73,26,FALSE())),"please select a BUG ID")</f>
        <v>please select a BUG ID</v>
      </c>
      <c r="C742" s="51" t="str">
        <f>IFERROR(VLOOKUP(A742,Internal_lists_bugs!$A$2:$G2003,7,FALSE()),"please select a BUG ID")</f>
        <v>please select a BUG ID</v>
      </c>
      <c r="D742" s="43"/>
      <c r="E742" s="63"/>
      <c r="F742" s="43"/>
      <c r="G742" s="63"/>
      <c r="H742" s="43"/>
      <c r="I742" s="63"/>
      <c r="J742" s="43"/>
      <c r="K742" s="50"/>
      <c r="L742" s="43"/>
      <c r="M742" s="50"/>
      <c r="N742" s="43"/>
      <c r="O742" s="50"/>
      <c r="P742" s="43"/>
      <c r="Q742" s="50"/>
      <c r="R742" s="43"/>
      <c r="S742" s="50"/>
      <c r="T742" s="43"/>
      <c r="U742" s="50"/>
      <c r="V742" s="43"/>
      <c r="W742" s="50"/>
      <c r="X742" s="43"/>
      <c r="Y742" s="50"/>
      <c r="Z742" s="43"/>
      <c r="AA742" s="50"/>
      <c r="AB742" s="43"/>
      <c r="AC742" s="50"/>
      <c r="AD742" s="43"/>
      <c r="AE742" s="50"/>
      <c r="AF742" s="43"/>
      <c r="AG742" s="50"/>
      <c r="AH742" s="43"/>
      <c r="AI742" s="50"/>
      <c r="AJ742" s="43"/>
      <c r="AK742" s="50"/>
      <c r="AL742" s="43"/>
      <c r="AM742" s="50"/>
      <c r="AO742" s="43"/>
      <c r="AP742" s="46"/>
      <c r="AQ742" s="43"/>
      <c r="AR742" s="119"/>
      <c r="AS742" s="1"/>
      <c r="AT742" s="1"/>
    </row>
    <row r="743">
      <c r="A743" s="43"/>
      <c r="B743" s="59" t="str">
        <f>IFERROR(HYPERLINK(VLOOKUP(A743,Internal_lists_bugs!$A$2:$C$73,3,FALSE()), VLOOKUP(A743,Internal_lists_bugs!$A$2:$C$73,3,FALSE())&amp;Char(10) &amp; Char(10) &amp; VLOOKUP(A743,Internal_lists_bugs!$A$2:$Z$73,26,FALSE())),"please select a BUG ID")</f>
        <v>please select a BUG ID</v>
      </c>
      <c r="C743" s="51" t="str">
        <f>IFERROR(VLOOKUP(A743,Internal_lists_bugs!$A$2:$G2003,7,FALSE()),"please select a BUG ID")</f>
        <v>please select a BUG ID</v>
      </c>
      <c r="D743" s="43"/>
      <c r="E743" s="63"/>
      <c r="F743" s="43"/>
      <c r="G743" s="63"/>
      <c r="H743" s="43"/>
      <c r="I743" s="63"/>
      <c r="J743" s="43"/>
      <c r="K743" s="50"/>
      <c r="L743" s="43"/>
      <c r="M743" s="50"/>
      <c r="N743" s="43"/>
      <c r="O743" s="50"/>
      <c r="P743" s="43"/>
      <c r="Q743" s="50"/>
      <c r="R743" s="43"/>
      <c r="S743" s="50"/>
      <c r="T743" s="43"/>
      <c r="U743" s="50"/>
      <c r="V743" s="43"/>
      <c r="W743" s="50"/>
      <c r="X743" s="43"/>
      <c r="Y743" s="50"/>
      <c r="Z743" s="43"/>
      <c r="AA743" s="50"/>
      <c r="AB743" s="43"/>
      <c r="AC743" s="50"/>
      <c r="AD743" s="43"/>
      <c r="AE743" s="50"/>
      <c r="AF743" s="43"/>
      <c r="AG743" s="50"/>
      <c r="AH743" s="43"/>
      <c r="AI743" s="50"/>
      <c r="AJ743" s="43"/>
      <c r="AK743" s="50"/>
      <c r="AL743" s="43"/>
      <c r="AM743" s="50"/>
      <c r="AO743" s="43"/>
      <c r="AP743" s="46"/>
      <c r="AQ743" s="43"/>
      <c r="AR743" s="119"/>
      <c r="AS743" s="1"/>
      <c r="AT743" s="1"/>
    </row>
    <row r="744">
      <c r="A744" s="43"/>
      <c r="B744" s="59" t="str">
        <f>IFERROR(HYPERLINK(VLOOKUP(A744,Internal_lists_bugs!$A$2:$C$73,3,FALSE()), VLOOKUP(A744,Internal_lists_bugs!$A$2:$C$73,3,FALSE())&amp;Char(10) &amp; Char(10) &amp; VLOOKUP(A744,Internal_lists_bugs!$A$2:$Z$73,26,FALSE())),"please select a BUG ID")</f>
        <v>please select a BUG ID</v>
      </c>
      <c r="C744" s="51" t="str">
        <f>IFERROR(VLOOKUP(A744,Internal_lists_bugs!$A$2:$G2003,7,FALSE()),"please select a BUG ID")</f>
        <v>please select a BUG ID</v>
      </c>
      <c r="D744" s="43"/>
      <c r="E744" s="63"/>
      <c r="F744" s="43"/>
      <c r="G744" s="63"/>
      <c r="H744" s="43"/>
      <c r="I744" s="63"/>
      <c r="J744" s="43"/>
      <c r="K744" s="50"/>
      <c r="L744" s="43"/>
      <c r="M744" s="50"/>
      <c r="N744" s="43"/>
      <c r="O744" s="50"/>
      <c r="P744" s="43"/>
      <c r="Q744" s="50"/>
      <c r="R744" s="43"/>
      <c r="S744" s="50"/>
      <c r="T744" s="43"/>
      <c r="U744" s="50"/>
      <c r="V744" s="43"/>
      <c r="W744" s="50"/>
      <c r="X744" s="43"/>
      <c r="Y744" s="50"/>
      <c r="Z744" s="43"/>
      <c r="AA744" s="50"/>
      <c r="AB744" s="43"/>
      <c r="AC744" s="50"/>
      <c r="AD744" s="43"/>
      <c r="AE744" s="50"/>
      <c r="AF744" s="43"/>
      <c r="AG744" s="50"/>
      <c r="AH744" s="43"/>
      <c r="AI744" s="50"/>
      <c r="AJ744" s="43"/>
      <c r="AK744" s="50"/>
      <c r="AL744" s="43"/>
      <c r="AM744" s="50"/>
      <c r="AO744" s="43"/>
      <c r="AP744" s="46"/>
      <c r="AQ744" s="43"/>
      <c r="AR744" s="119"/>
      <c r="AS744" s="1"/>
      <c r="AT744" s="1"/>
    </row>
    <row r="745">
      <c r="A745" s="43"/>
      <c r="B745" s="59" t="str">
        <f>IFERROR(HYPERLINK(VLOOKUP(A745,Internal_lists_bugs!$A$2:$C$73,3,FALSE()), VLOOKUP(A745,Internal_lists_bugs!$A$2:$C$73,3,FALSE())&amp;Char(10) &amp; Char(10) &amp; VLOOKUP(A745,Internal_lists_bugs!$A$2:$Z$73,26,FALSE())),"please select a BUG ID")</f>
        <v>please select a BUG ID</v>
      </c>
      <c r="C745" s="51" t="str">
        <f>IFERROR(VLOOKUP(A745,Internal_lists_bugs!$A$2:$G2003,7,FALSE()),"please select a BUG ID")</f>
        <v>please select a BUG ID</v>
      </c>
      <c r="D745" s="43"/>
      <c r="E745" s="63"/>
      <c r="F745" s="43"/>
      <c r="G745" s="63"/>
      <c r="H745" s="43"/>
      <c r="I745" s="63"/>
      <c r="J745" s="43"/>
      <c r="K745" s="50"/>
      <c r="L745" s="43"/>
      <c r="M745" s="50"/>
      <c r="N745" s="43"/>
      <c r="O745" s="50"/>
      <c r="P745" s="43"/>
      <c r="Q745" s="50"/>
      <c r="R745" s="43"/>
      <c r="S745" s="50"/>
      <c r="T745" s="43"/>
      <c r="U745" s="50"/>
      <c r="V745" s="43"/>
      <c r="W745" s="50"/>
      <c r="X745" s="43"/>
      <c r="Y745" s="50"/>
      <c r="Z745" s="43"/>
      <c r="AA745" s="50"/>
      <c r="AB745" s="43"/>
      <c r="AC745" s="50"/>
      <c r="AD745" s="43"/>
      <c r="AE745" s="50"/>
      <c r="AF745" s="43"/>
      <c r="AG745" s="50"/>
      <c r="AH745" s="43"/>
      <c r="AI745" s="50"/>
      <c r="AJ745" s="43"/>
      <c r="AK745" s="50"/>
      <c r="AL745" s="43"/>
      <c r="AM745" s="50"/>
      <c r="AO745" s="43"/>
      <c r="AP745" s="46"/>
      <c r="AQ745" s="43"/>
      <c r="AR745" s="119"/>
      <c r="AS745" s="1"/>
      <c r="AT745" s="1"/>
    </row>
    <row r="746">
      <c r="A746" s="43"/>
      <c r="B746" s="59" t="str">
        <f>IFERROR(HYPERLINK(VLOOKUP(A746,Internal_lists_bugs!$A$2:$C$73,3,FALSE()), VLOOKUP(A746,Internal_lists_bugs!$A$2:$C$73,3,FALSE())&amp;Char(10) &amp; Char(10) &amp; VLOOKUP(A746,Internal_lists_bugs!$A$2:$Z$73,26,FALSE())),"please select a BUG ID")</f>
        <v>please select a BUG ID</v>
      </c>
      <c r="C746" s="51" t="str">
        <f>IFERROR(VLOOKUP(A746,Internal_lists_bugs!$A$2:$G2003,7,FALSE()),"please select a BUG ID")</f>
        <v>please select a BUG ID</v>
      </c>
      <c r="D746" s="43"/>
      <c r="E746" s="63"/>
      <c r="F746" s="43"/>
      <c r="G746" s="63"/>
      <c r="H746" s="43"/>
      <c r="I746" s="63"/>
      <c r="J746" s="43"/>
      <c r="K746" s="50"/>
      <c r="L746" s="43"/>
      <c r="M746" s="50"/>
      <c r="N746" s="43"/>
      <c r="O746" s="50"/>
      <c r="P746" s="43"/>
      <c r="Q746" s="50"/>
      <c r="R746" s="43"/>
      <c r="S746" s="50"/>
      <c r="T746" s="43"/>
      <c r="U746" s="50"/>
      <c r="V746" s="43"/>
      <c r="W746" s="50"/>
      <c r="X746" s="43"/>
      <c r="Y746" s="50"/>
      <c r="Z746" s="43"/>
      <c r="AA746" s="50"/>
      <c r="AB746" s="43"/>
      <c r="AC746" s="50"/>
      <c r="AD746" s="43"/>
      <c r="AE746" s="50"/>
      <c r="AF746" s="43"/>
      <c r="AG746" s="50"/>
      <c r="AH746" s="43"/>
      <c r="AI746" s="50"/>
      <c r="AJ746" s="43"/>
      <c r="AK746" s="50"/>
      <c r="AL746" s="43"/>
      <c r="AM746" s="50"/>
      <c r="AO746" s="43"/>
      <c r="AP746" s="46"/>
      <c r="AQ746" s="43"/>
      <c r="AR746" s="119"/>
      <c r="AS746" s="1"/>
      <c r="AT746" s="1"/>
    </row>
    <row r="747">
      <c r="A747" s="43"/>
      <c r="B747" s="59" t="str">
        <f>IFERROR(HYPERLINK(VLOOKUP(A747,Internal_lists_bugs!$A$2:$C$73,3,FALSE()), VLOOKUP(A747,Internal_lists_bugs!$A$2:$C$73,3,FALSE())&amp;Char(10) &amp; Char(10) &amp; VLOOKUP(A747,Internal_lists_bugs!$A$2:$Z$73,26,FALSE())),"please select a BUG ID")</f>
        <v>please select a BUG ID</v>
      </c>
      <c r="C747" s="51" t="str">
        <f>IFERROR(VLOOKUP(A747,Internal_lists_bugs!$A$2:$G2003,7,FALSE()),"please select a BUG ID")</f>
        <v>please select a BUG ID</v>
      </c>
      <c r="D747" s="43"/>
      <c r="E747" s="63"/>
      <c r="F747" s="43"/>
      <c r="G747" s="63"/>
      <c r="H747" s="43"/>
      <c r="I747" s="63"/>
      <c r="J747" s="43"/>
      <c r="K747" s="50"/>
      <c r="L747" s="43"/>
      <c r="M747" s="50"/>
      <c r="N747" s="43"/>
      <c r="O747" s="50"/>
      <c r="P747" s="43"/>
      <c r="Q747" s="50"/>
      <c r="R747" s="43"/>
      <c r="S747" s="50"/>
      <c r="T747" s="43"/>
      <c r="U747" s="50"/>
      <c r="V747" s="43"/>
      <c r="W747" s="50"/>
      <c r="X747" s="43"/>
      <c r="Y747" s="50"/>
      <c r="Z747" s="43"/>
      <c r="AA747" s="50"/>
      <c r="AB747" s="43"/>
      <c r="AC747" s="50"/>
      <c r="AD747" s="43"/>
      <c r="AE747" s="50"/>
      <c r="AF747" s="43"/>
      <c r="AG747" s="50"/>
      <c r="AH747" s="43"/>
      <c r="AI747" s="50"/>
      <c r="AJ747" s="43"/>
      <c r="AK747" s="50"/>
      <c r="AL747" s="43"/>
      <c r="AM747" s="50"/>
      <c r="AO747" s="43"/>
      <c r="AP747" s="46"/>
      <c r="AQ747" s="43"/>
      <c r="AR747" s="119"/>
      <c r="AS747" s="1"/>
      <c r="AT747" s="1"/>
    </row>
    <row r="748">
      <c r="A748" s="43"/>
      <c r="B748" s="59" t="str">
        <f>IFERROR(HYPERLINK(VLOOKUP(A748,Internal_lists_bugs!$A$2:$C$73,3,FALSE()), VLOOKUP(A748,Internal_lists_bugs!$A$2:$C$73,3,FALSE())&amp;Char(10) &amp; Char(10) &amp; VLOOKUP(A748,Internal_lists_bugs!$A$2:$Z$73,26,FALSE())),"please select a BUG ID")</f>
        <v>please select a BUG ID</v>
      </c>
      <c r="C748" s="51" t="str">
        <f>IFERROR(VLOOKUP(A748,Internal_lists_bugs!$A$2:$G2003,7,FALSE()),"please select a BUG ID")</f>
        <v>please select a BUG ID</v>
      </c>
      <c r="D748" s="43"/>
      <c r="E748" s="63"/>
      <c r="F748" s="43"/>
      <c r="G748" s="63"/>
      <c r="H748" s="43"/>
      <c r="I748" s="63"/>
      <c r="J748" s="43"/>
      <c r="K748" s="50"/>
      <c r="L748" s="43"/>
      <c r="M748" s="50"/>
      <c r="N748" s="43"/>
      <c r="O748" s="50"/>
      <c r="P748" s="43"/>
      <c r="Q748" s="50"/>
      <c r="R748" s="43"/>
      <c r="S748" s="50"/>
      <c r="T748" s="43"/>
      <c r="U748" s="50"/>
      <c r="V748" s="43"/>
      <c r="W748" s="50"/>
      <c r="X748" s="43"/>
      <c r="Y748" s="50"/>
      <c r="Z748" s="43"/>
      <c r="AA748" s="50"/>
      <c r="AB748" s="43"/>
      <c r="AC748" s="50"/>
      <c r="AD748" s="43"/>
      <c r="AE748" s="50"/>
      <c r="AF748" s="43"/>
      <c r="AG748" s="50"/>
      <c r="AH748" s="43"/>
      <c r="AI748" s="50"/>
      <c r="AJ748" s="43"/>
      <c r="AK748" s="50"/>
      <c r="AL748" s="43"/>
      <c r="AM748" s="50"/>
      <c r="AO748" s="43"/>
      <c r="AP748" s="46"/>
      <c r="AQ748" s="43"/>
      <c r="AR748" s="119"/>
      <c r="AS748" s="1"/>
      <c r="AT748" s="1"/>
    </row>
    <row r="749">
      <c r="A749" s="43"/>
      <c r="B749" s="59" t="str">
        <f>IFERROR(HYPERLINK(VLOOKUP(A749,Internal_lists_bugs!$A$2:$C$73,3,FALSE()), VLOOKUP(A749,Internal_lists_bugs!$A$2:$C$73,3,FALSE())&amp;Char(10) &amp; Char(10) &amp; VLOOKUP(A749,Internal_lists_bugs!$A$2:$Z$73,26,FALSE())),"please select a BUG ID")</f>
        <v>please select a BUG ID</v>
      </c>
      <c r="C749" s="51" t="str">
        <f>IFERROR(VLOOKUP(A749,Internal_lists_bugs!$A$2:$G2003,7,FALSE()),"please select a BUG ID")</f>
        <v>please select a BUG ID</v>
      </c>
      <c r="D749" s="43"/>
      <c r="E749" s="63"/>
      <c r="F749" s="43"/>
      <c r="G749" s="63"/>
      <c r="H749" s="43"/>
      <c r="I749" s="63"/>
      <c r="J749" s="43"/>
      <c r="K749" s="50"/>
      <c r="L749" s="43"/>
      <c r="M749" s="50"/>
      <c r="N749" s="43"/>
      <c r="O749" s="50"/>
      <c r="P749" s="43"/>
      <c r="Q749" s="50"/>
      <c r="R749" s="43"/>
      <c r="S749" s="50"/>
      <c r="T749" s="43"/>
      <c r="U749" s="50"/>
      <c r="V749" s="43"/>
      <c r="W749" s="50"/>
      <c r="X749" s="43"/>
      <c r="Y749" s="50"/>
      <c r="Z749" s="43"/>
      <c r="AA749" s="50"/>
      <c r="AB749" s="43"/>
      <c r="AC749" s="50"/>
      <c r="AD749" s="43"/>
      <c r="AE749" s="50"/>
      <c r="AF749" s="43"/>
      <c r="AG749" s="50"/>
      <c r="AH749" s="43"/>
      <c r="AI749" s="50"/>
      <c r="AJ749" s="43"/>
      <c r="AK749" s="50"/>
      <c r="AL749" s="43"/>
      <c r="AM749" s="50"/>
      <c r="AO749" s="43"/>
      <c r="AP749" s="46"/>
      <c r="AQ749" s="43"/>
      <c r="AR749" s="119"/>
      <c r="AS749" s="1"/>
      <c r="AT749" s="1"/>
    </row>
    <row r="750">
      <c r="A750" s="43"/>
      <c r="B750" s="59" t="str">
        <f>IFERROR(HYPERLINK(VLOOKUP(A750,Internal_lists_bugs!$A$2:$C$73,3,FALSE()), VLOOKUP(A750,Internal_lists_bugs!$A$2:$C$73,3,FALSE())&amp;Char(10) &amp; Char(10) &amp; VLOOKUP(A750,Internal_lists_bugs!$A$2:$Z$73,26,FALSE())),"please select a BUG ID")</f>
        <v>please select a BUG ID</v>
      </c>
      <c r="C750" s="51" t="str">
        <f>IFERROR(VLOOKUP(A750,Internal_lists_bugs!$A$2:$G2003,7,FALSE()),"please select a BUG ID")</f>
        <v>please select a BUG ID</v>
      </c>
      <c r="D750" s="43"/>
      <c r="E750" s="63"/>
      <c r="F750" s="43"/>
      <c r="G750" s="63"/>
      <c r="H750" s="43"/>
      <c r="I750" s="63"/>
      <c r="J750" s="43"/>
      <c r="K750" s="50"/>
      <c r="L750" s="43"/>
      <c r="M750" s="50"/>
      <c r="N750" s="43"/>
      <c r="O750" s="50"/>
      <c r="P750" s="43"/>
      <c r="Q750" s="50"/>
      <c r="R750" s="43"/>
      <c r="S750" s="50"/>
      <c r="T750" s="43"/>
      <c r="U750" s="50"/>
      <c r="V750" s="43"/>
      <c r="W750" s="50"/>
      <c r="X750" s="43"/>
      <c r="Y750" s="50"/>
      <c r="Z750" s="43"/>
      <c r="AA750" s="50"/>
      <c r="AB750" s="43"/>
      <c r="AC750" s="50"/>
      <c r="AD750" s="43"/>
      <c r="AE750" s="50"/>
      <c r="AF750" s="43"/>
      <c r="AG750" s="50"/>
      <c r="AH750" s="43"/>
      <c r="AI750" s="50"/>
      <c r="AJ750" s="43"/>
      <c r="AK750" s="50"/>
      <c r="AL750" s="43"/>
      <c r="AM750" s="50"/>
      <c r="AO750" s="43"/>
      <c r="AP750" s="46"/>
      <c r="AQ750" s="43"/>
      <c r="AR750" s="119"/>
      <c r="AS750" s="1"/>
      <c r="AT750" s="1"/>
    </row>
    <row r="751">
      <c r="A751" s="43"/>
      <c r="B751" s="59" t="str">
        <f>IFERROR(HYPERLINK(VLOOKUP(A751,Internal_lists_bugs!$A$2:$C$73,3,FALSE()), VLOOKUP(A751,Internal_lists_bugs!$A$2:$C$73,3,FALSE())&amp;Char(10) &amp; Char(10) &amp; VLOOKUP(A751,Internal_lists_bugs!$A$2:$Z$73,26,FALSE())),"please select a BUG ID")</f>
        <v>please select a BUG ID</v>
      </c>
      <c r="C751" s="51" t="str">
        <f>IFERROR(VLOOKUP(A751,Internal_lists_bugs!$A$2:$G2003,7,FALSE()),"please select a BUG ID")</f>
        <v>please select a BUG ID</v>
      </c>
      <c r="D751" s="43"/>
      <c r="E751" s="63"/>
      <c r="F751" s="43"/>
      <c r="G751" s="63"/>
      <c r="H751" s="43"/>
      <c r="I751" s="63"/>
      <c r="J751" s="43"/>
      <c r="K751" s="50"/>
      <c r="L751" s="43"/>
      <c r="M751" s="50"/>
      <c r="N751" s="43"/>
      <c r="O751" s="50"/>
      <c r="P751" s="43"/>
      <c r="Q751" s="50"/>
      <c r="R751" s="43"/>
      <c r="S751" s="50"/>
      <c r="T751" s="43"/>
      <c r="U751" s="50"/>
      <c r="V751" s="43"/>
      <c r="W751" s="50"/>
      <c r="X751" s="43"/>
      <c r="Y751" s="50"/>
      <c r="Z751" s="43"/>
      <c r="AA751" s="50"/>
      <c r="AB751" s="43"/>
      <c r="AC751" s="50"/>
      <c r="AD751" s="43"/>
      <c r="AE751" s="50"/>
      <c r="AF751" s="43"/>
      <c r="AG751" s="50"/>
      <c r="AH751" s="43"/>
      <c r="AI751" s="50"/>
      <c r="AJ751" s="43"/>
      <c r="AK751" s="50"/>
      <c r="AL751" s="43"/>
      <c r="AM751" s="50"/>
      <c r="AO751" s="43"/>
      <c r="AP751" s="46"/>
      <c r="AQ751" s="43"/>
      <c r="AR751" s="119"/>
      <c r="AS751" s="1"/>
      <c r="AT751" s="1"/>
    </row>
    <row r="752">
      <c r="A752" s="43"/>
      <c r="B752" s="59" t="str">
        <f>IFERROR(HYPERLINK(VLOOKUP(A752,Internal_lists_bugs!$A$2:$C$73,3,FALSE()), VLOOKUP(A752,Internal_lists_bugs!$A$2:$C$73,3,FALSE())&amp;Char(10) &amp; Char(10) &amp; VLOOKUP(A752,Internal_lists_bugs!$A$2:$Z$73,26,FALSE())),"please select a BUG ID")</f>
        <v>please select a BUG ID</v>
      </c>
      <c r="C752" s="51" t="str">
        <f>IFERROR(VLOOKUP(A752,Internal_lists_bugs!$A$2:$G2003,7,FALSE()),"please select a BUG ID")</f>
        <v>please select a BUG ID</v>
      </c>
      <c r="D752" s="43"/>
      <c r="E752" s="63"/>
      <c r="F752" s="43"/>
      <c r="G752" s="63"/>
      <c r="H752" s="43"/>
      <c r="I752" s="63"/>
      <c r="J752" s="43"/>
      <c r="K752" s="50"/>
      <c r="L752" s="43"/>
      <c r="M752" s="50"/>
      <c r="N752" s="43"/>
      <c r="O752" s="50"/>
      <c r="P752" s="43"/>
      <c r="Q752" s="50"/>
      <c r="R752" s="43"/>
      <c r="S752" s="50"/>
      <c r="T752" s="43"/>
      <c r="U752" s="50"/>
      <c r="V752" s="43"/>
      <c r="W752" s="50"/>
      <c r="X752" s="43"/>
      <c r="Y752" s="50"/>
      <c r="Z752" s="43"/>
      <c r="AA752" s="50"/>
      <c r="AB752" s="43"/>
      <c r="AC752" s="50"/>
      <c r="AD752" s="43"/>
      <c r="AE752" s="50"/>
      <c r="AF752" s="43"/>
      <c r="AG752" s="50"/>
      <c r="AH752" s="43"/>
      <c r="AI752" s="50"/>
      <c r="AJ752" s="43"/>
      <c r="AK752" s="50"/>
      <c r="AL752" s="43"/>
      <c r="AM752" s="50"/>
      <c r="AO752" s="43"/>
      <c r="AP752" s="46"/>
      <c r="AQ752" s="43"/>
      <c r="AR752" s="119"/>
      <c r="AS752" s="1"/>
      <c r="AT752" s="1"/>
    </row>
    <row r="753">
      <c r="A753" s="43"/>
      <c r="B753" s="59" t="str">
        <f>IFERROR(HYPERLINK(VLOOKUP(A753,Internal_lists_bugs!$A$2:$C$73,3,FALSE()), VLOOKUP(A753,Internal_lists_bugs!$A$2:$C$73,3,FALSE())&amp;Char(10) &amp; Char(10) &amp; VLOOKUP(A753,Internal_lists_bugs!$A$2:$Z$73,26,FALSE())),"please select a BUG ID")</f>
        <v>please select a BUG ID</v>
      </c>
      <c r="C753" s="51" t="str">
        <f>IFERROR(VLOOKUP(A753,Internal_lists_bugs!$A$2:$G2003,7,FALSE()),"please select a BUG ID")</f>
        <v>please select a BUG ID</v>
      </c>
      <c r="D753" s="43"/>
      <c r="E753" s="63"/>
      <c r="F753" s="43"/>
      <c r="G753" s="63"/>
      <c r="H753" s="43"/>
      <c r="I753" s="63"/>
      <c r="J753" s="43"/>
      <c r="K753" s="50"/>
      <c r="L753" s="43"/>
      <c r="M753" s="50"/>
      <c r="N753" s="43"/>
      <c r="O753" s="50"/>
      <c r="P753" s="43"/>
      <c r="Q753" s="50"/>
      <c r="R753" s="43"/>
      <c r="S753" s="50"/>
      <c r="T753" s="43"/>
      <c r="U753" s="50"/>
      <c r="V753" s="43"/>
      <c r="W753" s="50"/>
      <c r="X753" s="43"/>
      <c r="Y753" s="50"/>
      <c r="Z753" s="43"/>
      <c r="AA753" s="50"/>
      <c r="AB753" s="43"/>
      <c r="AC753" s="50"/>
      <c r="AD753" s="43"/>
      <c r="AE753" s="50"/>
      <c r="AF753" s="43"/>
      <c r="AG753" s="50"/>
      <c r="AH753" s="43"/>
      <c r="AI753" s="50"/>
      <c r="AJ753" s="43"/>
      <c r="AK753" s="50"/>
      <c r="AL753" s="43"/>
      <c r="AM753" s="50"/>
      <c r="AO753" s="43"/>
      <c r="AP753" s="46"/>
      <c r="AQ753" s="43"/>
      <c r="AR753" s="119"/>
      <c r="AS753" s="1"/>
      <c r="AT753" s="1"/>
    </row>
    <row r="754">
      <c r="A754" s="43"/>
      <c r="B754" s="59" t="str">
        <f>IFERROR(HYPERLINK(VLOOKUP(A754,Internal_lists_bugs!$A$2:$C$73,3,FALSE()), VLOOKUP(A754,Internal_lists_bugs!$A$2:$C$73,3,FALSE())&amp;Char(10) &amp; Char(10) &amp; VLOOKUP(A754,Internal_lists_bugs!$A$2:$Z$73,26,FALSE())),"please select a BUG ID")</f>
        <v>please select a BUG ID</v>
      </c>
      <c r="C754" s="51" t="str">
        <f>IFERROR(VLOOKUP(A754,Internal_lists_bugs!$A$2:$G2003,7,FALSE()),"please select a BUG ID")</f>
        <v>please select a BUG ID</v>
      </c>
      <c r="D754" s="43"/>
      <c r="E754" s="63"/>
      <c r="F754" s="43"/>
      <c r="G754" s="63"/>
      <c r="H754" s="43"/>
      <c r="I754" s="63"/>
      <c r="J754" s="43"/>
      <c r="K754" s="50"/>
      <c r="L754" s="43"/>
      <c r="M754" s="50"/>
      <c r="N754" s="43"/>
      <c r="O754" s="50"/>
      <c r="P754" s="43"/>
      <c r="Q754" s="50"/>
      <c r="R754" s="43"/>
      <c r="S754" s="50"/>
      <c r="T754" s="43"/>
      <c r="U754" s="50"/>
      <c r="V754" s="43"/>
      <c r="W754" s="50"/>
      <c r="X754" s="43"/>
      <c r="Y754" s="50"/>
      <c r="Z754" s="43"/>
      <c r="AA754" s="50"/>
      <c r="AB754" s="43"/>
      <c r="AC754" s="50"/>
      <c r="AD754" s="43"/>
      <c r="AE754" s="50"/>
      <c r="AF754" s="43"/>
      <c r="AG754" s="50"/>
      <c r="AH754" s="43"/>
      <c r="AI754" s="50"/>
      <c r="AJ754" s="43"/>
      <c r="AK754" s="50"/>
      <c r="AL754" s="43"/>
      <c r="AM754" s="50"/>
      <c r="AO754" s="43"/>
      <c r="AP754" s="46"/>
      <c r="AQ754" s="43"/>
      <c r="AR754" s="119"/>
      <c r="AS754" s="1"/>
      <c r="AT754" s="1"/>
    </row>
    <row r="755">
      <c r="A755" s="43"/>
      <c r="B755" s="59" t="str">
        <f>IFERROR(HYPERLINK(VLOOKUP(A755,Internal_lists_bugs!$A$2:$C$73,3,FALSE()), VLOOKUP(A755,Internal_lists_bugs!$A$2:$C$73,3,FALSE())&amp;Char(10) &amp; Char(10) &amp; VLOOKUP(A755,Internal_lists_bugs!$A$2:$Z$73,26,FALSE())),"please select a BUG ID")</f>
        <v>please select a BUG ID</v>
      </c>
      <c r="C755" s="51" t="str">
        <f>IFERROR(VLOOKUP(A755,Internal_lists_bugs!$A$2:$G2003,7,FALSE()),"please select a BUG ID")</f>
        <v>please select a BUG ID</v>
      </c>
      <c r="D755" s="43"/>
      <c r="E755" s="63"/>
      <c r="F755" s="43"/>
      <c r="G755" s="63"/>
      <c r="H755" s="43"/>
      <c r="I755" s="63"/>
      <c r="J755" s="43"/>
      <c r="K755" s="50"/>
      <c r="L755" s="43"/>
      <c r="M755" s="50"/>
      <c r="N755" s="43"/>
      <c r="O755" s="50"/>
      <c r="P755" s="43"/>
      <c r="Q755" s="50"/>
      <c r="R755" s="43"/>
      <c r="S755" s="50"/>
      <c r="T755" s="43"/>
      <c r="U755" s="50"/>
      <c r="V755" s="43"/>
      <c r="W755" s="50"/>
      <c r="X755" s="43"/>
      <c r="Y755" s="50"/>
      <c r="Z755" s="43"/>
      <c r="AA755" s="50"/>
      <c r="AB755" s="43"/>
      <c r="AC755" s="50"/>
      <c r="AD755" s="43"/>
      <c r="AE755" s="50"/>
      <c r="AF755" s="43"/>
      <c r="AG755" s="50"/>
      <c r="AH755" s="43"/>
      <c r="AI755" s="50"/>
      <c r="AJ755" s="43"/>
      <c r="AK755" s="50"/>
      <c r="AL755" s="43"/>
      <c r="AM755" s="50"/>
      <c r="AO755" s="43"/>
      <c r="AP755" s="46"/>
      <c r="AQ755" s="43"/>
      <c r="AR755" s="119"/>
      <c r="AS755" s="1"/>
      <c r="AT755" s="1"/>
    </row>
    <row r="756">
      <c r="A756" s="43"/>
      <c r="B756" s="59" t="str">
        <f>IFERROR(HYPERLINK(VLOOKUP(A756,Internal_lists_bugs!$A$2:$C$73,3,FALSE()), VLOOKUP(A756,Internal_lists_bugs!$A$2:$C$73,3,FALSE())&amp;Char(10) &amp; Char(10) &amp; VLOOKUP(A756,Internal_lists_bugs!$A$2:$Z$73,26,FALSE())),"please select a BUG ID")</f>
        <v>please select a BUG ID</v>
      </c>
      <c r="C756" s="51" t="str">
        <f>IFERROR(VLOOKUP(A756,Internal_lists_bugs!$A$2:$G2003,7,FALSE()),"please select a BUG ID")</f>
        <v>please select a BUG ID</v>
      </c>
      <c r="D756" s="43"/>
      <c r="E756" s="63"/>
      <c r="F756" s="43"/>
      <c r="G756" s="63"/>
      <c r="H756" s="43"/>
      <c r="I756" s="63"/>
      <c r="J756" s="43"/>
      <c r="K756" s="50"/>
      <c r="L756" s="43"/>
      <c r="M756" s="50"/>
      <c r="N756" s="43"/>
      <c r="O756" s="50"/>
      <c r="P756" s="43"/>
      <c r="Q756" s="50"/>
      <c r="R756" s="43"/>
      <c r="S756" s="50"/>
      <c r="T756" s="43"/>
      <c r="U756" s="50"/>
      <c r="V756" s="43"/>
      <c r="W756" s="50"/>
      <c r="X756" s="43"/>
      <c r="Y756" s="50"/>
      <c r="Z756" s="43"/>
      <c r="AA756" s="50"/>
      <c r="AB756" s="43"/>
      <c r="AC756" s="50"/>
      <c r="AD756" s="43"/>
      <c r="AE756" s="50"/>
      <c r="AF756" s="43"/>
      <c r="AG756" s="50"/>
      <c r="AH756" s="43"/>
      <c r="AI756" s="50"/>
      <c r="AJ756" s="43"/>
      <c r="AK756" s="50"/>
      <c r="AL756" s="43"/>
      <c r="AM756" s="50"/>
      <c r="AO756" s="43"/>
      <c r="AP756" s="46"/>
      <c r="AQ756" s="43"/>
      <c r="AR756" s="119"/>
      <c r="AS756" s="1"/>
      <c r="AT756" s="1"/>
    </row>
    <row r="757">
      <c r="A757" s="43"/>
      <c r="B757" s="59" t="str">
        <f>IFERROR(HYPERLINK(VLOOKUP(A757,Internal_lists_bugs!$A$2:$C$73,3,FALSE()), VLOOKUP(A757,Internal_lists_bugs!$A$2:$C$73,3,FALSE())&amp;Char(10) &amp; Char(10) &amp; VLOOKUP(A757,Internal_lists_bugs!$A$2:$Z$73,26,FALSE())),"please select a BUG ID")</f>
        <v>please select a BUG ID</v>
      </c>
      <c r="C757" s="51" t="str">
        <f>IFERROR(VLOOKUP(A757,Internal_lists_bugs!$A$2:$G2003,7,FALSE()),"please select a BUG ID")</f>
        <v>please select a BUG ID</v>
      </c>
      <c r="D757" s="43"/>
      <c r="E757" s="63"/>
      <c r="F757" s="43"/>
      <c r="G757" s="63"/>
      <c r="H757" s="43"/>
      <c r="I757" s="63"/>
      <c r="J757" s="43"/>
      <c r="K757" s="50"/>
      <c r="L757" s="43"/>
      <c r="M757" s="50"/>
      <c r="N757" s="43"/>
      <c r="O757" s="50"/>
      <c r="P757" s="43"/>
      <c r="Q757" s="50"/>
      <c r="R757" s="43"/>
      <c r="S757" s="50"/>
      <c r="T757" s="43"/>
      <c r="U757" s="50"/>
      <c r="V757" s="43"/>
      <c r="W757" s="50"/>
      <c r="X757" s="43"/>
      <c r="Y757" s="50"/>
      <c r="Z757" s="43"/>
      <c r="AA757" s="50"/>
      <c r="AB757" s="43"/>
      <c r="AC757" s="50"/>
      <c r="AD757" s="43"/>
      <c r="AE757" s="50"/>
      <c r="AF757" s="43"/>
      <c r="AG757" s="50"/>
      <c r="AH757" s="43"/>
      <c r="AI757" s="50"/>
      <c r="AJ757" s="43"/>
      <c r="AK757" s="50"/>
      <c r="AL757" s="43"/>
      <c r="AM757" s="50"/>
      <c r="AO757" s="43"/>
      <c r="AP757" s="46"/>
      <c r="AQ757" s="43"/>
      <c r="AR757" s="119"/>
      <c r="AS757" s="1"/>
      <c r="AT757" s="1"/>
    </row>
    <row r="758">
      <c r="A758" s="43"/>
      <c r="B758" s="59" t="str">
        <f>IFERROR(HYPERLINK(VLOOKUP(A758,Internal_lists_bugs!$A$2:$C$73,3,FALSE()), VLOOKUP(A758,Internal_lists_bugs!$A$2:$C$73,3,FALSE())&amp;Char(10) &amp; Char(10) &amp; VLOOKUP(A758,Internal_lists_bugs!$A$2:$Z$73,26,FALSE())),"please select a BUG ID")</f>
        <v>please select a BUG ID</v>
      </c>
      <c r="C758" s="51" t="str">
        <f>IFERROR(VLOOKUP(A758,Internal_lists_bugs!$A$2:$G2003,7,FALSE()),"please select a BUG ID")</f>
        <v>please select a BUG ID</v>
      </c>
      <c r="D758" s="43"/>
      <c r="E758" s="63"/>
      <c r="F758" s="43"/>
      <c r="G758" s="63"/>
      <c r="H758" s="43"/>
      <c r="I758" s="63"/>
      <c r="J758" s="43"/>
      <c r="K758" s="50"/>
      <c r="L758" s="43"/>
      <c r="M758" s="50"/>
      <c r="N758" s="43"/>
      <c r="O758" s="50"/>
      <c r="P758" s="43"/>
      <c r="Q758" s="50"/>
      <c r="R758" s="43"/>
      <c r="S758" s="50"/>
      <c r="T758" s="43"/>
      <c r="U758" s="50"/>
      <c r="V758" s="43"/>
      <c r="W758" s="50"/>
      <c r="X758" s="43"/>
      <c r="Y758" s="50"/>
      <c r="Z758" s="43"/>
      <c r="AA758" s="50"/>
      <c r="AB758" s="43"/>
      <c r="AC758" s="50"/>
      <c r="AD758" s="43"/>
      <c r="AE758" s="50"/>
      <c r="AF758" s="43"/>
      <c r="AG758" s="50"/>
      <c r="AH758" s="43"/>
      <c r="AI758" s="50"/>
      <c r="AJ758" s="43"/>
      <c r="AK758" s="50"/>
      <c r="AL758" s="43"/>
      <c r="AM758" s="50"/>
      <c r="AO758" s="43"/>
      <c r="AP758" s="46"/>
      <c r="AQ758" s="43"/>
      <c r="AR758" s="119"/>
      <c r="AS758" s="1"/>
      <c r="AT758" s="1"/>
    </row>
    <row r="759">
      <c r="A759" s="43"/>
      <c r="B759" s="59" t="str">
        <f>IFERROR(HYPERLINK(VLOOKUP(A759,Internal_lists_bugs!$A$2:$C$73,3,FALSE()), VLOOKUP(A759,Internal_lists_bugs!$A$2:$C$73,3,FALSE())&amp;Char(10) &amp; Char(10) &amp; VLOOKUP(A759,Internal_lists_bugs!$A$2:$Z$73,26,FALSE())),"please select a BUG ID")</f>
        <v>please select a BUG ID</v>
      </c>
      <c r="C759" s="51" t="str">
        <f>IFERROR(VLOOKUP(A759,Internal_lists_bugs!$A$2:$G2003,7,FALSE()),"please select a BUG ID")</f>
        <v>please select a BUG ID</v>
      </c>
      <c r="D759" s="43"/>
      <c r="E759" s="63"/>
      <c r="F759" s="43"/>
      <c r="G759" s="63"/>
      <c r="H759" s="43"/>
      <c r="I759" s="63"/>
      <c r="J759" s="43"/>
      <c r="K759" s="50"/>
      <c r="L759" s="43"/>
      <c r="M759" s="50"/>
      <c r="N759" s="43"/>
      <c r="O759" s="50"/>
      <c r="P759" s="43"/>
      <c r="Q759" s="50"/>
      <c r="R759" s="43"/>
      <c r="S759" s="50"/>
      <c r="T759" s="43"/>
      <c r="U759" s="50"/>
      <c r="V759" s="43"/>
      <c r="W759" s="50"/>
      <c r="X759" s="43"/>
      <c r="Y759" s="50"/>
      <c r="Z759" s="43"/>
      <c r="AA759" s="50"/>
      <c r="AB759" s="43"/>
      <c r="AC759" s="50"/>
      <c r="AD759" s="43"/>
      <c r="AE759" s="50"/>
      <c r="AF759" s="43"/>
      <c r="AG759" s="50"/>
      <c r="AH759" s="43"/>
      <c r="AI759" s="50"/>
      <c r="AJ759" s="43"/>
      <c r="AK759" s="50"/>
      <c r="AL759" s="43"/>
      <c r="AM759" s="50"/>
      <c r="AO759" s="43"/>
      <c r="AP759" s="46"/>
      <c r="AQ759" s="43"/>
      <c r="AR759" s="119"/>
      <c r="AS759" s="1"/>
      <c r="AT759" s="1"/>
    </row>
    <row r="760">
      <c r="A760" s="43"/>
      <c r="B760" s="59" t="str">
        <f>IFERROR(HYPERLINK(VLOOKUP(A760,Internal_lists_bugs!$A$2:$C$73,3,FALSE()), VLOOKUP(A760,Internal_lists_bugs!$A$2:$C$73,3,FALSE())&amp;Char(10) &amp; Char(10) &amp; VLOOKUP(A760,Internal_lists_bugs!$A$2:$Z$73,26,FALSE())),"please select a BUG ID")</f>
        <v>please select a BUG ID</v>
      </c>
      <c r="C760" s="51" t="str">
        <f>IFERROR(VLOOKUP(A760,Internal_lists_bugs!$A$2:$G2003,7,FALSE()),"please select a BUG ID")</f>
        <v>please select a BUG ID</v>
      </c>
      <c r="D760" s="43"/>
      <c r="E760" s="63"/>
      <c r="F760" s="43"/>
      <c r="G760" s="63"/>
      <c r="H760" s="43"/>
      <c r="I760" s="63"/>
      <c r="J760" s="43"/>
      <c r="K760" s="50"/>
      <c r="L760" s="43"/>
      <c r="M760" s="50"/>
      <c r="N760" s="43"/>
      <c r="O760" s="50"/>
      <c r="P760" s="43"/>
      <c r="Q760" s="50"/>
      <c r="R760" s="43"/>
      <c r="S760" s="50"/>
      <c r="T760" s="43"/>
      <c r="U760" s="50"/>
      <c r="V760" s="43"/>
      <c r="W760" s="50"/>
      <c r="X760" s="43"/>
      <c r="Y760" s="50"/>
      <c r="Z760" s="43"/>
      <c r="AA760" s="50"/>
      <c r="AB760" s="43"/>
      <c r="AC760" s="50"/>
      <c r="AD760" s="43"/>
      <c r="AE760" s="50"/>
      <c r="AF760" s="43"/>
      <c r="AG760" s="50"/>
      <c r="AH760" s="43"/>
      <c r="AI760" s="50"/>
      <c r="AJ760" s="43"/>
      <c r="AK760" s="50"/>
      <c r="AL760" s="43"/>
      <c r="AM760" s="50"/>
      <c r="AO760" s="43"/>
      <c r="AP760" s="46"/>
      <c r="AQ760" s="43"/>
      <c r="AR760" s="119"/>
      <c r="AS760" s="1"/>
      <c r="AT760" s="1"/>
    </row>
    <row r="761">
      <c r="A761" s="43"/>
      <c r="B761" s="59" t="str">
        <f>IFERROR(HYPERLINK(VLOOKUP(A761,Internal_lists_bugs!$A$2:$C$73,3,FALSE()), VLOOKUP(A761,Internal_lists_bugs!$A$2:$C$73,3,FALSE())&amp;Char(10) &amp; Char(10) &amp; VLOOKUP(A761,Internal_lists_bugs!$A$2:$Z$73,26,FALSE())),"please select a BUG ID")</f>
        <v>please select a BUG ID</v>
      </c>
      <c r="C761" s="51" t="str">
        <f>IFERROR(VLOOKUP(A761,Internal_lists_bugs!$A$2:$G2003,7,FALSE()),"please select a BUG ID")</f>
        <v>please select a BUG ID</v>
      </c>
      <c r="D761" s="43"/>
      <c r="E761" s="63"/>
      <c r="F761" s="43"/>
      <c r="G761" s="63"/>
      <c r="H761" s="43"/>
      <c r="I761" s="63"/>
      <c r="J761" s="43"/>
      <c r="K761" s="50"/>
      <c r="L761" s="43"/>
      <c r="M761" s="50"/>
      <c r="N761" s="43"/>
      <c r="O761" s="50"/>
      <c r="P761" s="43"/>
      <c r="Q761" s="50"/>
      <c r="R761" s="43"/>
      <c r="S761" s="50"/>
      <c r="T761" s="43"/>
      <c r="U761" s="50"/>
      <c r="V761" s="43"/>
      <c r="W761" s="50"/>
      <c r="X761" s="43"/>
      <c r="Y761" s="50"/>
      <c r="Z761" s="43"/>
      <c r="AA761" s="50"/>
      <c r="AB761" s="43"/>
      <c r="AC761" s="50"/>
      <c r="AD761" s="43"/>
      <c r="AE761" s="50"/>
      <c r="AF761" s="43"/>
      <c r="AG761" s="50"/>
      <c r="AH761" s="43"/>
      <c r="AI761" s="50"/>
      <c r="AJ761" s="43"/>
      <c r="AK761" s="50"/>
      <c r="AL761" s="43"/>
      <c r="AM761" s="50"/>
      <c r="AO761" s="43"/>
      <c r="AP761" s="46"/>
      <c r="AQ761" s="43"/>
      <c r="AR761" s="119"/>
      <c r="AS761" s="1"/>
      <c r="AT761" s="1"/>
    </row>
    <row r="762">
      <c r="A762" s="43"/>
      <c r="B762" s="59" t="str">
        <f>IFERROR(HYPERLINK(VLOOKUP(A762,Internal_lists_bugs!$A$2:$C$73,3,FALSE()), VLOOKUP(A762,Internal_lists_bugs!$A$2:$C$73,3,FALSE())&amp;Char(10) &amp; Char(10) &amp; VLOOKUP(A762,Internal_lists_bugs!$A$2:$Z$73,26,FALSE())),"please select a BUG ID")</f>
        <v>please select a BUG ID</v>
      </c>
      <c r="C762" s="51" t="str">
        <f>IFERROR(VLOOKUP(A762,Internal_lists_bugs!$A$2:$G2003,7,FALSE()),"please select a BUG ID")</f>
        <v>please select a BUG ID</v>
      </c>
      <c r="D762" s="43"/>
      <c r="E762" s="63"/>
      <c r="F762" s="43"/>
      <c r="G762" s="63"/>
      <c r="H762" s="43"/>
      <c r="I762" s="63"/>
      <c r="J762" s="43"/>
      <c r="K762" s="50"/>
      <c r="L762" s="43"/>
      <c r="M762" s="50"/>
      <c r="N762" s="43"/>
      <c r="O762" s="50"/>
      <c r="P762" s="43"/>
      <c r="Q762" s="50"/>
      <c r="R762" s="43"/>
      <c r="S762" s="50"/>
      <c r="T762" s="43"/>
      <c r="U762" s="50"/>
      <c r="V762" s="43"/>
      <c r="W762" s="50"/>
      <c r="X762" s="43"/>
      <c r="Y762" s="50"/>
      <c r="Z762" s="43"/>
      <c r="AA762" s="50"/>
      <c r="AB762" s="43"/>
      <c r="AC762" s="50"/>
      <c r="AD762" s="43"/>
      <c r="AE762" s="50"/>
      <c r="AF762" s="43"/>
      <c r="AG762" s="50"/>
      <c r="AH762" s="43"/>
      <c r="AI762" s="50"/>
      <c r="AJ762" s="43"/>
      <c r="AK762" s="50"/>
      <c r="AL762" s="43"/>
      <c r="AM762" s="50"/>
      <c r="AO762" s="43"/>
      <c r="AP762" s="46"/>
      <c r="AQ762" s="43"/>
      <c r="AR762" s="119"/>
      <c r="AS762" s="1"/>
      <c r="AT762" s="1"/>
    </row>
    <row r="763">
      <c r="A763" s="43"/>
      <c r="B763" s="59" t="str">
        <f>IFERROR(HYPERLINK(VLOOKUP(A763,Internal_lists_bugs!$A$2:$C$73,3,FALSE()), VLOOKUP(A763,Internal_lists_bugs!$A$2:$C$73,3,FALSE())&amp;Char(10) &amp; Char(10) &amp; VLOOKUP(A763,Internal_lists_bugs!$A$2:$Z$73,26,FALSE())),"please select a BUG ID")</f>
        <v>please select a BUG ID</v>
      </c>
      <c r="C763" s="51" t="str">
        <f>IFERROR(VLOOKUP(A763,Internal_lists_bugs!$A$2:$G2003,7,FALSE()),"please select a BUG ID")</f>
        <v>please select a BUG ID</v>
      </c>
      <c r="D763" s="43"/>
      <c r="E763" s="63"/>
      <c r="F763" s="43"/>
      <c r="G763" s="63"/>
      <c r="H763" s="43"/>
      <c r="I763" s="63"/>
      <c r="J763" s="43"/>
      <c r="K763" s="50"/>
      <c r="L763" s="43"/>
      <c r="M763" s="50"/>
      <c r="N763" s="43"/>
      <c r="O763" s="50"/>
      <c r="P763" s="43"/>
      <c r="Q763" s="50"/>
      <c r="R763" s="43"/>
      <c r="S763" s="50"/>
      <c r="T763" s="43"/>
      <c r="U763" s="50"/>
      <c r="V763" s="43"/>
      <c r="W763" s="50"/>
      <c r="X763" s="43"/>
      <c r="Y763" s="50"/>
      <c r="Z763" s="43"/>
      <c r="AA763" s="50"/>
      <c r="AB763" s="43"/>
      <c r="AC763" s="50"/>
      <c r="AD763" s="43"/>
      <c r="AE763" s="50"/>
      <c r="AF763" s="43"/>
      <c r="AG763" s="50"/>
      <c r="AH763" s="43"/>
      <c r="AI763" s="50"/>
      <c r="AJ763" s="43"/>
      <c r="AK763" s="50"/>
      <c r="AL763" s="43"/>
      <c r="AM763" s="50"/>
      <c r="AO763" s="43"/>
      <c r="AP763" s="46"/>
      <c r="AQ763" s="43"/>
      <c r="AR763" s="119"/>
      <c r="AS763" s="1"/>
      <c r="AT763" s="1"/>
    </row>
    <row r="764">
      <c r="A764" s="43"/>
      <c r="B764" s="59" t="str">
        <f>IFERROR(HYPERLINK(VLOOKUP(A764,Internal_lists_bugs!$A$2:$C$73,3,FALSE()), VLOOKUP(A764,Internal_lists_bugs!$A$2:$C$73,3,FALSE())&amp;Char(10) &amp; Char(10) &amp; VLOOKUP(A764,Internal_lists_bugs!$A$2:$Z$73,26,FALSE())),"please select a BUG ID")</f>
        <v>please select a BUG ID</v>
      </c>
      <c r="C764" s="51" t="str">
        <f>IFERROR(VLOOKUP(A764,Internal_lists_bugs!$A$2:$G2003,7,FALSE()),"please select a BUG ID")</f>
        <v>please select a BUG ID</v>
      </c>
      <c r="D764" s="43"/>
      <c r="E764" s="63"/>
      <c r="F764" s="43"/>
      <c r="G764" s="63"/>
      <c r="H764" s="43"/>
      <c r="I764" s="63"/>
      <c r="J764" s="43"/>
      <c r="K764" s="50"/>
      <c r="L764" s="43"/>
      <c r="M764" s="50"/>
      <c r="N764" s="43"/>
      <c r="O764" s="50"/>
      <c r="P764" s="43"/>
      <c r="Q764" s="50"/>
      <c r="R764" s="43"/>
      <c r="S764" s="50"/>
      <c r="T764" s="43"/>
      <c r="U764" s="50"/>
      <c r="V764" s="43"/>
      <c r="W764" s="50"/>
      <c r="X764" s="43"/>
      <c r="Y764" s="50"/>
      <c r="Z764" s="43"/>
      <c r="AA764" s="50"/>
      <c r="AB764" s="43"/>
      <c r="AC764" s="50"/>
      <c r="AD764" s="43"/>
      <c r="AE764" s="50"/>
      <c r="AF764" s="43"/>
      <c r="AG764" s="50"/>
      <c r="AH764" s="43"/>
      <c r="AI764" s="50"/>
      <c r="AJ764" s="43"/>
      <c r="AK764" s="50"/>
      <c r="AL764" s="43"/>
      <c r="AM764" s="50"/>
      <c r="AO764" s="43"/>
      <c r="AP764" s="46"/>
      <c r="AQ764" s="43"/>
      <c r="AR764" s="119"/>
      <c r="AS764" s="1"/>
      <c r="AT764" s="1"/>
    </row>
    <row r="765">
      <c r="A765" s="43"/>
      <c r="B765" s="59" t="str">
        <f>IFERROR(HYPERLINK(VLOOKUP(A765,Internal_lists_bugs!$A$2:$C$73,3,FALSE()), VLOOKUP(A765,Internal_lists_bugs!$A$2:$C$73,3,FALSE())&amp;Char(10) &amp; Char(10) &amp; VLOOKUP(A765,Internal_lists_bugs!$A$2:$Z$73,26,FALSE())),"please select a BUG ID")</f>
        <v>please select a BUG ID</v>
      </c>
      <c r="C765" s="51" t="str">
        <f>IFERROR(VLOOKUP(A765,Internal_lists_bugs!$A$2:$G2003,7,FALSE()),"please select a BUG ID")</f>
        <v>please select a BUG ID</v>
      </c>
      <c r="D765" s="43"/>
      <c r="E765" s="63"/>
      <c r="F765" s="43"/>
      <c r="G765" s="63"/>
      <c r="H765" s="43"/>
      <c r="I765" s="63"/>
      <c r="J765" s="43"/>
      <c r="K765" s="50"/>
      <c r="L765" s="43"/>
      <c r="M765" s="50"/>
      <c r="N765" s="43"/>
      <c r="O765" s="50"/>
      <c r="P765" s="43"/>
      <c r="Q765" s="50"/>
      <c r="R765" s="43"/>
      <c r="S765" s="50"/>
      <c r="T765" s="43"/>
      <c r="U765" s="50"/>
      <c r="V765" s="43"/>
      <c r="W765" s="50"/>
      <c r="X765" s="43"/>
      <c r="Y765" s="50"/>
      <c r="Z765" s="43"/>
      <c r="AA765" s="50"/>
      <c r="AB765" s="43"/>
      <c r="AC765" s="50"/>
      <c r="AD765" s="43"/>
      <c r="AE765" s="50"/>
      <c r="AF765" s="43"/>
      <c r="AG765" s="50"/>
      <c r="AH765" s="43"/>
      <c r="AI765" s="50"/>
      <c r="AJ765" s="43"/>
      <c r="AK765" s="50"/>
      <c r="AL765" s="43"/>
      <c r="AM765" s="50"/>
      <c r="AO765" s="43"/>
      <c r="AP765" s="46"/>
      <c r="AQ765" s="43"/>
      <c r="AR765" s="119"/>
      <c r="AS765" s="1"/>
      <c r="AT765" s="1"/>
    </row>
    <row r="766">
      <c r="A766" s="43"/>
      <c r="B766" s="59" t="str">
        <f>IFERROR(HYPERLINK(VLOOKUP(A766,Internal_lists_bugs!$A$2:$C$73,3,FALSE()), VLOOKUP(A766,Internal_lists_bugs!$A$2:$C$73,3,FALSE())&amp;Char(10) &amp; Char(10) &amp; VLOOKUP(A766,Internal_lists_bugs!$A$2:$Z$73,26,FALSE())),"please select a BUG ID")</f>
        <v>please select a BUG ID</v>
      </c>
      <c r="C766" s="51" t="str">
        <f>IFERROR(VLOOKUP(A766,Internal_lists_bugs!$A$2:$G2003,7,FALSE()),"please select a BUG ID")</f>
        <v>please select a BUG ID</v>
      </c>
      <c r="D766" s="43"/>
      <c r="E766" s="63"/>
      <c r="F766" s="43"/>
      <c r="G766" s="63"/>
      <c r="H766" s="43"/>
      <c r="I766" s="63"/>
      <c r="J766" s="43"/>
      <c r="K766" s="50"/>
      <c r="L766" s="43"/>
      <c r="M766" s="50"/>
      <c r="N766" s="43"/>
      <c r="O766" s="50"/>
      <c r="P766" s="43"/>
      <c r="Q766" s="50"/>
      <c r="R766" s="43"/>
      <c r="S766" s="50"/>
      <c r="T766" s="43"/>
      <c r="U766" s="50"/>
      <c r="V766" s="43"/>
      <c r="W766" s="50"/>
      <c r="X766" s="43"/>
      <c r="Y766" s="50"/>
      <c r="Z766" s="43"/>
      <c r="AA766" s="50"/>
      <c r="AB766" s="43"/>
      <c r="AC766" s="50"/>
      <c r="AD766" s="43"/>
      <c r="AE766" s="50"/>
      <c r="AF766" s="43"/>
      <c r="AG766" s="50"/>
      <c r="AH766" s="43"/>
      <c r="AI766" s="50"/>
      <c r="AJ766" s="43"/>
      <c r="AK766" s="50"/>
      <c r="AL766" s="43"/>
      <c r="AM766" s="50"/>
      <c r="AO766" s="43"/>
      <c r="AP766" s="46"/>
      <c r="AQ766" s="43"/>
      <c r="AR766" s="119"/>
      <c r="AS766" s="1"/>
      <c r="AT766" s="1"/>
    </row>
    <row r="767">
      <c r="A767" s="43"/>
      <c r="B767" s="59" t="str">
        <f>IFERROR(HYPERLINK(VLOOKUP(A767,Internal_lists_bugs!$A$2:$C$73,3,FALSE()), VLOOKUP(A767,Internal_lists_bugs!$A$2:$C$73,3,FALSE())&amp;Char(10) &amp; Char(10) &amp; VLOOKUP(A767,Internal_lists_bugs!$A$2:$Z$73,26,FALSE())),"please select a BUG ID")</f>
        <v>please select a BUG ID</v>
      </c>
      <c r="C767" s="51" t="str">
        <f>IFERROR(VLOOKUP(A767,Internal_lists_bugs!$A$2:$G2003,7,FALSE()),"please select a BUG ID")</f>
        <v>please select a BUG ID</v>
      </c>
      <c r="D767" s="43"/>
      <c r="E767" s="63"/>
      <c r="F767" s="43"/>
      <c r="G767" s="63"/>
      <c r="H767" s="43"/>
      <c r="I767" s="63"/>
      <c r="J767" s="43"/>
      <c r="K767" s="50"/>
      <c r="L767" s="43"/>
      <c r="M767" s="50"/>
      <c r="N767" s="43"/>
      <c r="O767" s="50"/>
      <c r="P767" s="43"/>
      <c r="Q767" s="50"/>
      <c r="R767" s="43"/>
      <c r="S767" s="50"/>
      <c r="T767" s="43"/>
      <c r="U767" s="50"/>
      <c r="V767" s="43"/>
      <c r="W767" s="50"/>
      <c r="X767" s="43"/>
      <c r="Y767" s="50"/>
      <c r="Z767" s="43"/>
      <c r="AA767" s="50"/>
      <c r="AB767" s="43"/>
      <c r="AC767" s="50"/>
      <c r="AD767" s="43"/>
      <c r="AE767" s="50"/>
      <c r="AF767" s="43"/>
      <c r="AG767" s="50"/>
      <c r="AH767" s="43"/>
      <c r="AI767" s="50"/>
      <c r="AJ767" s="43"/>
      <c r="AK767" s="50"/>
      <c r="AL767" s="43"/>
      <c r="AM767" s="50"/>
      <c r="AO767" s="43"/>
      <c r="AP767" s="46"/>
      <c r="AQ767" s="43"/>
      <c r="AR767" s="119"/>
      <c r="AS767" s="1"/>
      <c r="AT767" s="1"/>
    </row>
    <row r="768">
      <c r="A768" s="43"/>
      <c r="B768" s="59" t="str">
        <f>IFERROR(HYPERLINK(VLOOKUP(A768,Internal_lists_bugs!$A$2:$C$73,3,FALSE()), VLOOKUP(A768,Internal_lists_bugs!$A$2:$C$73,3,FALSE())&amp;Char(10) &amp; Char(10) &amp; VLOOKUP(A768,Internal_lists_bugs!$A$2:$Z$73,26,FALSE())),"please select a BUG ID")</f>
        <v>please select a BUG ID</v>
      </c>
      <c r="C768" s="51" t="str">
        <f>IFERROR(VLOOKUP(A768,Internal_lists_bugs!$A$2:$G2003,7,FALSE()),"please select a BUG ID")</f>
        <v>please select a BUG ID</v>
      </c>
      <c r="D768" s="43"/>
      <c r="E768" s="63"/>
      <c r="F768" s="43"/>
      <c r="G768" s="63"/>
      <c r="H768" s="43"/>
      <c r="I768" s="63"/>
      <c r="J768" s="43"/>
      <c r="K768" s="50"/>
      <c r="L768" s="43"/>
      <c r="M768" s="50"/>
      <c r="N768" s="43"/>
      <c r="O768" s="50"/>
      <c r="P768" s="43"/>
      <c r="Q768" s="50"/>
      <c r="R768" s="43"/>
      <c r="S768" s="50"/>
      <c r="T768" s="43"/>
      <c r="U768" s="50"/>
      <c r="V768" s="43"/>
      <c r="W768" s="50"/>
      <c r="X768" s="43"/>
      <c r="Y768" s="50"/>
      <c r="Z768" s="43"/>
      <c r="AA768" s="50"/>
      <c r="AB768" s="43"/>
      <c r="AC768" s="50"/>
      <c r="AD768" s="43"/>
      <c r="AE768" s="50"/>
      <c r="AF768" s="43"/>
      <c r="AG768" s="50"/>
      <c r="AH768" s="43"/>
      <c r="AI768" s="50"/>
      <c r="AJ768" s="43"/>
      <c r="AK768" s="50"/>
      <c r="AL768" s="43"/>
      <c r="AM768" s="50"/>
      <c r="AO768" s="43"/>
      <c r="AP768" s="46"/>
      <c r="AQ768" s="43"/>
      <c r="AR768" s="119"/>
      <c r="AS768" s="1"/>
      <c r="AT768" s="1"/>
    </row>
    <row r="769">
      <c r="A769" s="43"/>
      <c r="B769" s="59" t="str">
        <f>IFERROR(HYPERLINK(VLOOKUP(A769,Internal_lists_bugs!$A$2:$C$73,3,FALSE()), VLOOKUP(A769,Internal_lists_bugs!$A$2:$C$73,3,FALSE())&amp;Char(10) &amp; Char(10) &amp; VLOOKUP(A769,Internal_lists_bugs!$A$2:$Z$73,26,FALSE())),"please select a BUG ID")</f>
        <v>please select a BUG ID</v>
      </c>
      <c r="C769" s="51" t="str">
        <f>IFERROR(VLOOKUP(A769,Internal_lists_bugs!$A$2:$G2003,7,FALSE()),"please select a BUG ID")</f>
        <v>please select a BUG ID</v>
      </c>
      <c r="D769" s="43"/>
      <c r="E769" s="63"/>
      <c r="F769" s="43"/>
      <c r="G769" s="63"/>
      <c r="H769" s="43"/>
      <c r="I769" s="63"/>
      <c r="J769" s="43"/>
      <c r="K769" s="50"/>
      <c r="L769" s="43"/>
      <c r="M769" s="50"/>
      <c r="N769" s="43"/>
      <c r="O769" s="50"/>
      <c r="P769" s="43"/>
      <c r="Q769" s="50"/>
      <c r="R769" s="43"/>
      <c r="S769" s="50"/>
      <c r="T769" s="43"/>
      <c r="U769" s="50"/>
      <c r="V769" s="43"/>
      <c r="W769" s="50"/>
      <c r="X769" s="43"/>
      <c r="Y769" s="50"/>
      <c r="Z769" s="43"/>
      <c r="AA769" s="50"/>
      <c r="AB769" s="43"/>
      <c r="AC769" s="50"/>
      <c r="AD769" s="43"/>
      <c r="AE769" s="50"/>
      <c r="AF769" s="43"/>
      <c r="AG769" s="50"/>
      <c r="AH769" s="43"/>
      <c r="AI769" s="50"/>
      <c r="AJ769" s="43"/>
      <c r="AK769" s="50"/>
      <c r="AL769" s="43"/>
      <c r="AM769" s="50"/>
      <c r="AO769" s="43"/>
      <c r="AP769" s="46"/>
      <c r="AQ769" s="43"/>
      <c r="AR769" s="119"/>
      <c r="AS769" s="1"/>
      <c r="AT769" s="1"/>
    </row>
    <row r="770">
      <c r="A770" s="43"/>
      <c r="B770" s="59" t="str">
        <f>IFERROR(HYPERLINK(VLOOKUP(A770,Internal_lists_bugs!$A$2:$C$73,3,FALSE()), VLOOKUP(A770,Internal_lists_bugs!$A$2:$C$73,3,FALSE())&amp;Char(10) &amp; Char(10) &amp; VLOOKUP(A770,Internal_lists_bugs!$A$2:$Z$73,26,FALSE())),"please select a BUG ID")</f>
        <v>please select a BUG ID</v>
      </c>
      <c r="C770" s="51" t="str">
        <f>IFERROR(VLOOKUP(A770,Internal_lists_bugs!$A$2:$G2003,7,FALSE()),"please select a BUG ID")</f>
        <v>please select a BUG ID</v>
      </c>
      <c r="D770" s="43"/>
      <c r="E770" s="63"/>
      <c r="F770" s="43"/>
      <c r="G770" s="63"/>
      <c r="H770" s="43"/>
      <c r="I770" s="63"/>
      <c r="J770" s="43"/>
      <c r="K770" s="50"/>
      <c r="L770" s="43"/>
      <c r="M770" s="50"/>
      <c r="N770" s="43"/>
      <c r="O770" s="50"/>
      <c r="P770" s="43"/>
      <c r="Q770" s="50"/>
      <c r="R770" s="43"/>
      <c r="S770" s="50"/>
      <c r="T770" s="43"/>
      <c r="U770" s="50"/>
      <c r="V770" s="43"/>
      <c r="W770" s="50"/>
      <c r="X770" s="43"/>
      <c r="Y770" s="50"/>
      <c r="Z770" s="43"/>
      <c r="AA770" s="50"/>
      <c r="AB770" s="43"/>
      <c r="AC770" s="50"/>
      <c r="AD770" s="43"/>
      <c r="AE770" s="50"/>
      <c r="AF770" s="43"/>
      <c r="AG770" s="50"/>
      <c r="AH770" s="43"/>
      <c r="AI770" s="50"/>
      <c r="AJ770" s="43"/>
      <c r="AK770" s="50"/>
      <c r="AL770" s="43"/>
      <c r="AM770" s="50"/>
      <c r="AO770" s="43"/>
      <c r="AP770" s="46"/>
      <c r="AQ770" s="43"/>
      <c r="AR770" s="119"/>
      <c r="AS770" s="1"/>
      <c r="AT770" s="1"/>
    </row>
    <row r="771">
      <c r="A771" s="43"/>
      <c r="B771" s="59" t="str">
        <f>IFERROR(HYPERLINK(VLOOKUP(A771,Internal_lists_bugs!$A$2:$C$73,3,FALSE()), VLOOKUP(A771,Internal_lists_bugs!$A$2:$C$73,3,FALSE())&amp;Char(10) &amp; Char(10) &amp; VLOOKUP(A771,Internal_lists_bugs!$A$2:$Z$73,26,FALSE())),"please select a BUG ID")</f>
        <v>please select a BUG ID</v>
      </c>
      <c r="C771" s="51" t="str">
        <f>IFERROR(VLOOKUP(A771,Internal_lists_bugs!$A$2:$G2003,7,FALSE()),"please select a BUG ID")</f>
        <v>please select a BUG ID</v>
      </c>
      <c r="D771" s="43"/>
      <c r="E771" s="63"/>
      <c r="F771" s="43"/>
      <c r="G771" s="63"/>
      <c r="H771" s="43"/>
      <c r="I771" s="63"/>
      <c r="J771" s="43"/>
      <c r="K771" s="50"/>
      <c r="L771" s="43"/>
      <c r="M771" s="50"/>
      <c r="N771" s="43"/>
      <c r="O771" s="50"/>
      <c r="P771" s="43"/>
      <c r="Q771" s="50"/>
      <c r="R771" s="43"/>
      <c r="S771" s="50"/>
      <c r="T771" s="43"/>
      <c r="U771" s="50"/>
      <c r="V771" s="43"/>
      <c r="W771" s="50"/>
      <c r="X771" s="43"/>
      <c r="Y771" s="50"/>
      <c r="Z771" s="43"/>
      <c r="AA771" s="50"/>
      <c r="AB771" s="43"/>
      <c r="AC771" s="50"/>
      <c r="AD771" s="43"/>
      <c r="AE771" s="50"/>
      <c r="AF771" s="43"/>
      <c r="AG771" s="50"/>
      <c r="AH771" s="43"/>
      <c r="AI771" s="50"/>
      <c r="AJ771" s="43"/>
      <c r="AK771" s="50"/>
      <c r="AL771" s="43"/>
      <c r="AM771" s="50"/>
      <c r="AO771" s="43"/>
      <c r="AP771" s="46"/>
      <c r="AQ771" s="43"/>
      <c r="AR771" s="119"/>
      <c r="AS771" s="1"/>
      <c r="AT771" s="1"/>
    </row>
    <row r="772">
      <c r="A772" s="43"/>
      <c r="B772" s="59" t="str">
        <f>IFERROR(HYPERLINK(VLOOKUP(A772,Internal_lists_bugs!$A$2:$C$73,3,FALSE()), VLOOKUP(A772,Internal_lists_bugs!$A$2:$C$73,3,FALSE())&amp;Char(10) &amp; Char(10) &amp; VLOOKUP(A772,Internal_lists_bugs!$A$2:$Z$73,26,FALSE())),"please select a BUG ID")</f>
        <v>please select a BUG ID</v>
      </c>
      <c r="C772" s="51" t="str">
        <f>IFERROR(VLOOKUP(A772,Internal_lists_bugs!$A$2:$G2003,7,FALSE()),"please select a BUG ID")</f>
        <v>please select a BUG ID</v>
      </c>
      <c r="D772" s="43"/>
      <c r="E772" s="63"/>
      <c r="F772" s="43"/>
      <c r="G772" s="63"/>
      <c r="H772" s="43"/>
      <c r="I772" s="63"/>
      <c r="J772" s="43"/>
      <c r="K772" s="50"/>
      <c r="L772" s="43"/>
      <c r="M772" s="50"/>
      <c r="N772" s="43"/>
      <c r="O772" s="50"/>
      <c r="P772" s="43"/>
      <c r="Q772" s="50"/>
      <c r="R772" s="43"/>
      <c r="S772" s="50"/>
      <c r="T772" s="43"/>
      <c r="U772" s="50"/>
      <c r="V772" s="43"/>
      <c r="W772" s="50"/>
      <c r="X772" s="43"/>
      <c r="Y772" s="50"/>
      <c r="Z772" s="43"/>
      <c r="AA772" s="50"/>
      <c r="AB772" s="43"/>
      <c r="AC772" s="50"/>
      <c r="AD772" s="43"/>
      <c r="AE772" s="50"/>
      <c r="AF772" s="43"/>
      <c r="AG772" s="50"/>
      <c r="AH772" s="43"/>
      <c r="AI772" s="50"/>
      <c r="AJ772" s="43"/>
      <c r="AK772" s="50"/>
      <c r="AL772" s="43"/>
      <c r="AM772" s="50"/>
      <c r="AO772" s="43"/>
      <c r="AP772" s="46"/>
      <c r="AQ772" s="43"/>
      <c r="AR772" s="119"/>
      <c r="AS772" s="1"/>
      <c r="AT772" s="1"/>
    </row>
    <row r="773">
      <c r="A773" s="43"/>
      <c r="B773" s="59" t="str">
        <f>IFERROR(HYPERLINK(VLOOKUP(A773,Internal_lists_bugs!$A$2:$C$73,3,FALSE()), VLOOKUP(A773,Internal_lists_bugs!$A$2:$C$73,3,FALSE())&amp;Char(10) &amp; Char(10) &amp; VLOOKUP(A773,Internal_lists_bugs!$A$2:$Z$73,26,FALSE())),"please select a BUG ID")</f>
        <v>please select a BUG ID</v>
      </c>
      <c r="C773" s="51" t="str">
        <f>IFERROR(VLOOKUP(A773,Internal_lists_bugs!$A$2:$G2003,7,FALSE()),"please select a BUG ID")</f>
        <v>please select a BUG ID</v>
      </c>
      <c r="D773" s="43"/>
      <c r="E773" s="63"/>
      <c r="F773" s="43"/>
      <c r="G773" s="63"/>
      <c r="H773" s="43"/>
      <c r="I773" s="63"/>
      <c r="J773" s="43"/>
      <c r="K773" s="50"/>
      <c r="L773" s="43"/>
      <c r="M773" s="50"/>
      <c r="N773" s="43"/>
      <c r="O773" s="50"/>
      <c r="P773" s="43"/>
      <c r="Q773" s="50"/>
      <c r="R773" s="43"/>
      <c r="S773" s="50"/>
      <c r="T773" s="43"/>
      <c r="U773" s="50"/>
      <c r="V773" s="43"/>
      <c r="W773" s="50"/>
      <c r="X773" s="43"/>
      <c r="Y773" s="50"/>
      <c r="Z773" s="43"/>
      <c r="AA773" s="50"/>
      <c r="AB773" s="43"/>
      <c r="AC773" s="50"/>
      <c r="AD773" s="43"/>
      <c r="AE773" s="50"/>
      <c r="AF773" s="43"/>
      <c r="AG773" s="50"/>
      <c r="AH773" s="43"/>
      <c r="AI773" s="50"/>
      <c r="AJ773" s="43"/>
      <c r="AK773" s="50"/>
      <c r="AL773" s="43"/>
      <c r="AM773" s="50"/>
      <c r="AO773" s="43"/>
      <c r="AP773" s="46"/>
      <c r="AQ773" s="43"/>
      <c r="AR773" s="119"/>
      <c r="AS773" s="1"/>
      <c r="AT773" s="1"/>
    </row>
    <row r="774">
      <c r="A774" s="43"/>
      <c r="B774" s="59" t="str">
        <f>IFERROR(HYPERLINK(VLOOKUP(A774,Internal_lists_bugs!$A$2:$C$73,3,FALSE()), VLOOKUP(A774,Internal_lists_bugs!$A$2:$C$73,3,FALSE())&amp;Char(10) &amp; Char(10) &amp; VLOOKUP(A774,Internal_lists_bugs!$A$2:$Z$73,26,FALSE())),"please select a BUG ID")</f>
        <v>please select a BUG ID</v>
      </c>
      <c r="C774" s="51" t="str">
        <f>IFERROR(VLOOKUP(A774,Internal_lists_bugs!$A$2:$G2003,7,FALSE()),"please select a BUG ID")</f>
        <v>please select a BUG ID</v>
      </c>
      <c r="D774" s="43"/>
      <c r="E774" s="63"/>
      <c r="F774" s="43"/>
      <c r="G774" s="63"/>
      <c r="H774" s="43"/>
      <c r="I774" s="63"/>
      <c r="J774" s="43"/>
      <c r="K774" s="50"/>
      <c r="L774" s="43"/>
      <c r="M774" s="50"/>
      <c r="N774" s="43"/>
      <c r="O774" s="50"/>
      <c r="P774" s="43"/>
      <c r="Q774" s="50"/>
      <c r="R774" s="43"/>
      <c r="S774" s="50"/>
      <c r="T774" s="43"/>
      <c r="U774" s="50"/>
      <c r="V774" s="43"/>
      <c r="W774" s="50"/>
      <c r="X774" s="43"/>
      <c r="Y774" s="50"/>
      <c r="Z774" s="43"/>
      <c r="AA774" s="50"/>
      <c r="AB774" s="43"/>
      <c r="AC774" s="50"/>
      <c r="AD774" s="43"/>
      <c r="AE774" s="50"/>
      <c r="AF774" s="43"/>
      <c r="AG774" s="50"/>
      <c r="AH774" s="43"/>
      <c r="AI774" s="50"/>
      <c r="AJ774" s="43"/>
      <c r="AK774" s="50"/>
      <c r="AL774" s="43"/>
      <c r="AM774" s="50"/>
      <c r="AO774" s="43"/>
      <c r="AP774" s="46"/>
      <c r="AQ774" s="43"/>
      <c r="AR774" s="119"/>
      <c r="AS774" s="1"/>
      <c r="AT774" s="1"/>
    </row>
    <row r="775">
      <c r="A775" s="43"/>
      <c r="B775" s="59" t="str">
        <f>IFERROR(HYPERLINK(VLOOKUP(A775,Internal_lists_bugs!$A$2:$C$73,3,FALSE()), VLOOKUP(A775,Internal_lists_bugs!$A$2:$C$73,3,FALSE())&amp;Char(10) &amp; Char(10) &amp; VLOOKUP(A775,Internal_lists_bugs!$A$2:$Z$73,26,FALSE())),"please select a BUG ID")</f>
        <v>please select a BUG ID</v>
      </c>
      <c r="C775" s="51" t="str">
        <f>IFERROR(VLOOKUP(A775,Internal_lists_bugs!$A$2:$G2003,7,FALSE()),"please select a BUG ID")</f>
        <v>please select a BUG ID</v>
      </c>
      <c r="D775" s="43"/>
      <c r="E775" s="63"/>
      <c r="F775" s="43"/>
      <c r="G775" s="63"/>
      <c r="H775" s="43"/>
      <c r="I775" s="63"/>
      <c r="J775" s="43"/>
      <c r="K775" s="50"/>
      <c r="L775" s="43"/>
      <c r="M775" s="50"/>
      <c r="N775" s="43"/>
      <c r="O775" s="50"/>
      <c r="P775" s="43"/>
      <c r="Q775" s="50"/>
      <c r="R775" s="43"/>
      <c r="S775" s="50"/>
      <c r="T775" s="43"/>
      <c r="U775" s="50"/>
      <c r="V775" s="43"/>
      <c r="W775" s="50"/>
      <c r="X775" s="43"/>
      <c r="Y775" s="50"/>
      <c r="Z775" s="43"/>
      <c r="AA775" s="50"/>
      <c r="AB775" s="43"/>
      <c r="AC775" s="50"/>
      <c r="AD775" s="43"/>
      <c r="AE775" s="50"/>
      <c r="AF775" s="43"/>
      <c r="AG775" s="50"/>
      <c r="AH775" s="43"/>
      <c r="AI775" s="50"/>
      <c r="AJ775" s="43"/>
      <c r="AK775" s="50"/>
      <c r="AL775" s="43"/>
      <c r="AM775" s="50"/>
      <c r="AO775" s="43"/>
      <c r="AP775" s="46"/>
      <c r="AQ775" s="43"/>
      <c r="AR775" s="119"/>
      <c r="AS775" s="1"/>
      <c r="AT775" s="1"/>
    </row>
    <row r="776">
      <c r="A776" s="43"/>
      <c r="B776" s="59" t="str">
        <f>IFERROR(HYPERLINK(VLOOKUP(A776,Internal_lists_bugs!$A$2:$C$73,3,FALSE()), VLOOKUP(A776,Internal_lists_bugs!$A$2:$C$73,3,FALSE())&amp;Char(10) &amp; Char(10) &amp; VLOOKUP(A776,Internal_lists_bugs!$A$2:$Z$73,26,FALSE())),"please select a BUG ID")</f>
        <v>please select a BUG ID</v>
      </c>
      <c r="C776" s="51" t="str">
        <f>IFERROR(VLOOKUP(A776,Internal_lists_bugs!$A$2:$G2003,7,FALSE()),"please select a BUG ID")</f>
        <v>please select a BUG ID</v>
      </c>
      <c r="D776" s="43"/>
      <c r="E776" s="63"/>
      <c r="F776" s="43"/>
      <c r="G776" s="63"/>
      <c r="H776" s="43"/>
      <c r="I776" s="63"/>
      <c r="J776" s="43"/>
      <c r="K776" s="50"/>
      <c r="L776" s="43"/>
      <c r="M776" s="50"/>
      <c r="N776" s="43"/>
      <c r="O776" s="50"/>
      <c r="P776" s="43"/>
      <c r="Q776" s="50"/>
      <c r="R776" s="43"/>
      <c r="S776" s="50"/>
      <c r="T776" s="43"/>
      <c r="U776" s="50"/>
      <c r="V776" s="43"/>
      <c r="W776" s="50"/>
      <c r="X776" s="43"/>
      <c r="Y776" s="50"/>
      <c r="Z776" s="43"/>
      <c r="AA776" s="50"/>
      <c r="AB776" s="43"/>
      <c r="AC776" s="50"/>
      <c r="AD776" s="43"/>
      <c r="AE776" s="50"/>
      <c r="AF776" s="43"/>
      <c r="AG776" s="50"/>
      <c r="AH776" s="43"/>
      <c r="AI776" s="50"/>
      <c r="AJ776" s="43"/>
      <c r="AK776" s="50"/>
      <c r="AL776" s="43"/>
      <c r="AM776" s="50"/>
      <c r="AO776" s="43"/>
      <c r="AP776" s="46"/>
      <c r="AQ776" s="43"/>
      <c r="AR776" s="119"/>
      <c r="AS776" s="1"/>
      <c r="AT776" s="1"/>
    </row>
    <row r="777">
      <c r="A777" s="43"/>
      <c r="B777" s="59" t="str">
        <f>IFERROR(HYPERLINK(VLOOKUP(A777,Internal_lists_bugs!$A$2:$C$73,3,FALSE()), VLOOKUP(A777,Internal_lists_bugs!$A$2:$C$73,3,FALSE())&amp;Char(10) &amp; Char(10) &amp; VLOOKUP(A777,Internal_lists_bugs!$A$2:$Z$73,26,FALSE())),"please select a BUG ID")</f>
        <v>please select a BUG ID</v>
      </c>
      <c r="C777" s="51" t="str">
        <f>IFERROR(VLOOKUP(A777,Internal_lists_bugs!$A$2:$G2003,7,FALSE()),"please select a BUG ID")</f>
        <v>please select a BUG ID</v>
      </c>
      <c r="D777" s="43"/>
      <c r="E777" s="63"/>
      <c r="F777" s="43"/>
      <c r="G777" s="63"/>
      <c r="H777" s="43"/>
      <c r="I777" s="63"/>
      <c r="J777" s="43"/>
      <c r="K777" s="50"/>
      <c r="L777" s="43"/>
      <c r="M777" s="50"/>
      <c r="N777" s="43"/>
      <c r="O777" s="50"/>
      <c r="P777" s="43"/>
      <c r="Q777" s="50"/>
      <c r="R777" s="43"/>
      <c r="S777" s="50"/>
      <c r="T777" s="43"/>
      <c r="U777" s="50"/>
      <c r="V777" s="43"/>
      <c r="W777" s="50"/>
      <c r="X777" s="43"/>
      <c r="Y777" s="50"/>
      <c r="Z777" s="43"/>
      <c r="AA777" s="50"/>
      <c r="AB777" s="43"/>
      <c r="AC777" s="50"/>
      <c r="AD777" s="43"/>
      <c r="AE777" s="50"/>
      <c r="AF777" s="43"/>
      <c r="AG777" s="50"/>
      <c r="AH777" s="43"/>
      <c r="AI777" s="50"/>
      <c r="AJ777" s="43"/>
      <c r="AK777" s="50"/>
      <c r="AL777" s="43"/>
      <c r="AM777" s="50"/>
      <c r="AO777" s="43"/>
      <c r="AP777" s="46"/>
      <c r="AQ777" s="43"/>
      <c r="AR777" s="119"/>
      <c r="AS777" s="1"/>
      <c r="AT777" s="1"/>
    </row>
    <row r="778">
      <c r="A778" s="43"/>
      <c r="B778" s="59" t="str">
        <f>IFERROR(HYPERLINK(VLOOKUP(A778,Internal_lists_bugs!$A$2:$C$73,3,FALSE()), VLOOKUP(A778,Internal_lists_bugs!$A$2:$C$73,3,FALSE())&amp;Char(10) &amp; Char(10) &amp; VLOOKUP(A778,Internal_lists_bugs!$A$2:$Z$73,26,FALSE())),"please select a BUG ID")</f>
        <v>please select a BUG ID</v>
      </c>
      <c r="C778" s="51" t="str">
        <f>IFERROR(VLOOKUP(A778,Internal_lists_bugs!$A$2:$G2003,7,FALSE()),"please select a BUG ID")</f>
        <v>please select a BUG ID</v>
      </c>
      <c r="D778" s="43"/>
      <c r="E778" s="63"/>
      <c r="F778" s="43"/>
      <c r="G778" s="63"/>
      <c r="H778" s="43"/>
      <c r="I778" s="63"/>
      <c r="J778" s="43"/>
      <c r="K778" s="50"/>
      <c r="L778" s="43"/>
      <c r="M778" s="50"/>
      <c r="N778" s="43"/>
      <c r="O778" s="50"/>
      <c r="P778" s="43"/>
      <c r="Q778" s="50"/>
      <c r="R778" s="43"/>
      <c r="S778" s="50"/>
      <c r="T778" s="43"/>
      <c r="U778" s="50"/>
      <c r="V778" s="43"/>
      <c r="W778" s="50"/>
      <c r="X778" s="43"/>
      <c r="Y778" s="50"/>
      <c r="Z778" s="43"/>
      <c r="AA778" s="50"/>
      <c r="AB778" s="43"/>
      <c r="AC778" s="50"/>
      <c r="AD778" s="43"/>
      <c r="AE778" s="50"/>
      <c r="AF778" s="43"/>
      <c r="AG778" s="50"/>
      <c r="AH778" s="43"/>
      <c r="AI778" s="50"/>
      <c r="AJ778" s="43"/>
      <c r="AK778" s="50"/>
      <c r="AL778" s="43"/>
      <c r="AM778" s="50"/>
      <c r="AO778" s="43"/>
      <c r="AP778" s="46"/>
      <c r="AQ778" s="43"/>
      <c r="AR778" s="119"/>
      <c r="AS778" s="1"/>
      <c r="AT778" s="1"/>
    </row>
    <row r="779">
      <c r="A779" s="43"/>
      <c r="B779" s="59" t="str">
        <f>IFERROR(HYPERLINK(VLOOKUP(A779,Internal_lists_bugs!$A$2:$C$73,3,FALSE()), VLOOKUP(A779,Internal_lists_bugs!$A$2:$C$73,3,FALSE())&amp;Char(10) &amp; Char(10) &amp; VLOOKUP(A779,Internal_lists_bugs!$A$2:$Z$73,26,FALSE())),"please select a BUG ID")</f>
        <v>please select a BUG ID</v>
      </c>
      <c r="C779" s="51" t="str">
        <f>IFERROR(VLOOKUP(A779,Internal_lists_bugs!$A$2:$G2003,7,FALSE()),"please select a BUG ID")</f>
        <v>please select a BUG ID</v>
      </c>
      <c r="D779" s="43"/>
      <c r="E779" s="63"/>
      <c r="F779" s="43"/>
      <c r="G779" s="63"/>
      <c r="H779" s="43"/>
      <c r="I779" s="63"/>
      <c r="J779" s="43"/>
      <c r="K779" s="50"/>
      <c r="L779" s="43"/>
      <c r="M779" s="50"/>
      <c r="N779" s="43"/>
      <c r="O779" s="50"/>
      <c r="P779" s="43"/>
      <c r="Q779" s="50"/>
      <c r="R779" s="43"/>
      <c r="S779" s="50"/>
      <c r="T779" s="43"/>
      <c r="U779" s="50"/>
      <c r="V779" s="43"/>
      <c r="W779" s="50"/>
      <c r="X779" s="43"/>
      <c r="Y779" s="50"/>
      <c r="Z779" s="43"/>
      <c r="AA779" s="50"/>
      <c r="AB779" s="43"/>
      <c r="AC779" s="50"/>
      <c r="AD779" s="43"/>
      <c r="AE779" s="50"/>
      <c r="AF779" s="43"/>
      <c r="AG779" s="50"/>
      <c r="AH779" s="43"/>
      <c r="AI779" s="50"/>
      <c r="AJ779" s="43"/>
      <c r="AK779" s="50"/>
      <c r="AL779" s="43"/>
      <c r="AM779" s="50"/>
      <c r="AO779" s="43"/>
      <c r="AP779" s="46"/>
      <c r="AQ779" s="43"/>
      <c r="AR779" s="119"/>
      <c r="AS779" s="1"/>
      <c r="AT779" s="1"/>
    </row>
    <row r="780">
      <c r="A780" s="43"/>
      <c r="B780" s="59" t="str">
        <f>IFERROR(HYPERLINK(VLOOKUP(A780,Internal_lists_bugs!$A$2:$C$73,3,FALSE()), VLOOKUP(A780,Internal_lists_bugs!$A$2:$C$73,3,FALSE())&amp;Char(10) &amp; Char(10) &amp; VLOOKUP(A780,Internal_lists_bugs!$A$2:$Z$73,26,FALSE())),"please select a BUG ID")</f>
        <v>please select a BUG ID</v>
      </c>
      <c r="C780" s="51" t="str">
        <f>IFERROR(VLOOKUP(A780,Internal_lists_bugs!$A$2:$G2003,7,FALSE()),"please select a BUG ID")</f>
        <v>please select a BUG ID</v>
      </c>
      <c r="D780" s="43"/>
      <c r="E780" s="63"/>
      <c r="F780" s="43"/>
      <c r="G780" s="63"/>
      <c r="H780" s="43"/>
      <c r="I780" s="63"/>
      <c r="J780" s="43"/>
      <c r="K780" s="50"/>
      <c r="L780" s="43"/>
      <c r="M780" s="50"/>
      <c r="N780" s="43"/>
      <c r="O780" s="50"/>
      <c r="P780" s="43"/>
      <c r="Q780" s="50"/>
      <c r="R780" s="43"/>
      <c r="S780" s="50"/>
      <c r="T780" s="43"/>
      <c r="U780" s="50"/>
      <c r="V780" s="43"/>
      <c r="W780" s="50"/>
      <c r="X780" s="43"/>
      <c r="Y780" s="50"/>
      <c r="Z780" s="43"/>
      <c r="AA780" s="50"/>
      <c r="AB780" s="43"/>
      <c r="AC780" s="50"/>
      <c r="AD780" s="43"/>
      <c r="AE780" s="50"/>
      <c r="AF780" s="43"/>
      <c r="AG780" s="50"/>
      <c r="AH780" s="43"/>
      <c r="AI780" s="50"/>
      <c r="AJ780" s="43"/>
      <c r="AK780" s="50"/>
      <c r="AL780" s="43"/>
      <c r="AM780" s="50"/>
      <c r="AO780" s="43"/>
      <c r="AP780" s="46"/>
      <c r="AQ780" s="43"/>
      <c r="AR780" s="119"/>
      <c r="AS780" s="1"/>
      <c r="AT780" s="1"/>
    </row>
    <row r="781">
      <c r="A781" s="43"/>
      <c r="B781" s="59" t="str">
        <f>IFERROR(HYPERLINK(VLOOKUP(A781,Internal_lists_bugs!$A$2:$C$73,3,FALSE()), VLOOKUP(A781,Internal_lists_bugs!$A$2:$C$73,3,FALSE())&amp;Char(10) &amp; Char(10) &amp; VLOOKUP(A781,Internal_lists_bugs!$A$2:$Z$73,26,FALSE())),"please select a BUG ID")</f>
        <v>please select a BUG ID</v>
      </c>
      <c r="C781" s="51" t="str">
        <f>IFERROR(VLOOKUP(A781,Internal_lists_bugs!$A$2:$G2003,7,FALSE()),"please select a BUG ID")</f>
        <v>please select a BUG ID</v>
      </c>
      <c r="D781" s="43"/>
      <c r="E781" s="63"/>
      <c r="F781" s="43"/>
      <c r="G781" s="63"/>
      <c r="H781" s="43"/>
      <c r="I781" s="63"/>
      <c r="J781" s="43"/>
      <c r="K781" s="50"/>
      <c r="L781" s="43"/>
      <c r="M781" s="50"/>
      <c r="N781" s="43"/>
      <c r="O781" s="50"/>
      <c r="P781" s="43"/>
      <c r="Q781" s="50"/>
      <c r="R781" s="43"/>
      <c r="S781" s="50"/>
      <c r="T781" s="43"/>
      <c r="U781" s="50"/>
      <c r="V781" s="43"/>
      <c r="W781" s="50"/>
      <c r="X781" s="43"/>
      <c r="Y781" s="50"/>
      <c r="Z781" s="43"/>
      <c r="AA781" s="50"/>
      <c r="AB781" s="43"/>
      <c r="AC781" s="50"/>
      <c r="AD781" s="43"/>
      <c r="AE781" s="50"/>
      <c r="AF781" s="43"/>
      <c r="AG781" s="50"/>
      <c r="AH781" s="43"/>
      <c r="AI781" s="50"/>
      <c r="AJ781" s="43"/>
      <c r="AK781" s="50"/>
      <c r="AL781" s="43"/>
      <c r="AM781" s="50"/>
      <c r="AO781" s="43"/>
      <c r="AP781" s="46"/>
      <c r="AQ781" s="43"/>
      <c r="AR781" s="119"/>
      <c r="AS781" s="1"/>
      <c r="AT781" s="1"/>
    </row>
    <row r="782">
      <c r="A782" s="43"/>
      <c r="B782" s="59" t="str">
        <f>IFERROR(HYPERLINK(VLOOKUP(A782,Internal_lists_bugs!$A$2:$C$73,3,FALSE()), VLOOKUP(A782,Internal_lists_bugs!$A$2:$C$73,3,FALSE())&amp;Char(10) &amp; Char(10) &amp; VLOOKUP(A782,Internal_lists_bugs!$A$2:$Z$73,26,FALSE())),"please select a BUG ID")</f>
        <v>please select a BUG ID</v>
      </c>
      <c r="C782" s="51" t="str">
        <f>IFERROR(VLOOKUP(A782,Internal_lists_bugs!$A$2:$G2003,7,FALSE()),"please select a BUG ID")</f>
        <v>please select a BUG ID</v>
      </c>
      <c r="D782" s="43"/>
      <c r="E782" s="63"/>
      <c r="F782" s="43"/>
      <c r="G782" s="63"/>
      <c r="H782" s="43"/>
      <c r="I782" s="63"/>
      <c r="J782" s="43"/>
      <c r="K782" s="50"/>
      <c r="L782" s="43"/>
      <c r="M782" s="50"/>
      <c r="N782" s="43"/>
      <c r="O782" s="50"/>
      <c r="P782" s="43"/>
      <c r="Q782" s="50"/>
      <c r="R782" s="43"/>
      <c r="S782" s="50"/>
      <c r="T782" s="43"/>
      <c r="U782" s="50"/>
      <c r="V782" s="43"/>
      <c r="W782" s="50"/>
      <c r="X782" s="43"/>
      <c r="Y782" s="50"/>
      <c r="Z782" s="43"/>
      <c r="AA782" s="50"/>
      <c r="AB782" s="43"/>
      <c r="AC782" s="50"/>
      <c r="AD782" s="43"/>
      <c r="AE782" s="50"/>
      <c r="AF782" s="43"/>
      <c r="AG782" s="50"/>
      <c r="AH782" s="43"/>
      <c r="AI782" s="50"/>
      <c r="AJ782" s="43"/>
      <c r="AK782" s="50"/>
      <c r="AL782" s="43"/>
      <c r="AM782" s="50"/>
      <c r="AO782" s="43"/>
      <c r="AP782" s="46"/>
      <c r="AQ782" s="43"/>
      <c r="AR782" s="119"/>
      <c r="AS782" s="1"/>
      <c r="AT782" s="1"/>
    </row>
    <row r="783">
      <c r="A783" s="43"/>
      <c r="B783" s="59" t="str">
        <f>IFERROR(HYPERLINK(VLOOKUP(A783,Internal_lists_bugs!$A$2:$C$73,3,FALSE()), VLOOKUP(A783,Internal_lists_bugs!$A$2:$C$73,3,FALSE())&amp;Char(10) &amp; Char(10) &amp; VLOOKUP(A783,Internal_lists_bugs!$A$2:$Z$73,26,FALSE())),"please select a BUG ID")</f>
        <v>please select a BUG ID</v>
      </c>
      <c r="C783" s="51" t="str">
        <f>IFERROR(VLOOKUP(A783,Internal_lists_bugs!$A$2:$G2003,7,FALSE()),"please select a BUG ID")</f>
        <v>please select a BUG ID</v>
      </c>
      <c r="D783" s="43"/>
      <c r="E783" s="63"/>
      <c r="F783" s="43"/>
      <c r="G783" s="63"/>
      <c r="H783" s="43"/>
      <c r="I783" s="63"/>
      <c r="J783" s="43"/>
      <c r="K783" s="50"/>
      <c r="L783" s="43"/>
      <c r="M783" s="50"/>
      <c r="N783" s="43"/>
      <c r="O783" s="50"/>
      <c r="P783" s="43"/>
      <c r="Q783" s="50"/>
      <c r="R783" s="43"/>
      <c r="S783" s="50"/>
      <c r="T783" s="43"/>
      <c r="U783" s="50"/>
      <c r="V783" s="43"/>
      <c r="W783" s="50"/>
      <c r="X783" s="43"/>
      <c r="Y783" s="50"/>
      <c r="Z783" s="43"/>
      <c r="AA783" s="50"/>
      <c r="AB783" s="43"/>
      <c r="AC783" s="50"/>
      <c r="AD783" s="43"/>
      <c r="AE783" s="50"/>
      <c r="AF783" s="43"/>
      <c r="AG783" s="50"/>
      <c r="AH783" s="43"/>
      <c r="AI783" s="50"/>
      <c r="AJ783" s="43"/>
      <c r="AK783" s="50"/>
      <c r="AL783" s="43"/>
      <c r="AM783" s="50"/>
      <c r="AO783" s="43"/>
      <c r="AP783" s="46"/>
      <c r="AQ783" s="43"/>
      <c r="AR783" s="119"/>
      <c r="AS783" s="1"/>
      <c r="AT783" s="1"/>
    </row>
    <row r="784">
      <c r="A784" s="43"/>
      <c r="B784" s="59" t="str">
        <f>IFERROR(HYPERLINK(VLOOKUP(A784,Internal_lists_bugs!$A$2:$C$73,3,FALSE()), VLOOKUP(A784,Internal_lists_bugs!$A$2:$C$73,3,FALSE())&amp;Char(10) &amp; Char(10) &amp; VLOOKUP(A784,Internal_lists_bugs!$A$2:$Z$73,26,FALSE())),"please select a BUG ID")</f>
        <v>please select a BUG ID</v>
      </c>
      <c r="C784" s="51" t="str">
        <f>IFERROR(VLOOKUP(A784,Internal_lists_bugs!$A$2:$G2003,7,FALSE()),"please select a BUG ID")</f>
        <v>please select a BUG ID</v>
      </c>
      <c r="D784" s="43"/>
      <c r="E784" s="63"/>
      <c r="F784" s="43"/>
      <c r="G784" s="63"/>
      <c r="H784" s="43"/>
      <c r="I784" s="63"/>
      <c r="J784" s="43"/>
      <c r="K784" s="50"/>
      <c r="L784" s="43"/>
      <c r="M784" s="50"/>
      <c r="N784" s="43"/>
      <c r="O784" s="50"/>
      <c r="P784" s="43"/>
      <c r="Q784" s="50"/>
      <c r="R784" s="43"/>
      <c r="S784" s="50"/>
      <c r="T784" s="43"/>
      <c r="U784" s="50"/>
      <c r="V784" s="43"/>
      <c r="W784" s="50"/>
      <c r="X784" s="43"/>
      <c r="Y784" s="50"/>
      <c r="Z784" s="43"/>
      <c r="AA784" s="50"/>
      <c r="AB784" s="43"/>
      <c r="AC784" s="50"/>
      <c r="AD784" s="43"/>
      <c r="AE784" s="50"/>
      <c r="AF784" s="43"/>
      <c r="AG784" s="50"/>
      <c r="AH784" s="43"/>
      <c r="AI784" s="50"/>
      <c r="AJ784" s="43"/>
      <c r="AK784" s="50"/>
      <c r="AL784" s="43"/>
      <c r="AM784" s="50"/>
      <c r="AO784" s="43"/>
      <c r="AP784" s="46"/>
      <c r="AQ784" s="43"/>
      <c r="AR784" s="119"/>
      <c r="AS784" s="1"/>
      <c r="AT784" s="1"/>
    </row>
    <row r="785">
      <c r="A785" s="43"/>
      <c r="B785" s="59" t="str">
        <f>IFERROR(HYPERLINK(VLOOKUP(A785,Internal_lists_bugs!$A$2:$C$73,3,FALSE()), VLOOKUP(A785,Internal_lists_bugs!$A$2:$C$73,3,FALSE())&amp;Char(10) &amp; Char(10) &amp; VLOOKUP(A785,Internal_lists_bugs!$A$2:$Z$73,26,FALSE())),"please select a BUG ID")</f>
        <v>please select a BUG ID</v>
      </c>
      <c r="C785" s="51" t="str">
        <f>IFERROR(VLOOKUP(A785,Internal_lists_bugs!$A$2:$G2003,7,FALSE()),"please select a BUG ID")</f>
        <v>please select a BUG ID</v>
      </c>
      <c r="D785" s="43"/>
      <c r="E785" s="63"/>
      <c r="F785" s="43"/>
      <c r="G785" s="63"/>
      <c r="H785" s="43"/>
      <c r="I785" s="63"/>
      <c r="J785" s="43"/>
      <c r="K785" s="50"/>
      <c r="L785" s="43"/>
      <c r="M785" s="50"/>
      <c r="N785" s="43"/>
      <c r="O785" s="50"/>
      <c r="P785" s="43"/>
      <c r="Q785" s="50"/>
      <c r="R785" s="43"/>
      <c r="S785" s="50"/>
      <c r="T785" s="43"/>
      <c r="U785" s="50"/>
      <c r="V785" s="43"/>
      <c r="W785" s="50"/>
      <c r="X785" s="43"/>
      <c r="Y785" s="50"/>
      <c r="Z785" s="43"/>
      <c r="AA785" s="50"/>
      <c r="AB785" s="43"/>
      <c r="AC785" s="50"/>
      <c r="AD785" s="43"/>
      <c r="AE785" s="50"/>
      <c r="AF785" s="43"/>
      <c r="AG785" s="50"/>
      <c r="AH785" s="43"/>
      <c r="AI785" s="50"/>
      <c r="AJ785" s="43"/>
      <c r="AK785" s="50"/>
      <c r="AL785" s="43"/>
      <c r="AM785" s="50"/>
      <c r="AO785" s="43"/>
      <c r="AP785" s="46"/>
      <c r="AQ785" s="43"/>
      <c r="AR785" s="119"/>
      <c r="AS785" s="1"/>
      <c r="AT785" s="1"/>
    </row>
    <row r="786">
      <c r="A786" s="43"/>
      <c r="B786" s="59" t="str">
        <f>IFERROR(HYPERLINK(VLOOKUP(A786,Internal_lists_bugs!$A$2:$C$73,3,FALSE()), VLOOKUP(A786,Internal_lists_bugs!$A$2:$C$73,3,FALSE())&amp;Char(10) &amp; Char(10) &amp; VLOOKUP(A786,Internal_lists_bugs!$A$2:$Z$73,26,FALSE())),"please select a BUG ID")</f>
        <v>please select a BUG ID</v>
      </c>
      <c r="C786" s="51" t="str">
        <f>IFERROR(VLOOKUP(A786,Internal_lists_bugs!$A$2:$G2003,7,FALSE()),"please select a BUG ID")</f>
        <v>please select a BUG ID</v>
      </c>
      <c r="D786" s="43"/>
      <c r="E786" s="63"/>
      <c r="F786" s="43"/>
      <c r="G786" s="63"/>
      <c r="H786" s="43"/>
      <c r="I786" s="63"/>
      <c r="J786" s="43"/>
      <c r="K786" s="50"/>
      <c r="L786" s="43"/>
      <c r="M786" s="50"/>
      <c r="N786" s="43"/>
      <c r="O786" s="50"/>
      <c r="P786" s="43"/>
      <c r="Q786" s="50"/>
      <c r="R786" s="43"/>
      <c r="S786" s="50"/>
      <c r="T786" s="43"/>
      <c r="U786" s="50"/>
      <c r="V786" s="43"/>
      <c r="W786" s="50"/>
      <c r="X786" s="43"/>
      <c r="Y786" s="50"/>
      <c r="Z786" s="43"/>
      <c r="AA786" s="50"/>
      <c r="AB786" s="43"/>
      <c r="AC786" s="50"/>
      <c r="AD786" s="43"/>
      <c r="AE786" s="50"/>
      <c r="AF786" s="43"/>
      <c r="AG786" s="50"/>
      <c r="AH786" s="43"/>
      <c r="AI786" s="50"/>
      <c r="AJ786" s="43"/>
      <c r="AK786" s="50"/>
      <c r="AL786" s="43"/>
      <c r="AM786" s="50"/>
      <c r="AO786" s="43"/>
      <c r="AP786" s="46"/>
      <c r="AQ786" s="43"/>
      <c r="AR786" s="119"/>
      <c r="AS786" s="1"/>
      <c r="AT786" s="1"/>
    </row>
    <row r="787">
      <c r="A787" s="43"/>
      <c r="B787" s="59" t="str">
        <f>IFERROR(HYPERLINK(VLOOKUP(A787,Internal_lists_bugs!$A$2:$C$73,3,FALSE()), VLOOKUP(A787,Internal_lists_bugs!$A$2:$C$73,3,FALSE())&amp;Char(10) &amp; Char(10) &amp; VLOOKUP(A787,Internal_lists_bugs!$A$2:$Z$73,26,FALSE())),"please select a BUG ID")</f>
        <v>please select a BUG ID</v>
      </c>
      <c r="C787" s="51" t="str">
        <f>IFERROR(VLOOKUP(A787,Internal_lists_bugs!$A$2:$G2003,7,FALSE()),"please select a BUG ID")</f>
        <v>please select a BUG ID</v>
      </c>
      <c r="D787" s="43"/>
      <c r="E787" s="63"/>
      <c r="F787" s="43"/>
      <c r="G787" s="63"/>
      <c r="H787" s="43"/>
      <c r="I787" s="63"/>
      <c r="J787" s="43"/>
      <c r="K787" s="50"/>
      <c r="L787" s="43"/>
      <c r="M787" s="50"/>
      <c r="N787" s="43"/>
      <c r="O787" s="50"/>
      <c r="P787" s="43"/>
      <c r="Q787" s="50"/>
      <c r="R787" s="43"/>
      <c r="S787" s="50"/>
      <c r="T787" s="43"/>
      <c r="U787" s="50"/>
      <c r="V787" s="43"/>
      <c r="W787" s="50"/>
      <c r="X787" s="43"/>
      <c r="Y787" s="50"/>
      <c r="Z787" s="43"/>
      <c r="AA787" s="50"/>
      <c r="AB787" s="43"/>
      <c r="AC787" s="50"/>
      <c r="AD787" s="43"/>
      <c r="AE787" s="50"/>
      <c r="AF787" s="43"/>
      <c r="AG787" s="50"/>
      <c r="AH787" s="43"/>
      <c r="AI787" s="50"/>
      <c r="AJ787" s="43"/>
      <c r="AK787" s="50"/>
      <c r="AL787" s="43"/>
      <c r="AM787" s="50"/>
      <c r="AO787" s="43"/>
      <c r="AP787" s="46"/>
      <c r="AQ787" s="43"/>
      <c r="AR787" s="119"/>
      <c r="AS787" s="1"/>
      <c r="AT787" s="1"/>
    </row>
    <row r="788">
      <c r="A788" s="43"/>
      <c r="B788" s="59" t="str">
        <f>IFERROR(HYPERLINK(VLOOKUP(A788,Internal_lists_bugs!$A$2:$C$73,3,FALSE()), VLOOKUP(A788,Internal_lists_bugs!$A$2:$C$73,3,FALSE())&amp;Char(10) &amp; Char(10) &amp; VLOOKUP(A788,Internal_lists_bugs!$A$2:$Z$73,26,FALSE())),"please select a BUG ID")</f>
        <v>please select a BUG ID</v>
      </c>
      <c r="C788" s="51" t="str">
        <f>IFERROR(VLOOKUP(A788,Internal_lists_bugs!$A$2:$G2003,7,FALSE()),"please select a BUG ID")</f>
        <v>please select a BUG ID</v>
      </c>
      <c r="D788" s="43"/>
      <c r="E788" s="63"/>
      <c r="F788" s="43"/>
      <c r="G788" s="63"/>
      <c r="H788" s="43"/>
      <c r="I788" s="63"/>
      <c r="J788" s="43"/>
      <c r="K788" s="50"/>
      <c r="L788" s="43"/>
      <c r="M788" s="50"/>
      <c r="N788" s="43"/>
      <c r="O788" s="50"/>
      <c r="P788" s="43"/>
      <c r="Q788" s="50"/>
      <c r="R788" s="43"/>
      <c r="S788" s="50"/>
      <c r="T788" s="43"/>
      <c r="U788" s="50"/>
      <c r="V788" s="43"/>
      <c r="W788" s="50"/>
      <c r="X788" s="43"/>
      <c r="Y788" s="50"/>
      <c r="Z788" s="43"/>
      <c r="AA788" s="50"/>
      <c r="AB788" s="43"/>
      <c r="AC788" s="50"/>
      <c r="AD788" s="43"/>
      <c r="AE788" s="50"/>
      <c r="AF788" s="43"/>
      <c r="AG788" s="50"/>
      <c r="AH788" s="43"/>
      <c r="AI788" s="50"/>
      <c r="AJ788" s="43"/>
      <c r="AK788" s="50"/>
      <c r="AL788" s="43"/>
      <c r="AM788" s="50"/>
      <c r="AO788" s="43"/>
      <c r="AP788" s="46"/>
      <c r="AQ788" s="43"/>
      <c r="AR788" s="119"/>
      <c r="AS788" s="1"/>
      <c r="AT788" s="1"/>
    </row>
    <row r="789">
      <c r="A789" s="43"/>
      <c r="B789" s="59" t="str">
        <f>IFERROR(HYPERLINK(VLOOKUP(A789,Internal_lists_bugs!$A$2:$C$73,3,FALSE()), VLOOKUP(A789,Internal_lists_bugs!$A$2:$C$73,3,FALSE())&amp;Char(10) &amp; Char(10) &amp; VLOOKUP(A789,Internal_lists_bugs!$A$2:$Z$73,26,FALSE())),"please select a BUG ID")</f>
        <v>please select a BUG ID</v>
      </c>
      <c r="C789" s="51" t="str">
        <f>IFERROR(VLOOKUP(A789,Internal_lists_bugs!$A$2:$G2003,7,FALSE()),"please select a BUG ID")</f>
        <v>please select a BUG ID</v>
      </c>
      <c r="D789" s="43"/>
      <c r="E789" s="63"/>
      <c r="F789" s="43"/>
      <c r="G789" s="63"/>
      <c r="H789" s="43"/>
      <c r="I789" s="63"/>
      <c r="J789" s="43"/>
      <c r="K789" s="50"/>
      <c r="L789" s="43"/>
      <c r="M789" s="50"/>
      <c r="N789" s="43"/>
      <c r="O789" s="50"/>
      <c r="P789" s="43"/>
      <c r="Q789" s="50"/>
      <c r="R789" s="43"/>
      <c r="S789" s="50"/>
      <c r="T789" s="43"/>
      <c r="U789" s="50"/>
      <c r="V789" s="43"/>
      <c r="W789" s="50"/>
      <c r="X789" s="43"/>
      <c r="Y789" s="50"/>
      <c r="Z789" s="43"/>
      <c r="AA789" s="50"/>
      <c r="AB789" s="43"/>
      <c r="AC789" s="50"/>
      <c r="AD789" s="43"/>
      <c r="AE789" s="50"/>
      <c r="AF789" s="43"/>
      <c r="AG789" s="50"/>
      <c r="AH789" s="43"/>
      <c r="AI789" s="50"/>
      <c r="AJ789" s="43"/>
      <c r="AK789" s="50"/>
      <c r="AL789" s="43"/>
      <c r="AM789" s="50"/>
      <c r="AO789" s="43"/>
      <c r="AP789" s="46"/>
      <c r="AQ789" s="43"/>
      <c r="AR789" s="119"/>
      <c r="AS789" s="1"/>
      <c r="AT789" s="1"/>
    </row>
    <row r="790">
      <c r="A790" s="43"/>
      <c r="B790" s="59" t="str">
        <f>IFERROR(HYPERLINK(VLOOKUP(A790,Internal_lists_bugs!$A$2:$C$73,3,FALSE()), VLOOKUP(A790,Internal_lists_bugs!$A$2:$C$73,3,FALSE())&amp;Char(10) &amp; Char(10) &amp; VLOOKUP(A790,Internal_lists_bugs!$A$2:$Z$73,26,FALSE())),"please select a BUG ID")</f>
        <v>please select a BUG ID</v>
      </c>
      <c r="C790" s="51" t="str">
        <f>IFERROR(VLOOKUP(A790,Internal_lists_bugs!$A$2:$G2003,7,FALSE()),"please select a BUG ID")</f>
        <v>please select a BUG ID</v>
      </c>
      <c r="D790" s="43"/>
      <c r="E790" s="63"/>
      <c r="F790" s="43"/>
      <c r="G790" s="63"/>
      <c r="H790" s="43"/>
      <c r="I790" s="63"/>
      <c r="J790" s="43"/>
      <c r="K790" s="50"/>
      <c r="L790" s="43"/>
      <c r="M790" s="50"/>
      <c r="N790" s="43"/>
      <c r="O790" s="50"/>
      <c r="P790" s="43"/>
      <c r="Q790" s="50"/>
      <c r="R790" s="43"/>
      <c r="S790" s="50"/>
      <c r="T790" s="43"/>
      <c r="U790" s="50"/>
      <c r="V790" s="43"/>
      <c r="W790" s="50"/>
      <c r="X790" s="43"/>
      <c r="Y790" s="50"/>
      <c r="Z790" s="43"/>
      <c r="AA790" s="50"/>
      <c r="AB790" s="43"/>
      <c r="AC790" s="50"/>
      <c r="AD790" s="43"/>
      <c r="AE790" s="50"/>
      <c r="AF790" s="43"/>
      <c r="AG790" s="50"/>
      <c r="AH790" s="43"/>
      <c r="AI790" s="50"/>
      <c r="AJ790" s="43"/>
      <c r="AK790" s="50"/>
      <c r="AL790" s="43"/>
      <c r="AM790" s="50"/>
      <c r="AO790" s="43"/>
      <c r="AP790" s="46"/>
      <c r="AQ790" s="43"/>
      <c r="AR790" s="119"/>
      <c r="AS790" s="1"/>
      <c r="AT790" s="1"/>
    </row>
    <row r="791">
      <c r="A791" s="43"/>
      <c r="B791" s="59" t="str">
        <f>IFERROR(HYPERLINK(VLOOKUP(A791,Internal_lists_bugs!$A$2:$C$73,3,FALSE()), VLOOKUP(A791,Internal_lists_bugs!$A$2:$C$73,3,FALSE())&amp;Char(10) &amp; Char(10) &amp; VLOOKUP(A791,Internal_lists_bugs!$A$2:$Z$73,26,FALSE())),"please select a BUG ID")</f>
        <v>please select a BUG ID</v>
      </c>
      <c r="C791" s="51" t="str">
        <f>IFERROR(VLOOKUP(A791,Internal_lists_bugs!$A$2:$G2003,7,FALSE()),"please select a BUG ID")</f>
        <v>please select a BUG ID</v>
      </c>
      <c r="D791" s="43"/>
      <c r="E791" s="63"/>
      <c r="F791" s="43"/>
      <c r="G791" s="63"/>
      <c r="H791" s="43"/>
      <c r="I791" s="63"/>
      <c r="J791" s="43"/>
      <c r="K791" s="50"/>
      <c r="L791" s="43"/>
      <c r="M791" s="50"/>
      <c r="N791" s="43"/>
      <c r="O791" s="50"/>
      <c r="P791" s="43"/>
      <c r="Q791" s="50"/>
      <c r="R791" s="43"/>
      <c r="S791" s="50"/>
      <c r="T791" s="43"/>
      <c r="U791" s="50"/>
      <c r="V791" s="43"/>
      <c r="W791" s="50"/>
      <c r="X791" s="43"/>
      <c r="Y791" s="50"/>
      <c r="Z791" s="43"/>
      <c r="AA791" s="50"/>
      <c r="AB791" s="43"/>
      <c r="AC791" s="50"/>
      <c r="AD791" s="43"/>
      <c r="AE791" s="50"/>
      <c r="AF791" s="43"/>
      <c r="AG791" s="50"/>
      <c r="AH791" s="43"/>
      <c r="AI791" s="50"/>
      <c r="AJ791" s="43"/>
      <c r="AK791" s="50"/>
      <c r="AL791" s="43"/>
      <c r="AM791" s="50"/>
      <c r="AO791" s="43"/>
      <c r="AP791" s="46"/>
      <c r="AQ791" s="43"/>
      <c r="AR791" s="119"/>
      <c r="AS791" s="1"/>
      <c r="AT791" s="1"/>
    </row>
    <row r="792">
      <c r="A792" s="43"/>
      <c r="B792" s="59" t="str">
        <f>IFERROR(HYPERLINK(VLOOKUP(A792,Internal_lists_bugs!$A$2:$C$73,3,FALSE()), VLOOKUP(A792,Internal_lists_bugs!$A$2:$C$73,3,FALSE())&amp;Char(10) &amp; Char(10) &amp; VLOOKUP(A792,Internal_lists_bugs!$A$2:$Z$73,26,FALSE())),"please select a BUG ID")</f>
        <v>please select a BUG ID</v>
      </c>
      <c r="C792" s="51" t="str">
        <f>IFERROR(VLOOKUP(A792,Internal_lists_bugs!$A$2:$G2003,7,FALSE()),"please select a BUG ID")</f>
        <v>please select a BUG ID</v>
      </c>
      <c r="D792" s="43"/>
      <c r="E792" s="63"/>
      <c r="F792" s="43"/>
      <c r="G792" s="63"/>
      <c r="H792" s="43"/>
      <c r="I792" s="63"/>
      <c r="J792" s="43"/>
      <c r="K792" s="50"/>
      <c r="L792" s="43"/>
      <c r="M792" s="50"/>
      <c r="N792" s="43"/>
      <c r="O792" s="50"/>
      <c r="P792" s="43"/>
      <c r="Q792" s="50"/>
      <c r="R792" s="43"/>
      <c r="S792" s="50"/>
      <c r="T792" s="43"/>
      <c r="U792" s="50"/>
      <c r="V792" s="43"/>
      <c r="W792" s="50"/>
      <c r="X792" s="43"/>
      <c r="Y792" s="50"/>
      <c r="Z792" s="43"/>
      <c r="AA792" s="50"/>
      <c r="AB792" s="43"/>
      <c r="AC792" s="50"/>
      <c r="AD792" s="43"/>
      <c r="AE792" s="50"/>
      <c r="AF792" s="43"/>
      <c r="AG792" s="50"/>
      <c r="AH792" s="43"/>
      <c r="AI792" s="50"/>
      <c r="AJ792" s="43"/>
      <c r="AK792" s="50"/>
      <c r="AL792" s="43"/>
      <c r="AM792" s="50"/>
      <c r="AO792" s="43"/>
      <c r="AP792" s="46"/>
      <c r="AQ792" s="43"/>
      <c r="AR792" s="119"/>
      <c r="AS792" s="1"/>
      <c r="AT792" s="1"/>
    </row>
    <row r="793">
      <c r="A793" s="43"/>
      <c r="B793" s="59" t="str">
        <f>IFERROR(HYPERLINK(VLOOKUP(A793,Internal_lists_bugs!$A$2:$C$73,3,FALSE()), VLOOKUP(A793,Internal_lists_bugs!$A$2:$C$73,3,FALSE())&amp;Char(10) &amp; Char(10) &amp; VLOOKUP(A793,Internal_lists_bugs!$A$2:$Z$73,26,FALSE())),"please select a BUG ID")</f>
        <v>please select a BUG ID</v>
      </c>
      <c r="C793" s="51" t="str">
        <f>IFERROR(VLOOKUP(A793,Internal_lists_bugs!$A$2:$G2003,7,FALSE()),"please select a BUG ID")</f>
        <v>please select a BUG ID</v>
      </c>
      <c r="D793" s="43"/>
      <c r="E793" s="63"/>
      <c r="F793" s="43"/>
      <c r="G793" s="63"/>
      <c r="H793" s="43"/>
      <c r="I793" s="63"/>
      <c r="J793" s="43"/>
      <c r="K793" s="50"/>
      <c r="L793" s="43"/>
      <c r="M793" s="50"/>
      <c r="N793" s="43"/>
      <c r="O793" s="50"/>
      <c r="P793" s="43"/>
      <c r="Q793" s="50"/>
      <c r="R793" s="43"/>
      <c r="S793" s="50"/>
      <c r="T793" s="43"/>
      <c r="U793" s="50"/>
      <c r="V793" s="43"/>
      <c r="W793" s="50"/>
      <c r="X793" s="43"/>
      <c r="Y793" s="50"/>
      <c r="Z793" s="43"/>
      <c r="AA793" s="50"/>
      <c r="AB793" s="43"/>
      <c r="AC793" s="50"/>
      <c r="AD793" s="43"/>
      <c r="AE793" s="50"/>
      <c r="AF793" s="43"/>
      <c r="AG793" s="50"/>
      <c r="AH793" s="43"/>
      <c r="AI793" s="50"/>
      <c r="AJ793" s="43"/>
      <c r="AK793" s="50"/>
      <c r="AL793" s="43"/>
      <c r="AM793" s="50"/>
      <c r="AO793" s="43"/>
      <c r="AP793" s="46"/>
      <c r="AQ793" s="43"/>
      <c r="AR793" s="119"/>
      <c r="AS793" s="1"/>
      <c r="AT793" s="1"/>
    </row>
    <row r="794">
      <c r="A794" s="43"/>
      <c r="B794" s="59" t="str">
        <f>IFERROR(HYPERLINK(VLOOKUP(A794,Internal_lists_bugs!$A$2:$C$73,3,FALSE()), VLOOKUP(A794,Internal_lists_bugs!$A$2:$C$73,3,FALSE())&amp;Char(10) &amp; Char(10) &amp; VLOOKUP(A794,Internal_lists_bugs!$A$2:$Z$73,26,FALSE())),"please select a BUG ID")</f>
        <v>please select a BUG ID</v>
      </c>
      <c r="C794" s="51" t="str">
        <f>IFERROR(VLOOKUP(A794,Internal_lists_bugs!$A$2:$G2003,7,FALSE()),"please select a BUG ID")</f>
        <v>please select a BUG ID</v>
      </c>
      <c r="D794" s="43"/>
      <c r="E794" s="63"/>
      <c r="F794" s="43"/>
      <c r="G794" s="63"/>
      <c r="H794" s="43"/>
      <c r="I794" s="63"/>
      <c r="J794" s="43"/>
      <c r="K794" s="50"/>
      <c r="L794" s="43"/>
      <c r="M794" s="50"/>
      <c r="N794" s="43"/>
      <c r="O794" s="50"/>
      <c r="P794" s="43"/>
      <c r="Q794" s="50"/>
      <c r="R794" s="43"/>
      <c r="S794" s="50"/>
      <c r="T794" s="43"/>
      <c r="U794" s="50"/>
      <c r="V794" s="43"/>
      <c r="W794" s="50"/>
      <c r="X794" s="43"/>
      <c r="Y794" s="50"/>
      <c r="Z794" s="43"/>
      <c r="AA794" s="50"/>
      <c r="AB794" s="43"/>
      <c r="AC794" s="50"/>
      <c r="AD794" s="43"/>
      <c r="AE794" s="50"/>
      <c r="AF794" s="43"/>
      <c r="AG794" s="50"/>
      <c r="AH794" s="43"/>
      <c r="AI794" s="50"/>
      <c r="AJ794" s="43"/>
      <c r="AK794" s="50"/>
      <c r="AL794" s="43"/>
      <c r="AM794" s="50"/>
      <c r="AO794" s="43"/>
      <c r="AP794" s="46"/>
      <c r="AQ794" s="43"/>
      <c r="AR794" s="119"/>
      <c r="AS794" s="1"/>
      <c r="AT794" s="1"/>
    </row>
    <row r="795">
      <c r="A795" s="43"/>
      <c r="B795" s="59" t="str">
        <f>IFERROR(HYPERLINK(VLOOKUP(A795,Internal_lists_bugs!$A$2:$C$73,3,FALSE()), VLOOKUP(A795,Internal_lists_bugs!$A$2:$C$73,3,FALSE())&amp;Char(10) &amp; Char(10) &amp; VLOOKUP(A795,Internal_lists_bugs!$A$2:$Z$73,26,FALSE())),"please select a BUG ID")</f>
        <v>please select a BUG ID</v>
      </c>
      <c r="C795" s="51" t="str">
        <f>IFERROR(VLOOKUP(A795,Internal_lists_bugs!$A$2:$G2003,7,FALSE()),"please select a BUG ID")</f>
        <v>please select a BUG ID</v>
      </c>
      <c r="D795" s="43"/>
      <c r="E795" s="63"/>
      <c r="F795" s="43"/>
      <c r="G795" s="63"/>
      <c r="H795" s="43"/>
      <c r="I795" s="63"/>
      <c r="J795" s="43"/>
      <c r="K795" s="50"/>
      <c r="L795" s="43"/>
      <c r="M795" s="50"/>
      <c r="N795" s="43"/>
      <c r="O795" s="50"/>
      <c r="P795" s="43"/>
      <c r="Q795" s="50"/>
      <c r="R795" s="43"/>
      <c r="S795" s="50"/>
      <c r="T795" s="43"/>
      <c r="U795" s="50"/>
      <c r="V795" s="43"/>
      <c r="W795" s="50"/>
      <c r="X795" s="43"/>
      <c r="Y795" s="50"/>
      <c r="Z795" s="43"/>
      <c r="AA795" s="50"/>
      <c r="AB795" s="43"/>
      <c r="AC795" s="50"/>
      <c r="AD795" s="43"/>
      <c r="AE795" s="50"/>
      <c r="AF795" s="43"/>
      <c r="AG795" s="50"/>
      <c r="AH795" s="43"/>
      <c r="AI795" s="50"/>
      <c r="AJ795" s="43"/>
      <c r="AK795" s="50"/>
      <c r="AL795" s="43"/>
      <c r="AM795" s="50"/>
      <c r="AO795" s="43"/>
      <c r="AP795" s="46"/>
      <c r="AQ795" s="43"/>
      <c r="AR795" s="119"/>
      <c r="AS795" s="1"/>
      <c r="AT795" s="1"/>
    </row>
    <row r="796">
      <c r="A796" s="43"/>
      <c r="B796" s="59" t="str">
        <f>IFERROR(HYPERLINK(VLOOKUP(A796,Internal_lists_bugs!$A$2:$C$73,3,FALSE()), VLOOKUP(A796,Internal_lists_bugs!$A$2:$C$73,3,FALSE())&amp;Char(10) &amp; Char(10) &amp; VLOOKUP(A796,Internal_lists_bugs!$A$2:$Z$73,26,FALSE())),"please select a BUG ID")</f>
        <v>please select a BUG ID</v>
      </c>
      <c r="C796" s="51" t="str">
        <f>IFERROR(VLOOKUP(A796,Internal_lists_bugs!$A$2:$G2003,7,FALSE()),"please select a BUG ID")</f>
        <v>please select a BUG ID</v>
      </c>
      <c r="D796" s="43"/>
      <c r="E796" s="63"/>
      <c r="F796" s="43"/>
      <c r="G796" s="63"/>
      <c r="H796" s="43"/>
      <c r="I796" s="63"/>
      <c r="J796" s="43"/>
      <c r="K796" s="50"/>
      <c r="L796" s="43"/>
      <c r="M796" s="50"/>
      <c r="N796" s="43"/>
      <c r="O796" s="50"/>
      <c r="P796" s="43"/>
      <c r="Q796" s="50"/>
      <c r="R796" s="43"/>
      <c r="S796" s="50"/>
      <c r="T796" s="43"/>
      <c r="U796" s="50"/>
      <c r="V796" s="43"/>
      <c r="W796" s="50"/>
      <c r="X796" s="43"/>
      <c r="Y796" s="50"/>
      <c r="Z796" s="43"/>
      <c r="AA796" s="50"/>
      <c r="AB796" s="43"/>
      <c r="AC796" s="50"/>
      <c r="AD796" s="43"/>
      <c r="AE796" s="50"/>
      <c r="AF796" s="43"/>
      <c r="AG796" s="50"/>
      <c r="AH796" s="43"/>
      <c r="AI796" s="50"/>
      <c r="AJ796" s="43"/>
      <c r="AK796" s="50"/>
      <c r="AL796" s="43"/>
      <c r="AM796" s="50"/>
      <c r="AO796" s="43"/>
      <c r="AP796" s="46"/>
      <c r="AQ796" s="43"/>
      <c r="AR796" s="119"/>
      <c r="AS796" s="1"/>
      <c r="AT796" s="1"/>
    </row>
    <row r="797">
      <c r="A797" s="43"/>
      <c r="B797" s="59" t="str">
        <f>IFERROR(HYPERLINK(VLOOKUP(A797,Internal_lists_bugs!$A$2:$C$73,3,FALSE()), VLOOKUP(A797,Internal_lists_bugs!$A$2:$C$73,3,FALSE())&amp;Char(10) &amp; Char(10) &amp; VLOOKUP(A797,Internal_lists_bugs!$A$2:$Z$73,26,FALSE())),"please select a BUG ID")</f>
        <v>please select a BUG ID</v>
      </c>
      <c r="C797" s="51" t="str">
        <f>IFERROR(VLOOKUP(A797,Internal_lists_bugs!$A$2:$G2003,7,FALSE()),"please select a BUG ID")</f>
        <v>please select a BUG ID</v>
      </c>
      <c r="D797" s="43"/>
      <c r="E797" s="63"/>
      <c r="F797" s="43"/>
      <c r="G797" s="63"/>
      <c r="H797" s="43"/>
      <c r="I797" s="63"/>
      <c r="J797" s="43"/>
      <c r="K797" s="50"/>
      <c r="L797" s="43"/>
      <c r="M797" s="50"/>
      <c r="N797" s="43"/>
      <c r="O797" s="50"/>
      <c r="P797" s="43"/>
      <c r="Q797" s="50"/>
      <c r="R797" s="43"/>
      <c r="S797" s="50"/>
      <c r="T797" s="43"/>
      <c r="U797" s="50"/>
      <c r="V797" s="43"/>
      <c r="W797" s="50"/>
      <c r="X797" s="43"/>
      <c r="Y797" s="50"/>
      <c r="Z797" s="43"/>
      <c r="AA797" s="50"/>
      <c r="AB797" s="43"/>
      <c r="AC797" s="50"/>
      <c r="AD797" s="43"/>
      <c r="AE797" s="50"/>
      <c r="AF797" s="43"/>
      <c r="AG797" s="50"/>
      <c r="AH797" s="43"/>
      <c r="AI797" s="50"/>
      <c r="AJ797" s="43"/>
      <c r="AK797" s="50"/>
      <c r="AL797" s="43"/>
      <c r="AM797" s="50"/>
      <c r="AO797" s="43"/>
      <c r="AP797" s="46"/>
      <c r="AQ797" s="43"/>
      <c r="AR797" s="119"/>
      <c r="AS797" s="1"/>
      <c r="AT797" s="1"/>
    </row>
    <row r="798">
      <c r="A798" s="43"/>
      <c r="B798" s="59" t="str">
        <f>IFERROR(HYPERLINK(VLOOKUP(A798,Internal_lists_bugs!$A$2:$C$73,3,FALSE()), VLOOKUP(A798,Internal_lists_bugs!$A$2:$C$73,3,FALSE())&amp;Char(10) &amp; Char(10) &amp; VLOOKUP(A798,Internal_lists_bugs!$A$2:$Z$73,26,FALSE())),"please select a BUG ID")</f>
        <v>please select a BUG ID</v>
      </c>
      <c r="C798" s="51" t="str">
        <f>IFERROR(VLOOKUP(A798,Internal_lists_bugs!$A$2:$G2003,7,FALSE()),"please select a BUG ID")</f>
        <v>please select a BUG ID</v>
      </c>
      <c r="D798" s="43"/>
      <c r="E798" s="63"/>
      <c r="F798" s="43"/>
      <c r="G798" s="63"/>
      <c r="H798" s="43"/>
      <c r="I798" s="63"/>
      <c r="J798" s="43"/>
      <c r="K798" s="50"/>
      <c r="L798" s="43"/>
      <c r="M798" s="50"/>
      <c r="N798" s="43"/>
      <c r="O798" s="50"/>
      <c r="P798" s="43"/>
      <c r="Q798" s="50"/>
      <c r="R798" s="43"/>
      <c r="S798" s="50"/>
      <c r="T798" s="43"/>
      <c r="U798" s="50"/>
      <c r="V798" s="43"/>
      <c r="W798" s="50"/>
      <c r="X798" s="43"/>
      <c r="Y798" s="50"/>
      <c r="Z798" s="43"/>
      <c r="AA798" s="50"/>
      <c r="AB798" s="43"/>
      <c r="AC798" s="50"/>
      <c r="AD798" s="43"/>
      <c r="AE798" s="50"/>
      <c r="AF798" s="43"/>
      <c r="AG798" s="50"/>
      <c r="AH798" s="43"/>
      <c r="AI798" s="50"/>
      <c r="AJ798" s="43"/>
      <c r="AK798" s="50"/>
      <c r="AL798" s="43"/>
      <c r="AM798" s="50"/>
      <c r="AO798" s="43"/>
      <c r="AP798" s="46"/>
      <c r="AQ798" s="43"/>
      <c r="AR798" s="119"/>
      <c r="AS798" s="1"/>
      <c r="AT798" s="1"/>
    </row>
    <row r="799">
      <c r="A799" s="43"/>
      <c r="B799" s="59" t="str">
        <f>IFERROR(HYPERLINK(VLOOKUP(A799,Internal_lists_bugs!$A$2:$C$73,3,FALSE()), VLOOKUP(A799,Internal_lists_bugs!$A$2:$C$73,3,FALSE())&amp;Char(10) &amp; Char(10) &amp; VLOOKUP(A799,Internal_lists_bugs!$A$2:$Z$73,26,FALSE())),"please select a BUG ID")</f>
        <v>please select a BUG ID</v>
      </c>
      <c r="C799" s="51" t="str">
        <f>IFERROR(VLOOKUP(A799,Internal_lists_bugs!$A$2:$G2003,7,FALSE()),"please select a BUG ID")</f>
        <v>please select a BUG ID</v>
      </c>
      <c r="D799" s="43"/>
      <c r="E799" s="63"/>
      <c r="F799" s="43"/>
      <c r="G799" s="63"/>
      <c r="H799" s="43"/>
      <c r="I799" s="63"/>
      <c r="J799" s="43"/>
      <c r="K799" s="50"/>
      <c r="L799" s="43"/>
      <c r="M799" s="50"/>
      <c r="N799" s="43"/>
      <c r="O799" s="50"/>
      <c r="P799" s="43"/>
      <c r="Q799" s="50"/>
      <c r="R799" s="43"/>
      <c r="S799" s="50"/>
      <c r="T799" s="43"/>
      <c r="U799" s="50"/>
      <c r="V799" s="43"/>
      <c r="W799" s="50"/>
      <c r="X799" s="43"/>
      <c r="Y799" s="50"/>
      <c r="Z799" s="43"/>
      <c r="AA799" s="50"/>
      <c r="AB799" s="43"/>
      <c r="AC799" s="50"/>
      <c r="AD799" s="43"/>
      <c r="AE799" s="50"/>
      <c r="AF799" s="43"/>
      <c r="AG799" s="50"/>
      <c r="AH799" s="43"/>
      <c r="AI799" s="50"/>
      <c r="AJ799" s="43"/>
      <c r="AK799" s="50"/>
      <c r="AL799" s="43"/>
      <c r="AM799" s="50"/>
      <c r="AO799" s="43"/>
      <c r="AP799" s="46"/>
      <c r="AQ799" s="43"/>
      <c r="AR799" s="119"/>
      <c r="AS799" s="1"/>
      <c r="AT799" s="1"/>
    </row>
    <row r="800">
      <c r="A800" s="43"/>
      <c r="B800" s="59" t="str">
        <f>IFERROR(HYPERLINK(VLOOKUP(A800,Internal_lists_bugs!$A$2:$C$73,3,FALSE()), VLOOKUP(A800,Internal_lists_bugs!$A$2:$C$73,3,FALSE())&amp;Char(10) &amp; Char(10) &amp; VLOOKUP(A800,Internal_lists_bugs!$A$2:$Z$73,26,FALSE())),"please select a BUG ID")</f>
        <v>please select a BUG ID</v>
      </c>
      <c r="C800" s="51" t="str">
        <f>IFERROR(VLOOKUP(A800,Internal_lists_bugs!$A$2:$G2003,7,FALSE()),"please select a BUG ID")</f>
        <v>please select a BUG ID</v>
      </c>
      <c r="D800" s="43"/>
      <c r="E800" s="63"/>
      <c r="F800" s="43"/>
      <c r="G800" s="63"/>
      <c r="H800" s="43"/>
      <c r="I800" s="63"/>
      <c r="J800" s="43"/>
      <c r="K800" s="50"/>
      <c r="L800" s="43"/>
      <c r="M800" s="50"/>
      <c r="N800" s="43"/>
      <c r="O800" s="50"/>
      <c r="P800" s="43"/>
      <c r="Q800" s="50"/>
      <c r="R800" s="43"/>
      <c r="S800" s="50"/>
      <c r="T800" s="43"/>
      <c r="U800" s="50"/>
      <c r="V800" s="43"/>
      <c r="W800" s="50"/>
      <c r="X800" s="43"/>
      <c r="Y800" s="50"/>
      <c r="Z800" s="43"/>
      <c r="AA800" s="50"/>
      <c r="AB800" s="43"/>
      <c r="AC800" s="50"/>
      <c r="AD800" s="43"/>
      <c r="AE800" s="50"/>
      <c r="AF800" s="43"/>
      <c r="AG800" s="50"/>
      <c r="AH800" s="43"/>
      <c r="AI800" s="50"/>
      <c r="AJ800" s="43"/>
      <c r="AK800" s="50"/>
      <c r="AL800" s="43"/>
      <c r="AM800" s="50"/>
      <c r="AO800" s="43"/>
      <c r="AP800" s="46"/>
      <c r="AQ800" s="43"/>
      <c r="AR800" s="119"/>
      <c r="AS800" s="1"/>
      <c r="AT800" s="1"/>
    </row>
    <row r="801">
      <c r="A801" s="43"/>
      <c r="B801" s="59" t="str">
        <f>IFERROR(HYPERLINK(VLOOKUP(A801,Internal_lists_bugs!$A$2:$C$73,3,FALSE()), VLOOKUP(A801,Internal_lists_bugs!$A$2:$C$73,3,FALSE())&amp;Char(10) &amp; Char(10) &amp; VLOOKUP(A801,Internal_lists_bugs!$A$2:$Z$73,26,FALSE())),"please select a BUG ID")</f>
        <v>please select a BUG ID</v>
      </c>
      <c r="C801" s="51" t="str">
        <f>IFERROR(VLOOKUP(A801,Internal_lists_bugs!$A$2:$G2003,7,FALSE()),"please select a BUG ID")</f>
        <v>please select a BUG ID</v>
      </c>
      <c r="D801" s="43"/>
      <c r="E801" s="63"/>
      <c r="F801" s="43"/>
      <c r="G801" s="63"/>
      <c r="H801" s="43"/>
      <c r="I801" s="63"/>
      <c r="J801" s="43"/>
      <c r="K801" s="50"/>
      <c r="L801" s="43"/>
      <c r="M801" s="50"/>
      <c r="N801" s="43"/>
      <c r="O801" s="50"/>
      <c r="P801" s="43"/>
      <c r="Q801" s="50"/>
      <c r="R801" s="43"/>
      <c r="S801" s="50"/>
      <c r="T801" s="43"/>
      <c r="U801" s="50"/>
      <c r="V801" s="43"/>
      <c r="W801" s="50"/>
      <c r="X801" s="43"/>
      <c r="Y801" s="50"/>
      <c r="Z801" s="43"/>
      <c r="AA801" s="50"/>
      <c r="AB801" s="43"/>
      <c r="AC801" s="50"/>
      <c r="AD801" s="43"/>
      <c r="AE801" s="50"/>
      <c r="AF801" s="43"/>
      <c r="AG801" s="50"/>
      <c r="AH801" s="43"/>
      <c r="AI801" s="50"/>
      <c r="AJ801" s="43"/>
      <c r="AK801" s="50"/>
      <c r="AL801" s="43"/>
      <c r="AM801" s="50"/>
      <c r="AO801" s="43"/>
      <c r="AP801" s="46"/>
      <c r="AQ801" s="43"/>
      <c r="AR801" s="119"/>
      <c r="AS801" s="1"/>
      <c r="AT801" s="1"/>
    </row>
    <row r="802">
      <c r="A802" s="43"/>
      <c r="B802" s="59" t="str">
        <f>IFERROR(HYPERLINK(VLOOKUP(A802,Internal_lists_bugs!$A$2:$C$73,3,FALSE()), VLOOKUP(A802,Internal_lists_bugs!$A$2:$C$73,3,FALSE())&amp;Char(10) &amp; Char(10) &amp; VLOOKUP(A802,Internal_lists_bugs!$A$2:$Z$73,26,FALSE())),"please select a BUG ID")</f>
        <v>please select a BUG ID</v>
      </c>
      <c r="C802" s="51" t="str">
        <f>IFERROR(VLOOKUP(A802,Internal_lists_bugs!$A$2:$G2003,7,FALSE()),"please select a BUG ID")</f>
        <v>please select a BUG ID</v>
      </c>
      <c r="D802" s="43"/>
      <c r="E802" s="63"/>
      <c r="F802" s="43"/>
      <c r="G802" s="63"/>
      <c r="H802" s="43"/>
      <c r="I802" s="63"/>
      <c r="J802" s="43"/>
      <c r="K802" s="50"/>
      <c r="L802" s="43"/>
      <c r="M802" s="50"/>
      <c r="N802" s="43"/>
      <c r="O802" s="50"/>
      <c r="P802" s="43"/>
      <c r="Q802" s="50"/>
      <c r="R802" s="43"/>
      <c r="S802" s="50"/>
      <c r="T802" s="43"/>
      <c r="U802" s="50"/>
      <c r="V802" s="43"/>
      <c r="W802" s="50"/>
      <c r="X802" s="43"/>
      <c r="Y802" s="50"/>
      <c r="Z802" s="43"/>
      <c r="AA802" s="50"/>
      <c r="AB802" s="43"/>
      <c r="AC802" s="50"/>
      <c r="AD802" s="43"/>
      <c r="AE802" s="50"/>
      <c r="AF802" s="43"/>
      <c r="AG802" s="50"/>
      <c r="AH802" s="43"/>
      <c r="AI802" s="50"/>
      <c r="AJ802" s="43"/>
      <c r="AK802" s="50"/>
      <c r="AL802" s="43"/>
      <c r="AM802" s="50"/>
      <c r="AO802" s="43"/>
      <c r="AP802" s="46"/>
      <c r="AQ802" s="43"/>
      <c r="AR802" s="119"/>
      <c r="AS802" s="1"/>
      <c r="AT802" s="1"/>
    </row>
    <row r="803">
      <c r="A803" s="43"/>
      <c r="B803" s="59" t="str">
        <f>IFERROR(HYPERLINK(VLOOKUP(A803,Internal_lists_bugs!$A$2:$C$73,3,FALSE()), VLOOKUP(A803,Internal_lists_bugs!$A$2:$C$73,3,FALSE())&amp;Char(10) &amp; Char(10) &amp; VLOOKUP(A803,Internal_lists_bugs!$A$2:$Z$73,26,FALSE())),"please select a BUG ID")</f>
        <v>please select a BUG ID</v>
      </c>
      <c r="C803" s="51" t="str">
        <f>IFERROR(VLOOKUP(A803,Internal_lists_bugs!$A$2:$G2003,7,FALSE()),"please select a BUG ID")</f>
        <v>please select a BUG ID</v>
      </c>
      <c r="D803" s="43"/>
      <c r="E803" s="63"/>
      <c r="F803" s="43"/>
      <c r="G803" s="63"/>
      <c r="H803" s="43"/>
      <c r="I803" s="63"/>
      <c r="J803" s="43"/>
      <c r="K803" s="50"/>
      <c r="L803" s="43"/>
      <c r="M803" s="50"/>
      <c r="N803" s="43"/>
      <c r="O803" s="50"/>
      <c r="P803" s="43"/>
      <c r="Q803" s="50"/>
      <c r="R803" s="43"/>
      <c r="S803" s="50"/>
      <c r="T803" s="43"/>
      <c r="U803" s="50"/>
      <c r="V803" s="43"/>
      <c r="W803" s="50"/>
      <c r="X803" s="43"/>
      <c r="Y803" s="50"/>
      <c r="Z803" s="43"/>
      <c r="AA803" s="50"/>
      <c r="AB803" s="43"/>
      <c r="AC803" s="50"/>
      <c r="AD803" s="43"/>
      <c r="AE803" s="50"/>
      <c r="AF803" s="43"/>
      <c r="AG803" s="50"/>
      <c r="AH803" s="43"/>
      <c r="AI803" s="50"/>
      <c r="AJ803" s="43"/>
      <c r="AK803" s="50"/>
      <c r="AL803" s="43"/>
      <c r="AM803" s="50"/>
      <c r="AO803" s="43"/>
      <c r="AP803" s="46"/>
      <c r="AQ803" s="43"/>
      <c r="AR803" s="119"/>
      <c r="AS803" s="1"/>
      <c r="AT803" s="1"/>
    </row>
    <row r="804">
      <c r="A804" s="43"/>
      <c r="B804" s="59" t="str">
        <f>IFERROR(HYPERLINK(VLOOKUP(A804,Internal_lists_bugs!$A$2:$C$73,3,FALSE()), VLOOKUP(A804,Internal_lists_bugs!$A$2:$C$73,3,FALSE())&amp;Char(10) &amp; Char(10) &amp; VLOOKUP(A804,Internal_lists_bugs!$A$2:$Z$73,26,FALSE())),"please select a BUG ID")</f>
        <v>please select a BUG ID</v>
      </c>
      <c r="C804" s="51" t="str">
        <f>IFERROR(VLOOKUP(A804,Internal_lists_bugs!$A$2:$G2003,7,FALSE()),"please select a BUG ID")</f>
        <v>please select a BUG ID</v>
      </c>
      <c r="D804" s="43"/>
      <c r="E804" s="63"/>
      <c r="F804" s="43"/>
      <c r="G804" s="63"/>
      <c r="H804" s="43"/>
      <c r="I804" s="63"/>
      <c r="J804" s="43"/>
      <c r="K804" s="50"/>
      <c r="L804" s="43"/>
      <c r="M804" s="50"/>
      <c r="N804" s="43"/>
      <c r="O804" s="50"/>
      <c r="P804" s="43"/>
      <c r="Q804" s="50"/>
      <c r="R804" s="43"/>
      <c r="S804" s="50"/>
      <c r="T804" s="43"/>
      <c r="U804" s="50"/>
      <c r="V804" s="43"/>
      <c r="W804" s="50"/>
      <c r="X804" s="43"/>
      <c r="Y804" s="50"/>
      <c r="Z804" s="43"/>
      <c r="AA804" s="50"/>
      <c r="AB804" s="43"/>
      <c r="AC804" s="50"/>
      <c r="AD804" s="43"/>
      <c r="AE804" s="50"/>
      <c r="AF804" s="43"/>
      <c r="AG804" s="50"/>
      <c r="AH804" s="43"/>
      <c r="AI804" s="50"/>
      <c r="AJ804" s="43"/>
      <c r="AK804" s="50"/>
      <c r="AL804" s="43"/>
      <c r="AM804" s="50"/>
      <c r="AO804" s="43"/>
      <c r="AP804" s="46"/>
      <c r="AQ804" s="43"/>
      <c r="AR804" s="119"/>
      <c r="AS804" s="1"/>
      <c r="AT804" s="1"/>
    </row>
    <row r="805">
      <c r="A805" s="43"/>
      <c r="B805" s="59" t="str">
        <f>IFERROR(HYPERLINK(VLOOKUP(A805,Internal_lists_bugs!$A$2:$C$73,3,FALSE()), VLOOKUP(A805,Internal_lists_bugs!$A$2:$C$73,3,FALSE())&amp;Char(10) &amp; Char(10) &amp; VLOOKUP(A805,Internal_lists_bugs!$A$2:$Z$73,26,FALSE())),"please select a BUG ID")</f>
        <v>please select a BUG ID</v>
      </c>
      <c r="C805" s="51" t="str">
        <f>IFERROR(VLOOKUP(A805,Internal_lists_bugs!$A$2:$G2003,7,FALSE()),"please select a BUG ID")</f>
        <v>please select a BUG ID</v>
      </c>
      <c r="D805" s="43"/>
      <c r="E805" s="63"/>
      <c r="F805" s="43"/>
      <c r="G805" s="63"/>
      <c r="H805" s="43"/>
      <c r="I805" s="63"/>
      <c r="J805" s="43"/>
      <c r="K805" s="50"/>
      <c r="L805" s="43"/>
      <c r="M805" s="50"/>
      <c r="N805" s="43"/>
      <c r="O805" s="50"/>
      <c r="P805" s="43"/>
      <c r="Q805" s="50"/>
      <c r="R805" s="43"/>
      <c r="S805" s="50"/>
      <c r="T805" s="43"/>
      <c r="U805" s="50"/>
      <c r="V805" s="43"/>
      <c r="W805" s="50"/>
      <c r="X805" s="43"/>
      <c r="Y805" s="50"/>
      <c r="Z805" s="43"/>
      <c r="AA805" s="50"/>
      <c r="AB805" s="43"/>
      <c r="AC805" s="50"/>
      <c r="AD805" s="43"/>
      <c r="AE805" s="50"/>
      <c r="AF805" s="43"/>
      <c r="AG805" s="50"/>
      <c r="AH805" s="43"/>
      <c r="AI805" s="50"/>
      <c r="AJ805" s="43"/>
      <c r="AK805" s="50"/>
      <c r="AL805" s="43"/>
      <c r="AM805" s="50"/>
      <c r="AO805" s="43"/>
      <c r="AP805" s="46"/>
      <c r="AQ805" s="43"/>
      <c r="AR805" s="119"/>
      <c r="AS805" s="1"/>
      <c r="AT805" s="1"/>
    </row>
    <row r="806">
      <c r="A806" s="43"/>
      <c r="B806" s="59" t="str">
        <f>IFERROR(HYPERLINK(VLOOKUP(A806,Internal_lists_bugs!$A$2:$C$73,3,FALSE()), VLOOKUP(A806,Internal_lists_bugs!$A$2:$C$73,3,FALSE())&amp;Char(10) &amp; Char(10) &amp; VLOOKUP(A806,Internal_lists_bugs!$A$2:$Z$73,26,FALSE())),"please select a BUG ID")</f>
        <v>please select a BUG ID</v>
      </c>
      <c r="C806" s="51" t="str">
        <f>IFERROR(VLOOKUP(A806,Internal_lists_bugs!$A$2:$G2003,7,FALSE()),"please select a BUG ID")</f>
        <v>please select a BUG ID</v>
      </c>
      <c r="D806" s="43"/>
      <c r="E806" s="63"/>
      <c r="F806" s="43"/>
      <c r="G806" s="63"/>
      <c r="H806" s="43"/>
      <c r="I806" s="63"/>
      <c r="J806" s="43"/>
      <c r="K806" s="50"/>
      <c r="L806" s="43"/>
      <c r="M806" s="50"/>
      <c r="N806" s="43"/>
      <c r="O806" s="50"/>
      <c r="P806" s="43"/>
      <c r="Q806" s="50"/>
      <c r="R806" s="43"/>
      <c r="S806" s="50"/>
      <c r="T806" s="43"/>
      <c r="U806" s="50"/>
      <c r="V806" s="43"/>
      <c r="W806" s="50"/>
      <c r="X806" s="43"/>
      <c r="Y806" s="50"/>
      <c r="Z806" s="43"/>
      <c r="AA806" s="50"/>
      <c r="AB806" s="43"/>
      <c r="AC806" s="50"/>
      <c r="AD806" s="43"/>
      <c r="AE806" s="50"/>
      <c r="AF806" s="43"/>
      <c r="AG806" s="50"/>
      <c r="AH806" s="43"/>
      <c r="AI806" s="50"/>
      <c r="AJ806" s="43"/>
      <c r="AK806" s="50"/>
      <c r="AL806" s="43"/>
      <c r="AM806" s="50"/>
      <c r="AO806" s="43"/>
      <c r="AP806" s="46"/>
      <c r="AQ806" s="43"/>
      <c r="AR806" s="119"/>
      <c r="AS806" s="1"/>
      <c r="AT806" s="1"/>
    </row>
    <row r="807">
      <c r="A807" s="43"/>
      <c r="B807" s="59" t="str">
        <f>IFERROR(HYPERLINK(VLOOKUP(A807,Internal_lists_bugs!$A$2:$C$73,3,FALSE()), VLOOKUP(A807,Internal_lists_bugs!$A$2:$C$73,3,FALSE())&amp;Char(10) &amp; Char(10) &amp; VLOOKUP(A807,Internal_lists_bugs!$A$2:$Z$73,26,FALSE())),"please select a BUG ID")</f>
        <v>please select a BUG ID</v>
      </c>
      <c r="C807" s="51" t="str">
        <f>IFERROR(VLOOKUP(A807,Internal_lists_bugs!$A$2:$G2003,7,FALSE()),"please select a BUG ID")</f>
        <v>please select a BUG ID</v>
      </c>
      <c r="D807" s="43"/>
      <c r="E807" s="63"/>
      <c r="F807" s="43"/>
      <c r="G807" s="63"/>
      <c r="H807" s="43"/>
      <c r="I807" s="63"/>
      <c r="J807" s="43"/>
      <c r="K807" s="50"/>
      <c r="L807" s="43"/>
      <c r="M807" s="50"/>
      <c r="N807" s="43"/>
      <c r="O807" s="50"/>
      <c r="P807" s="43"/>
      <c r="Q807" s="50"/>
      <c r="R807" s="43"/>
      <c r="S807" s="50"/>
      <c r="T807" s="43"/>
      <c r="U807" s="50"/>
      <c r="V807" s="43"/>
      <c r="W807" s="50"/>
      <c r="X807" s="43"/>
      <c r="Y807" s="50"/>
      <c r="Z807" s="43"/>
      <c r="AA807" s="50"/>
      <c r="AB807" s="43"/>
      <c r="AC807" s="50"/>
      <c r="AD807" s="43"/>
      <c r="AE807" s="50"/>
      <c r="AF807" s="43"/>
      <c r="AG807" s="50"/>
      <c r="AH807" s="43"/>
      <c r="AI807" s="50"/>
      <c r="AJ807" s="43"/>
      <c r="AK807" s="50"/>
      <c r="AL807" s="43"/>
      <c r="AM807" s="50"/>
      <c r="AO807" s="43"/>
      <c r="AP807" s="46"/>
      <c r="AQ807" s="43"/>
      <c r="AR807" s="119"/>
      <c r="AS807" s="1"/>
      <c r="AT807" s="1"/>
    </row>
    <row r="808">
      <c r="A808" s="43"/>
      <c r="B808" s="59" t="str">
        <f>IFERROR(HYPERLINK(VLOOKUP(A808,Internal_lists_bugs!$A$2:$C$73,3,FALSE()), VLOOKUP(A808,Internal_lists_bugs!$A$2:$C$73,3,FALSE())&amp;Char(10) &amp; Char(10) &amp; VLOOKUP(A808,Internal_lists_bugs!$A$2:$Z$73,26,FALSE())),"please select a BUG ID")</f>
        <v>please select a BUG ID</v>
      </c>
      <c r="C808" s="51" t="str">
        <f>IFERROR(VLOOKUP(A808,Internal_lists_bugs!$A$2:$G2003,7,FALSE()),"please select a BUG ID")</f>
        <v>please select a BUG ID</v>
      </c>
      <c r="D808" s="43"/>
      <c r="E808" s="63"/>
      <c r="F808" s="43"/>
      <c r="G808" s="63"/>
      <c r="H808" s="43"/>
      <c r="I808" s="63"/>
      <c r="J808" s="43"/>
      <c r="K808" s="50"/>
      <c r="L808" s="43"/>
      <c r="M808" s="50"/>
      <c r="N808" s="43"/>
      <c r="O808" s="50"/>
      <c r="P808" s="43"/>
      <c r="Q808" s="50"/>
      <c r="R808" s="43"/>
      <c r="S808" s="50"/>
      <c r="T808" s="43"/>
      <c r="U808" s="50"/>
      <c r="V808" s="43"/>
      <c r="W808" s="50"/>
      <c r="X808" s="43"/>
      <c r="Y808" s="50"/>
      <c r="Z808" s="43"/>
      <c r="AA808" s="50"/>
      <c r="AB808" s="43"/>
      <c r="AC808" s="50"/>
      <c r="AD808" s="43"/>
      <c r="AE808" s="50"/>
      <c r="AF808" s="43"/>
      <c r="AG808" s="50"/>
      <c r="AH808" s="43"/>
      <c r="AI808" s="50"/>
      <c r="AJ808" s="43"/>
      <c r="AK808" s="50"/>
      <c r="AL808" s="43"/>
      <c r="AM808" s="50"/>
      <c r="AO808" s="43"/>
      <c r="AP808" s="46"/>
      <c r="AQ808" s="43"/>
      <c r="AR808" s="119"/>
      <c r="AS808" s="1"/>
      <c r="AT808" s="1"/>
    </row>
    <row r="809">
      <c r="A809" s="43"/>
      <c r="B809" s="59" t="str">
        <f>IFERROR(HYPERLINK(VLOOKUP(A809,Internal_lists_bugs!$A$2:$C$73,3,FALSE()), VLOOKUP(A809,Internal_lists_bugs!$A$2:$C$73,3,FALSE())&amp;Char(10) &amp; Char(10) &amp; VLOOKUP(A809,Internal_lists_bugs!$A$2:$Z$73,26,FALSE())),"please select a BUG ID")</f>
        <v>please select a BUG ID</v>
      </c>
      <c r="C809" s="51" t="str">
        <f>IFERROR(VLOOKUP(A809,Internal_lists_bugs!$A$2:$G2003,7,FALSE()),"please select a BUG ID")</f>
        <v>please select a BUG ID</v>
      </c>
      <c r="D809" s="43"/>
      <c r="E809" s="63"/>
      <c r="F809" s="43"/>
      <c r="G809" s="63"/>
      <c r="H809" s="43"/>
      <c r="I809" s="63"/>
      <c r="J809" s="43"/>
      <c r="K809" s="50"/>
      <c r="L809" s="43"/>
      <c r="M809" s="50"/>
      <c r="N809" s="43"/>
      <c r="O809" s="50"/>
      <c r="P809" s="43"/>
      <c r="Q809" s="50"/>
      <c r="R809" s="43"/>
      <c r="S809" s="50"/>
      <c r="T809" s="43"/>
      <c r="U809" s="50"/>
      <c r="V809" s="43"/>
      <c r="W809" s="50"/>
      <c r="X809" s="43"/>
      <c r="Y809" s="50"/>
      <c r="Z809" s="43"/>
      <c r="AA809" s="50"/>
      <c r="AB809" s="43"/>
      <c r="AC809" s="50"/>
      <c r="AD809" s="43"/>
      <c r="AE809" s="50"/>
      <c r="AF809" s="43"/>
      <c r="AG809" s="50"/>
      <c r="AH809" s="43"/>
      <c r="AI809" s="50"/>
      <c r="AJ809" s="43"/>
      <c r="AK809" s="50"/>
      <c r="AL809" s="43"/>
      <c r="AM809" s="50"/>
      <c r="AO809" s="43"/>
      <c r="AP809" s="46"/>
      <c r="AQ809" s="43"/>
      <c r="AR809" s="119"/>
      <c r="AS809" s="1"/>
      <c r="AT809" s="1"/>
    </row>
    <row r="810">
      <c r="A810" s="43"/>
      <c r="B810" s="59" t="str">
        <f>IFERROR(HYPERLINK(VLOOKUP(A810,Internal_lists_bugs!$A$2:$C$73,3,FALSE()), VLOOKUP(A810,Internal_lists_bugs!$A$2:$C$73,3,FALSE())&amp;Char(10) &amp; Char(10) &amp; VLOOKUP(A810,Internal_lists_bugs!$A$2:$Z$73,26,FALSE())),"please select a BUG ID")</f>
        <v>please select a BUG ID</v>
      </c>
      <c r="C810" s="51" t="str">
        <f>IFERROR(VLOOKUP(A810,Internal_lists_bugs!$A$2:$G2003,7,FALSE()),"please select a BUG ID")</f>
        <v>please select a BUG ID</v>
      </c>
      <c r="D810" s="43"/>
      <c r="E810" s="63"/>
      <c r="F810" s="43"/>
      <c r="G810" s="63"/>
      <c r="H810" s="43"/>
      <c r="I810" s="63"/>
      <c r="J810" s="43"/>
      <c r="K810" s="50"/>
      <c r="L810" s="43"/>
      <c r="M810" s="50"/>
      <c r="N810" s="43"/>
      <c r="O810" s="50"/>
      <c r="P810" s="43"/>
      <c r="Q810" s="50"/>
      <c r="R810" s="43"/>
      <c r="S810" s="50"/>
      <c r="T810" s="43"/>
      <c r="U810" s="50"/>
      <c r="V810" s="43"/>
      <c r="W810" s="50"/>
      <c r="X810" s="43"/>
      <c r="Y810" s="50"/>
      <c r="Z810" s="43"/>
      <c r="AA810" s="50"/>
      <c r="AB810" s="43"/>
      <c r="AC810" s="50"/>
      <c r="AD810" s="43"/>
      <c r="AE810" s="50"/>
      <c r="AF810" s="43"/>
      <c r="AG810" s="50"/>
      <c r="AH810" s="43"/>
      <c r="AI810" s="50"/>
      <c r="AJ810" s="43"/>
      <c r="AK810" s="50"/>
      <c r="AL810" s="43"/>
      <c r="AM810" s="50"/>
      <c r="AO810" s="43"/>
      <c r="AP810" s="46"/>
      <c r="AQ810" s="43"/>
      <c r="AR810" s="119"/>
      <c r="AS810" s="1"/>
      <c r="AT810" s="1"/>
    </row>
    <row r="811">
      <c r="A811" s="43"/>
      <c r="B811" s="59" t="str">
        <f>IFERROR(HYPERLINK(VLOOKUP(A811,Internal_lists_bugs!$A$2:$C$73,3,FALSE()), VLOOKUP(A811,Internal_lists_bugs!$A$2:$C$73,3,FALSE())&amp;Char(10) &amp; Char(10) &amp; VLOOKUP(A811,Internal_lists_bugs!$A$2:$Z$73,26,FALSE())),"please select a BUG ID")</f>
        <v>please select a BUG ID</v>
      </c>
      <c r="C811" s="51" t="str">
        <f>IFERROR(VLOOKUP(A811,Internal_lists_bugs!$A$2:$G2003,7,FALSE()),"please select a BUG ID")</f>
        <v>please select a BUG ID</v>
      </c>
      <c r="D811" s="43"/>
      <c r="E811" s="63"/>
      <c r="F811" s="43"/>
      <c r="G811" s="63"/>
      <c r="H811" s="43"/>
      <c r="I811" s="63"/>
      <c r="J811" s="43"/>
      <c r="K811" s="50"/>
      <c r="L811" s="43"/>
      <c r="M811" s="50"/>
      <c r="N811" s="43"/>
      <c r="O811" s="50"/>
      <c r="P811" s="43"/>
      <c r="Q811" s="50"/>
      <c r="R811" s="43"/>
      <c r="S811" s="50"/>
      <c r="T811" s="43"/>
      <c r="U811" s="50"/>
      <c r="V811" s="43"/>
      <c r="W811" s="50"/>
      <c r="X811" s="43"/>
      <c r="Y811" s="50"/>
      <c r="Z811" s="43"/>
      <c r="AA811" s="50"/>
      <c r="AB811" s="43"/>
      <c r="AC811" s="50"/>
      <c r="AD811" s="43"/>
      <c r="AE811" s="50"/>
      <c r="AF811" s="43"/>
      <c r="AG811" s="50"/>
      <c r="AH811" s="43"/>
      <c r="AI811" s="50"/>
      <c r="AJ811" s="43"/>
      <c r="AK811" s="50"/>
      <c r="AL811" s="43"/>
      <c r="AM811" s="50"/>
      <c r="AO811" s="43"/>
      <c r="AP811" s="46"/>
      <c r="AQ811" s="43"/>
      <c r="AR811" s="119"/>
      <c r="AS811" s="1"/>
      <c r="AT811" s="1"/>
    </row>
    <row r="812">
      <c r="A812" s="43"/>
      <c r="B812" s="59" t="str">
        <f>IFERROR(HYPERLINK(VLOOKUP(A812,Internal_lists_bugs!$A$2:$C$73,3,FALSE()), VLOOKUP(A812,Internal_lists_bugs!$A$2:$C$73,3,FALSE())&amp;Char(10) &amp; Char(10) &amp; VLOOKUP(A812,Internal_lists_bugs!$A$2:$Z$73,26,FALSE())),"please select a BUG ID")</f>
        <v>please select a BUG ID</v>
      </c>
      <c r="C812" s="51" t="str">
        <f>IFERROR(VLOOKUP(A812,Internal_lists_bugs!$A$2:$G2003,7,FALSE()),"please select a BUG ID")</f>
        <v>please select a BUG ID</v>
      </c>
      <c r="D812" s="43"/>
      <c r="E812" s="63"/>
      <c r="F812" s="43"/>
      <c r="G812" s="63"/>
      <c r="H812" s="43"/>
      <c r="I812" s="63"/>
      <c r="J812" s="43"/>
      <c r="K812" s="50"/>
      <c r="L812" s="43"/>
      <c r="M812" s="50"/>
      <c r="N812" s="43"/>
      <c r="O812" s="50"/>
      <c r="P812" s="43"/>
      <c r="Q812" s="50"/>
      <c r="R812" s="43"/>
      <c r="S812" s="50"/>
      <c r="T812" s="43"/>
      <c r="U812" s="50"/>
      <c r="V812" s="43"/>
      <c r="W812" s="50"/>
      <c r="X812" s="43"/>
      <c r="Y812" s="50"/>
      <c r="Z812" s="43"/>
      <c r="AA812" s="50"/>
      <c r="AB812" s="43"/>
      <c r="AC812" s="50"/>
      <c r="AD812" s="43"/>
      <c r="AE812" s="50"/>
      <c r="AF812" s="43"/>
      <c r="AG812" s="50"/>
      <c r="AH812" s="43"/>
      <c r="AI812" s="50"/>
      <c r="AJ812" s="43"/>
      <c r="AK812" s="50"/>
      <c r="AL812" s="43"/>
      <c r="AM812" s="50"/>
      <c r="AO812" s="43"/>
      <c r="AP812" s="46"/>
      <c r="AQ812" s="43"/>
      <c r="AR812" s="119"/>
      <c r="AS812" s="1"/>
      <c r="AT812" s="1"/>
    </row>
    <row r="813">
      <c r="A813" s="43"/>
      <c r="B813" s="59" t="str">
        <f>IFERROR(HYPERLINK(VLOOKUP(A813,Internal_lists_bugs!$A$2:$C$73,3,FALSE()), VLOOKUP(A813,Internal_lists_bugs!$A$2:$C$73,3,FALSE())&amp;Char(10) &amp; Char(10) &amp; VLOOKUP(A813,Internal_lists_bugs!$A$2:$Z$73,26,FALSE())),"please select a BUG ID")</f>
        <v>please select a BUG ID</v>
      </c>
      <c r="C813" s="51" t="str">
        <f>IFERROR(VLOOKUP(A813,Internal_lists_bugs!$A$2:$G2003,7,FALSE()),"please select a BUG ID")</f>
        <v>please select a BUG ID</v>
      </c>
      <c r="D813" s="43"/>
      <c r="E813" s="63"/>
      <c r="F813" s="43"/>
      <c r="G813" s="63"/>
      <c r="H813" s="43"/>
      <c r="I813" s="63"/>
      <c r="J813" s="43"/>
      <c r="K813" s="50"/>
      <c r="L813" s="43"/>
      <c r="M813" s="50"/>
      <c r="N813" s="43"/>
      <c r="O813" s="50"/>
      <c r="P813" s="43"/>
      <c r="Q813" s="50"/>
      <c r="R813" s="43"/>
      <c r="S813" s="50"/>
      <c r="T813" s="43"/>
      <c r="U813" s="50"/>
      <c r="V813" s="43"/>
      <c r="W813" s="50"/>
      <c r="X813" s="43"/>
      <c r="Y813" s="50"/>
      <c r="Z813" s="43"/>
      <c r="AA813" s="50"/>
      <c r="AB813" s="43"/>
      <c r="AC813" s="50"/>
      <c r="AD813" s="43"/>
      <c r="AE813" s="50"/>
      <c r="AF813" s="43"/>
      <c r="AG813" s="50"/>
      <c r="AH813" s="43"/>
      <c r="AI813" s="50"/>
      <c r="AJ813" s="43"/>
      <c r="AK813" s="50"/>
      <c r="AL813" s="43"/>
      <c r="AM813" s="50"/>
      <c r="AO813" s="43"/>
      <c r="AP813" s="46"/>
      <c r="AQ813" s="43"/>
      <c r="AR813" s="119"/>
      <c r="AS813" s="1"/>
      <c r="AT813" s="1"/>
    </row>
    <row r="814">
      <c r="A814" s="43"/>
      <c r="B814" s="59" t="str">
        <f>IFERROR(HYPERLINK(VLOOKUP(A814,Internal_lists_bugs!$A$2:$C$73,3,FALSE()), VLOOKUP(A814,Internal_lists_bugs!$A$2:$C$73,3,FALSE())&amp;Char(10) &amp; Char(10) &amp; VLOOKUP(A814,Internal_lists_bugs!$A$2:$Z$73,26,FALSE())),"please select a BUG ID")</f>
        <v>please select a BUG ID</v>
      </c>
      <c r="C814" s="51" t="str">
        <f>IFERROR(VLOOKUP(A814,Internal_lists_bugs!$A$2:$G2003,7,FALSE()),"please select a BUG ID")</f>
        <v>please select a BUG ID</v>
      </c>
      <c r="D814" s="43"/>
      <c r="E814" s="63"/>
      <c r="F814" s="43"/>
      <c r="G814" s="63"/>
      <c r="H814" s="43"/>
      <c r="I814" s="63"/>
      <c r="J814" s="43"/>
      <c r="K814" s="50"/>
      <c r="L814" s="43"/>
      <c r="M814" s="50"/>
      <c r="N814" s="43"/>
      <c r="O814" s="50"/>
      <c r="P814" s="43"/>
      <c r="Q814" s="50"/>
      <c r="R814" s="43"/>
      <c r="S814" s="50"/>
      <c r="T814" s="43"/>
      <c r="U814" s="50"/>
      <c r="V814" s="43"/>
      <c r="W814" s="50"/>
      <c r="X814" s="43"/>
      <c r="Y814" s="50"/>
      <c r="Z814" s="43"/>
      <c r="AA814" s="50"/>
      <c r="AB814" s="43"/>
      <c r="AC814" s="50"/>
      <c r="AD814" s="43"/>
      <c r="AE814" s="50"/>
      <c r="AF814" s="43"/>
      <c r="AG814" s="50"/>
      <c r="AH814" s="43"/>
      <c r="AI814" s="50"/>
      <c r="AJ814" s="43"/>
      <c r="AK814" s="50"/>
      <c r="AL814" s="43"/>
      <c r="AM814" s="50"/>
      <c r="AO814" s="43"/>
      <c r="AP814" s="46"/>
      <c r="AQ814" s="43"/>
      <c r="AR814" s="119"/>
      <c r="AS814" s="1"/>
      <c r="AT814" s="1"/>
    </row>
    <row r="815">
      <c r="A815" s="43"/>
      <c r="B815" s="59" t="str">
        <f>IFERROR(HYPERLINK(VLOOKUP(A815,Internal_lists_bugs!$A$2:$C$73,3,FALSE()), VLOOKUP(A815,Internal_lists_bugs!$A$2:$C$73,3,FALSE())&amp;Char(10) &amp; Char(10) &amp; VLOOKUP(A815,Internal_lists_bugs!$A$2:$Z$73,26,FALSE())),"please select a BUG ID")</f>
        <v>please select a BUG ID</v>
      </c>
      <c r="C815" s="51" t="str">
        <f>IFERROR(VLOOKUP(A815,Internal_lists_bugs!$A$2:$G2003,7,FALSE()),"please select a BUG ID")</f>
        <v>please select a BUG ID</v>
      </c>
      <c r="D815" s="43"/>
      <c r="E815" s="63"/>
      <c r="F815" s="43"/>
      <c r="G815" s="63"/>
      <c r="H815" s="43"/>
      <c r="I815" s="63"/>
      <c r="J815" s="43"/>
      <c r="K815" s="50"/>
      <c r="L815" s="43"/>
      <c r="M815" s="50"/>
      <c r="N815" s="43"/>
      <c r="O815" s="50"/>
      <c r="P815" s="43"/>
      <c r="Q815" s="50"/>
      <c r="R815" s="43"/>
      <c r="S815" s="50"/>
      <c r="T815" s="43"/>
      <c r="U815" s="50"/>
      <c r="V815" s="43"/>
      <c r="W815" s="50"/>
      <c r="X815" s="43"/>
      <c r="Y815" s="50"/>
      <c r="Z815" s="43"/>
      <c r="AA815" s="50"/>
      <c r="AB815" s="43"/>
      <c r="AC815" s="50"/>
      <c r="AD815" s="43"/>
      <c r="AE815" s="50"/>
      <c r="AF815" s="43"/>
      <c r="AG815" s="50"/>
      <c r="AH815" s="43"/>
      <c r="AI815" s="50"/>
      <c r="AJ815" s="43"/>
      <c r="AK815" s="50"/>
      <c r="AL815" s="43"/>
      <c r="AM815" s="50"/>
      <c r="AO815" s="43"/>
      <c r="AP815" s="46"/>
      <c r="AQ815" s="43"/>
      <c r="AR815" s="119"/>
      <c r="AS815" s="1"/>
      <c r="AT815" s="1"/>
    </row>
    <row r="816">
      <c r="A816" s="43"/>
      <c r="B816" s="59" t="str">
        <f>IFERROR(HYPERLINK(VLOOKUP(A816,Internal_lists_bugs!$A$2:$C$73,3,FALSE()), VLOOKUP(A816,Internal_lists_bugs!$A$2:$C$73,3,FALSE())&amp;Char(10) &amp; Char(10) &amp; VLOOKUP(A816,Internal_lists_bugs!$A$2:$Z$73,26,FALSE())),"please select a BUG ID")</f>
        <v>please select a BUG ID</v>
      </c>
      <c r="C816" s="51" t="str">
        <f>IFERROR(VLOOKUP(A816,Internal_lists_bugs!$A$2:$G2003,7,FALSE()),"please select a BUG ID")</f>
        <v>please select a BUG ID</v>
      </c>
      <c r="D816" s="43"/>
      <c r="E816" s="63"/>
      <c r="F816" s="43"/>
      <c r="G816" s="63"/>
      <c r="H816" s="43"/>
      <c r="I816" s="63"/>
      <c r="J816" s="43"/>
      <c r="K816" s="50"/>
      <c r="L816" s="43"/>
      <c r="M816" s="50"/>
      <c r="N816" s="43"/>
      <c r="O816" s="50"/>
      <c r="P816" s="43"/>
      <c r="Q816" s="50"/>
      <c r="R816" s="43"/>
      <c r="S816" s="50"/>
      <c r="T816" s="43"/>
      <c r="U816" s="50"/>
      <c r="V816" s="43"/>
      <c r="W816" s="50"/>
      <c r="X816" s="43"/>
      <c r="Y816" s="50"/>
      <c r="Z816" s="43"/>
      <c r="AA816" s="50"/>
      <c r="AB816" s="43"/>
      <c r="AC816" s="50"/>
      <c r="AD816" s="43"/>
      <c r="AE816" s="50"/>
      <c r="AF816" s="43"/>
      <c r="AG816" s="50"/>
      <c r="AH816" s="43"/>
      <c r="AI816" s="50"/>
      <c r="AJ816" s="43"/>
      <c r="AK816" s="50"/>
      <c r="AL816" s="43"/>
      <c r="AM816" s="50"/>
      <c r="AO816" s="43"/>
      <c r="AP816" s="46"/>
      <c r="AQ816" s="43"/>
      <c r="AR816" s="119"/>
      <c r="AS816" s="1"/>
      <c r="AT816" s="1"/>
    </row>
    <row r="817">
      <c r="A817" s="43"/>
      <c r="B817" s="59" t="str">
        <f>IFERROR(HYPERLINK(VLOOKUP(A817,Internal_lists_bugs!$A$2:$C$73,3,FALSE()), VLOOKUP(A817,Internal_lists_bugs!$A$2:$C$73,3,FALSE())&amp;Char(10) &amp; Char(10) &amp; VLOOKUP(A817,Internal_lists_bugs!$A$2:$Z$73,26,FALSE())),"please select a BUG ID")</f>
        <v>please select a BUG ID</v>
      </c>
      <c r="C817" s="51" t="str">
        <f>IFERROR(VLOOKUP(A817,Internal_lists_bugs!$A$2:$G2003,7,FALSE()),"please select a BUG ID")</f>
        <v>please select a BUG ID</v>
      </c>
      <c r="D817" s="43"/>
      <c r="E817" s="63"/>
      <c r="F817" s="43"/>
      <c r="G817" s="63"/>
      <c r="H817" s="43"/>
      <c r="I817" s="63"/>
      <c r="J817" s="43"/>
      <c r="K817" s="50"/>
      <c r="L817" s="43"/>
      <c r="M817" s="50"/>
      <c r="N817" s="43"/>
      <c r="O817" s="50"/>
      <c r="P817" s="43"/>
      <c r="Q817" s="50"/>
      <c r="R817" s="43"/>
      <c r="S817" s="50"/>
      <c r="T817" s="43"/>
      <c r="U817" s="50"/>
      <c r="V817" s="43"/>
      <c r="W817" s="50"/>
      <c r="X817" s="43"/>
      <c r="Y817" s="50"/>
      <c r="Z817" s="43"/>
      <c r="AA817" s="50"/>
      <c r="AB817" s="43"/>
      <c r="AC817" s="50"/>
      <c r="AD817" s="43"/>
      <c r="AE817" s="50"/>
      <c r="AF817" s="43"/>
      <c r="AG817" s="50"/>
      <c r="AH817" s="43"/>
      <c r="AI817" s="50"/>
      <c r="AJ817" s="43"/>
      <c r="AK817" s="50"/>
      <c r="AL817" s="43"/>
      <c r="AM817" s="50"/>
      <c r="AO817" s="43"/>
      <c r="AP817" s="46"/>
      <c r="AQ817" s="43"/>
      <c r="AR817" s="119"/>
      <c r="AS817" s="1"/>
      <c r="AT817" s="1"/>
    </row>
    <row r="818">
      <c r="A818" s="43"/>
      <c r="B818" s="59" t="str">
        <f>IFERROR(HYPERLINK(VLOOKUP(A818,Internal_lists_bugs!$A$2:$C$73,3,FALSE()), VLOOKUP(A818,Internal_lists_bugs!$A$2:$C$73,3,FALSE())&amp;Char(10) &amp; Char(10) &amp; VLOOKUP(A818,Internal_lists_bugs!$A$2:$Z$73,26,FALSE())),"please select a BUG ID")</f>
        <v>please select a BUG ID</v>
      </c>
      <c r="C818" s="51" t="str">
        <f>IFERROR(VLOOKUP(A818,Internal_lists_bugs!$A$2:$G2003,7,FALSE()),"please select a BUG ID")</f>
        <v>please select a BUG ID</v>
      </c>
      <c r="D818" s="43"/>
      <c r="E818" s="63"/>
      <c r="F818" s="43"/>
      <c r="G818" s="63"/>
      <c r="H818" s="43"/>
      <c r="I818" s="63"/>
      <c r="J818" s="43"/>
      <c r="K818" s="50"/>
      <c r="L818" s="43"/>
      <c r="M818" s="50"/>
      <c r="N818" s="43"/>
      <c r="O818" s="50"/>
      <c r="P818" s="43"/>
      <c r="Q818" s="50"/>
      <c r="R818" s="43"/>
      <c r="S818" s="50"/>
      <c r="T818" s="43"/>
      <c r="U818" s="50"/>
      <c r="V818" s="43"/>
      <c r="W818" s="50"/>
      <c r="X818" s="43"/>
      <c r="Y818" s="50"/>
      <c r="Z818" s="43"/>
      <c r="AA818" s="50"/>
      <c r="AB818" s="43"/>
      <c r="AC818" s="50"/>
      <c r="AD818" s="43"/>
      <c r="AE818" s="50"/>
      <c r="AF818" s="43"/>
      <c r="AG818" s="50"/>
      <c r="AH818" s="43"/>
      <c r="AI818" s="50"/>
      <c r="AJ818" s="43"/>
      <c r="AK818" s="50"/>
      <c r="AL818" s="43"/>
      <c r="AM818" s="50"/>
      <c r="AO818" s="43"/>
      <c r="AP818" s="46"/>
      <c r="AQ818" s="43"/>
      <c r="AR818" s="119"/>
      <c r="AS818" s="1"/>
      <c r="AT818" s="1"/>
    </row>
    <row r="819">
      <c r="A819" s="43"/>
      <c r="B819" s="59" t="str">
        <f>IFERROR(HYPERLINK(VLOOKUP(A819,Internal_lists_bugs!$A$2:$C$73,3,FALSE()), VLOOKUP(A819,Internal_lists_bugs!$A$2:$C$73,3,FALSE())&amp;Char(10) &amp; Char(10) &amp; VLOOKUP(A819,Internal_lists_bugs!$A$2:$Z$73,26,FALSE())),"please select a BUG ID")</f>
        <v>please select a BUG ID</v>
      </c>
      <c r="C819" s="51" t="str">
        <f>IFERROR(VLOOKUP(A819,Internal_lists_bugs!$A$2:$G2003,7,FALSE()),"please select a BUG ID")</f>
        <v>please select a BUG ID</v>
      </c>
      <c r="D819" s="43"/>
      <c r="E819" s="63"/>
      <c r="F819" s="43"/>
      <c r="G819" s="63"/>
      <c r="H819" s="43"/>
      <c r="I819" s="63"/>
      <c r="J819" s="43"/>
      <c r="K819" s="50"/>
      <c r="L819" s="43"/>
      <c r="M819" s="50"/>
      <c r="N819" s="43"/>
      <c r="O819" s="50"/>
      <c r="P819" s="43"/>
      <c r="Q819" s="50"/>
      <c r="R819" s="43"/>
      <c r="S819" s="50"/>
      <c r="T819" s="43"/>
      <c r="U819" s="50"/>
      <c r="V819" s="43"/>
      <c r="W819" s="50"/>
      <c r="X819" s="43"/>
      <c r="Y819" s="50"/>
      <c r="Z819" s="43"/>
      <c r="AA819" s="50"/>
      <c r="AB819" s="43"/>
      <c r="AC819" s="50"/>
      <c r="AD819" s="43"/>
      <c r="AE819" s="50"/>
      <c r="AF819" s="43"/>
      <c r="AG819" s="50"/>
      <c r="AH819" s="43"/>
      <c r="AI819" s="50"/>
      <c r="AJ819" s="43"/>
      <c r="AK819" s="50"/>
      <c r="AL819" s="43"/>
      <c r="AM819" s="50"/>
      <c r="AO819" s="43"/>
      <c r="AP819" s="46"/>
      <c r="AQ819" s="43"/>
      <c r="AR819" s="119"/>
      <c r="AS819" s="1"/>
      <c r="AT819" s="1"/>
    </row>
    <row r="820">
      <c r="A820" s="43"/>
      <c r="B820" s="59" t="str">
        <f>IFERROR(HYPERLINK(VLOOKUP(A820,Internal_lists_bugs!$A$2:$C$73,3,FALSE()), VLOOKUP(A820,Internal_lists_bugs!$A$2:$C$73,3,FALSE())&amp;Char(10) &amp; Char(10) &amp; VLOOKUP(A820,Internal_lists_bugs!$A$2:$Z$73,26,FALSE())),"please select a BUG ID")</f>
        <v>please select a BUG ID</v>
      </c>
      <c r="C820" s="51" t="str">
        <f>IFERROR(VLOOKUP(A820,Internal_lists_bugs!$A$2:$G2003,7,FALSE()),"please select a BUG ID")</f>
        <v>please select a BUG ID</v>
      </c>
      <c r="D820" s="43"/>
      <c r="E820" s="63"/>
      <c r="F820" s="43"/>
      <c r="G820" s="63"/>
      <c r="H820" s="43"/>
      <c r="I820" s="63"/>
      <c r="J820" s="43"/>
      <c r="K820" s="50"/>
      <c r="L820" s="43"/>
      <c r="M820" s="50"/>
      <c r="N820" s="43"/>
      <c r="O820" s="50"/>
      <c r="P820" s="43"/>
      <c r="Q820" s="50"/>
      <c r="R820" s="43"/>
      <c r="S820" s="50"/>
      <c r="T820" s="43"/>
      <c r="U820" s="50"/>
      <c r="V820" s="43"/>
      <c r="W820" s="50"/>
      <c r="X820" s="43"/>
      <c r="Y820" s="50"/>
      <c r="Z820" s="43"/>
      <c r="AA820" s="50"/>
      <c r="AB820" s="43"/>
      <c r="AC820" s="50"/>
      <c r="AD820" s="43"/>
      <c r="AE820" s="50"/>
      <c r="AF820" s="43"/>
      <c r="AG820" s="50"/>
      <c r="AH820" s="43"/>
      <c r="AI820" s="50"/>
      <c r="AJ820" s="43"/>
      <c r="AK820" s="50"/>
      <c r="AL820" s="43"/>
      <c r="AM820" s="50"/>
      <c r="AO820" s="43"/>
      <c r="AP820" s="46"/>
      <c r="AQ820" s="43"/>
      <c r="AR820" s="119"/>
      <c r="AS820" s="1"/>
      <c r="AT820" s="1"/>
    </row>
    <row r="821">
      <c r="A821" s="43"/>
      <c r="B821" s="59" t="str">
        <f>IFERROR(HYPERLINK(VLOOKUP(A821,Internal_lists_bugs!$A$2:$C$73,3,FALSE()), VLOOKUP(A821,Internal_lists_bugs!$A$2:$C$73,3,FALSE())&amp;Char(10) &amp; Char(10) &amp; VLOOKUP(A821,Internal_lists_bugs!$A$2:$Z$73,26,FALSE())),"please select a BUG ID")</f>
        <v>please select a BUG ID</v>
      </c>
      <c r="C821" s="51" t="str">
        <f>IFERROR(VLOOKUP(A821,Internal_lists_bugs!$A$2:$G2003,7,FALSE()),"please select a BUG ID")</f>
        <v>please select a BUG ID</v>
      </c>
      <c r="D821" s="43"/>
      <c r="E821" s="63"/>
      <c r="F821" s="43"/>
      <c r="G821" s="63"/>
      <c r="H821" s="43"/>
      <c r="I821" s="63"/>
      <c r="J821" s="43"/>
      <c r="K821" s="50"/>
      <c r="L821" s="43"/>
      <c r="M821" s="50"/>
      <c r="N821" s="43"/>
      <c r="O821" s="50"/>
      <c r="P821" s="43"/>
      <c r="Q821" s="50"/>
      <c r="R821" s="43"/>
      <c r="S821" s="50"/>
      <c r="T821" s="43"/>
      <c r="U821" s="50"/>
      <c r="V821" s="43"/>
      <c r="W821" s="50"/>
      <c r="X821" s="43"/>
      <c r="Y821" s="50"/>
      <c r="Z821" s="43"/>
      <c r="AA821" s="50"/>
      <c r="AB821" s="43"/>
      <c r="AC821" s="50"/>
      <c r="AD821" s="43"/>
      <c r="AE821" s="50"/>
      <c r="AF821" s="43"/>
      <c r="AG821" s="50"/>
      <c r="AH821" s="43"/>
      <c r="AI821" s="50"/>
      <c r="AJ821" s="43"/>
      <c r="AK821" s="50"/>
      <c r="AL821" s="43"/>
      <c r="AM821" s="50"/>
      <c r="AO821" s="43"/>
      <c r="AP821" s="46"/>
      <c r="AQ821" s="43"/>
      <c r="AR821" s="119"/>
      <c r="AS821" s="1"/>
      <c r="AT821" s="1"/>
    </row>
    <row r="822">
      <c r="A822" s="43"/>
      <c r="B822" s="59" t="str">
        <f>IFERROR(HYPERLINK(VLOOKUP(A822,Internal_lists_bugs!$A$2:$C$73,3,FALSE()), VLOOKUP(A822,Internal_lists_bugs!$A$2:$C$73,3,FALSE())&amp;Char(10) &amp; Char(10) &amp; VLOOKUP(A822,Internal_lists_bugs!$A$2:$Z$73,26,FALSE())),"please select a BUG ID")</f>
        <v>please select a BUG ID</v>
      </c>
      <c r="C822" s="51" t="str">
        <f>IFERROR(VLOOKUP(A822,Internal_lists_bugs!$A$2:$G2003,7,FALSE()),"please select a BUG ID")</f>
        <v>please select a BUG ID</v>
      </c>
      <c r="D822" s="43"/>
      <c r="E822" s="63"/>
      <c r="F822" s="43"/>
      <c r="G822" s="63"/>
      <c r="H822" s="43"/>
      <c r="I822" s="63"/>
      <c r="J822" s="43"/>
      <c r="K822" s="50"/>
      <c r="L822" s="43"/>
      <c r="M822" s="50"/>
      <c r="N822" s="43"/>
      <c r="O822" s="50"/>
      <c r="P822" s="43"/>
      <c r="Q822" s="50"/>
      <c r="R822" s="43"/>
      <c r="S822" s="50"/>
      <c r="T822" s="43"/>
      <c r="U822" s="50"/>
      <c r="V822" s="43"/>
      <c r="W822" s="50"/>
      <c r="X822" s="43"/>
      <c r="Y822" s="50"/>
      <c r="Z822" s="43"/>
      <c r="AA822" s="50"/>
      <c r="AB822" s="43"/>
      <c r="AC822" s="50"/>
      <c r="AD822" s="43"/>
      <c r="AE822" s="50"/>
      <c r="AF822" s="43"/>
      <c r="AG822" s="50"/>
      <c r="AH822" s="43"/>
      <c r="AI822" s="50"/>
      <c r="AJ822" s="43"/>
      <c r="AK822" s="50"/>
      <c r="AL822" s="43"/>
      <c r="AM822" s="50"/>
      <c r="AO822" s="43"/>
      <c r="AP822" s="46"/>
      <c r="AQ822" s="43"/>
      <c r="AR822" s="119"/>
      <c r="AS822" s="1"/>
      <c r="AT822" s="1"/>
    </row>
    <row r="823">
      <c r="A823" s="43"/>
      <c r="B823" s="59" t="str">
        <f>IFERROR(HYPERLINK(VLOOKUP(A823,Internal_lists_bugs!$A$2:$C$73,3,FALSE()), VLOOKUP(A823,Internal_lists_bugs!$A$2:$C$73,3,FALSE())&amp;Char(10) &amp; Char(10) &amp; VLOOKUP(A823,Internal_lists_bugs!$A$2:$Z$73,26,FALSE())),"please select a BUG ID")</f>
        <v>please select a BUG ID</v>
      </c>
      <c r="C823" s="51" t="str">
        <f>IFERROR(VLOOKUP(A823,Internal_lists_bugs!$A$2:$G2003,7,FALSE()),"please select a BUG ID")</f>
        <v>please select a BUG ID</v>
      </c>
      <c r="D823" s="43"/>
      <c r="E823" s="63"/>
      <c r="F823" s="43"/>
      <c r="G823" s="63"/>
      <c r="H823" s="43"/>
      <c r="I823" s="63"/>
      <c r="J823" s="43"/>
      <c r="K823" s="50"/>
      <c r="L823" s="43"/>
      <c r="M823" s="50"/>
      <c r="N823" s="43"/>
      <c r="O823" s="50"/>
      <c r="P823" s="43"/>
      <c r="Q823" s="50"/>
      <c r="R823" s="43"/>
      <c r="S823" s="50"/>
      <c r="T823" s="43"/>
      <c r="U823" s="50"/>
      <c r="V823" s="43"/>
      <c r="W823" s="50"/>
      <c r="X823" s="43"/>
      <c r="Y823" s="50"/>
      <c r="Z823" s="43"/>
      <c r="AA823" s="50"/>
      <c r="AB823" s="43"/>
      <c r="AC823" s="50"/>
      <c r="AD823" s="43"/>
      <c r="AE823" s="50"/>
      <c r="AF823" s="43"/>
      <c r="AG823" s="50"/>
      <c r="AH823" s="43"/>
      <c r="AI823" s="50"/>
      <c r="AJ823" s="43"/>
      <c r="AK823" s="50"/>
      <c r="AL823" s="43"/>
      <c r="AM823" s="50"/>
      <c r="AO823" s="43"/>
      <c r="AP823" s="46"/>
      <c r="AQ823" s="43"/>
      <c r="AR823" s="119"/>
      <c r="AS823" s="1"/>
      <c r="AT823" s="1"/>
    </row>
    <row r="824">
      <c r="A824" s="43"/>
      <c r="B824" s="59" t="str">
        <f>IFERROR(HYPERLINK(VLOOKUP(A824,Internal_lists_bugs!$A$2:$C$73,3,FALSE()), VLOOKUP(A824,Internal_lists_bugs!$A$2:$C$73,3,FALSE())&amp;Char(10) &amp; Char(10) &amp; VLOOKUP(A824,Internal_lists_bugs!$A$2:$Z$73,26,FALSE())),"please select a BUG ID")</f>
        <v>please select a BUG ID</v>
      </c>
      <c r="C824" s="51" t="str">
        <f>IFERROR(VLOOKUP(A824,Internal_lists_bugs!$A$2:$G2003,7,FALSE()),"please select a BUG ID")</f>
        <v>please select a BUG ID</v>
      </c>
      <c r="D824" s="43"/>
      <c r="E824" s="63"/>
      <c r="F824" s="43"/>
      <c r="G824" s="63"/>
      <c r="H824" s="43"/>
      <c r="I824" s="63"/>
      <c r="J824" s="43"/>
      <c r="K824" s="50"/>
      <c r="L824" s="43"/>
      <c r="M824" s="50"/>
      <c r="N824" s="43"/>
      <c r="O824" s="50"/>
      <c r="P824" s="43"/>
      <c r="Q824" s="50"/>
      <c r="R824" s="43"/>
      <c r="S824" s="50"/>
      <c r="T824" s="43"/>
      <c r="U824" s="50"/>
      <c r="V824" s="43"/>
      <c r="W824" s="50"/>
      <c r="X824" s="43"/>
      <c r="Y824" s="50"/>
      <c r="Z824" s="43"/>
      <c r="AA824" s="50"/>
      <c r="AB824" s="43"/>
      <c r="AC824" s="50"/>
      <c r="AD824" s="43"/>
      <c r="AE824" s="50"/>
      <c r="AF824" s="43"/>
      <c r="AG824" s="50"/>
      <c r="AH824" s="43"/>
      <c r="AI824" s="50"/>
      <c r="AJ824" s="43"/>
      <c r="AK824" s="50"/>
      <c r="AL824" s="43"/>
      <c r="AM824" s="50"/>
      <c r="AO824" s="43"/>
      <c r="AP824" s="46"/>
      <c r="AQ824" s="43"/>
      <c r="AR824" s="119"/>
      <c r="AS824" s="1"/>
      <c r="AT824" s="1"/>
    </row>
    <row r="825">
      <c r="A825" s="43"/>
      <c r="B825" s="59" t="str">
        <f>IFERROR(HYPERLINK(VLOOKUP(A825,Internal_lists_bugs!$A$2:$C$73,3,FALSE()), VLOOKUP(A825,Internal_lists_bugs!$A$2:$C$73,3,FALSE())&amp;Char(10) &amp; Char(10) &amp; VLOOKUP(A825,Internal_lists_bugs!$A$2:$Z$73,26,FALSE())),"please select a BUG ID")</f>
        <v>please select a BUG ID</v>
      </c>
      <c r="C825" s="51" t="str">
        <f>IFERROR(VLOOKUP(A825,Internal_lists_bugs!$A$2:$G2003,7,FALSE()),"please select a BUG ID")</f>
        <v>please select a BUG ID</v>
      </c>
      <c r="D825" s="43"/>
      <c r="E825" s="63"/>
      <c r="F825" s="43"/>
      <c r="G825" s="63"/>
      <c r="H825" s="43"/>
      <c r="I825" s="63"/>
      <c r="J825" s="43"/>
      <c r="K825" s="50"/>
      <c r="L825" s="43"/>
      <c r="M825" s="50"/>
      <c r="N825" s="43"/>
      <c r="O825" s="50"/>
      <c r="P825" s="43"/>
      <c r="Q825" s="50"/>
      <c r="R825" s="43"/>
      <c r="S825" s="50"/>
      <c r="T825" s="43"/>
      <c r="U825" s="50"/>
      <c r="V825" s="43"/>
      <c r="W825" s="50"/>
      <c r="X825" s="43"/>
      <c r="Y825" s="50"/>
      <c r="Z825" s="43"/>
      <c r="AA825" s="50"/>
      <c r="AB825" s="43"/>
      <c r="AC825" s="50"/>
      <c r="AD825" s="43"/>
      <c r="AE825" s="50"/>
      <c r="AF825" s="43"/>
      <c r="AG825" s="50"/>
      <c r="AH825" s="43"/>
      <c r="AI825" s="50"/>
      <c r="AJ825" s="43"/>
      <c r="AK825" s="50"/>
      <c r="AL825" s="43"/>
      <c r="AM825" s="50"/>
      <c r="AO825" s="43"/>
      <c r="AP825" s="46"/>
      <c r="AQ825" s="43"/>
      <c r="AR825" s="119"/>
      <c r="AS825" s="1"/>
      <c r="AT825" s="1"/>
    </row>
    <row r="826">
      <c r="A826" s="43"/>
      <c r="B826" s="59" t="str">
        <f>IFERROR(HYPERLINK(VLOOKUP(A826,Internal_lists_bugs!$A$2:$C$73,3,FALSE()), VLOOKUP(A826,Internal_lists_bugs!$A$2:$C$73,3,FALSE())&amp;Char(10) &amp; Char(10) &amp; VLOOKUP(A826,Internal_lists_bugs!$A$2:$Z$73,26,FALSE())),"please select a BUG ID")</f>
        <v>please select a BUG ID</v>
      </c>
      <c r="C826" s="51" t="str">
        <f>IFERROR(VLOOKUP(A826,Internal_lists_bugs!$A$2:$G2003,7,FALSE()),"please select a BUG ID")</f>
        <v>please select a BUG ID</v>
      </c>
      <c r="D826" s="43"/>
      <c r="E826" s="63"/>
      <c r="F826" s="43"/>
      <c r="G826" s="63"/>
      <c r="H826" s="43"/>
      <c r="I826" s="63"/>
      <c r="J826" s="43"/>
      <c r="K826" s="50"/>
      <c r="L826" s="43"/>
      <c r="M826" s="50"/>
      <c r="N826" s="43"/>
      <c r="O826" s="50"/>
      <c r="P826" s="43"/>
      <c r="Q826" s="50"/>
      <c r="R826" s="43"/>
      <c r="S826" s="50"/>
      <c r="T826" s="43"/>
      <c r="U826" s="50"/>
      <c r="V826" s="43"/>
      <c r="W826" s="50"/>
      <c r="X826" s="43"/>
      <c r="Y826" s="50"/>
      <c r="Z826" s="43"/>
      <c r="AA826" s="50"/>
      <c r="AB826" s="43"/>
      <c r="AC826" s="50"/>
      <c r="AD826" s="43"/>
      <c r="AE826" s="50"/>
      <c r="AF826" s="43"/>
      <c r="AG826" s="50"/>
      <c r="AH826" s="43"/>
      <c r="AI826" s="50"/>
      <c r="AJ826" s="43"/>
      <c r="AK826" s="50"/>
      <c r="AL826" s="43"/>
      <c r="AM826" s="50"/>
      <c r="AO826" s="43"/>
      <c r="AP826" s="46"/>
      <c r="AQ826" s="43"/>
      <c r="AR826" s="119"/>
      <c r="AS826" s="1"/>
      <c r="AT826" s="1"/>
    </row>
    <row r="827">
      <c r="A827" s="43"/>
      <c r="B827" s="59" t="str">
        <f>IFERROR(HYPERLINK(VLOOKUP(A827,Internal_lists_bugs!$A$2:$C$73,3,FALSE()), VLOOKUP(A827,Internal_lists_bugs!$A$2:$C$73,3,FALSE())&amp;Char(10) &amp; Char(10) &amp; VLOOKUP(A827,Internal_lists_bugs!$A$2:$Z$73,26,FALSE())),"please select a BUG ID")</f>
        <v>please select a BUG ID</v>
      </c>
      <c r="C827" s="51" t="str">
        <f>IFERROR(VLOOKUP(A827,Internal_lists_bugs!$A$2:$G2003,7,FALSE()),"please select a BUG ID")</f>
        <v>please select a BUG ID</v>
      </c>
      <c r="D827" s="43"/>
      <c r="E827" s="63"/>
      <c r="F827" s="43"/>
      <c r="G827" s="63"/>
      <c r="H827" s="43"/>
      <c r="I827" s="63"/>
      <c r="J827" s="43"/>
      <c r="K827" s="50"/>
      <c r="L827" s="43"/>
      <c r="M827" s="50"/>
      <c r="N827" s="43"/>
      <c r="O827" s="50"/>
      <c r="P827" s="43"/>
      <c r="Q827" s="50"/>
      <c r="R827" s="43"/>
      <c r="S827" s="50"/>
      <c r="T827" s="43"/>
      <c r="U827" s="50"/>
      <c r="V827" s="43"/>
      <c r="W827" s="50"/>
      <c r="X827" s="43"/>
      <c r="Y827" s="50"/>
      <c r="Z827" s="43"/>
      <c r="AA827" s="50"/>
      <c r="AB827" s="43"/>
      <c r="AC827" s="50"/>
      <c r="AD827" s="43"/>
      <c r="AE827" s="50"/>
      <c r="AF827" s="43"/>
      <c r="AG827" s="50"/>
      <c r="AH827" s="43"/>
      <c r="AI827" s="50"/>
      <c r="AJ827" s="43"/>
      <c r="AK827" s="50"/>
      <c r="AL827" s="43"/>
      <c r="AM827" s="50"/>
      <c r="AO827" s="43"/>
      <c r="AP827" s="46"/>
      <c r="AQ827" s="43"/>
      <c r="AR827" s="119"/>
      <c r="AS827" s="1"/>
      <c r="AT827" s="1"/>
    </row>
    <row r="828">
      <c r="A828" s="43"/>
      <c r="B828" s="59" t="str">
        <f>IFERROR(HYPERLINK(VLOOKUP(A828,Internal_lists_bugs!$A$2:$C$73,3,FALSE()), VLOOKUP(A828,Internal_lists_bugs!$A$2:$C$73,3,FALSE())&amp;Char(10) &amp; Char(10) &amp; VLOOKUP(A828,Internal_lists_bugs!$A$2:$Z$73,26,FALSE())),"please select a BUG ID")</f>
        <v>please select a BUG ID</v>
      </c>
      <c r="C828" s="51" t="str">
        <f>IFERROR(VLOOKUP(A828,Internal_lists_bugs!$A$2:$G2003,7,FALSE()),"please select a BUG ID")</f>
        <v>please select a BUG ID</v>
      </c>
      <c r="D828" s="43"/>
      <c r="E828" s="63"/>
      <c r="F828" s="43"/>
      <c r="G828" s="63"/>
      <c r="H828" s="43"/>
      <c r="I828" s="63"/>
      <c r="J828" s="43"/>
      <c r="K828" s="50"/>
      <c r="L828" s="43"/>
      <c r="M828" s="50"/>
      <c r="N828" s="43"/>
      <c r="O828" s="50"/>
      <c r="P828" s="43"/>
      <c r="Q828" s="50"/>
      <c r="R828" s="43"/>
      <c r="S828" s="50"/>
      <c r="T828" s="43"/>
      <c r="U828" s="50"/>
      <c r="V828" s="43"/>
      <c r="W828" s="50"/>
      <c r="X828" s="43"/>
      <c r="Y828" s="50"/>
      <c r="Z828" s="43"/>
      <c r="AA828" s="50"/>
      <c r="AB828" s="43"/>
      <c r="AC828" s="50"/>
      <c r="AD828" s="43"/>
      <c r="AE828" s="50"/>
      <c r="AF828" s="43"/>
      <c r="AG828" s="50"/>
      <c r="AH828" s="43"/>
      <c r="AI828" s="50"/>
      <c r="AJ828" s="43"/>
      <c r="AK828" s="50"/>
      <c r="AL828" s="43"/>
      <c r="AM828" s="50"/>
      <c r="AO828" s="43"/>
      <c r="AP828" s="46"/>
      <c r="AQ828" s="43"/>
      <c r="AR828" s="119"/>
      <c r="AS828" s="1"/>
      <c r="AT828" s="1"/>
    </row>
    <row r="829">
      <c r="A829" s="43"/>
      <c r="B829" s="59" t="str">
        <f>IFERROR(HYPERLINK(VLOOKUP(A829,Internal_lists_bugs!$A$2:$C$73,3,FALSE()), VLOOKUP(A829,Internal_lists_bugs!$A$2:$C$73,3,FALSE())&amp;Char(10) &amp; Char(10) &amp; VLOOKUP(A829,Internal_lists_bugs!$A$2:$Z$73,26,FALSE())),"please select a BUG ID")</f>
        <v>please select a BUG ID</v>
      </c>
      <c r="C829" s="51" t="str">
        <f>IFERROR(VLOOKUP(A829,Internal_lists_bugs!$A$2:$G2003,7,FALSE()),"please select a BUG ID")</f>
        <v>please select a BUG ID</v>
      </c>
      <c r="D829" s="43"/>
      <c r="E829" s="63"/>
      <c r="F829" s="43"/>
      <c r="G829" s="63"/>
      <c r="H829" s="43"/>
      <c r="I829" s="63"/>
      <c r="J829" s="43"/>
      <c r="K829" s="50"/>
      <c r="L829" s="43"/>
      <c r="M829" s="50"/>
      <c r="N829" s="43"/>
      <c r="O829" s="50"/>
      <c r="P829" s="43"/>
      <c r="Q829" s="50"/>
      <c r="R829" s="43"/>
      <c r="S829" s="50"/>
      <c r="T829" s="43"/>
      <c r="U829" s="50"/>
      <c r="V829" s="43"/>
      <c r="W829" s="50"/>
      <c r="X829" s="43"/>
      <c r="Y829" s="50"/>
      <c r="Z829" s="43"/>
      <c r="AA829" s="50"/>
      <c r="AB829" s="43"/>
      <c r="AC829" s="50"/>
      <c r="AD829" s="43"/>
      <c r="AE829" s="50"/>
      <c r="AF829" s="43"/>
      <c r="AG829" s="50"/>
      <c r="AH829" s="43"/>
      <c r="AI829" s="50"/>
      <c r="AJ829" s="43"/>
      <c r="AK829" s="50"/>
      <c r="AL829" s="43"/>
      <c r="AM829" s="50"/>
      <c r="AO829" s="43"/>
      <c r="AP829" s="46"/>
      <c r="AQ829" s="43"/>
      <c r="AR829" s="119"/>
      <c r="AS829" s="1"/>
      <c r="AT829" s="1"/>
    </row>
    <row r="830">
      <c r="A830" s="43"/>
      <c r="B830" s="59" t="str">
        <f>IFERROR(HYPERLINK(VLOOKUP(A830,Internal_lists_bugs!$A$2:$C$73,3,FALSE()), VLOOKUP(A830,Internal_lists_bugs!$A$2:$C$73,3,FALSE())&amp;Char(10) &amp; Char(10) &amp; VLOOKUP(A830,Internal_lists_bugs!$A$2:$Z$73,26,FALSE())),"please select a BUG ID")</f>
        <v>please select a BUG ID</v>
      </c>
      <c r="C830" s="51" t="str">
        <f>IFERROR(VLOOKUP(A830,Internal_lists_bugs!$A$2:$G2003,7,FALSE()),"please select a BUG ID")</f>
        <v>please select a BUG ID</v>
      </c>
      <c r="D830" s="43"/>
      <c r="E830" s="63"/>
      <c r="F830" s="43"/>
      <c r="G830" s="63"/>
      <c r="H830" s="43"/>
      <c r="I830" s="63"/>
      <c r="J830" s="43"/>
      <c r="K830" s="50"/>
      <c r="L830" s="43"/>
      <c r="M830" s="50"/>
      <c r="N830" s="43"/>
      <c r="O830" s="50"/>
      <c r="P830" s="43"/>
      <c r="Q830" s="50"/>
      <c r="R830" s="43"/>
      <c r="S830" s="50"/>
      <c r="T830" s="43"/>
      <c r="U830" s="50"/>
      <c r="V830" s="43"/>
      <c r="W830" s="50"/>
      <c r="X830" s="43"/>
      <c r="Y830" s="50"/>
      <c r="Z830" s="43"/>
      <c r="AA830" s="50"/>
      <c r="AB830" s="43"/>
      <c r="AC830" s="50"/>
      <c r="AD830" s="43"/>
      <c r="AE830" s="50"/>
      <c r="AF830" s="43"/>
      <c r="AG830" s="50"/>
      <c r="AH830" s="43"/>
      <c r="AI830" s="50"/>
      <c r="AJ830" s="43"/>
      <c r="AK830" s="50"/>
      <c r="AL830" s="43"/>
      <c r="AM830" s="50"/>
      <c r="AO830" s="43"/>
      <c r="AP830" s="46"/>
      <c r="AQ830" s="43"/>
      <c r="AR830" s="119"/>
      <c r="AS830" s="1"/>
      <c r="AT830" s="1"/>
    </row>
    <row r="831">
      <c r="A831" s="43"/>
      <c r="B831" s="59" t="str">
        <f>IFERROR(HYPERLINK(VLOOKUP(A831,Internal_lists_bugs!$A$2:$C$73,3,FALSE()), VLOOKUP(A831,Internal_lists_bugs!$A$2:$C$73,3,FALSE())&amp;Char(10) &amp; Char(10) &amp; VLOOKUP(A831,Internal_lists_bugs!$A$2:$Z$73,26,FALSE())),"please select a BUG ID")</f>
        <v>please select a BUG ID</v>
      </c>
      <c r="C831" s="51" t="str">
        <f>IFERROR(VLOOKUP(A831,Internal_lists_bugs!$A$2:$G2003,7,FALSE()),"please select a BUG ID")</f>
        <v>please select a BUG ID</v>
      </c>
      <c r="D831" s="43"/>
      <c r="E831" s="63"/>
      <c r="F831" s="43"/>
      <c r="G831" s="63"/>
      <c r="H831" s="43"/>
      <c r="I831" s="63"/>
      <c r="J831" s="43"/>
      <c r="K831" s="50"/>
      <c r="L831" s="43"/>
      <c r="M831" s="50"/>
      <c r="N831" s="43"/>
      <c r="O831" s="50"/>
      <c r="P831" s="43"/>
      <c r="Q831" s="50"/>
      <c r="R831" s="43"/>
      <c r="S831" s="50"/>
      <c r="T831" s="43"/>
      <c r="U831" s="50"/>
      <c r="V831" s="43"/>
      <c r="W831" s="50"/>
      <c r="X831" s="43"/>
      <c r="Y831" s="50"/>
      <c r="Z831" s="43"/>
      <c r="AA831" s="50"/>
      <c r="AB831" s="43"/>
      <c r="AC831" s="50"/>
      <c r="AD831" s="43"/>
      <c r="AE831" s="50"/>
      <c r="AF831" s="43"/>
      <c r="AG831" s="50"/>
      <c r="AH831" s="43"/>
      <c r="AI831" s="50"/>
      <c r="AJ831" s="43"/>
      <c r="AK831" s="50"/>
      <c r="AL831" s="43"/>
      <c r="AM831" s="50"/>
      <c r="AO831" s="43"/>
      <c r="AP831" s="46"/>
      <c r="AQ831" s="43"/>
      <c r="AR831" s="119"/>
      <c r="AS831" s="1"/>
      <c r="AT831" s="1"/>
    </row>
    <row r="832">
      <c r="A832" s="43"/>
      <c r="B832" s="59" t="str">
        <f>IFERROR(HYPERLINK(VLOOKUP(A832,Internal_lists_bugs!$A$2:$C$73,3,FALSE()), VLOOKUP(A832,Internal_lists_bugs!$A$2:$C$73,3,FALSE())&amp;Char(10) &amp; Char(10) &amp; VLOOKUP(A832,Internal_lists_bugs!$A$2:$Z$73,26,FALSE())),"please select a BUG ID")</f>
        <v>please select a BUG ID</v>
      </c>
      <c r="C832" s="51" t="str">
        <f>IFERROR(VLOOKUP(A832,Internal_lists_bugs!$A$2:$G2003,7,FALSE()),"please select a BUG ID")</f>
        <v>please select a BUG ID</v>
      </c>
      <c r="D832" s="43"/>
      <c r="E832" s="63"/>
      <c r="F832" s="43"/>
      <c r="G832" s="63"/>
      <c r="H832" s="43"/>
      <c r="I832" s="63"/>
      <c r="J832" s="43"/>
      <c r="K832" s="50"/>
      <c r="L832" s="43"/>
      <c r="M832" s="50"/>
      <c r="N832" s="43"/>
      <c r="O832" s="50"/>
      <c r="P832" s="43"/>
      <c r="Q832" s="50"/>
      <c r="R832" s="43"/>
      <c r="S832" s="50"/>
      <c r="T832" s="43"/>
      <c r="U832" s="50"/>
      <c r="V832" s="43"/>
      <c r="W832" s="50"/>
      <c r="X832" s="43"/>
      <c r="Y832" s="50"/>
      <c r="Z832" s="43"/>
      <c r="AA832" s="50"/>
      <c r="AB832" s="43"/>
      <c r="AC832" s="50"/>
      <c r="AD832" s="43"/>
      <c r="AE832" s="50"/>
      <c r="AF832" s="43"/>
      <c r="AG832" s="50"/>
      <c r="AH832" s="43"/>
      <c r="AI832" s="50"/>
      <c r="AJ832" s="43"/>
      <c r="AK832" s="50"/>
      <c r="AL832" s="43"/>
      <c r="AM832" s="50"/>
      <c r="AO832" s="43"/>
      <c r="AP832" s="46"/>
      <c r="AQ832" s="43"/>
      <c r="AR832" s="119"/>
      <c r="AS832" s="1"/>
      <c r="AT832" s="1"/>
    </row>
    <row r="833">
      <c r="A833" s="43"/>
      <c r="B833" s="59" t="str">
        <f>IFERROR(HYPERLINK(VLOOKUP(A833,Internal_lists_bugs!$A$2:$C$73,3,FALSE()), VLOOKUP(A833,Internal_lists_bugs!$A$2:$C$73,3,FALSE())&amp;Char(10) &amp; Char(10) &amp; VLOOKUP(A833,Internal_lists_bugs!$A$2:$Z$73,26,FALSE())),"please select a BUG ID")</f>
        <v>please select a BUG ID</v>
      </c>
      <c r="C833" s="51" t="str">
        <f>IFERROR(VLOOKUP(A833,Internal_lists_bugs!$A$2:$G2003,7,FALSE()),"please select a BUG ID")</f>
        <v>please select a BUG ID</v>
      </c>
      <c r="D833" s="43"/>
      <c r="E833" s="63"/>
      <c r="F833" s="43"/>
      <c r="G833" s="63"/>
      <c r="H833" s="43"/>
      <c r="I833" s="63"/>
      <c r="J833" s="43"/>
      <c r="K833" s="50"/>
      <c r="L833" s="43"/>
      <c r="M833" s="50"/>
      <c r="N833" s="43"/>
      <c r="O833" s="50"/>
      <c r="P833" s="43"/>
      <c r="Q833" s="50"/>
      <c r="R833" s="43"/>
      <c r="S833" s="50"/>
      <c r="T833" s="43"/>
      <c r="U833" s="50"/>
      <c r="V833" s="43"/>
      <c r="W833" s="50"/>
      <c r="X833" s="43"/>
      <c r="Y833" s="50"/>
      <c r="Z833" s="43"/>
      <c r="AA833" s="50"/>
      <c r="AB833" s="43"/>
      <c r="AC833" s="50"/>
      <c r="AD833" s="43"/>
      <c r="AE833" s="50"/>
      <c r="AF833" s="43"/>
      <c r="AG833" s="50"/>
      <c r="AH833" s="43"/>
      <c r="AI833" s="50"/>
      <c r="AJ833" s="43"/>
      <c r="AK833" s="50"/>
      <c r="AL833" s="43"/>
      <c r="AM833" s="50"/>
      <c r="AO833" s="43"/>
      <c r="AP833" s="46"/>
      <c r="AQ833" s="43"/>
      <c r="AR833" s="119"/>
      <c r="AS833" s="1"/>
      <c r="AT833" s="1"/>
    </row>
    <row r="834">
      <c r="A834" s="43"/>
      <c r="B834" s="59" t="str">
        <f>IFERROR(HYPERLINK(VLOOKUP(A834,Internal_lists_bugs!$A$2:$C$73,3,FALSE()), VLOOKUP(A834,Internal_lists_bugs!$A$2:$C$73,3,FALSE())&amp;Char(10) &amp; Char(10) &amp; VLOOKUP(A834,Internal_lists_bugs!$A$2:$Z$73,26,FALSE())),"please select a BUG ID")</f>
        <v>please select a BUG ID</v>
      </c>
      <c r="C834" s="51" t="str">
        <f>IFERROR(VLOOKUP(A834,Internal_lists_bugs!$A$2:$G2003,7,FALSE()),"please select a BUG ID")</f>
        <v>please select a BUG ID</v>
      </c>
      <c r="D834" s="43"/>
      <c r="E834" s="63"/>
      <c r="F834" s="43"/>
      <c r="G834" s="63"/>
      <c r="H834" s="43"/>
      <c r="I834" s="63"/>
      <c r="J834" s="43"/>
      <c r="K834" s="50"/>
      <c r="L834" s="43"/>
      <c r="M834" s="50"/>
      <c r="N834" s="43"/>
      <c r="O834" s="50"/>
      <c r="P834" s="43"/>
      <c r="Q834" s="50"/>
      <c r="R834" s="43"/>
      <c r="S834" s="50"/>
      <c r="T834" s="43"/>
      <c r="U834" s="50"/>
      <c r="V834" s="43"/>
      <c r="W834" s="50"/>
      <c r="X834" s="43"/>
      <c r="Y834" s="50"/>
      <c r="Z834" s="43"/>
      <c r="AA834" s="50"/>
      <c r="AB834" s="43"/>
      <c r="AC834" s="50"/>
      <c r="AD834" s="43"/>
      <c r="AE834" s="50"/>
      <c r="AF834" s="43"/>
      <c r="AG834" s="50"/>
      <c r="AH834" s="43"/>
      <c r="AI834" s="50"/>
      <c r="AJ834" s="43"/>
      <c r="AK834" s="50"/>
      <c r="AL834" s="43"/>
      <c r="AM834" s="50"/>
      <c r="AO834" s="43"/>
      <c r="AP834" s="46"/>
      <c r="AQ834" s="43"/>
      <c r="AR834" s="119"/>
      <c r="AS834" s="1"/>
      <c r="AT834" s="1"/>
    </row>
    <row r="835">
      <c r="A835" s="43"/>
      <c r="B835" s="59" t="str">
        <f>IFERROR(HYPERLINK(VLOOKUP(A835,Internal_lists_bugs!$A$2:$C$73,3,FALSE()), VLOOKUP(A835,Internal_lists_bugs!$A$2:$C$73,3,FALSE())&amp;Char(10) &amp; Char(10) &amp; VLOOKUP(A835,Internal_lists_bugs!$A$2:$Z$73,26,FALSE())),"please select a BUG ID")</f>
        <v>please select a BUG ID</v>
      </c>
      <c r="C835" s="51" t="str">
        <f>IFERROR(VLOOKUP(A835,Internal_lists_bugs!$A$2:$G2003,7,FALSE()),"please select a BUG ID")</f>
        <v>please select a BUG ID</v>
      </c>
      <c r="D835" s="43"/>
      <c r="E835" s="63"/>
      <c r="F835" s="43"/>
      <c r="G835" s="63"/>
      <c r="H835" s="43"/>
      <c r="I835" s="63"/>
      <c r="J835" s="43"/>
      <c r="K835" s="50"/>
      <c r="L835" s="43"/>
      <c r="M835" s="50"/>
      <c r="N835" s="43"/>
      <c r="O835" s="50"/>
      <c r="P835" s="43"/>
      <c r="Q835" s="50"/>
      <c r="R835" s="43"/>
      <c r="S835" s="50"/>
      <c r="T835" s="43"/>
      <c r="U835" s="50"/>
      <c r="V835" s="43"/>
      <c r="W835" s="50"/>
      <c r="X835" s="43"/>
      <c r="Y835" s="50"/>
      <c r="Z835" s="43"/>
      <c r="AA835" s="50"/>
      <c r="AB835" s="43"/>
      <c r="AC835" s="50"/>
      <c r="AD835" s="43"/>
      <c r="AE835" s="50"/>
      <c r="AF835" s="43"/>
      <c r="AG835" s="50"/>
      <c r="AH835" s="43"/>
      <c r="AI835" s="50"/>
      <c r="AJ835" s="43"/>
      <c r="AK835" s="50"/>
      <c r="AL835" s="43"/>
      <c r="AM835" s="50"/>
      <c r="AO835" s="43"/>
      <c r="AP835" s="46"/>
      <c r="AQ835" s="43"/>
      <c r="AR835" s="119"/>
      <c r="AS835" s="1"/>
      <c r="AT835" s="1"/>
    </row>
    <row r="836">
      <c r="A836" s="43"/>
      <c r="B836" s="59" t="str">
        <f>IFERROR(HYPERLINK(VLOOKUP(A836,Internal_lists_bugs!$A$2:$C$73,3,FALSE()), VLOOKUP(A836,Internal_lists_bugs!$A$2:$C$73,3,FALSE())&amp;Char(10) &amp; Char(10) &amp; VLOOKUP(A836,Internal_lists_bugs!$A$2:$Z$73,26,FALSE())),"please select a BUG ID")</f>
        <v>please select a BUG ID</v>
      </c>
      <c r="C836" s="51" t="str">
        <f>IFERROR(VLOOKUP(A836,Internal_lists_bugs!$A$2:$G2003,7,FALSE()),"please select a BUG ID")</f>
        <v>please select a BUG ID</v>
      </c>
      <c r="D836" s="43"/>
      <c r="E836" s="63"/>
      <c r="F836" s="43"/>
      <c r="G836" s="63"/>
      <c r="H836" s="43"/>
      <c r="I836" s="63"/>
      <c r="J836" s="43"/>
      <c r="K836" s="50"/>
      <c r="L836" s="43"/>
      <c r="M836" s="50"/>
      <c r="N836" s="43"/>
      <c r="O836" s="50"/>
      <c r="P836" s="43"/>
      <c r="Q836" s="50"/>
      <c r="R836" s="43"/>
      <c r="S836" s="50"/>
      <c r="T836" s="43"/>
      <c r="U836" s="50"/>
      <c r="V836" s="43"/>
      <c r="W836" s="50"/>
      <c r="X836" s="43"/>
      <c r="Y836" s="50"/>
      <c r="Z836" s="43"/>
      <c r="AA836" s="50"/>
      <c r="AB836" s="43"/>
      <c r="AC836" s="50"/>
      <c r="AD836" s="43"/>
      <c r="AE836" s="50"/>
      <c r="AF836" s="43"/>
      <c r="AG836" s="50"/>
      <c r="AH836" s="43"/>
      <c r="AI836" s="50"/>
      <c r="AJ836" s="43"/>
      <c r="AK836" s="50"/>
      <c r="AL836" s="43"/>
      <c r="AM836" s="50"/>
      <c r="AO836" s="43"/>
      <c r="AP836" s="46"/>
      <c r="AQ836" s="43"/>
      <c r="AR836" s="119"/>
      <c r="AS836" s="1"/>
      <c r="AT836" s="1"/>
    </row>
    <row r="837">
      <c r="A837" s="43"/>
      <c r="B837" s="59" t="str">
        <f>IFERROR(HYPERLINK(VLOOKUP(A837,Internal_lists_bugs!$A$2:$C$73,3,FALSE()), VLOOKUP(A837,Internal_lists_bugs!$A$2:$C$73,3,FALSE())&amp;Char(10) &amp; Char(10) &amp; VLOOKUP(A837,Internal_lists_bugs!$A$2:$Z$73,26,FALSE())),"please select a BUG ID")</f>
        <v>please select a BUG ID</v>
      </c>
      <c r="C837" s="51" t="str">
        <f>IFERROR(VLOOKUP(A837,Internal_lists_bugs!$A$2:$G2003,7,FALSE()),"please select a BUG ID")</f>
        <v>please select a BUG ID</v>
      </c>
      <c r="D837" s="43"/>
      <c r="E837" s="63"/>
      <c r="F837" s="43"/>
      <c r="G837" s="63"/>
      <c r="H837" s="43"/>
      <c r="I837" s="63"/>
      <c r="J837" s="43"/>
      <c r="K837" s="50"/>
      <c r="L837" s="43"/>
      <c r="M837" s="50"/>
      <c r="N837" s="43"/>
      <c r="O837" s="50"/>
      <c r="P837" s="43"/>
      <c r="Q837" s="50"/>
      <c r="R837" s="43"/>
      <c r="S837" s="50"/>
      <c r="T837" s="43"/>
      <c r="U837" s="50"/>
      <c r="V837" s="43"/>
      <c r="W837" s="50"/>
      <c r="X837" s="43"/>
      <c r="Y837" s="50"/>
      <c r="Z837" s="43"/>
      <c r="AA837" s="50"/>
      <c r="AB837" s="43"/>
      <c r="AC837" s="50"/>
      <c r="AD837" s="43"/>
      <c r="AE837" s="50"/>
      <c r="AF837" s="43"/>
      <c r="AG837" s="50"/>
      <c r="AH837" s="43"/>
      <c r="AI837" s="50"/>
      <c r="AJ837" s="43"/>
      <c r="AK837" s="50"/>
      <c r="AL837" s="43"/>
      <c r="AM837" s="50"/>
      <c r="AO837" s="43"/>
      <c r="AP837" s="46"/>
      <c r="AQ837" s="43"/>
      <c r="AR837" s="119"/>
      <c r="AS837" s="1"/>
      <c r="AT837" s="1"/>
    </row>
    <row r="838">
      <c r="A838" s="43"/>
      <c r="B838" s="59" t="str">
        <f>IFERROR(HYPERLINK(VLOOKUP(A838,Internal_lists_bugs!$A$2:$C$73,3,FALSE()), VLOOKUP(A838,Internal_lists_bugs!$A$2:$C$73,3,FALSE())&amp;Char(10) &amp; Char(10) &amp; VLOOKUP(A838,Internal_lists_bugs!$A$2:$Z$73,26,FALSE())),"please select a BUG ID")</f>
        <v>please select a BUG ID</v>
      </c>
      <c r="C838" s="51" t="str">
        <f>IFERROR(VLOOKUP(A838,Internal_lists_bugs!$A$2:$G2003,7,FALSE()),"please select a BUG ID")</f>
        <v>please select a BUG ID</v>
      </c>
      <c r="D838" s="43"/>
      <c r="E838" s="63"/>
      <c r="F838" s="43"/>
      <c r="G838" s="63"/>
      <c r="H838" s="43"/>
      <c r="I838" s="63"/>
      <c r="J838" s="43"/>
      <c r="K838" s="50"/>
      <c r="L838" s="43"/>
      <c r="M838" s="50"/>
      <c r="N838" s="43"/>
      <c r="O838" s="50"/>
      <c r="P838" s="43"/>
      <c r="Q838" s="50"/>
      <c r="R838" s="43"/>
      <c r="S838" s="50"/>
      <c r="T838" s="43"/>
      <c r="U838" s="50"/>
      <c r="V838" s="43"/>
      <c r="W838" s="50"/>
      <c r="X838" s="43"/>
      <c r="Y838" s="50"/>
      <c r="Z838" s="43"/>
      <c r="AA838" s="50"/>
      <c r="AB838" s="43"/>
      <c r="AC838" s="50"/>
      <c r="AD838" s="43"/>
      <c r="AE838" s="50"/>
      <c r="AF838" s="43"/>
      <c r="AG838" s="50"/>
      <c r="AH838" s="43"/>
      <c r="AI838" s="50"/>
      <c r="AJ838" s="43"/>
      <c r="AK838" s="50"/>
      <c r="AL838" s="43"/>
      <c r="AM838" s="50"/>
      <c r="AO838" s="43"/>
      <c r="AP838" s="46"/>
      <c r="AQ838" s="43"/>
      <c r="AR838" s="119"/>
      <c r="AS838" s="1"/>
      <c r="AT838" s="1"/>
    </row>
    <row r="839">
      <c r="A839" s="43"/>
      <c r="B839" s="59" t="str">
        <f>IFERROR(HYPERLINK(VLOOKUP(A839,Internal_lists_bugs!$A$2:$C$73,3,FALSE()), VLOOKUP(A839,Internal_lists_bugs!$A$2:$C$73,3,FALSE())&amp;Char(10) &amp; Char(10) &amp; VLOOKUP(A839,Internal_lists_bugs!$A$2:$Z$73,26,FALSE())),"please select a BUG ID")</f>
        <v>please select a BUG ID</v>
      </c>
      <c r="C839" s="51" t="str">
        <f>IFERROR(VLOOKUP(A839,Internal_lists_bugs!$A$2:$G2003,7,FALSE()),"please select a BUG ID")</f>
        <v>please select a BUG ID</v>
      </c>
      <c r="D839" s="43"/>
      <c r="E839" s="63"/>
      <c r="F839" s="43"/>
      <c r="G839" s="63"/>
      <c r="H839" s="43"/>
      <c r="I839" s="63"/>
      <c r="J839" s="43"/>
      <c r="K839" s="50"/>
      <c r="L839" s="43"/>
      <c r="M839" s="50"/>
      <c r="N839" s="43"/>
      <c r="O839" s="50"/>
      <c r="P839" s="43"/>
      <c r="Q839" s="50"/>
      <c r="R839" s="43"/>
      <c r="S839" s="50"/>
      <c r="T839" s="43"/>
      <c r="U839" s="50"/>
      <c r="V839" s="43"/>
      <c r="W839" s="50"/>
      <c r="X839" s="43"/>
      <c r="Y839" s="50"/>
      <c r="Z839" s="43"/>
      <c r="AA839" s="50"/>
      <c r="AB839" s="43"/>
      <c r="AC839" s="50"/>
      <c r="AD839" s="43"/>
      <c r="AE839" s="50"/>
      <c r="AF839" s="43"/>
      <c r="AG839" s="50"/>
      <c r="AH839" s="43"/>
      <c r="AI839" s="50"/>
      <c r="AJ839" s="43"/>
      <c r="AK839" s="50"/>
      <c r="AL839" s="43"/>
      <c r="AM839" s="50"/>
      <c r="AO839" s="43"/>
      <c r="AP839" s="46"/>
      <c r="AQ839" s="43"/>
      <c r="AR839" s="119"/>
      <c r="AS839" s="1"/>
      <c r="AT839" s="1"/>
    </row>
    <row r="840">
      <c r="A840" s="43"/>
      <c r="B840" s="59" t="str">
        <f>IFERROR(HYPERLINK(VLOOKUP(A840,Internal_lists_bugs!$A$2:$C$73,3,FALSE()), VLOOKUP(A840,Internal_lists_bugs!$A$2:$C$73,3,FALSE())&amp;Char(10) &amp; Char(10) &amp; VLOOKUP(A840,Internal_lists_bugs!$A$2:$Z$73,26,FALSE())),"please select a BUG ID")</f>
        <v>please select a BUG ID</v>
      </c>
      <c r="C840" s="51" t="str">
        <f>IFERROR(VLOOKUP(A840,Internal_lists_bugs!$A$2:$G2003,7,FALSE()),"please select a BUG ID")</f>
        <v>please select a BUG ID</v>
      </c>
      <c r="D840" s="43"/>
      <c r="E840" s="63"/>
      <c r="F840" s="43"/>
      <c r="G840" s="63"/>
      <c r="H840" s="43"/>
      <c r="I840" s="63"/>
      <c r="J840" s="43"/>
      <c r="K840" s="50"/>
      <c r="L840" s="43"/>
      <c r="M840" s="50"/>
      <c r="N840" s="43"/>
      <c r="O840" s="50"/>
      <c r="P840" s="43"/>
      <c r="Q840" s="50"/>
      <c r="R840" s="43"/>
      <c r="S840" s="50"/>
      <c r="T840" s="43"/>
      <c r="U840" s="50"/>
      <c r="V840" s="43"/>
      <c r="W840" s="50"/>
      <c r="X840" s="43"/>
      <c r="Y840" s="50"/>
      <c r="Z840" s="43"/>
      <c r="AA840" s="50"/>
      <c r="AB840" s="43"/>
      <c r="AC840" s="50"/>
      <c r="AD840" s="43"/>
      <c r="AE840" s="50"/>
      <c r="AF840" s="43"/>
      <c r="AG840" s="50"/>
      <c r="AH840" s="43"/>
      <c r="AI840" s="50"/>
      <c r="AJ840" s="43"/>
      <c r="AK840" s="50"/>
      <c r="AL840" s="43"/>
      <c r="AM840" s="50"/>
      <c r="AO840" s="43"/>
      <c r="AP840" s="46"/>
      <c r="AQ840" s="43"/>
      <c r="AR840" s="119"/>
      <c r="AS840" s="1"/>
      <c r="AT840" s="1"/>
    </row>
    <row r="841">
      <c r="A841" s="43"/>
      <c r="B841" s="59" t="str">
        <f>IFERROR(HYPERLINK(VLOOKUP(A841,Internal_lists_bugs!$A$2:$C$73,3,FALSE()), VLOOKUP(A841,Internal_lists_bugs!$A$2:$C$73,3,FALSE())&amp;Char(10) &amp; Char(10) &amp; VLOOKUP(A841,Internal_lists_bugs!$A$2:$Z$73,26,FALSE())),"please select a BUG ID")</f>
        <v>please select a BUG ID</v>
      </c>
      <c r="C841" s="51" t="str">
        <f>IFERROR(VLOOKUP(A841,Internal_lists_bugs!$A$2:$G2003,7,FALSE()),"please select a BUG ID")</f>
        <v>please select a BUG ID</v>
      </c>
      <c r="D841" s="43"/>
      <c r="E841" s="63"/>
      <c r="F841" s="43"/>
      <c r="G841" s="63"/>
      <c r="H841" s="43"/>
      <c r="I841" s="63"/>
      <c r="J841" s="43"/>
      <c r="K841" s="50"/>
      <c r="L841" s="43"/>
      <c r="M841" s="50"/>
      <c r="N841" s="43"/>
      <c r="O841" s="50"/>
      <c r="P841" s="43"/>
      <c r="Q841" s="50"/>
      <c r="R841" s="43"/>
      <c r="S841" s="50"/>
      <c r="T841" s="43"/>
      <c r="U841" s="50"/>
      <c r="V841" s="43"/>
      <c r="W841" s="50"/>
      <c r="X841" s="43"/>
      <c r="Y841" s="50"/>
      <c r="Z841" s="43"/>
      <c r="AA841" s="50"/>
      <c r="AB841" s="43"/>
      <c r="AC841" s="50"/>
      <c r="AD841" s="43"/>
      <c r="AE841" s="50"/>
      <c r="AF841" s="43"/>
      <c r="AG841" s="50"/>
      <c r="AH841" s="43"/>
      <c r="AI841" s="50"/>
      <c r="AJ841" s="43"/>
      <c r="AK841" s="50"/>
      <c r="AL841" s="43"/>
      <c r="AM841" s="50"/>
      <c r="AO841" s="43"/>
      <c r="AP841" s="46"/>
      <c r="AQ841" s="43"/>
      <c r="AR841" s="119"/>
      <c r="AS841" s="1"/>
      <c r="AT841" s="1"/>
    </row>
    <row r="842">
      <c r="A842" s="43"/>
      <c r="B842" s="59" t="str">
        <f>IFERROR(HYPERLINK(VLOOKUP(A842,Internal_lists_bugs!$A$2:$C$73,3,FALSE()), VLOOKUP(A842,Internal_lists_bugs!$A$2:$C$73,3,FALSE())&amp;Char(10) &amp; Char(10) &amp; VLOOKUP(A842,Internal_lists_bugs!$A$2:$Z$73,26,FALSE())),"please select a BUG ID")</f>
        <v>please select a BUG ID</v>
      </c>
      <c r="C842" s="51" t="str">
        <f>IFERROR(VLOOKUP(A842,Internal_lists_bugs!$A$2:$G2003,7,FALSE()),"please select a BUG ID")</f>
        <v>please select a BUG ID</v>
      </c>
      <c r="D842" s="43"/>
      <c r="E842" s="63"/>
      <c r="F842" s="43"/>
      <c r="G842" s="63"/>
      <c r="H842" s="43"/>
      <c r="I842" s="63"/>
      <c r="J842" s="43"/>
      <c r="K842" s="50"/>
      <c r="L842" s="43"/>
      <c r="M842" s="50"/>
      <c r="N842" s="43"/>
      <c r="O842" s="50"/>
      <c r="P842" s="43"/>
      <c r="Q842" s="50"/>
      <c r="R842" s="43"/>
      <c r="S842" s="50"/>
      <c r="T842" s="43"/>
      <c r="U842" s="50"/>
      <c r="V842" s="43"/>
      <c r="W842" s="50"/>
      <c r="X842" s="43"/>
      <c r="Y842" s="50"/>
      <c r="Z842" s="43"/>
      <c r="AA842" s="50"/>
      <c r="AB842" s="43"/>
      <c r="AC842" s="50"/>
      <c r="AD842" s="43"/>
      <c r="AE842" s="50"/>
      <c r="AF842" s="43"/>
      <c r="AG842" s="50"/>
      <c r="AH842" s="43"/>
      <c r="AI842" s="50"/>
      <c r="AJ842" s="43"/>
      <c r="AK842" s="50"/>
      <c r="AL842" s="43"/>
      <c r="AM842" s="50"/>
      <c r="AO842" s="43"/>
      <c r="AP842" s="46"/>
      <c r="AQ842" s="43"/>
      <c r="AR842" s="119"/>
      <c r="AS842" s="1"/>
      <c r="AT842" s="1"/>
    </row>
    <row r="843">
      <c r="A843" s="43"/>
      <c r="B843" s="59" t="str">
        <f>IFERROR(HYPERLINK(VLOOKUP(A843,Internal_lists_bugs!$A$2:$C$73,3,FALSE()), VLOOKUP(A843,Internal_lists_bugs!$A$2:$C$73,3,FALSE())&amp;Char(10) &amp; Char(10) &amp; VLOOKUP(A843,Internal_lists_bugs!$A$2:$Z$73,26,FALSE())),"please select a BUG ID")</f>
        <v>please select a BUG ID</v>
      </c>
      <c r="C843" s="51" t="str">
        <f>IFERROR(VLOOKUP(A843,Internal_lists_bugs!$A$2:$G2003,7,FALSE()),"please select a BUG ID")</f>
        <v>please select a BUG ID</v>
      </c>
      <c r="D843" s="43"/>
      <c r="E843" s="63"/>
      <c r="F843" s="43"/>
      <c r="G843" s="63"/>
      <c r="H843" s="43"/>
      <c r="I843" s="63"/>
      <c r="J843" s="43"/>
      <c r="K843" s="50"/>
      <c r="L843" s="43"/>
      <c r="M843" s="50"/>
      <c r="N843" s="43"/>
      <c r="O843" s="50"/>
      <c r="P843" s="43"/>
      <c r="Q843" s="50"/>
      <c r="R843" s="43"/>
      <c r="S843" s="50"/>
      <c r="T843" s="43"/>
      <c r="U843" s="50"/>
      <c r="V843" s="43"/>
      <c r="W843" s="50"/>
      <c r="X843" s="43"/>
      <c r="Y843" s="50"/>
      <c r="Z843" s="43"/>
      <c r="AA843" s="50"/>
      <c r="AB843" s="43"/>
      <c r="AC843" s="50"/>
      <c r="AD843" s="43"/>
      <c r="AE843" s="50"/>
      <c r="AF843" s="43"/>
      <c r="AG843" s="50"/>
      <c r="AH843" s="43"/>
      <c r="AI843" s="50"/>
      <c r="AJ843" s="43"/>
      <c r="AK843" s="50"/>
      <c r="AL843" s="43"/>
      <c r="AM843" s="50"/>
      <c r="AO843" s="43"/>
      <c r="AP843" s="46"/>
      <c r="AQ843" s="43"/>
      <c r="AR843" s="119"/>
      <c r="AS843" s="1"/>
      <c r="AT843" s="1"/>
    </row>
    <row r="844">
      <c r="A844" s="43"/>
      <c r="B844" s="59" t="str">
        <f>IFERROR(HYPERLINK(VLOOKUP(A844,Internal_lists_bugs!$A$2:$C$73,3,FALSE()), VLOOKUP(A844,Internal_lists_bugs!$A$2:$C$73,3,FALSE())&amp;Char(10) &amp; Char(10) &amp; VLOOKUP(A844,Internal_lists_bugs!$A$2:$Z$73,26,FALSE())),"please select a BUG ID")</f>
        <v>please select a BUG ID</v>
      </c>
      <c r="C844" s="51" t="str">
        <f>IFERROR(VLOOKUP(A844,Internal_lists_bugs!$A$2:$G2003,7,FALSE()),"please select a BUG ID")</f>
        <v>please select a BUG ID</v>
      </c>
      <c r="D844" s="43"/>
      <c r="E844" s="63"/>
      <c r="F844" s="43"/>
      <c r="G844" s="63"/>
      <c r="H844" s="43"/>
      <c r="I844" s="63"/>
      <c r="J844" s="43"/>
      <c r="K844" s="50"/>
      <c r="L844" s="43"/>
      <c r="M844" s="50"/>
      <c r="N844" s="43"/>
      <c r="O844" s="50"/>
      <c r="P844" s="43"/>
      <c r="Q844" s="50"/>
      <c r="R844" s="43"/>
      <c r="S844" s="50"/>
      <c r="T844" s="43"/>
      <c r="U844" s="50"/>
      <c r="V844" s="43"/>
      <c r="W844" s="50"/>
      <c r="X844" s="43"/>
      <c r="Y844" s="50"/>
      <c r="Z844" s="43"/>
      <c r="AA844" s="50"/>
      <c r="AB844" s="43"/>
      <c r="AC844" s="50"/>
      <c r="AD844" s="43"/>
      <c r="AE844" s="50"/>
      <c r="AF844" s="43"/>
      <c r="AG844" s="50"/>
      <c r="AH844" s="43"/>
      <c r="AI844" s="50"/>
      <c r="AJ844" s="43"/>
      <c r="AK844" s="50"/>
      <c r="AL844" s="43"/>
      <c r="AM844" s="50"/>
      <c r="AO844" s="43"/>
      <c r="AP844" s="46"/>
      <c r="AQ844" s="43"/>
      <c r="AR844" s="119"/>
      <c r="AS844" s="1"/>
      <c r="AT844" s="1"/>
    </row>
    <row r="845">
      <c r="A845" s="43"/>
      <c r="B845" s="59" t="str">
        <f>IFERROR(HYPERLINK(VLOOKUP(A845,Internal_lists_bugs!$A$2:$C$73,3,FALSE()), VLOOKUP(A845,Internal_lists_bugs!$A$2:$C$73,3,FALSE())&amp;Char(10) &amp; Char(10) &amp; VLOOKUP(A845,Internal_lists_bugs!$A$2:$Z$73,26,FALSE())),"please select a BUG ID")</f>
        <v>please select a BUG ID</v>
      </c>
      <c r="C845" s="51" t="str">
        <f>IFERROR(VLOOKUP(A845,Internal_lists_bugs!$A$2:$G2003,7,FALSE()),"please select a BUG ID")</f>
        <v>please select a BUG ID</v>
      </c>
      <c r="D845" s="43"/>
      <c r="E845" s="63"/>
      <c r="F845" s="43"/>
      <c r="G845" s="63"/>
      <c r="H845" s="43"/>
      <c r="I845" s="63"/>
      <c r="J845" s="43"/>
      <c r="K845" s="50"/>
      <c r="L845" s="43"/>
      <c r="M845" s="50"/>
      <c r="N845" s="43"/>
      <c r="O845" s="50"/>
      <c r="P845" s="43"/>
      <c r="Q845" s="50"/>
      <c r="R845" s="43"/>
      <c r="S845" s="50"/>
      <c r="T845" s="43"/>
      <c r="U845" s="50"/>
      <c r="V845" s="43"/>
      <c r="W845" s="50"/>
      <c r="X845" s="43"/>
      <c r="Y845" s="50"/>
      <c r="Z845" s="43"/>
      <c r="AA845" s="50"/>
      <c r="AB845" s="43"/>
      <c r="AC845" s="50"/>
      <c r="AD845" s="43"/>
      <c r="AE845" s="50"/>
      <c r="AF845" s="43"/>
      <c r="AG845" s="50"/>
      <c r="AH845" s="43"/>
      <c r="AI845" s="50"/>
      <c r="AJ845" s="43"/>
      <c r="AK845" s="50"/>
      <c r="AL845" s="43"/>
      <c r="AM845" s="50"/>
      <c r="AO845" s="43"/>
      <c r="AP845" s="46"/>
      <c r="AQ845" s="43"/>
      <c r="AR845" s="119"/>
      <c r="AS845" s="1"/>
      <c r="AT845" s="1"/>
    </row>
    <row r="846">
      <c r="A846" s="43"/>
      <c r="B846" s="59" t="str">
        <f>IFERROR(HYPERLINK(VLOOKUP(A846,Internal_lists_bugs!$A$2:$C$73,3,FALSE()), VLOOKUP(A846,Internal_lists_bugs!$A$2:$C$73,3,FALSE())&amp;Char(10) &amp; Char(10) &amp; VLOOKUP(A846,Internal_lists_bugs!$A$2:$Z$73,26,FALSE())),"please select a BUG ID")</f>
        <v>please select a BUG ID</v>
      </c>
      <c r="C846" s="51" t="str">
        <f>IFERROR(VLOOKUP(A846,Internal_lists_bugs!$A$2:$G2003,7,FALSE()),"please select a BUG ID")</f>
        <v>please select a BUG ID</v>
      </c>
      <c r="D846" s="43"/>
      <c r="E846" s="63"/>
      <c r="F846" s="43"/>
      <c r="G846" s="63"/>
      <c r="H846" s="43"/>
      <c r="I846" s="63"/>
      <c r="J846" s="43"/>
      <c r="K846" s="50"/>
      <c r="L846" s="43"/>
      <c r="M846" s="50"/>
      <c r="N846" s="43"/>
      <c r="O846" s="50"/>
      <c r="P846" s="43"/>
      <c r="Q846" s="50"/>
      <c r="R846" s="43"/>
      <c r="S846" s="50"/>
      <c r="T846" s="43"/>
      <c r="U846" s="50"/>
      <c r="V846" s="43"/>
      <c r="W846" s="50"/>
      <c r="X846" s="43"/>
      <c r="Y846" s="50"/>
      <c r="Z846" s="43"/>
      <c r="AA846" s="50"/>
      <c r="AB846" s="43"/>
      <c r="AC846" s="50"/>
      <c r="AD846" s="43"/>
      <c r="AE846" s="50"/>
      <c r="AF846" s="43"/>
      <c r="AG846" s="50"/>
      <c r="AH846" s="43"/>
      <c r="AI846" s="50"/>
      <c r="AJ846" s="43"/>
      <c r="AK846" s="50"/>
      <c r="AL846" s="43"/>
      <c r="AM846" s="50"/>
      <c r="AO846" s="43"/>
      <c r="AP846" s="46"/>
      <c r="AQ846" s="43"/>
      <c r="AR846" s="119"/>
      <c r="AS846" s="1"/>
      <c r="AT846" s="1"/>
    </row>
    <row r="847">
      <c r="A847" s="43"/>
      <c r="B847" s="59" t="str">
        <f>IFERROR(HYPERLINK(VLOOKUP(A847,Internal_lists_bugs!$A$2:$C$73,3,FALSE()), VLOOKUP(A847,Internal_lists_bugs!$A$2:$C$73,3,FALSE())&amp;Char(10) &amp; Char(10) &amp; VLOOKUP(A847,Internal_lists_bugs!$A$2:$Z$73,26,FALSE())),"please select a BUG ID")</f>
        <v>please select a BUG ID</v>
      </c>
      <c r="C847" s="51" t="str">
        <f>IFERROR(VLOOKUP(A847,Internal_lists_bugs!$A$2:$G2003,7,FALSE()),"please select a BUG ID")</f>
        <v>please select a BUG ID</v>
      </c>
      <c r="D847" s="43"/>
      <c r="E847" s="63"/>
      <c r="F847" s="43"/>
      <c r="G847" s="63"/>
      <c r="H847" s="43"/>
      <c r="I847" s="63"/>
      <c r="J847" s="43"/>
      <c r="K847" s="50"/>
      <c r="L847" s="43"/>
      <c r="M847" s="50"/>
      <c r="N847" s="43"/>
      <c r="O847" s="50"/>
      <c r="P847" s="43"/>
      <c r="Q847" s="50"/>
      <c r="R847" s="43"/>
      <c r="S847" s="50"/>
      <c r="T847" s="43"/>
      <c r="U847" s="50"/>
      <c r="V847" s="43"/>
      <c r="W847" s="50"/>
      <c r="X847" s="43"/>
      <c r="Y847" s="50"/>
      <c r="Z847" s="43"/>
      <c r="AA847" s="50"/>
      <c r="AB847" s="43"/>
      <c r="AC847" s="50"/>
      <c r="AD847" s="43"/>
      <c r="AE847" s="50"/>
      <c r="AF847" s="43"/>
      <c r="AG847" s="50"/>
      <c r="AH847" s="43"/>
      <c r="AI847" s="50"/>
      <c r="AJ847" s="43"/>
      <c r="AK847" s="50"/>
      <c r="AL847" s="43"/>
      <c r="AM847" s="50"/>
      <c r="AO847" s="43"/>
      <c r="AP847" s="46"/>
      <c r="AQ847" s="43"/>
      <c r="AR847" s="119"/>
      <c r="AS847" s="1"/>
      <c r="AT847" s="1"/>
    </row>
    <row r="848">
      <c r="A848" s="43"/>
      <c r="B848" s="59" t="str">
        <f>IFERROR(HYPERLINK(VLOOKUP(A848,Internal_lists_bugs!$A$2:$C$73,3,FALSE()), VLOOKUP(A848,Internal_lists_bugs!$A$2:$C$73,3,FALSE())&amp;Char(10) &amp; Char(10) &amp; VLOOKUP(A848,Internal_lists_bugs!$A$2:$Z$73,26,FALSE())),"please select a BUG ID")</f>
        <v>please select a BUG ID</v>
      </c>
      <c r="C848" s="51" t="str">
        <f>IFERROR(VLOOKUP(A848,Internal_lists_bugs!$A$2:$G2003,7,FALSE()),"please select a BUG ID")</f>
        <v>please select a BUG ID</v>
      </c>
      <c r="D848" s="43"/>
      <c r="E848" s="63"/>
      <c r="F848" s="43"/>
      <c r="G848" s="63"/>
      <c r="H848" s="43"/>
      <c r="I848" s="63"/>
      <c r="J848" s="43"/>
      <c r="K848" s="50"/>
      <c r="L848" s="43"/>
      <c r="M848" s="50"/>
      <c r="N848" s="43"/>
      <c r="O848" s="50"/>
      <c r="P848" s="43"/>
      <c r="Q848" s="50"/>
      <c r="R848" s="43"/>
      <c r="S848" s="50"/>
      <c r="T848" s="43"/>
      <c r="U848" s="50"/>
      <c r="V848" s="43"/>
      <c r="W848" s="50"/>
      <c r="X848" s="43"/>
      <c r="Y848" s="50"/>
      <c r="Z848" s="43"/>
      <c r="AA848" s="50"/>
      <c r="AB848" s="43"/>
      <c r="AC848" s="50"/>
      <c r="AD848" s="43"/>
      <c r="AE848" s="50"/>
      <c r="AF848" s="43"/>
      <c r="AG848" s="50"/>
      <c r="AH848" s="43"/>
      <c r="AI848" s="50"/>
      <c r="AJ848" s="43"/>
      <c r="AK848" s="50"/>
      <c r="AL848" s="43"/>
      <c r="AM848" s="50"/>
      <c r="AO848" s="43"/>
      <c r="AP848" s="46"/>
      <c r="AQ848" s="43"/>
      <c r="AR848" s="119"/>
      <c r="AS848" s="1"/>
      <c r="AT848" s="1"/>
    </row>
    <row r="849">
      <c r="A849" s="43"/>
      <c r="B849" s="59" t="str">
        <f>IFERROR(HYPERLINK(VLOOKUP(A849,Internal_lists_bugs!$A$2:$C$73,3,FALSE()), VLOOKUP(A849,Internal_lists_bugs!$A$2:$C$73,3,FALSE())&amp;Char(10) &amp; Char(10) &amp; VLOOKUP(A849,Internal_lists_bugs!$A$2:$Z$73,26,FALSE())),"please select a BUG ID")</f>
        <v>please select a BUG ID</v>
      </c>
      <c r="C849" s="51" t="str">
        <f>IFERROR(VLOOKUP(A849,Internal_lists_bugs!$A$2:$G2003,7,FALSE()),"please select a BUG ID")</f>
        <v>please select a BUG ID</v>
      </c>
      <c r="D849" s="43"/>
      <c r="E849" s="63"/>
      <c r="F849" s="43"/>
      <c r="G849" s="63"/>
      <c r="H849" s="43"/>
      <c r="I849" s="63"/>
      <c r="J849" s="43"/>
      <c r="K849" s="50"/>
      <c r="L849" s="43"/>
      <c r="M849" s="50"/>
      <c r="N849" s="43"/>
      <c r="O849" s="50"/>
      <c r="P849" s="43"/>
      <c r="Q849" s="50"/>
      <c r="R849" s="43"/>
      <c r="S849" s="50"/>
      <c r="T849" s="43"/>
      <c r="U849" s="50"/>
      <c r="V849" s="43"/>
      <c r="W849" s="50"/>
      <c r="X849" s="43"/>
      <c r="Y849" s="50"/>
      <c r="Z849" s="43"/>
      <c r="AA849" s="50"/>
      <c r="AB849" s="43"/>
      <c r="AC849" s="50"/>
      <c r="AD849" s="43"/>
      <c r="AE849" s="50"/>
      <c r="AF849" s="43"/>
      <c r="AG849" s="50"/>
      <c r="AH849" s="43"/>
      <c r="AI849" s="50"/>
      <c r="AJ849" s="43"/>
      <c r="AK849" s="50"/>
      <c r="AL849" s="43"/>
      <c r="AM849" s="50"/>
      <c r="AO849" s="43"/>
      <c r="AP849" s="46"/>
      <c r="AQ849" s="43"/>
      <c r="AR849" s="119"/>
      <c r="AS849" s="1"/>
      <c r="AT849" s="1"/>
    </row>
    <row r="850">
      <c r="A850" s="43"/>
      <c r="B850" s="59" t="str">
        <f>IFERROR(HYPERLINK(VLOOKUP(A850,Internal_lists_bugs!$A$2:$C$73,3,FALSE()), VLOOKUP(A850,Internal_lists_bugs!$A$2:$C$73,3,FALSE())&amp;Char(10) &amp; Char(10) &amp; VLOOKUP(A850,Internal_lists_bugs!$A$2:$Z$73,26,FALSE())),"please select a BUG ID")</f>
        <v>please select a BUG ID</v>
      </c>
      <c r="C850" s="51" t="str">
        <f>IFERROR(VLOOKUP(A850,Internal_lists_bugs!$A$2:$G2003,7,FALSE()),"please select a BUG ID")</f>
        <v>please select a BUG ID</v>
      </c>
      <c r="D850" s="43"/>
      <c r="E850" s="63"/>
      <c r="F850" s="43"/>
      <c r="G850" s="63"/>
      <c r="H850" s="43"/>
      <c r="I850" s="63"/>
      <c r="J850" s="43"/>
      <c r="K850" s="50"/>
      <c r="L850" s="43"/>
      <c r="M850" s="50"/>
      <c r="N850" s="43"/>
      <c r="O850" s="50"/>
      <c r="P850" s="43"/>
      <c r="Q850" s="50"/>
      <c r="R850" s="43"/>
      <c r="S850" s="50"/>
      <c r="T850" s="43"/>
      <c r="U850" s="50"/>
      <c r="V850" s="43"/>
      <c r="W850" s="50"/>
      <c r="X850" s="43"/>
      <c r="Y850" s="50"/>
      <c r="Z850" s="43"/>
      <c r="AA850" s="50"/>
      <c r="AB850" s="43"/>
      <c r="AC850" s="50"/>
      <c r="AD850" s="43"/>
      <c r="AE850" s="50"/>
      <c r="AF850" s="43"/>
      <c r="AG850" s="50"/>
      <c r="AH850" s="43"/>
      <c r="AI850" s="50"/>
      <c r="AJ850" s="43"/>
      <c r="AK850" s="50"/>
      <c r="AL850" s="43"/>
      <c r="AM850" s="50"/>
      <c r="AO850" s="43"/>
      <c r="AP850" s="46"/>
      <c r="AQ850" s="43"/>
      <c r="AR850" s="119"/>
      <c r="AS850" s="1"/>
      <c r="AT850" s="1"/>
    </row>
    <row r="851">
      <c r="A851" s="43"/>
      <c r="B851" s="59" t="str">
        <f>IFERROR(HYPERLINK(VLOOKUP(A851,Internal_lists_bugs!$A$2:$C$73,3,FALSE()), VLOOKUP(A851,Internal_lists_bugs!$A$2:$C$73,3,FALSE())&amp;Char(10) &amp; Char(10) &amp; VLOOKUP(A851,Internal_lists_bugs!$A$2:$Z$73,26,FALSE())),"please select a BUG ID")</f>
        <v>please select a BUG ID</v>
      </c>
      <c r="C851" s="51" t="str">
        <f>IFERROR(VLOOKUP(A851,Internal_lists_bugs!$A$2:$G2003,7,FALSE()),"please select a BUG ID")</f>
        <v>please select a BUG ID</v>
      </c>
      <c r="D851" s="43"/>
      <c r="E851" s="63"/>
      <c r="F851" s="43"/>
      <c r="G851" s="63"/>
      <c r="H851" s="43"/>
      <c r="I851" s="63"/>
      <c r="J851" s="43"/>
      <c r="K851" s="50"/>
      <c r="L851" s="43"/>
      <c r="M851" s="50"/>
      <c r="N851" s="43"/>
      <c r="O851" s="50"/>
      <c r="P851" s="43"/>
      <c r="Q851" s="50"/>
      <c r="R851" s="43"/>
      <c r="S851" s="50"/>
      <c r="T851" s="43"/>
      <c r="U851" s="50"/>
      <c r="V851" s="43"/>
      <c r="W851" s="50"/>
      <c r="X851" s="43"/>
      <c r="Y851" s="50"/>
      <c r="Z851" s="43"/>
      <c r="AA851" s="50"/>
      <c r="AB851" s="43"/>
      <c r="AC851" s="50"/>
      <c r="AD851" s="43"/>
      <c r="AE851" s="50"/>
      <c r="AF851" s="43"/>
      <c r="AG851" s="50"/>
      <c r="AH851" s="43"/>
      <c r="AI851" s="50"/>
      <c r="AJ851" s="43"/>
      <c r="AK851" s="50"/>
      <c r="AL851" s="43"/>
      <c r="AM851" s="50"/>
      <c r="AO851" s="43"/>
      <c r="AP851" s="46"/>
      <c r="AQ851" s="43"/>
      <c r="AR851" s="119"/>
      <c r="AS851" s="1"/>
      <c r="AT851" s="1"/>
    </row>
    <row r="852">
      <c r="A852" s="43"/>
      <c r="B852" s="59" t="str">
        <f>IFERROR(HYPERLINK(VLOOKUP(A852,Internal_lists_bugs!$A$2:$C$73,3,FALSE()), VLOOKUP(A852,Internal_lists_bugs!$A$2:$C$73,3,FALSE())&amp;Char(10) &amp; Char(10) &amp; VLOOKUP(A852,Internal_lists_bugs!$A$2:$Z$73,26,FALSE())),"please select a BUG ID")</f>
        <v>please select a BUG ID</v>
      </c>
      <c r="C852" s="51" t="str">
        <f>IFERROR(VLOOKUP(A852,Internal_lists_bugs!$A$2:$G2003,7,FALSE()),"please select a BUG ID")</f>
        <v>please select a BUG ID</v>
      </c>
      <c r="D852" s="43"/>
      <c r="E852" s="63"/>
      <c r="F852" s="43"/>
      <c r="G852" s="63"/>
      <c r="H852" s="43"/>
      <c r="I852" s="63"/>
      <c r="J852" s="43"/>
      <c r="K852" s="50"/>
      <c r="L852" s="43"/>
      <c r="M852" s="50"/>
      <c r="N852" s="43"/>
      <c r="O852" s="50"/>
      <c r="P852" s="43"/>
      <c r="Q852" s="50"/>
      <c r="R852" s="43"/>
      <c r="S852" s="50"/>
      <c r="T852" s="43"/>
      <c r="U852" s="50"/>
      <c r="V852" s="43"/>
      <c r="W852" s="50"/>
      <c r="X852" s="43"/>
      <c r="Y852" s="50"/>
      <c r="Z852" s="43"/>
      <c r="AA852" s="50"/>
      <c r="AB852" s="43"/>
      <c r="AC852" s="50"/>
      <c r="AD852" s="43"/>
      <c r="AE852" s="50"/>
      <c r="AF852" s="43"/>
      <c r="AG852" s="50"/>
      <c r="AH852" s="43"/>
      <c r="AI852" s="50"/>
      <c r="AJ852" s="43"/>
      <c r="AK852" s="50"/>
      <c r="AL852" s="43"/>
      <c r="AM852" s="50"/>
      <c r="AO852" s="43"/>
      <c r="AP852" s="46"/>
      <c r="AQ852" s="43"/>
      <c r="AR852" s="119"/>
      <c r="AS852" s="1"/>
      <c r="AT852" s="1"/>
    </row>
    <row r="853">
      <c r="A853" s="43"/>
      <c r="B853" s="59" t="str">
        <f>IFERROR(HYPERLINK(VLOOKUP(A853,Internal_lists_bugs!$A$2:$C$73,3,FALSE()), VLOOKUP(A853,Internal_lists_bugs!$A$2:$C$73,3,FALSE())&amp;Char(10) &amp; Char(10) &amp; VLOOKUP(A853,Internal_lists_bugs!$A$2:$Z$73,26,FALSE())),"please select a BUG ID")</f>
        <v>please select a BUG ID</v>
      </c>
      <c r="C853" s="51" t="str">
        <f>IFERROR(VLOOKUP(A853,Internal_lists_bugs!$A$2:$G2003,7,FALSE()),"please select a BUG ID")</f>
        <v>please select a BUG ID</v>
      </c>
      <c r="D853" s="43"/>
      <c r="E853" s="63"/>
      <c r="F853" s="43"/>
      <c r="G853" s="63"/>
      <c r="H853" s="43"/>
      <c r="I853" s="63"/>
      <c r="J853" s="43"/>
      <c r="K853" s="50"/>
      <c r="L853" s="43"/>
      <c r="M853" s="50"/>
      <c r="N853" s="43"/>
      <c r="O853" s="50"/>
      <c r="P853" s="43"/>
      <c r="Q853" s="50"/>
      <c r="R853" s="43"/>
      <c r="S853" s="50"/>
      <c r="T853" s="43"/>
      <c r="U853" s="50"/>
      <c r="V853" s="43"/>
      <c r="W853" s="50"/>
      <c r="X853" s="43"/>
      <c r="Y853" s="50"/>
      <c r="Z853" s="43"/>
      <c r="AA853" s="50"/>
      <c r="AB853" s="43"/>
      <c r="AC853" s="50"/>
      <c r="AD853" s="43"/>
      <c r="AE853" s="50"/>
      <c r="AF853" s="43"/>
      <c r="AG853" s="50"/>
      <c r="AH853" s="43"/>
      <c r="AI853" s="50"/>
      <c r="AJ853" s="43"/>
      <c r="AK853" s="50"/>
      <c r="AL853" s="43"/>
      <c r="AM853" s="50"/>
      <c r="AO853" s="43"/>
      <c r="AP853" s="46"/>
      <c r="AQ853" s="43"/>
      <c r="AR853" s="119"/>
      <c r="AS853" s="1"/>
      <c r="AT853" s="1"/>
    </row>
    <row r="854">
      <c r="A854" s="43"/>
      <c r="B854" s="59" t="str">
        <f>IFERROR(HYPERLINK(VLOOKUP(A854,Internal_lists_bugs!$A$2:$C$73,3,FALSE()), VLOOKUP(A854,Internal_lists_bugs!$A$2:$C$73,3,FALSE())&amp;Char(10) &amp; Char(10) &amp; VLOOKUP(A854,Internal_lists_bugs!$A$2:$Z$73,26,FALSE())),"please select a BUG ID")</f>
        <v>please select a BUG ID</v>
      </c>
      <c r="C854" s="51" t="str">
        <f>IFERROR(VLOOKUP(A854,Internal_lists_bugs!$A$2:$G2003,7,FALSE()),"please select a BUG ID")</f>
        <v>please select a BUG ID</v>
      </c>
      <c r="D854" s="43"/>
      <c r="E854" s="63"/>
      <c r="F854" s="43"/>
      <c r="G854" s="63"/>
      <c r="H854" s="43"/>
      <c r="I854" s="63"/>
      <c r="J854" s="43"/>
      <c r="K854" s="50"/>
      <c r="L854" s="43"/>
      <c r="M854" s="50"/>
      <c r="N854" s="43"/>
      <c r="O854" s="50"/>
      <c r="P854" s="43"/>
      <c r="Q854" s="50"/>
      <c r="R854" s="43"/>
      <c r="S854" s="50"/>
      <c r="T854" s="43"/>
      <c r="U854" s="50"/>
      <c r="V854" s="43"/>
      <c r="W854" s="50"/>
      <c r="X854" s="43"/>
      <c r="Y854" s="50"/>
      <c r="Z854" s="43"/>
      <c r="AA854" s="50"/>
      <c r="AB854" s="43"/>
      <c r="AC854" s="50"/>
      <c r="AD854" s="43"/>
      <c r="AE854" s="50"/>
      <c r="AF854" s="43"/>
      <c r="AG854" s="50"/>
      <c r="AH854" s="43"/>
      <c r="AI854" s="50"/>
      <c r="AJ854" s="43"/>
      <c r="AK854" s="50"/>
      <c r="AL854" s="43"/>
      <c r="AM854" s="50"/>
      <c r="AO854" s="43"/>
      <c r="AP854" s="46"/>
      <c r="AQ854" s="43"/>
      <c r="AR854" s="119"/>
      <c r="AS854" s="1"/>
      <c r="AT854" s="1"/>
    </row>
    <row r="855">
      <c r="A855" s="43"/>
      <c r="B855" s="59" t="str">
        <f>IFERROR(HYPERLINK(VLOOKUP(A855,Internal_lists_bugs!$A$2:$C$73,3,FALSE()), VLOOKUP(A855,Internal_lists_bugs!$A$2:$C$73,3,FALSE())&amp;Char(10) &amp; Char(10) &amp; VLOOKUP(A855,Internal_lists_bugs!$A$2:$Z$73,26,FALSE())),"please select a BUG ID")</f>
        <v>please select a BUG ID</v>
      </c>
      <c r="C855" s="51" t="str">
        <f>IFERROR(VLOOKUP(A855,Internal_lists_bugs!$A$2:$G2003,7,FALSE()),"please select a BUG ID")</f>
        <v>please select a BUG ID</v>
      </c>
      <c r="D855" s="43"/>
      <c r="E855" s="63"/>
      <c r="F855" s="43"/>
      <c r="G855" s="63"/>
      <c r="H855" s="43"/>
      <c r="I855" s="63"/>
      <c r="J855" s="43"/>
      <c r="K855" s="50"/>
      <c r="L855" s="43"/>
      <c r="M855" s="50"/>
      <c r="N855" s="43"/>
      <c r="O855" s="50"/>
      <c r="P855" s="43"/>
      <c r="Q855" s="50"/>
      <c r="R855" s="43"/>
      <c r="S855" s="50"/>
      <c r="T855" s="43"/>
      <c r="U855" s="50"/>
      <c r="V855" s="43"/>
      <c r="W855" s="50"/>
      <c r="X855" s="43"/>
      <c r="Y855" s="50"/>
      <c r="Z855" s="43"/>
      <c r="AA855" s="50"/>
      <c r="AB855" s="43"/>
      <c r="AC855" s="50"/>
      <c r="AD855" s="43"/>
      <c r="AE855" s="50"/>
      <c r="AF855" s="43"/>
      <c r="AG855" s="50"/>
      <c r="AH855" s="43"/>
      <c r="AI855" s="50"/>
      <c r="AJ855" s="43"/>
      <c r="AK855" s="50"/>
      <c r="AL855" s="43"/>
      <c r="AM855" s="50"/>
      <c r="AO855" s="43"/>
      <c r="AP855" s="46"/>
      <c r="AQ855" s="43"/>
      <c r="AR855" s="119"/>
      <c r="AS855" s="1"/>
      <c r="AT855" s="1"/>
    </row>
    <row r="856">
      <c r="A856" s="43"/>
      <c r="B856" s="59" t="str">
        <f>IFERROR(HYPERLINK(VLOOKUP(A856,Internal_lists_bugs!$A$2:$C$73,3,FALSE()), VLOOKUP(A856,Internal_lists_bugs!$A$2:$C$73,3,FALSE())&amp;Char(10) &amp; Char(10) &amp; VLOOKUP(A856,Internal_lists_bugs!$A$2:$Z$73,26,FALSE())),"please select a BUG ID")</f>
        <v>please select a BUG ID</v>
      </c>
      <c r="C856" s="51" t="str">
        <f>IFERROR(VLOOKUP(A856,Internal_lists_bugs!$A$2:$G2003,7,FALSE()),"please select a BUG ID")</f>
        <v>please select a BUG ID</v>
      </c>
      <c r="D856" s="43"/>
      <c r="E856" s="63"/>
      <c r="F856" s="43"/>
      <c r="G856" s="63"/>
      <c r="H856" s="43"/>
      <c r="I856" s="63"/>
      <c r="J856" s="43"/>
      <c r="K856" s="50"/>
      <c r="L856" s="43"/>
      <c r="M856" s="50"/>
      <c r="N856" s="43"/>
      <c r="O856" s="50"/>
      <c r="P856" s="43"/>
      <c r="Q856" s="50"/>
      <c r="R856" s="43"/>
      <c r="S856" s="50"/>
      <c r="T856" s="43"/>
      <c r="U856" s="50"/>
      <c r="V856" s="43"/>
      <c r="W856" s="50"/>
      <c r="X856" s="43"/>
      <c r="Y856" s="50"/>
      <c r="Z856" s="43"/>
      <c r="AA856" s="50"/>
      <c r="AB856" s="43"/>
      <c r="AC856" s="50"/>
      <c r="AD856" s="43"/>
      <c r="AE856" s="50"/>
      <c r="AF856" s="43"/>
      <c r="AG856" s="50"/>
      <c r="AH856" s="43"/>
      <c r="AI856" s="50"/>
      <c r="AJ856" s="43"/>
      <c r="AK856" s="50"/>
      <c r="AL856" s="43"/>
      <c r="AM856" s="50"/>
      <c r="AO856" s="43"/>
      <c r="AP856" s="46"/>
      <c r="AQ856" s="43"/>
      <c r="AR856" s="119"/>
      <c r="AS856" s="1"/>
      <c r="AT856" s="1"/>
    </row>
    <row r="857">
      <c r="A857" s="43"/>
      <c r="B857" s="59" t="str">
        <f>IFERROR(HYPERLINK(VLOOKUP(A857,Internal_lists_bugs!$A$2:$C$73,3,FALSE()), VLOOKUP(A857,Internal_lists_bugs!$A$2:$C$73,3,FALSE())&amp;Char(10) &amp; Char(10) &amp; VLOOKUP(A857,Internal_lists_bugs!$A$2:$Z$73,26,FALSE())),"please select a BUG ID")</f>
        <v>please select a BUG ID</v>
      </c>
      <c r="C857" s="51" t="str">
        <f>IFERROR(VLOOKUP(A857,Internal_lists_bugs!$A$2:$G2003,7,FALSE()),"please select a BUG ID")</f>
        <v>please select a BUG ID</v>
      </c>
      <c r="D857" s="43"/>
      <c r="E857" s="63"/>
      <c r="F857" s="43"/>
      <c r="G857" s="63"/>
      <c r="H857" s="43"/>
      <c r="I857" s="63"/>
      <c r="J857" s="43"/>
      <c r="K857" s="50"/>
      <c r="L857" s="43"/>
      <c r="M857" s="50"/>
      <c r="N857" s="43"/>
      <c r="O857" s="50"/>
      <c r="P857" s="43"/>
      <c r="Q857" s="50"/>
      <c r="R857" s="43"/>
      <c r="S857" s="50"/>
      <c r="T857" s="43"/>
      <c r="U857" s="50"/>
      <c r="V857" s="43"/>
      <c r="W857" s="50"/>
      <c r="X857" s="43"/>
      <c r="Y857" s="50"/>
      <c r="Z857" s="43"/>
      <c r="AA857" s="50"/>
      <c r="AB857" s="43"/>
      <c r="AC857" s="50"/>
      <c r="AD857" s="43"/>
      <c r="AE857" s="50"/>
      <c r="AF857" s="43"/>
      <c r="AG857" s="50"/>
      <c r="AH857" s="43"/>
      <c r="AI857" s="50"/>
      <c r="AJ857" s="43"/>
      <c r="AK857" s="50"/>
      <c r="AL857" s="43"/>
      <c r="AM857" s="50"/>
      <c r="AO857" s="43"/>
      <c r="AP857" s="46"/>
      <c r="AQ857" s="43"/>
      <c r="AR857" s="119"/>
      <c r="AS857" s="1"/>
      <c r="AT857" s="1"/>
    </row>
    <row r="858">
      <c r="A858" s="43"/>
      <c r="B858" s="59" t="str">
        <f>IFERROR(HYPERLINK(VLOOKUP(A858,Internal_lists_bugs!$A$2:$C$73,3,FALSE()), VLOOKUP(A858,Internal_lists_bugs!$A$2:$C$73,3,FALSE())&amp;Char(10) &amp; Char(10) &amp; VLOOKUP(A858,Internal_lists_bugs!$A$2:$Z$73,26,FALSE())),"please select a BUG ID")</f>
        <v>please select a BUG ID</v>
      </c>
      <c r="C858" s="51" t="str">
        <f>IFERROR(VLOOKUP(A858,Internal_lists_bugs!$A$2:$G2003,7,FALSE()),"please select a BUG ID")</f>
        <v>please select a BUG ID</v>
      </c>
      <c r="D858" s="43"/>
      <c r="E858" s="63"/>
      <c r="F858" s="43"/>
      <c r="G858" s="63"/>
      <c r="H858" s="43"/>
      <c r="I858" s="63"/>
      <c r="J858" s="43"/>
      <c r="K858" s="50"/>
      <c r="L858" s="43"/>
      <c r="M858" s="50"/>
      <c r="N858" s="43"/>
      <c r="O858" s="50"/>
      <c r="P858" s="43"/>
      <c r="Q858" s="50"/>
      <c r="R858" s="43"/>
      <c r="S858" s="50"/>
      <c r="T858" s="43"/>
      <c r="U858" s="50"/>
      <c r="V858" s="43"/>
      <c r="W858" s="50"/>
      <c r="X858" s="43"/>
      <c r="Y858" s="50"/>
      <c r="Z858" s="43"/>
      <c r="AA858" s="50"/>
      <c r="AB858" s="43"/>
      <c r="AC858" s="50"/>
      <c r="AD858" s="43"/>
      <c r="AE858" s="50"/>
      <c r="AF858" s="43"/>
      <c r="AG858" s="50"/>
      <c r="AH858" s="43"/>
      <c r="AI858" s="50"/>
      <c r="AJ858" s="43"/>
      <c r="AK858" s="50"/>
      <c r="AL858" s="43"/>
      <c r="AM858" s="50"/>
      <c r="AO858" s="43"/>
      <c r="AP858" s="46"/>
      <c r="AQ858" s="43"/>
      <c r="AR858" s="119"/>
      <c r="AS858" s="1"/>
      <c r="AT858" s="1"/>
    </row>
    <row r="859">
      <c r="A859" s="43"/>
      <c r="B859" s="59" t="str">
        <f>IFERROR(HYPERLINK(VLOOKUP(A859,Internal_lists_bugs!$A$2:$C$73,3,FALSE()), VLOOKUP(A859,Internal_lists_bugs!$A$2:$C$73,3,FALSE())&amp;Char(10) &amp; Char(10) &amp; VLOOKUP(A859,Internal_lists_bugs!$A$2:$Z$73,26,FALSE())),"please select a BUG ID")</f>
        <v>please select a BUG ID</v>
      </c>
      <c r="C859" s="51" t="str">
        <f>IFERROR(VLOOKUP(A859,Internal_lists_bugs!$A$2:$G2003,7,FALSE()),"please select a BUG ID")</f>
        <v>please select a BUG ID</v>
      </c>
      <c r="D859" s="43"/>
      <c r="E859" s="63"/>
      <c r="F859" s="43"/>
      <c r="G859" s="63"/>
      <c r="H859" s="43"/>
      <c r="I859" s="63"/>
      <c r="J859" s="43"/>
      <c r="K859" s="50"/>
      <c r="L859" s="43"/>
      <c r="M859" s="50"/>
      <c r="N859" s="43"/>
      <c r="O859" s="50"/>
      <c r="P859" s="43"/>
      <c r="Q859" s="50"/>
      <c r="R859" s="43"/>
      <c r="S859" s="50"/>
      <c r="T859" s="43"/>
      <c r="U859" s="50"/>
      <c r="V859" s="43"/>
      <c r="W859" s="50"/>
      <c r="X859" s="43"/>
      <c r="Y859" s="50"/>
      <c r="Z859" s="43"/>
      <c r="AA859" s="50"/>
      <c r="AB859" s="43"/>
      <c r="AC859" s="50"/>
      <c r="AD859" s="43"/>
      <c r="AE859" s="50"/>
      <c r="AF859" s="43"/>
      <c r="AG859" s="50"/>
      <c r="AH859" s="43"/>
      <c r="AI859" s="50"/>
      <c r="AJ859" s="43"/>
      <c r="AK859" s="50"/>
      <c r="AL859" s="43"/>
      <c r="AM859" s="50"/>
      <c r="AO859" s="43"/>
      <c r="AP859" s="46"/>
      <c r="AQ859" s="43"/>
      <c r="AR859" s="119"/>
      <c r="AS859" s="1"/>
      <c r="AT859" s="1"/>
    </row>
    <row r="860">
      <c r="A860" s="43"/>
      <c r="B860" s="59" t="str">
        <f>IFERROR(HYPERLINK(VLOOKUP(A860,Internal_lists_bugs!$A$2:$C$73,3,FALSE()), VLOOKUP(A860,Internal_lists_bugs!$A$2:$C$73,3,FALSE())&amp;Char(10) &amp; Char(10) &amp; VLOOKUP(A860,Internal_lists_bugs!$A$2:$Z$73,26,FALSE())),"please select a BUG ID")</f>
        <v>please select a BUG ID</v>
      </c>
      <c r="C860" s="51" t="str">
        <f>IFERROR(VLOOKUP(A860,Internal_lists_bugs!$A$2:$G2003,7,FALSE()),"please select a BUG ID")</f>
        <v>please select a BUG ID</v>
      </c>
      <c r="D860" s="43"/>
      <c r="E860" s="63"/>
      <c r="F860" s="43"/>
      <c r="G860" s="63"/>
      <c r="H860" s="43"/>
      <c r="I860" s="63"/>
      <c r="J860" s="43"/>
      <c r="K860" s="50"/>
      <c r="L860" s="43"/>
      <c r="M860" s="50"/>
      <c r="N860" s="43"/>
      <c r="O860" s="50"/>
      <c r="P860" s="43"/>
      <c r="Q860" s="50"/>
      <c r="R860" s="43"/>
      <c r="S860" s="50"/>
      <c r="T860" s="43"/>
      <c r="U860" s="50"/>
      <c r="V860" s="43"/>
      <c r="W860" s="50"/>
      <c r="X860" s="43"/>
      <c r="Y860" s="50"/>
      <c r="Z860" s="43"/>
      <c r="AA860" s="50"/>
      <c r="AB860" s="43"/>
      <c r="AC860" s="50"/>
      <c r="AD860" s="43"/>
      <c r="AE860" s="50"/>
      <c r="AF860" s="43"/>
      <c r="AG860" s="50"/>
      <c r="AH860" s="43"/>
      <c r="AI860" s="50"/>
      <c r="AJ860" s="43"/>
      <c r="AK860" s="50"/>
      <c r="AL860" s="43"/>
      <c r="AM860" s="50"/>
      <c r="AO860" s="43"/>
      <c r="AP860" s="46"/>
      <c r="AQ860" s="43"/>
      <c r="AR860" s="119"/>
      <c r="AS860" s="1"/>
      <c r="AT860" s="1"/>
    </row>
    <row r="861">
      <c r="A861" s="43"/>
      <c r="B861" s="59" t="str">
        <f>IFERROR(HYPERLINK(VLOOKUP(A861,Internal_lists_bugs!$A$2:$C$73,3,FALSE()), VLOOKUP(A861,Internal_lists_bugs!$A$2:$C$73,3,FALSE())&amp;Char(10) &amp; Char(10) &amp; VLOOKUP(A861,Internal_lists_bugs!$A$2:$Z$73,26,FALSE())),"please select a BUG ID")</f>
        <v>please select a BUG ID</v>
      </c>
      <c r="C861" s="51" t="str">
        <f>IFERROR(VLOOKUP(A861,Internal_lists_bugs!$A$2:$G2003,7,FALSE()),"please select a BUG ID")</f>
        <v>please select a BUG ID</v>
      </c>
      <c r="D861" s="43"/>
      <c r="E861" s="63"/>
      <c r="F861" s="43"/>
      <c r="G861" s="63"/>
      <c r="H861" s="43"/>
      <c r="I861" s="63"/>
      <c r="J861" s="43"/>
      <c r="K861" s="50"/>
      <c r="L861" s="43"/>
      <c r="M861" s="50"/>
      <c r="N861" s="43"/>
      <c r="O861" s="50"/>
      <c r="P861" s="43"/>
      <c r="Q861" s="50"/>
      <c r="R861" s="43"/>
      <c r="S861" s="50"/>
      <c r="T861" s="43"/>
      <c r="U861" s="50"/>
      <c r="V861" s="43"/>
      <c r="W861" s="50"/>
      <c r="X861" s="43"/>
      <c r="Y861" s="50"/>
      <c r="Z861" s="43"/>
      <c r="AA861" s="50"/>
      <c r="AB861" s="43"/>
      <c r="AC861" s="50"/>
      <c r="AD861" s="43"/>
      <c r="AE861" s="50"/>
      <c r="AF861" s="43"/>
      <c r="AG861" s="50"/>
      <c r="AH861" s="43"/>
      <c r="AI861" s="50"/>
      <c r="AJ861" s="43"/>
      <c r="AK861" s="50"/>
      <c r="AL861" s="43"/>
      <c r="AM861" s="50"/>
      <c r="AO861" s="43"/>
      <c r="AP861" s="46"/>
      <c r="AQ861" s="43"/>
      <c r="AR861" s="119"/>
      <c r="AS861" s="1"/>
      <c r="AT861" s="1"/>
    </row>
    <row r="862">
      <c r="A862" s="43"/>
      <c r="B862" s="59" t="str">
        <f>IFERROR(HYPERLINK(VLOOKUP(A862,Internal_lists_bugs!$A$2:$C$73,3,FALSE()), VLOOKUP(A862,Internal_lists_bugs!$A$2:$C$73,3,FALSE())&amp;Char(10) &amp; Char(10) &amp; VLOOKUP(A862,Internal_lists_bugs!$A$2:$Z$73,26,FALSE())),"please select a BUG ID")</f>
        <v>please select a BUG ID</v>
      </c>
      <c r="C862" s="51" t="str">
        <f>IFERROR(VLOOKUP(A862,Internal_lists_bugs!$A$2:$G2003,7,FALSE()),"please select a BUG ID")</f>
        <v>please select a BUG ID</v>
      </c>
      <c r="D862" s="43"/>
      <c r="E862" s="63"/>
      <c r="F862" s="43"/>
      <c r="G862" s="63"/>
      <c r="H862" s="43"/>
      <c r="I862" s="63"/>
      <c r="J862" s="43"/>
      <c r="K862" s="50"/>
      <c r="L862" s="43"/>
      <c r="M862" s="50"/>
      <c r="N862" s="43"/>
      <c r="O862" s="50"/>
      <c r="P862" s="43"/>
      <c r="Q862" s="50"/>
      <c r="R862" s="43"/>
      <c r="S862" s="50"/>
      <c r="T862" s="43"/>
      <c r="U862" s="50"/>
      <c r="V862" s="43"/>
      <c r="W862" s="50"/>
      <c r="X862" s="43"/>
      <c r="Y862" s="50"/>
      <c r="Z862" s="43"/>
      <c r="AA862" s="50"/>
      <c r="AB862" s="43"/>
      <c r="AC862" s="50"/>
      <c r="AD862" s="43"/>
      <c r="AE862" s="50"/>
      <c r="AF862" s="43"/>
      <c r="AG862" s="50"/>
      <c r="AH862" s="43"/>
      <c r="AI862" s="50"/>
      <c r="AJ862" s="43"/>
      <c r="AK862" s="50"/>
      <c r="AL862" s="43"/>
      <c r="AM862" s="50"/>
      <c r="AO862" s="43"/>
      <c r="AP862" s="46"/>
      <c r="AQ862" s="43"/>
      <c r="AR862" s="119"/>
      <c r="AS862" s="1"/>
      <c r="AT862" s="1"/>
    </row>
    <row r="863">
      <c r="A863" s="43"/>
      <c r="B863" s="59" t="str">
        <f>IFERROR(HYPERLINK(VLOOKUP(A863,Internal_lists_bugs!$A$2:$C$73,3,FALSE()), VLOOKUP(A863,Internal_lists_bugs!$A$2:$C$73,3,FALSE())&amp;Char(10) &amp; Char(10) &amp; VLOOKUP(A863,Internal_lists_bugs!$A$2:$Z$73,26,FALSE())),"please select a BUG ID")</f>
        <v>please select a BUG ID</v>
      </c>
      <c r="C863" s="51" t="str">
        <f>IFERROR(VLOOKUP(A863,Internal_lists_bugs!$A$2:$G2003,7,FALSE()),"please select a BUG ID")</f>
        <v>please select a BUG ID</v>
      </c>
      <c r="D863" s="43"/>
      <c r="E863" s="63"/>
      <c r="F863" s="43"/>
      <c r="G863" s="63"/>
      <c r="H863" s="43"/>
      <c r="I863" s="63"/>
      <c r="J863" s="43"/>
      <c r="K863" s="50"/>
      <c r="L863" s="43"/>
      <c r="M863" s="50"/>
      <c r="N863" s="43"/>
      <c r="O863" s="50"/>
      <c r="P863" s="43"/>
      <c r="Q863" s="50"/>
      <c r="R863" s="43"/>
      <c r="S863" s="50"/>
      <c r="T863" s="43"/>
      <c r="U863" s="50"/>
      <c r="V863" s="43"/>
      <c r="W863" s="50"/>
      <c r="X863" s="43"/>
      <c r="Y863" s="50"/>
      <c r="Z863" s="43"/>
      <c r="AA863" s="50"/>
      <c r="AB863" s="43"/>
      <c r="AC863" s="50"/>
      <c r="AD863" s="43"/>
      <c r="AE863" s="50"/>
      <c r="AF863" s="43"/>
      <c r="AG863" s="50"/>
      <c r="AH863" s="43"/>
      <c r="AI863" s="50"/>
      <c r="AJ863" s="43"/>
      <c r="AK863" s="50"/>
      <c r="AL863" s="43"/>
      <c r="AM863" s="50"/>
      <c r="AO863" s="43"/>
      <c r="AP863" s="46"/>
      <c r="AQ863" s="43"/>
      <c r="AR863" s="119"/>
      <c r="AS863" s="1"/>
      <c r="AT863" s="1"/>
    </row>
    <row r="864">
      <c r="A864" s="43"/>
      <c r="B864" s="59" t="str">
        <f>IFERROR(HYPERLINK(VLOOKUP(A864,Internal_lists_bugs!$A$2:$C$73,3,FALSE()), VLOOKUP(A864,Internal_lists_bugs!$A$2:$C$73,3,FALSE())&amp;Char(10) &amp; Char(10) &amp; VLOOKUP(A864,Internal_lists_bugs!$A$2:$Z$73,26,FALSE())),"please select a BUG ID")</f>
        <v>please select a BUG ID</v>
      </c>
      <c r="C864" s="51" t="str">
        <f>IFERROR(VLOOKUP(A864,Internal_lists_bugs!$A$2:$G2003,7,FALSE()),"please select a BUG ID")</f>
        <v>please select a BUG ID</v>
      </c>
      <c r="D864" s="43"/>
      <c r="E864" s="63"/>
      <c r="F864" s="43"/>
      <c r="G864" s="63"/>
      <c r="H864" s="43"/>
      <c r="I864" s="63"/>
      <c r="J864" s="43"/>
      <c r="K864" s="50"/>
      <c r="L864" s="43"/>
      <c r="M864" s="50"/>
      <c r="N864" s="43"/>
      <c r="O864" s="50"/>
      <c r="P864" s="43"/>
      <c r="Q864" s="50"/>
      <c r="R864" s="43"/>
      <c r="S864" s="50"/>
      <c r="T864" s="43"/>
      <c r="U864" s="50"/>
      <c r="V864" s="43"/>
      <c r="W864" s="50"/>
      <c r="X864" s="43"/>
      <c r="Y864" s="50"/>
      <c r="Z864" s="43"/>
      <c r="AA864" s="50"/>
      <c r="AB864" s="43"/>
      <c r="AC864" s="50"/>
      <c r="AD864" s="43"/>
      <c r="AE864" s="50"/>
      <c r="AF864" s="43"/>
      <c r="AG864" s="50"/>
      <c r="AH864" s="43"/>
      <c r="AI864" s="50"/>
      <c r="AJ864" s="43"/>
      <c r="AK864" s="50"/>
      <c r="AL864" s="43"/>
      <c r="AM864" s="50"/>
      <c r="AO864" s="43"/>
      <c r="AP864" s="46"/>
      <c r="AQ864" s="43"/>
      <c r="AR864" s="119"/>
      <c r="AS864" s="1"/>
      <c r="AT864" s="1"/>
    </row>
    <row r="865">
      <c r="A865" s="43"/>
      <c r="B865" s="59" t="str">
        <f>IFERROR(HYPERLINK(VLOOKUP(A865,Internal_lists_bugs!$A$2:$C$73,3,FALSE()), VLOOKUP(A865,Internal_lists_bugs!$A$2:$C$73,3,FALSE())&amp;Char(10) &amp; Char(10) &amp; VLOOKUP(A865,Internal_lists_bugs!$A$2:$Z$73,26,FALSE())),"please select a BUG ID")</f>
        <v>please select a BUG ID</v>
      </c>
      <c r="C865" s="51" t="str">
        <f>IFERROR(VLOOKUP(A865,Internal_lists_bugs!$A$2:$G2003,7,FALSE()),"please select a BUG ID")</f>
        <v>please select a BUG ID</v>
      </c>
      <c r="D865" s="43"/>
      <c r="E865" s="63"/>
      <c r="F865" s="43"/>
      <c r="G865" s="63"/>
      <c r="H865" s="43"/>
      <c r="I865" s="63"/>
      <c r="J865" s="43"/>
      <c r="K865" s="50"/>
      <c r="L865" s="43"/>
      <c r="M865" s="50"/>
      <c r="N865" s="43"/>
      <c r="O865" s="50"/>
      <c r="P865" s="43"/>
      <c r="Q865" s="50"/>
      <c r="R865" s="43"/>
      <c r="S865" s="50"/>
      <c r="T865" s="43"/>
      <c r="U865" s="50"/>
      <c r="V865" s="43"/>
      <c r="W865" s="50"/>
      <c r="X865" s="43"/>
      <c r="Y865" s="50"/>
      <c r="Z865" s="43"/>
      <c r="AA865" s="50"/>
      <c r="AB865" s="43"/>
      <c r="AC865" s="50"/>
      <c r="AD865" s="43"/>
      <c r="AE865" s="50"/>
      <c r="AF865" s="43"/>
      <c r="AG865" s="50"/>
      <c r="AH865" s="43"/>
      <c r="AI865" s="50"/>
      <c r="AJ865" s="43"/>
      <c r="AK865" s="50"/>
      <c r="AL865" s="43"/>
      <c r="AM865" s="50"/>
      <c r="AO865" s="43"/>
      <c r="AP865" s="46"/>
      <c r="AQ865" s="43"/>
      <c r="AR865" s="119"/>
      <c r="AS865" s="1"/>
      <c r="AT865" s="1"/>
    </row>
    <row r="866">
      <c r="A866" s="43"/>
      <c r="B866" s="59" t="str">
        <f>IFERROR(HYPERLINK(VLOOKUP(A866,Internal_lists_bugs!$A$2:$C$73,3,FALSE()), VLOOKUP(A866,Internal_lists_bugs!$A$2:$C$73,3,FALSE())&amp;Char(10) &amp; Char(10) &amp; VLOOKUP(A866,Internal_lists_bugs!$A$2:$Z$73,26,FALSE())),"please select a BUG ID")</f>
        <v>please select a BUG ID</v>
      </c>
      <c r="C866" s="51" t="str">
        <f>IFERROR(VLOOKUP(A866,Internal_lists_bugs!$A$2:$G2003,7,FALSE()),"please select a BUG ID")</f>
        <v>please select a BUG ID</v>
      </c>
      <c r="D866" s="43"/>
      <c r="E866" s="63"/>
      <c r="F866" s="43"/>
      <c r="G866" s="63"/>
      <c r="H866" s="43"/>
      <c r="I866" s="63"/>
      <c r="J866" s="43"/>
      <c r="K866" s="50"/>
      <c r="L866" s="43"/>
      <c r="M866" s="50"/>
      <c r="N866" s="43"/>
      <c r="O866" s="50"/>
      <c r="P866" s="43"/>
      <c r="Q866" s="50"/>
      <c r="R866" s="43"/>
      <c r="S866" s="50"/>
      <c r="T866" s="43"/>
      <c r="U866" s="50"/>
      <c r="V866" s="43"/>
      <c r="W866" s="50"/>
      <c r="X866" s="43"/>
      <c r="Y866" s="50"/>
      <c r="Z866" s="43"/>
      <c r="AA866" s="50"/>
      <c r="AB866" s="43"/>
      <c r="AC866" s="50"/>
      <c r="AD866" s="43"/>
      <c r="AE866" s="50"/>
      <c r="AF866" s="43"/>
      <c r="AG866" s="50"/>
      <c r="AH866" s="43"/>
      <c r="AI866" s="50"/>
      <c r="AJ866" s="43"/>
      <c r="AK866" s="50"/>
      <c r="AL866" s="43"/>
      <c r="AM866" s="50"/>
      <c r="AO866" s="43"/>
      <c r="AP866" s="46"/>
      <c r="AQ866" s="43"/>
      <c r="AR866" s="119"/>
      <c r="AS866" s="1"/>
      <c r="AT866" s="1"/>
    </row>
    <row r="867">
      <c r="A867" s="43"/>
      <c r="B867" s="59" t="str">
        <f>IFERROR(HYPERLINK(VLOOKUP(A867,Internal_lists_bugs!$A$2:$C$73,3,FALSE()), VLOOKUP(A867,Internal_lists_bugs!$A$2:$C$73,3,FALSE())&amp;Char(10) &amp; Char(10) &amp; VLOOKUP(A867,Internal_lists_bugs!$A$2:$Z$73,26,FALSE())),"please select a BUG ID")</f>
        <v>please select a BUG ID</v>
      </c>
      <c r="C867" s="51" t="str">
        <f>IFERROR(VLOOKUP(A867,Internal_lists_bugs!$A$2:$G2003,7,FALSE()),"please select a BUG ID")</f>
        <v>please select a BUG ID</v>
      </c>
      <c r="D867" s="43"/>
      <c r="E867" s="63"/>
      <c r="F867" s="43"/>
      <c r="G867" s="63"/>
      <c r="H867" s="43"/>
      <c r="I867" s="63"/>
      <c r="J867" s="43"/>
      <c r="K867" s="50"/>
      <c r="L867" s="43"/>
      <c r="M867" s="50"/>
      <c r="N867" s="43"/>
      <c r="O867" s="50"/>
      <c r="P867" s="43"/>
      <c r="Q867" s="50"/>
      <c r="R867" s="43"/>
      <c r="S867" s="50"/>
      <c r="T867" s="43"/>
      <c r="U867" s="50"/>
      <c r="V867" s="43"/>
      <c r="W867" s="50"/>
      <c r="X867" s="43"/>
      <c r="Y867" s="50"/>
      <c r="Z867" s="43"/>
      <c r="AA867" s="50"/>
      <c r="AB867" s="43"/>
      <c r="AC867" s="50"/>
      <c r="AD867" s="43"/>
      <c r="AE867" s="50"/>
      <c r="AF867" s="43"/>
      <c r="AG867" s="50"/>
      <c r="AH867" s="43"/>
      <c r="AI867" s="50"/>
      <c r="AJ867" s="43"/>
      <c r="AK867" s="50"/>
      <c r="AL867" s="43"/>
      <c r="AM867" s="50"/>
      <c r="AO867" s="43"/>
      <c r="AP867" s="46"/>
      <c r="AQ867" s="43"/>
      <c r="AR867" s="119"/>
      <c r="AS867" s="1"/>
      <c r="AT867" s="1"/>
    </row>
    <row r="868">
      <c r="A868" s="43"/>
      <c r="B868" s="59" t="str">
        <f>IFERROR(HYPERLINK(VLOOKUP(A868,Internal_lists_bugs!$A$2:$C$73,3,FALSE()), VLOOKUP(A868,Internal_lists_bugs!$A$2:$C$73,3,FALSE())&amp;Char(10) &amp; Char(10) &amp; VLOOKUP(A868,Internal_lists_bugs!$A$2:$Z$73,26,FALSE())),"please select a BUG ID")</f>
        <v>please select a BUG ID</v>
      </c>
      <c r="C868" s="51" t="str">
        <f>IFERROR(VLOOKUP(A868,Internal_lists_bugs!$A$2:$G2003,7,FALSE()),"please select a BUG ID")</f>
        <v>please select a BUG ID</v>
      </c>
      <c r="D868" s="43"/>
      <c r="E868" s="63"/>
      <c r="F868" s="43"/>
      <c r="G868" s="63"/>
      <c r="H868" s="43"/>
      <c r="I868" s="63"/>
      <c r="J868" s="43"/>
      <c r="K868" s="50"/>
      <c r="L868" s="43"/>
      <c r="M868" s="50"/>
      <c r="N868" s="43"/>
      <c r="O868" s="50"/>
      <c r="P868" s="43"/>
      <c r="Q868" s="50"/>
      <c r="R868" s="43"/>
      <c r="S868" s="50"/>
      <c r="T868" s="43"/>
      <c r="U868" s="50"/>
      <c r="V868" s="43"/>
      <c r="W868" s="50"/>
      <c r="X868" s="43"/>
      <c r="Y868" s="50"/>
      <c r="Z868" s="43"/>
      <c r="AA868" s="50"/>
      <c r="AB868" s="43"/>
      <c r="AC868" s="50"/>
      <c r="AD868" s="43"/>
      <c r="AE868" s="50"/>
      <c r="AF868" s="43"/>
      <c r="AG868" s="50"/>
      <c r="AH868" s="43"/>
      <c r="AI868" s="50"/>
      <c r="AJ868" s="43"/>
      <c r="AK868" s="50"/>
      <c r="AL868" s="43"/>
      <c r="AM868" s="50"/>
      <c r="AO868" s="43"/>
      <c r="AP868" s="46"/>
      <c r="AQ868" s="43"/>
      <c r="AR868" s="119"/>
      <c r="AS868" s="1"/>
      <c r="AT868" s="1"/>
    </row>
    <row r="869">
      <c r="A869" s="43"/>
      <c r="B869" s="59" t="str">
        <f>IFERROR(HYPERLINK(VLOOKUP(A869,Internal_lists_bugs!$A$2:$C$73,3,FALSE()), VLOOKUP(A869,Internal_lists_bugs!$A$2:$C$73,3,FALSE())&amp;Char(10) &amp; Char(10) &amp; VLOOKUP(A869,Internal_lists_bugs!$A$2:$Z$73,26,FALSE())),"please select a BUG ID")</f>
        <v>please select a BUG ID</v>
      </c>
      <c r="C869" s="51" t="str">
        <f>IFERROR(VLOOKUP(A869,Internal_lists_bugs!$A$2:$G2003,7,FALSE()),"please select a BUG ID")</f>
        <v>please select a BUG ID</v>
      </c>
      <c r="D869" s="43"/>
      <c r="E869" s="63"/>
      <c r="F869" s="43"/>
      <c r="G869" s="63"/>
      <c r="H869" s="43"/>
      <c r="I869" s="63"/>
      <c r="J869" s="43"/>
      <c r="K869" s="50"/>
      <c r="L869" s="43"/>
      <c r="M869" s="50"/>
      <c r="N869" s="43"/>
      <c r="O869" s="50"/>
      <c r="P869" s="43"/>
      <c r="Q869" s="50"/>
      <c r="R869" s="43"/>
      <c r="S869" s="50"/>
      <c r="T869" s="43"/>
      <c r="U869" s="50"/>
      <c r="V869" s="43"/>
      <c r="W869" s="50"/>
      <c r="X869" s="43"/>
      <c r="Y869" s="50"/>
      <c r="Z869" s="43"/>
      <c r="AA869" s="50"/>
      <c r="AB869" s="43"/>
      <c r="AC869" s="50"/>
      <c r="AD869" s="43"/>
      <c r="AE869" s="50"/>
      <c r="AF869" s="43"/>
      <c r="AG869" s="50"/>
      <c r="AH869" s="43"/>
      <c r="AI869" s="50"/>
      <c r="AJ869" s="43"/>
      <c r="AK869" s="50"/>
      <c r="AL869" s="43"/>
      <c r="AM869" s="50"/>
      <c r="AO869" s="43"/>
      <c r="AP869" s="46"/>
      <c r="AQ869" s="43"/>
      <c r="AR869" s="119"/>
      <c r="AS869" s="1"/>
      <c r="AT869" s="1"/>
    </row>
    <row r="870">
      <c r="A870" s="43"/>
      <c r="B870" s="59" t="str">
        <f>IFERROR(HYPERLINK(VLOOKUP(A870,Internal_lists_bugs!$A$2:$C$73,3,FALSE()), VLOOKUP(A870,Internal_lists_bugs!$A$2:$C$73,3,FALSE())&amp;Char(10) &amp; Char(10) &amp; VLOOKUP(A870,Internal_lists_bugs!$A$2:$Z$73,26,FALSE())),"please select a BUG ID")</f>
        <v>please select a BUG ID</v>
      </c>
      <c r="C870" s="51" t="str">
        <f>IFERROR(VLOOKUP(A870,Internal_lists_bugs!$A$2:$G2003,7,FALSE()),"please select a BUG ID")</f>
        <v>please select a BUG ID</v>
      </c>
      <c r="D870" s="43"/>
      <c r="E870" s="63"/>
      <c r="F870" s="43"/>
      <c r="G870" s="63"/>
      <c r="H870" s="43"/>
      <c r="I870" s="63"/>
      <c r="J870" s="43"/>
      <c r="K870" s="50"/>
      <c r="L870" s="43"/>
      <c r="M870" s="50"/>
      <c r="N870" s="43"/>
      <c r="O870" s="50"/>
      <c r="P870" s="43"/>
      <c r="Q870" s="50"/>
      <c r="R870" s="43"/>
      <c r="S870" s="50"/>
      <c r="T870" s="43"/>
      <c r="U870" s="50"/>
      <c r="V870" s="43"/>
      <c r="W870" s="50"/>
      <c r="X870" s="43"/>
      <c r="Y870" s="50"/>
      <c r="Z870" s="43"/>
      <c r="AA870" s="50"/>
      <c r="AB870" s="43"/>
      <c r="AC870" s="50"/>
      <c r="AD870" s="43"/>
      <c r="AE870" s="50"/>
      <c r="AF870" s="43"/>
      <c r="AG870" s="50"/>
      <c r="AH870" s="43"/>
      <c r="AI870" s="50"/>
      <c r="AJ870" s="43"/>
      <c r="AK870" s="50"/>
      <c r="AL870" s="43"/>
      <c r="AM870" s="50"/>
      <c r="AO870" s="43"/>
      <c r="AP870" s="46"/>
      <c r="AQ870" s="43"/>
      <c r="AR870" s="119"/>
      <c r="AS870" s="1"/>
      <c r="AT870" s="1"/>
    </row>
    <row r="871">
      <c r="A871" s="43"/>
      <c r="B871" s="59" t="str">
        <f>IFERROR(HYPERLINK(VLOOKUP(A871,Internal_lists_bugs!$A$2:$C$73,3,FALSE()), VLOOKUP(A871,Internal_lists_bugs!$A$2:$C$73,3,FALSE())&amp;Char(10) &amp; Char(10) &amp; VLOOKUP(A871,Internal_lists_bugs!$A$2:$Z$73,26,FALSE())),"please select a BUG ID")</f>
        <v>please select a BUG ID</v>
      </c>
      <c r="C871" s="51" t="str">
        <f>IFERROR(VLOOKUP(A871,Internal_lists_bugs!$A$2:$G2003,7,FALSE()),"please select a BUG ID")</f>
        <v>please select a BUG ID</v>
      </c>
      <c r="D871" s="43"/>
      <c r="E871" s="63"/>
      <c r="F871" s="43"/>
      <c r="G871" s="63"/>
      <c r="H871" s="43"/>
      <c r="I871" s="63"/>
      <c r="J871" s="43"/>
      <c r="K871" s="50"/>
      <c r="L871" s="43"/>
      <c r="M871" s="50"/>
      <c r="N871" s="43"/>
      <c r="O871" s="50"/>
      <c r="P871" s="43"/>
      <c r="Q871" s="50"/>
      <c r="R871" s="43"/>
      <c r="S871" s="50"/>
      <c r="T871" s="43"/>
      <c r="U871" s="50"/>
      <c r="V871" s="43"/>
      <c r="W871" s="50"/>
      <c r="X871" s="43"/>
      <c r="Y871" s="50"/>
      <c r="Z871" s="43"/>
      <c r="AA871" s="50"/>
      <c r="AB871" s="43"/>
      <c r="AC871" s="50"/>
      <c r="AD871" s="43"/>
      <c r="AE871" s="50"/>
      <c r="AF871" s="43"/>
      <c r="AG871" s="50"/>
      <c r="AH871" s="43"/>
      <c r="AI871" s="50"/>
      <c r="AJ871" s="43"/>
      <c r="AK871" s="50"/>
      <c r="AL871" s="43"/>
      <c r="AM871" s="50"/>
      <c r="AO871" s="43"/>
      <c r="AP871" s="46"/>
      <c r="AQ871" s="43"/>
      <c r="AR871" s="119"/>
      <c r="AS871" s="1"/>
      <c r="AT871" s="1"/>
    </row>
    <row r="872">
      <c r="A872" s="43"/>
      <c r="B872" s="59" t="str">
        <f>IFERROR(HYPERLINK(VLOOKUP(A872,Internal_lists_bugs!$A$2:$C$73,3,FALSE()), VLOOKUP(A872,Internal_lists_bugs!$A$2:$C$73,3,FALSE())&amp;Char(10) &amp; Char(10) &amp; VLOOKUP(A872,Internal_lists_bugs!$A$2:$Z$73,26,FALSE())),"please select a BUG ID")</f>
        <v>please select a BUG ID</v>
      </c>
      <c r="C872" s="51" t="str">
        <f>IFERROR(VLOOKUP(A872,Internal_lists_bugs!$A$2:$G2003,7,FALSE()),"please select a BUG ID")</f>
        <v>please select a BUG ID</v>
      </c>
      <c r="D872" s="43"/>
      <c r="E872" s="63"/>
      <c r="F872" s="43"/>
      <c r="G872" s="63"/>
      <c r="H872" s="43"/>
      <c r="I872" s="63"/>
      <c r="J872" s="43"/>
      <c r="K872" s="50"/>
      <c r="L872" s="43"/>
      <c r="M872" s="50"/>
      <c r="N872" s="43"/>
      <c r="O872" s="50"/>
      <c r="P872" s="43"/>
      <c r="Q872" s="50"/>
      <c r="R872" s="43"/>
      <c r="S872" s="50"/>
      <c r="T872" s="43"/>
      <c r="U872" s="50"/>
      <c r="V872" s="43"/>
      <c r="W872" s="50"/>
      <c r="X872" s="43"/>
      <c r="Y872" s="50"/>
      <c r="Z872" s="43"/>
      <c r="AA872" s="50"/>
      <c r="AB872" s="43"/>
      <c r="AC872" s="50"/>
      <c r="AD872" s="43"/>
      <c r="AE872" s="50"/>
      <c r="AF872" s="43"/>
      <c r="AG872" s="50"/>
      <c r="AH872" s="43"/>
      <c r="AI872" s="50"/>
      <c r="AJ872" s="43"/>
      <c r="AK872" s="50"/>
      <c r="AL872" s="43"/>
      <c r="AM872" s="50"/>
      <c r="AO872" s="43"/>
      <c r="AP872" s="46"/>
      <c r="AQ872" s="43"/>
      <c r="AR872" s="119"/>
      <c r="AS872" s="1"/>
      <c r="AT872" s="1"/>
    </row>
    <row r="873">
      <c r="A873" s="43"/>
      <c r="B873" s="59" t="str">
        <f>IFERROR(HYPERLINK(VLOOKUP(A873,Internal_lists_bugs!$A$2:$C$73,3,FALSE()), VLOOKUP(A873,Internal_lists_bugs!$A$2:$C$73,3,FALSE())&amp;Char(10) &amp; Char(10) &amp; VLOOKUP(A873,Internal_lists_bugs!$A$2:$Z$73,26,FALSE())),"please select a BUG ID")</f>
        <v>please select a BUG ID</v>
      </c>
      <c r="C873" s="51" t="str">
        <f>IFERROR(VLOOKUP(A873,Internal_lists_bugs!$A$2:$G2003,7,FALSE()),"please select a BUG ID")</f>
        <v>please select a BUG ID</v>
      </c>
      <c r="D873" s="43"/>
      <c r="E873" s="63"/>
      <c r="F873" s="43"/>
      <c r="G873" s="63"/>
      <c r="H873" s="43"/>
      <c r="I873" s="63"/>
      <c r="J873" s="43"/>
      <c r="K873" s="50"/>
      <c r="L873" s="43"/>
      <c r="M873" s="50"/>
      <c r="N873" s="43"/>
      <c r="O873" s="50"/>
      <c r="P873" s="43"/>
      <c r="Q873" s="50"/>
      <c r="R873" s="43"/>
      <c r="S873" s="50"/>
      <c r="T873" s="43"/>
      <c r="U873" s="50"/>
      <c r="V873" s="43"/>
      <c r="W873" s="50"/>
      <c r="X873" s="43"/>
      <c r="Y873" s="50"/>
      <c r="Z873" s="43"/>
      <c r="AA873" s="50"/>
      <c r="AB873" s="43"/>
      <c r="AC873" s="50"/>
      <c r="AD873" s="43"/>
      <c r="AE873" s="50"/>
      <c r="AF873" s="43"/>
      <c r="AG873" s="50"/>
      <c r="AH873" s="43"/>
      <c r="AI873" s="50"/>
      <c r="AJ873" s="43"/>
      <c r="AK873" s="50"/>
      <c r="AL873" s="43"/>
      <c r="AM873" s="50"/>
      <c r="AO873" s="43"/>
      <c r="AP873" s="46"/>
      <c r="AQ873" s="43"/>
      <c r="AR873" s="119"/>
      <c r="AS873" s="1"/>
      <c r="AT873" s="1"/>
    </row>
    <row r="874">
      <c r="A874" s="43"/>
      <c r="B874" s="59" t="str">
        <f>IFERROR(HYPERLINK(VLOOKUP(A874,Internal_lists_bugs!$A$2:$C$73,3,FALSE()), VLOOKUP(A874,Internal_lists_bugs!$A$2:$C$73,3,FALSE())&amp;Char(10) &amp; Char(10) &amp; VLOOKUP(A874,Internal_lists_bugs!$A$2:$Z$73,26,FALSE())),"please select a BUG ID")</f>
        <v>please select a BUG ID</v>
      </c>
      <c r="C874" s="51" t="str">
        <f>IFERROR(VLOOKUP(A874,Internal_lists_bugs!$A$2:$G2003,7,FALSE()),"please select a BUG ID")</f>
        <v>please select a BUG ID</v>
      </c>
      <c r="D874" s="43"/>
      <c r="E874" s="63"/>
      <c r="F874" s="43"/>
      <c r="G874" s="63"/>
      <c r="H874" s="43"/>
      <c r="I874" s="63"/>
      <c r="J874" s="43"/>
      <c r="K874" s="50"/>
      <c r="L874" s="43"/>
      <c r="M874" s="50"/>
      <c r="N874" s="43"/>
      <c r="O874" s="50"/>
      <c r="P874" s="43"/>
      <c r="Q874" s="50"/>
      <c r="R874" s="43"/>
      <c r="S874" s="50"/>
      <c r="T874" s="43"/>
      <c r="U874" s="50"/>
      <c r="V874" s="43"/>
      <c r="W874" s="50"/>
      <c r="X874" s="43"/>
      <c r="Y874" s="50"/>
      <c r="Z874" s="43"/>
      <c r="AA874" s="50"/>
      <c r="AB874" s="43"/>
      <c r="AC874" s="50"/>
      <c r="AD874" s="43"/>
      <c r="AE874" s="50"/>
      <c r="AF874" s="43"/>
      <c r="AG874" s="50"/>
      <c r="AH874" s="43"/>
      <c r="AI874" s="50"/>
      <c r="AJ874" s="43"/>
      <c r="AK874" s="50"/>
      <c r="AL874" s="43"/>
      <c r="AM874" s="50"/>
      <c r="AO874" s="43"/>
      <c r="AP874" s="46"/>
      <c r="AQ874" s="43"/>
      <c r="AR874" s="119"/>
      <c r="AS874" s="1"/>
      <c r="AT874" s="1"/>
    </row>
    <row r="875">
      <c r="A875" s="43"/>
      <c r="B875" s="59" t="str">
        <f>IFERROR(HYPERLINK(VLOOKUP(A875,Internal_lists_bugs!$A$2:$C$73,3,FALSE()), VLOOKUP(A875,Internal_lists_bugs!$A$2:$C$73,3,FALSE())&amp;Char(10) &amp; Char(10) &amp; VLOOKUP(A875,Internal_lists_bugs!$A$2:$Z$73,26,FALSE())),"please select a BUG ID")</f>
        <v>please select a BUG ID</v>
      </c>
      <c r="C875" s="51" t="str">
        <f>IFERROR(VLOOKUP(A875,Internal_lists_bugs!$A$2:$G2003,7,FALSE()),"please select a BUG ID")</f>
        <v>please select a BUG ID</v>
      </c>
      <c r="D875" s="43"/>
      <c r="E875" s="63"/>
      <c r="F875" s="43"/>
      <c r="G875" s="63"/>
      <c r="H875" s="43"/>
      <c r="I875" s="63"/>
      <c r="J875" s="43"/>
      <c r="K875" s="50"/>
      <c r="L875" s="43"/>
      <c r="M875" s="50"/>
      <c r="N875" s="43"/>
      <c r="O875" s="50"/>
      <c r="P875" s="43"/>
      <c r="Q875" s="50"/>
      <c r="R875" s="43"/>
      <c r="S875" s="50"/>
      <c r="T875" s="43"/>
      <c r="U875" s="50"/>
      <c r="V875" s="43"/>
      <c r="W875" s="50"/>
      <c r="X875" s="43"/>
      <c r="Y875" s="50"/>
      <c r="Z875" s="43"/>
      <c r="AA875" s="50"/>
      <c r="AB875" s="43"/>
      <c r="AC875" s="50"/>
      <c r="AD875" s="43"/>
      <c r="AE875" s="50"/>
      <c r="AF875" s="43"/>
      <c r="AG875" s="50"/>
      <c r="AH875" s="43"/>
      <c r="AI875" s="50"/>
      <c r="AJ875" s="43"/>
      <c r="AK875" s="50"/>
      <c r="AL875" s="43"/>
      <c r="AM875" s="50"/>
      <c r="AO875" s="43"/>
      <c r="AP875" s="46"/>
      <c r="AQ875" s="43"/>
      <c r="AR875" s="119"/>
      <c r="AS875" s="1"/>
      <c r="AT875" s="1"/>
    </row>
    <row r="876">
      <c r="A876" s="43"/>
      <c r="B876" s="59" t="str">
        <f>IFERROR(HYPERLINK(VLOOKUP(A876,Internal_lists_bugs!$A$2:$C$73,3,FALSE()), VLOOKUP(A876,Internal_lists_bugs!$A$2:$C$73,3,FALSE())&amp;Char(10) &amp; Char(10) &amp; VLOOKUP(A876,Internal_lists_bugs!$A$2:$Z$73,26,FALSE())),"please select a BUG ID")</f>
        <v>please select a BUG ID</v>
      </c>
      <c r="C876" s="51" t="str">
        <f>IFERROR(VLOOKUP(A876,Internal_lists_bugs!$A$2:$G2003,7,FALSE()),"please select a BUG ID")</f>
        <v>please select a BUG ID</v>
      </c>
      <c r="D876" s="43"/>
      <c r="E876" s="63"/>
      <c r="F876" s="43"/>
      <c r="G876" s="63"/>
      <c r="H876" s="43"/>
      <c r="I876" s="63"/>
      <c r="J876" s="43"/>
      <c r="K876" s="50"/>
      <c r="L876" s="43"/>
      <c r="M876" s="50"/>
      <c r="N876" s="43"/>
      <c r="O876" s="50"/>
      <c r="P876" s="43"/>
      <c r="Q876" s="50"/>
      <c r="R876" s="43"/>
      <c r="S876" s="50"/>
      <c r="T876" s="43"/>
      <c r="U876" s="50"/>
      <c r="V876" s="43"/>
      <c r="W876" s="50"/>
      <c r="X876" s="43"/>
      <c r="Y876" s="50"/>
      <c r="Z876" s="43"/>
      <c r="AA876" s="50"/>
      <c r="AB876" s="43"/>
      <c r="AC876" s="50"/>
      <c r="AD876" s="43"/>
      <c r="AE876" s="50"/>
      <c r="AF876" s="43"/>
      <c r="AG876" s="50"/>
      <c r="AH876" s="43"/>
      <c r="AI876" s="50"/>
      <c r="AJ876" s="43"/>
      <c r="AK876" s="50"/>
      <c r="AL876" s="43"/>
      <c r="AM876" s="50"/>
      <c r="AO876" s="43"/>
      <c r="AP876" s="46"/>
      <c r="AQ876" s="43"/>
      <c r="AR876" s="119"/>
      <c r="AS876" s="1"/>
      <c r="AT876" s="1"/>
    </row>
    <row r="877">
      <c r="A877" s="43"/>
      <c r="B877" s="59" t="str">
        <f>IFERROR(HYPERLINK(VLOOKUP(A877,Internal_lists_bugs!$A$2:$C$73,3,FALSE()), VLOOKUP(A877,Internal_lists_bugs!$A$2:$C$73,3,FALSE())&amp;Char(10) &amp; Char(10) &amp; VLOOKUP(A877,Internal_lists_bugs!$A$2:$Z$73,26,FALSE())),"please select a BUG ID")</f>
        <v>please select a BUG ID</v>
      </c>
      <c r="C877" s="51" t="str">
        <f>IFERROR(VLOOKUP(A877,Internal_lists_bugs!$A$2:$G2003,7,FALSE()),"please select a BUG ID")</f>
        <v>please select a BUG ID</v>
      </c>
      <c r="D877" s="43"/>
      <c r="E877" s="63"/>
      <c r="F877" s="43"/>
      <c r="G877" s="63"/>
      <c r="H877" s="43"/>
      <c r="I877" s="63"/>
      <c r="J877" s="43"/>
      <c r="K877" s="50"/>
      <c r="L877" s="43"/>
      <c r="M877" s="50"/>
      <c r="N877" s="43"/>
      <c r="O877" s="50"/>
      <c r="P877" s="43"/>
      <c r="Q877" s="50"/>
      <c r="R877" s="43"/>
      <c r="S877" s="50"/>
      <c r="T877" s="43"/>
      <c r="U877" s="50"/>
      <c r="V877" s="43"/>
      <c r="W877" s="50"/>
      <c r="X877" s="43"/>
      <c r="Y877" s="50"/>
      <c r="Z877" s="43"/>
      <c r="AA877" s="50"/>
      <c r="AB877" s="43"/>
      <c r="AC877" s="50"/>
      <c r="AD877" s="43"/>
      <c r="AE877" s="50"/>
      <c r="AF877" s="43"/>
      <c r="AG877" s="50"/>
      <c r="AH877" s="43"/>
      <c r="AI877" s="50"/>
      <c r="AJ877" s="43"/>
      <c r="AK877" s="50"/>
      <c r="AL877" s="43"/>
      <c r="AM877" s="50"/>
      <c r="AO877" s="43"/>
      <c r="AP877" s="46"/>
      <c r="AQ877" s="43"/>
      <c r="AR877" s="119"/>
      <c r="AS877" s="1"/>
      <c r="AT877" s="1"/>
    </row>
    <row r="878">
      <c r="A878" s="43"/>
      <c r="B878" s="59" t="str">
        <f>IFERROR(HYPERLINK(VLOOKUP(A878,Internal_lists_bugs!$A$2:$C$73,3,FALSE()), VLOOKUP(A878,Internal_lists_bugs!$A$2:$C$73,3,FALSE())&amp;Char(10) &amp; Char(10) &amp; VLOOKUP(A878,Internal_lists_bugs!$A$2:$Z$73,26,FALSE())),"please select a BUG ID")</f>
        <v>please select a BUG ID</v>
      </c>
      <c r="C878" s="51" t="str">
        <f>IFERROR(VLOOKUP(A878,Internal_lists_bugs!$A$2:$G2003,7,FALSE()),"please select a BUG ID")</f>
        <v>please select a BUG ID</v>
      </c>
      <c r="D878" s="43"/>
      <c r="E878" s="63"/>
      <c r="F878" s="43"/>
      <c r="G878" s="63"/>
      <c r="H878" s="43"/>
      <c r="I878" s="63"/>
      <c r="J878" s="43"/>
      <c r="K878" s="50"/>
      <c r="L878" s="43"/>
      <c r="M878" s="50"/>
      <c r="N878" s="43"/>
      <c r="O878" s="50"/>
      <c r="P878" s="43"/>
      <c r="Q878" s="50"/>
      <c r="R878" s="43"/>
      <c r="S878" s="50"/>
      <c r="T878" s="43"/>
      <c r="U878" s="50"/>
      <c r="V878" s="43"/>
      <c r="W878" s="50"/>
      <c r="X878" s="43"/>
      <c r="Y878" s="50"/>
      <c r="Z878" s="43"/>
      <c r="AA878" s="50"/>
      <c r="AB878" s="43"/>
      <c r="AC878" s="50"/>
      <c r="AD878" s="43"/>
      <c r="AE878" s="50"/>
      <c r="AF878" s="43"/>
      <c r="AG878" s="50"/>
      <c r="AH878" s="43"/>
      <c r="AI878" s="50"/>
      <c r="AJ878" s="43"/>
      <c r="AK878" s="50"/>
      <c r="AL878" s="43"/>
      <c r="AM878" s="50"/>
      <c r="AO878" s="43"/>
      <c r="AP878" s="46"/>
      <c r="AQ878" s="43"/>
      <c r="AR878" s="119"/>
      <c r="AS878" s="1"/>
      <c r="AT878" s="1"/>
    </row>
    <row r="879">
      <c r="A879" s="43"/>
      <c r="B879" s="59" t="str">
        <f>IFERROR(HYPERLINK(VLOOKUP(A879,Internal_lists_bugs!$A$2:$C$73,3,FALSE()), VLOOKUP(A879,Internal_lists_bugs!$A$2:$C$73,3,FALSE())&amp;Char(10) &amp; Char(10) &amp; VLOOKUP(A879,Internal_lists_bugs!$A$2:$Z$73,26,FALSE())),"please select a BUG ID")</f>
        <v>please select a BUG ID</v>
      </c>
      <c r="C879" s="51" t="str">
        <f>IFERROR(VLOOKUP(A879,Internal_lists_bugs!$A$2:$G2003,7,FALSE()),"please select a BUG ID")</f>
        <v>please select a BUG ID</v>
      </c>
      <c r="D879" s="43"/>
      <c r="E879" s="63"/>
      <c r="F879" s="43"/>
      <c r="G879" s="63"/>
      <c r="H879" s="43"/>
      <c r="I879" s="63"/>
      <c r="J879" s="43"/>
      <c r="K879" s="50"/>
      <c r="L879" s="43"/>
      <c r="M879" s="50"/>
      <c r="N879" s="43"/>
      <c r="O879" s="50"/>
      <c r="P879" s="43"/>
      <c r="Q879" s="50"/>
      <c r="R879" s="43"/>
      <c r="S879" s="50"/>
      <c r="T879" s="43"/>
      <c r="U879" s="50"/>
      <c r="V879" s="43"/>
      <c r="W879" s="50"/>
      <c r="X879" s="43"/>
      <c r="Y879" s="50"/>
      <c r="Z879" s="43"/>
      <c r="AA879" s="50"/>
      <c r="AB879" s="43"/>
      <c r="AC879" s="50"/>
      <c r="AD879" s="43"/>
      <c r="AE879" s="50"/>
      <c r="AF879" s="43"/>
      <c r="AG879" s="50"/>
      <c r="AH879" s="43"/>
      <c r="AI879" s="50"/>
      <c r="AJ879" s="43"/>
      <c r="AK879" s="50"/>
      <c r="AL879" s="43"/>
      <c r="AM879" s="50"/>
      <c r="AO879" s="43"/>
      <c r="AP879" s="46"/>
      <c r="AQ879" s="43"/>
      <c r="AR879" s="119"/>
      <c r="AS879" s="1"/>
      <c r="AT879" s="1"/>
    </row>
    <row r="880">
      <c r="A880" s="43"/>
      <c r="B880" s="59" t="str">
        <f>IFERROR(HYPERLINK(VLOOKUP(A880,Internal_lists_bugs!$A$2:$C$73,3,FALSE()), VLOOKUP(A880,Internal_lists_bugs!$A$2:$C$73,3,FALSE())&amp;Char(10) &amp; Char(10) &amp; VLOOKUP(A880,Internal_lists_bugs!$A$2:$Z$73,26,FALSE())),"please select a BUG ID")</f>
        <v>please select a BUG ID</v>
      </c>
      <c r="C880" s="51" t="str">
        <f>IFERROR(VLOOKUP(A880,Internal_lists_bugs!$A$2:$G2003,7,FALSE()),"please select a BUG ID")</f>
        <v>please select a BUG ID</v>
      </c>
      <c r="D880" s="43"/>
      <c r="E880" s="63"/>
      <c r="F880" s="43"/>
      <c r="G880" s="63"/>
      <c r="H880" s="43"/>
      <c r="I880" s="63"/>
      <c r="J880" s="43"/>
      <c r="K880" s="50"/>
      <c r="L880" s="43"/>
      <c r="M880" s="50"/>
      <c r="N880" s="43"/>
      <c r="O880" s="50"/>
      <c r="P880" s="43"/>
      <c r="Q880" s="50"/>
      <c r="R880" s="43"/>
      <c r="S880" s="50"/>
      <c r="T880" s="43"/>
      <c r="U880" s="50"/>
      <c r="V880" s="43"/>
      <c r="W880" s="50"/>
      <c r="X880" s="43"/>
      <c r="Y880" s="50"/>
      <c r="Z880" s="43"/>
      <c r="AA880" s="50"/>
      <c r="AB880" s="43"/>
      <c r="AC880" s="50"/>
      <c r="AD880" s="43"/>
      <c r="AE880" s="50"/>
      <c r="AF880" s="43"/>
      <c r="AG880" s="50"/>
      <c r="AH880" s="43"/>
      <c r="AI880" s="50"/>
      <c r="AJ880" s="43"/>
      <c r="AK880" s="50"/>
      <c r="AL880" s="43"/>
      <c r="AM880" s="50"/>
      <c r="AO880" s="43"/>
      <c r="AP880" s="46"/>
      <c r="AQ880" s="43"/>
      <c r="AR880" s="119"/>
      <c r="AS880" s="1"/>
      <c r="AT880" s="1"/>
    </row>
    <row r="881">
      <c r="A881" s="43"/>
      <c r="B881" s="59" t="str">
        <f>IFERROR(HYPERLINK(VLOOKUP(A881,Internal_lists_bugs!$A$2:$C$73,3,FALSE()), VLOOKUP(A881,Internal_lists_bugs!$A$2:$C$73,3,FALSE())&amp;Char(10) &amp; Char(10) &amp; VLOOKUP(A881,Internal_lists_bugs!$A$2:$Z$73,26,FALSE())),"please select a BUG ID")</f>
        <v>please select a BUG ID</v>
      </c>
      <c r="C881" s="51" t="str">
        <f>IFERROR(VLOOKUP(A881,Internal_lists_bugs!$A$2:$G2003,7,FALSE()),"please select a BUG ID")</f>
        <v>please select a BUG ID</v>
      </c>
      <c r="D881" s="43"/>
      <c r="E881" s="63"/>
      <c r="F881" s="43"/>
      <c r="G881" s="63"/>
      <c r="H881" s="43"/>
      <c r="I881" s="63"/>
      <c r="J881" s="43"/>
      <c r="K881" s="50"/>
      <c r="L881" s="43"/>
      <c r="M881" s="50"/>
      <c r="N881" s="43"/>
      <c r="O881" s="50"/>
      <c r="P881" s="43"/>
      <c r="Q881" s="50"/>
      <c r="R881" s="43"/>
      <c r="S881" s="50"/>
      <c r="T881" s="43"/>
      <c r="U881" s="50"/>
      <c r="V881" s="43"/>
      <c r="W881" s="50"/>
      <c r="X881" s="43"/>
      <c r="Y881" s="50"/>
      <c r="Z881" s="43"/>
      <c r="AA881" s="50"/>
      <c r="AB881" s="43"/>
      <c r="AC881" s="50"/>
      <c r="AD881" s="43"/>
      <c r="AE881" s="50"/>
      <c r="AF881" s="43"/>
      <c r="AG881" s="50"/>
      <c r="AH881" s="43"/>
      <c r="AI881" s="50"/>
      <c r="AJ881" s="43"/>
      <c r="AK881" s="50"/>
      <c r="AL881" s="43"/>
      <c r="AM881" s="50"/>
      <c r="AO881" s="43"/>
      <c r="AP881" s="46"/>
      <c r="AQ881" s="43"/>
      <c r="AR881" s="119"/>
      <c r="AS881" s="1"/>
      <c r="AT881" s="1"/>
    </row>
    <row r="882">
      <c r="A882" s="43"/>
      <c r="B882" s="59" t="str">
        <f>IFERROR(HYPERLINK(VLOOKUP(A882,Internal_lists_bugs!$A$2:$C$73,3,FALSE()), VLOOKUP(A882,Internal_lists_bugs!$A$2:$C$73,3,FALSE())&amp;Char(10) &amp; Char(10) &amp; VLOOKUP(A882,Internal_lists_bugs!$A$2:$Z$73,26,FALSE())),"please select a BUG ID")</f>
        <v>please select a BUG ID</v>
      </c>
      <c r="C882" s="51" t="str">
        <f>IFERROR(VLOOKUP(A882,Internal_lists_bugs!$A$2:$G2003,7,FALSE()),"please select a BUG ID")</f>
        <v>please select a BUG ID</v>
      </c>
      <c r="D882" s="43"/>
      <c r="E882" s="63"/>
      <c r="F882" s="43"/>
      <c r="G882" s="63"/>
      <c r="H882" s="43"/>
      <c r="I882" s="63"/>
      <c r="J882" s="43"/>
      <c r="K882" s="50"/>
      <c r="L882" s="43"/>
      <c r="M882" s="50"/>
      <c r="N882" s="43"/>
      <c r="O882" s="50"/>
      <c r="P882" s="43"/>
      <c r="Q882" s="50"/>
      <c r="R882" s="43"/>
      <c r="S882" s="50"/>
      <c r="T882" s="43"/>
      <c r="U882" s="50"/>
      <c r="V882" s="43"/>
      <c r="W882" s="50"/>
      <c r="X882" s="43"/>
      <c r="Y882" s="50"/>
      <c r="Z882" s="43"/>
      <c r="AA882" s="50"/>
      <c r="AB882" s="43"/>
      <c r="AC882" s="50"/>
      <c r="AD882" s="43"/>
      <c r="AE882" s="50"/>
      <c r="AF882" s="43"/>
      <c r="AG882" s="50"/>
      <c r="AH882" s="43"/>
      <c r="AI882" s="50"/>
      <c r="AJ882" s="43"/>
      <c r="AK882" s="50"/>
      <c r="AL882" s="43"/>
      <c r="AM882" s="50"/>
      <c r="AO882" s="43"/>
      <c r="AP882" s="46"/>
      <c r="AQ882" s="43"/>
      <c r="AR882" s="119"/>
      <c r="AS882" s="1"/>
      <c r="AT882" s="1"/>
    </row>
    <row r="883">
      <c r="A883" s="43"/>
      <c r="B883" s="59" t="str">
        <f>IFERROR(HYPERLINK(VLOOKUP(A883,Internal_lists_bugs!$A$2:$C$73,3,FALSE()), VLOOKUP(A883,Internal_lists_bugs!$A$2:$C$73,3,FALSE())&amp;Char(10) &amp; Char(10) &amp; VLOOKUP(A883,Internal_lists_bugs!$A$2:$Z$73,26,FALSE())),"please select a BUG ID")</f>
        <v>please select a BUG ID</v>
      </c>
      <c r="C883" s="51" t="str">
        <f>IFERROR(VLOOKUP(A883,Internal_lists_bugs!$A$2:$G2003,7,FALSE()),"please select a BUG ID")</f>
        <v>please select a BUG ID</v>
      </c>
      <c r="D883" s="43"/>
      <c r="E883" s="63"/>
      <c r="F883" s="43"/>
      <c r="G883" s="63"/>
      <c r="H883" s="43"/>
      <c r="I883" s="63"/>
      <c r="J883" s="43"/>
      <c r="K883" s="50"/>
      <c r="L883" s="43"/>
      <c r="M883" s="50"/>
      <c r="N883" s="43"/>
      <c r="O883" s="50"/>
      <c r="P883" s="43"/>
      <c r="Q883" s="50"/>
      <c r="R883" s="43"/>
      <c r="S883" s="50"/>
      <c r="T883" s="43"/>
      <c r="U883" s="50"/>
      <c r="V883" s="43"/>
      <c r="W883" s="50"/>
      <c r="X883" s="43"/>
      <c r="Y883" s="50"/>
      <c r="Z883" s="43"/>
      <c r="AA883" s="50"/>
      <c r="AB883" s="43"/>
      <c r="AC883" s="50"/>
      <c r="AD883" s="43"/>
      <c r="AE883" s="50"/>
      <c r="AF883" s="43"/>
      <c r="AG883" s="50"/>
      <c r="AH883" s="43"/>
      <c r="AI883" s="50"/>
      <c r="AJ883" s="43"/>
      <c r="AK883" s="50"/>
      <c r="AL883" s="43"/>
      <c r="AM883" s="50"/>
      <c r="AO883" s="43"/>
      <c r="AP883" s="46"/>
      <c r="AQ883" s="43"/>
      <c r="AR883" s="119"/>
      <c r="AS883" s="1"/>
      <c r="AT883" s="1"/>
    </row>
    <row r="884">
      <c r="A884" s="43"/>
      <c r="B884" s="59" t="str">
        <f>IFERROR(HYPERLINK(VLOOKUP(A884,Internal_lists_bugs!$A$2:$C$73,3,FALSE()), VLOOKUP(A884,Internal_lists_bugs!$A$2:$C$73,3,FALSE())&amp;Char(10) &amp; Char(10) &amp; VLOOKUP(A884,Internal_lists_bugs!$A$2:$Z$73,26,FALSE())),"please select a BUG ID")</f>
        <v>please select a BUG ID</v>
      </c>
      <c r="C884" s="51" t="str">
        <f>IFERROR(VLOOKUP(A884,Internal_lists_bugs!$A$2:$G2003,7,FALSE()),"please select a BUG ID")</f>
        <v>please select a BUG ID</v>
      </c>
      <c r="D884" s="43"/>
      <c r="E884" s="63"/>
      <c r="F884" s="43"/>
      <c r="G884" s="63"/>
      <c r="H884" s="43"/>
      <c r="I884" s="63"/>
      <c r="J884" s="43"/>
      <c r="K884" s="50"/>
      <c r="L884" s="43"/>
      <c r="M884" s="50"/>
      <c r="N884" s="43"/>
      <c r="O884" s="50"/>
      <c r="P884" s="43"/>
      <c r="Q884" s="50"/>
      <c r="R884" s="43"/>
      <c r="S884" s="50"/>
      <c r="T884" s="43"/>
      <c r="U884" s="50"/>
      <c r="V884" s="43"/>
      <c r="W884" s="50"/>
      <c r="X884" s="43"/>
      <c r="Y884" s="50"/>
      <c r="Z884" s="43"/>
      <c r="AA884" s="50"/>
      <c r="AB884" s="43"/>
      <c r="AC884" s="50"/>
      <c r="AD884" s="43"/>
      <c r="AE884" s="50"/>
      <c r="AF884" s="43"/>
      <c r="AG884" s="50"/>
      <c r="AH884" s="43"/>
      <c r="AI884" s="50"/>
      <c r="AJ884" s="43"/>
      <c r="AK884" s="50"/>
      <c r="AL884" s="43"/>
      <c r="AM884" s="50"/>
      <c r="AO884" s="43"/>
      <c r="AP884" s="46"/>
      <c r="AQ884" s="43"/>
      <c r="AR884" s="119"/>
      <c r="AS884" s="1"/>
      <c r="AT884" s="1"/>
    </row>
    <row r="885">
      <c r="A885" s="43"/>
      <c r="B885" s="59" t="str">
        <f>IFERROR(HYPERLINK(VLOOKUP(A885,Internal_lists_bugs!$A$2:$C$73,3,FALSE()), VLOOKUP(A885,Internal_lists_bugs!$A$2:$C$73,3,FALSE())&amp;Char(10) &amp; Char(10) &amp; VLOOKUP(A885,Internal_lists_bugs!$A$2:$Z$73,26,FALSE())),"please select a BUG ID")</f>
        <v>please select a BUG ID</v>
      </c>
      <c r="C885" s="51" t="str">
        <f>IFERROR(VLOOKUP(A885,Internal_lists_bugs!$A$2:$G2003,7,FALSE()),"please select a BUG ID")</f>
        <v>please select a BUG ID</v>
      </c>
      <c r="D885" s="43"/>
      <c r="E885" s="63"/>
      <c r="F885" s="43"/>
      <c r="G885" s="63"/>
      <c r="H885" s="43"/>
      <c r="I885" s="63"/>
      <c r="J885" s="43"/>
      <c r="K885" s="50"/>
      <c r="L885" s="43"/>
      <c r="M885" s="50"/>
      <c r="N885" s="43"/>
      <c r="O885" s="50"/>
      <c r="P885" s="43"/>
      <c r="Q885" s="50"/>
      <c r="R885" s="43"/>
      <c r="S885" s="50"/>
      <c r="T885" s="43"/>
      <c r="U885" s="50"/>
      <c r="V885" s="43"/>
      <c r="W885" s="50"/>
      <c r="X885" s="43"/>
      <c r="Y885" s="50"/>
      <c r="Z885" s="43"/>
      <c r="AA885" s="50"/>
      <c r="AB885" s="43"/>
      <c r="AC885" s="50"/>
      <c r="AD885" s="43"/>
      <c r="AE885" s="50"/>
      <c r="AF885" s="43"/>
      <c r="AG885" s="50"/>
      <c r="AH885" s="43"/>
      <c r="AI885" s="50"/>
      <c r="AJ885" s="43"/>
      <c r="AK885" s="50"/>
      <c r="AL885" s="43"/>
      <c r="AM885" s="50"/>
      <c r="AO885" s="43"/>
      <c r="AP885" s="46"/>
      <c r="AQ885" s="43"/>
      <c r="AR885" s="119"/>
      <c r="AS885" s="1"/>
      <c r="AT885" s="1"/>
    </row>
    <row r="886">
      <c r="A886" s="43"/>
      <c r="B886" s="59" t="str">
        <f>IFERROR(HYPERLINK(VLOOKUP(A886,Internal_lists_bugs!$A$2:$C$73,3,FALSE()), VLOOKUP(A886,Internal_lists_bugs!$A$2:$C$73,3,FALSE())&amp;Char(10) &amp; Char(10) &amp; VLOOKUP(A886,Internal_lists_bugs!$A$2:$Z$73,26,FALSE())),"please select a BUG ID")</f>
        <v>please select a BUG ID</v>
      </c>
      <c r="C886" s="51" t="str">
        <f>IFERROR(VLOOKUP(A886,Internal_lists_bugs!$A$2:$G2003,7,FALSE()),"please select a BUG ID")</f>
        <v>please select a BUG ID</v>
      </c>
      <c r="D886" s="43"/>
      <c r="E886" s="63"/>
      <c r="F886" s="43"/>
      <c r="G886" s="63"/>
      <c r="H886" s="43"/>
      <c r="I886" s="63"/>
      <c r="J886" s="43"/>
      <c r="K886" s="50"/>
      <c r="L886" s="43"/>
      <c r="M886" s="50"/>
      <c r="N886" s="43"/>
      <c r="O886" s="50"/>
      <c r="P886" s="43"/>
      <c r="Q886" s="50"/>
      <c r="R886" s="43"/>
      <c r="S886" s="50"/>
      <c r="T886" s="43"/>
      <c r="U886" s="50"/>
      <c r="V886" s="43"/>
      <c r="W886" s="50"/>
      <c r="X886" s="43"/>
      <c r="Y886" s="50"/>
      <c r="Z886" s="43"/>
      <c r="AA886" s="50"/>
      <c r="AB886" s="43"/>
      <c r="AC886" s="50"/>
      <c r="AD886" s="43"/>
      <c r="AE886" s="50"/>
      <c r="AF886" s="43"/>
      <c r="AG886" s="50"/>
      <c r="AH886" s="43"/>
      <c r="AI886" s="50"/>
      <c r="AJ886" s="43"/>
      <c r="AK886" s="50"/>
      <c r="AL886" s="43"/>
      <c r="AM886" s="50"/>
      <c r="AO886" s="43"/>
      <c r="AP886" s="46"/>
      <c r="AQ886" s="43"/>
      <c r="AR886" s="119"/>
      <c r="AS886" s="1"/>
      <c r="AT886" s="1"/>
    </row>
    <row r="887">
      <c r="A887" s="43"/>
      <c r="B887" s="59" t="str">
        <f>IFERROR(HYPERLINK(VLOOKUP(A887,Internal_lists_bugs!$A$2:$C$73,3,FALSE()), VLOOKUP(A887,Internal_lists_bugs!$A$2:$C$73,3,FALSE())&amp;Char(10) &amp; Char(10) &amp; VLOOKUP(A887,Internal_lists_bugs!$A$2:$Z$73,26,FALSE())),"please select a BUG ID")</f>
        <v>please select a BUG ID</v>
      </c>
      <c r="C887" s="51" t="str">
        <f>IFERROR(VLOOKUP(A887,Internal_lists_bugs!$A$2:$G2003,7,FALSE()),"please select a BUG ID")</f>
        <v>please select a BUG ID</v>
      </c>
      <c r="D887" s="43"/>
      <c r="E887" s="63"/>
      <c r="F887" s="43"/>
      <c r="G887" s="63"/>
      <c r="H887" s="43"/>
      <c r="I887" s="63"/>
      <c r="J887" s="43"/>
      <c r="K887" s="50"/>
      <c r="L887" s="43"/>
      <c r="M887" s="50"/>
      <c r="N887" s="43"/>
      <c r="O887" s="50"/>
      <c r="P887" s="43"/>
      <c r="Q887" s="50"/>
      <c r="R887" s="43"/>
      <c r="S887" s="50"/>
      <c r="T887" s="43"/>
      <c r="U887" s="50"/>
      <c r="V887" s="43"/>
      <c r="W887" s="50"/>
      <c r="X887" s="43"/>
      <c r="Y887" s="50"/>
      <c r="Z887" s="43"/>
      <c r="AA887" s="50"/>
      <c r="AB887" s="43"/>
      <c r="AC887" s="50"/>
      <c r="AD887" s="43"/>
      <c r="AE887" s="50"/>
      <c r="AF887" s="43"/>
      <c r="AG887" s="50"/>
      <c r="AH887" s="43"/>
      <c r="AI887" s="50"/>
      <c r="AJ887" s="43"/>
      <c r="AK887" s="50"/>
      <c r="AL887" s="43"/>
      <c r="AM887" s="50"/>
      <c r="AO887" s="43"/>
      <c r="AP887" s="46"/>
      <c r="AQ887" s="43"/>
      <c r="AR887" s="119"/>
      <c r="AS887" s="1"/>
      <c r="AT887" s="1"/>
    </row>
    <row r="888">
      <c r="A888" s="43"/>
      <c r="B888" s="59" t="str">
        <f>IFERROR(HYPERLINK(VLOOKUP(A888,Internal_lists_bugs!$A$2:$C$73,3,FALSE()), VLOOKUP(A888,Internal_lists_bugs!$A$2:$C$73,3,FALSE())&amp;Char(10) &amp; Char(10) &amp; VLOOKUP(A888,Internal_lists_bugs!$A$2:$Z$73,26,FALSE())),"please select a BUG ID")</f>
        <v>please select a BUG ID</v>
      </c>
      <c r="C888" s="51" t="str">
        <f>IFERROR(VLOOKUP(A888,Internal_lists_bugs!$A$2:$G2003,7,FALSE()),"please select a BUG ID")</f>
        <v>please select a BUG ID</v>
      </c>
      <c r="D888" s="43"/>
      <c r="E888" s="63"/>
      <c r="F888" s="43"/>
      <c r="G888" s="63"/>
      <c r="H888" s="43"/>
      <c r="I888" s="63"/>
      <c r="J888" s="43"/>
      <c r="K888" s="50"/>
      <c r="L888" s="43"/>
      <c r="M888" s="50"/>
      <c r="N888" s="43"/>
      <c r="O888" s="50"/>
      <c r="P888" s="43"/>
      <c r="Q888" s="50"/>
      <c r="R888" s="43"/>
      <c r="S888" s="50"/>
      <c r="T888" s="43"/>
      <c r="U888" s="50"/>
      <c r="V888" s="43"/>
      <c r="W888" s="50"/>
      <c r="X888" s="43"/>
      <c r="Y888" s="50"/>
      <c r="Z888" s="43"/>
      <c r="AA888" s="50"/>
      <c r="AB888" s="43"/>
      <c r="AC888" s="50"/>
      <c r="AD888" s="43"/>
      <c r="AE888" s="50"/>
      <c r="AF888" s="43"/>
      <c r="AG888" s="50"/>
      <c r="AH888" s="43"/>
      <c r="AI888" s="50"/>
      <c r="AJ888" s="43"/>
      <c r="AK888" s="50"/>
      <c r="AL888" s="43"/>
      <c r="AM888" s="50"/>
      <c r="AO888" s="43"/>
      <c r="AP888" s="46"/>
      <c r="AQ888" s="43"/>
      <c r="AR888" s="119"/>
      <c r="AS888" s="1"/>
      <c r="AT888" s="1"/>
    </row>
    <row r="889">
      <c r="A889" s="43"/>
      <c r="B889" s="59" t="str">
        <f>IFERROR(HYPERLINK(VLOOKUP(A889,Internal_lists_bugs!$A$2:$C$73,3,FALSE()), VLOOKUP(A889,Internal_lists_bugs!$A$2:$C$73,3,FALSE())&amp;Char(10) &amp; Char(10) &amp; VLOOKUP(A889,Internal_lists_bugs!$A$2:$Z$73,26,FALSE())),"please select a BUG ID")</f>
        <v>please select a BUG ID</v>
      </c>
      <c r="C889" s="51" t="str">
        <f>IFERROR(VLOOKUP(A889,Internal_lists_bugs!$A$2:$G2003,7,FALSE()),"please select a BUG ID")</f>
        <v>please select a BUG ID</v>
      </c>
      <c r="D889" s="43"/>
      <c r="E889" s="63"/>
      <c r="F889" s="43"/>
      <c r="G889" s="63"/>
      <c r="H889" s="43"/>
      <c r="I889" s="63"/>
      <c r="J889" s="43"/>
      <c r="K889" s="50"/>
      <c r="L889" s="43"/>
      <c r="M889" s="50"/>
      <c r="N889" s="43"/>
      <c r="O889" s="50"/>
      <c r="P889" s="43"/>
      <c r="Q889" s="50"/>
      <c r="R889" s="43"/>
      <c r="S889" s="50"/>
      <c r="T889" s="43"/>
      <c r="U889" s="50"/>
      <c r="V889" s="43"/>
      <c r="W889" s="50"/>
      <c r="X889" s="43"/>
      <c r="Y889" s="50"/>
      <c r="Z889" s="43"/>
      <c r="AA889" s="50"/>
      <c r="AB889" s="43"/>
      <c r="AC889" s="50"/>
      <c r="AD889" s="43"/>
      <c r="AE889" s="50"/>
      <c r="AF889" s="43"/>
      <c r="AG889" s="50"/>
      <c r="AH889" s="43"/>
      <c r="AI889" s="50"/>
      <c r="AJ889" s="43"/>
      <c r="AK889" s="50"/>
      <c r="AL889" s="43"/>
      <c r="AM889" s="50"/>
      <c r="AO889" s="43"/>
      <c r="AP889" s="46"/>
      <c r="AQ889" s="43"/>
      <c r="AR889" s="119"/>
      <c r="AS889" s="1"/>
      <c r="AT889" s="1"/>
    </row>
    <row r="890">
      <c r="A890" s="43"/>
      <c r="B890" s="59" t="str">
        <f>IFERROR(HYPERLINK(VLOOKUP(A890,Internal_lists_bugs!$A$2:$C$73,3,FALSE()), VLOOKUP(A890,Internal_lists_bugs!$A$2:$C$73,3,FALSE())&amp;Char(10) &amp; Char(10) &amp; VLOOKUP(A890,Internal_lists_bugs!$A$2:$Z$73,26,FALSE())),"please select a BUG ID")</f>
        <v>please select a BUG ID</v>
      </c>
      <c r="C890" s="51" t="str">
        <f>IFERROR(VLOOKUP(A890,Internal_lists_bugs!$A$2:$G2003,7,FALSE()),"please select a BUG ID")</f>
        <v>please select a BUG ID</v>
      </c>
      <c r="D890" s="43"/>
      <c r="E890" s="63"/>
      <c r="F890" s="43"/>
      <c r="G890" s="63"/>
      <c r="H890" s="43"/>
      <c r="I890" s="63"/>
      <c r="J890" s="43"/>
      <c r="K890" s="50"/>
      <c r="L890" s="43"/>
      <c r="M890" s="50"/>
      <c r="N890" s="43"/>
      <c r="O890" s="50"/>
      <c r="P890" s="43"/>
      <c r="Q890" s="50"/>
      <c r="R890" s="43"/>
      <c r="S890" s="50"/>
      <c r="T890" s="43"/>
      <c r="U890" s="50"/>
      <c r="V890" s="43"/>
      <c r="W890" s="50"/>
      <c r="X890" s="43"/>
      <c r="Y890" s="50"/>
      <c r="Z890" s="43"/>
      <c r="AA890" s="50"/>
      <c r="AB890" s="43"/>
      <c r="AC890" s="50"/>
      <c r="AD890" s="43"/>
      <c r="AE890" s="50"/>
      <c r="AF890" s="43"/>
      <c r="AG890" s="50"/>
      <c r="AH890" s="43"/>
      <c r="AI890" s="50"/>
      <c r="AJ890" s="43"/>
      <c r="AK890" s="50"/>
      <c r="AL890" s="43"/>
      <c r="AM890" s="50"/>
      <c r="AO890" s="43"/>
      <c r="AP890" s="46"/>
      <c r="AQ890" s="43"/>
      <c r="AR890" s="119"/>
      <c r="AS890" s="1"/>
      <c r="AT890" s="1"/>
    </row>
    <row r="891">
      <c r="A891" s="43"/>
      <c r="B891" s="59" t="str">
        <f>IFERROR(HYPERLINK(VLOOKUP(A891,Internal_lists_bugs!$A$2:$C$73,3,FALSE()), VLOOKUP(A891,Internal_lists_bugs!$A$2:$C$73,3,FALSE())&amp;Char(10) &amp; Char(10) &amp; VLOOKUP(A891,Internal_lists_bugs!$A$2:$Z$73,26,FALSE())),"please select a BUG ID")</f>
        <v>please select a BUG ID</v>
      </c>
      <c r="C891" s="51" t="str">
        <f>IFERROR(VLOOKUP(A891,Internal_lists_bugs!$A$2:$G2003,7,FALSE()),"please select a BUG ID")</f>
        <v>please select a BUG ID</v>
      </c>
      <c r="D891" s="43"/>
      <c r="E891" s="63"/>
      <c r="F891" s="43"/>
      <c r="G891" s="63"/>
      <c r="H891" s="43"/>
      <c r="I891" s="63"/>
      <c r="J891" s="43"/>
      <c r="K891" s="50"/>
      <c r="L891" s="43"/>
      <c r="M891" s="50"/>
      <c r="N891" s="43"/>
      <c r="O891" s="50"/>
      <c r="P891" s="43"/>
      <c r="Q891" s="50"/>
      <c r="R891" s="43"/>
      <c r="S891" s="50"/>
      <c r="T891" s="43"/>
      <c r="U891" s="50"/>
      <c r="V891" s="43"/>
      <c r="W891" s="50"/>
      <c r="X891" s="43"/>
      <c r="Y891" s="50"/>
      <c r="Z891" s="43"/>
      <c r="AA891" s="50"/>
      <c r="AB891" s="43"/>
      <c r="AC891" s="50"/>
      <c r="AD891" s="43"/>
      <c r="AE891" s="50"/>
      <c r="AF891" s="43"/>
      <c r="AG891" s="50"/>
      <c r="AH891" s="43"/>
      <c r="AI891" s="50"/>
      <c r="AJ891" s="43"/>
      <c r="AK891" s="50"/>
      <c r="AL891" s="43"/>
      <c r="AM891" s="50"/>
      <c r="AO891" s="43"/>
      <c r="AP891" s="46"/>
      <c r="AQ891" s="43"/>
      <c r="AR891" s="119"/>
      <c r="AS891" s="1"/>
      <c r="AT891" s="1"/>
    </row>
    <row r="892">
      <c r="A892" s="43"/>
      <c r="B892" s="59" t="str">
        <f>IFERROR(HYPERLINK(VLOOKUP(A892,Internal_lists_bugs!$A$2:$C$73,3,FALSE()), VLOOKUP(A892,Internal_lists_bugs!$A$2:$C$73,3,FALSE())&amp;Char(10) &amp; Char(10) &amp; VLOOKUP(A892,Internal_lists_bugs!$A$2:$Z$73,26,FALSE())),"please select a BUG ID")</f>
        <v>please select a BUG ID</v>
      </c>
      <c r="C892" s="51" t="str">
        <f>IFERROR(VLOOKUP(A892,Internal_lists_bugs!$A$2:$G2003,7,FALSE()),"please select a BUG ID")</f>
        <v>please select a BUG ID</v>
      </c>
      <c r="D892" s="43"/>
      <c r="E892" s="63"/>
      <c r="F892" s="43"/>
      <c r="G892" s="63"/>
      <c r="H892" s="43"/>
      <c r="I892" s="63"/>
      <c r="J892" s="43"/>
      <c r="K892" s="50"/>
      <c r="L892" s="43"/>
      <c r="M892" s="50"/>
      <c r="N892" s="43"/>
      <c r="O892" s="50"/>
      <c r="P892" s="43"/>
      <c r="Q892" s="50"/>
      <c r="R892" s="43"/>
      <c r="S892" s="50"/>
      <c r="T892" s="43"/>
      <c r="U892" s="50"/>
      <c r="V892" s="43"/>
      <c r="W892" s="50"/>
      <c r="X892" s="43"/>
      <c r="Y892" s="50"/>
      <c r="Z892" s="43"/>
      <c r="AA892" s="50"/>
      <c r="AB892" s="43"/>
      <c r="AC892" s="50"/>
      <c r="AD892" s="43"/>
      <c r="AE892" s="50"/>
      <c r="AF892" s="43"/>
      <c r="AG892" s="50"/>
      <c r="AH892" s="43"/>
      <c r="AI892" s="50"/>
      <c r="AJ892" s="43"/>
      <c r="AK892" s="50"/>
      <c r="AL892" s="43"/>
      <c r="AM892" s="50"/>
      <c r="AO892" s="43"/>
      <c r="AP892" s="46"/>
      <c r="AQ892" s="43"/>
      <c r="AR892" s="119"/>
      <c r="AS892" s="1"/>
      <c r="AT892" s="1"/>
    </row>
    <row r="893">
      <c r="A893" s="43"/>
      <c r="B893" s="59" t="str">
        <f>IFERROR(HYPERLINK(VLOOKUP(A893,Internal_lists_bugs!$A$2:$C$73,3,FALSE()), VLOOKUP(A893,Internal_lists_bugs!$A$2:$C$73,3,FALSE())&amp;Char(10) &amp; Char(10) &amp; VLOOKUP(A893,Internal_lists_bugs!$A$2:$Z$73,26,FALSE())),"please select a BUG ID")</f>
        <v>please select a BUG ID</v>
      </c>
      <c r="C893" s="51" t="str">
        <f>IFERROR(VLOOKUP(A893,Internal_lists_bugs!$A$2:$G2003,7,FALSE()),"please select a BUG ID")</f>
        <v>please select a BUG ID</v>
      </c>
      <c r="D893" s="43"/>
      <c r="E893" s="63"/>
      <c r="F893" s="43"/>
      <c r="G893" s="63"/>
      <c r="H893" s="43"/>
      <c r="I893" s="63"/>
      <c r="J893" s="43"/>
      <c r="K893" s="50"/>
      <c r="L893" s="43"/>
      <c r="M893" s="50"/>
      <c r="N893" s="43"/>
      <c r="O893" s="50"/>
      <c r="P893" s="43"/>
      <c r="Q893" s="50"/>
      <c r="R893" s="43"/>
      <c r="S893" s="50"/>
      <c r="T893" s="43"/>
      <c r="U893" s="50"/>
      <c r="V893" s="43"/>
      <c r="W893" s="50"/>
      <c r="X893" s="43"/>
      <c r="Y893" s="50"/>
      <c r="Z893" s="43"/>
      <c r="AA893" s="50"/>
      <c r="AB893" s="43"/>
      <c r="AC893" s="50"/>
      <c r="AD893" s="43"/>
      <c r="AE893" s="50"/>
      <c r="AF893" s="43"/>
      <c r="AG893" s="50"/>
      <c r="AH893" s="43"/>
      <c r="AI893" s="50"/>
      <c r="AJ893" s="43"/>
      <c r="AK893" s="50"/>
      <c r="AL893" s="43"/>
      <c r="AM893" s="50"/>
      <c r="AO893" s="43"/>
      <c r="AP893" s="46"/>
      <c r="AQ893" s="43"/>
      <c r="AR893" s="119"/>
      <c r="AS893" s="1"/>
      <c r="AT893" s="1"/>
    </row>
    <row r="894">
      <c r="A894" s="43"/>
      <c r="B894" s="59" t="str">
        <f>IFERROR(HYPERLINK(VLOOKUP(A894,Internal_lists_bugs!$A$2:$C$73,3,FALSE()), VLOOKUP(A894,Internal_lists_bugs!$A$2:$C$73,3,FALSE())&amp;Char(10) &amp; Char(10) &amp; VLOOKUP(A894,Internal_lists_bugs!$A$2:$Z$73,26,FALSE())),"please select a BUG ID")</f>
        <v>please select a BUG ID</v>
      </c>
      <c r="C894" s="51" t="str">
        <f>IFERROR(VLOOKUP(A894,Internal_lists_bugs!$A$2:$G2003,7,FALSE()),"please select a BUG ID")</f>
        <v>please select a BUG ID</v>
      </c>
      <c r="D894" s="43"/>
      <c r="E894" s="63"/>
      <c r="F894" s="43"/>
      <c r="G894" s="63"/>
      <c r="H894" s="43"/>
      <c r="I894" s="63"/>
      <c r="J894" s="43"/>
      <c r="K894" s="50"/>
      <c r="L894" s="43"/>
      <c r="M894" s="50"/>
      <c r="N894" s="43"/>
      <c r="O894" s="50"/>
      <c r="P894" s="43"/>
      <c r="Q894" s="50"/>
      <c r="R894" s="43"/>
      <c r="S894" s="50"/>
      <c r="T894" s="43"/>
      <c r="U894" s="50"/>
      <c r="V894" s="43"/>
      <c r="W894" s="50"/>
      <c r="X894" s="43"/>
      <c r="Y894" s="50"/>
      <c r="Z894" s="43"/>
      <c r="AA894" s="50"/>
      <c r="AB894" s="43"/>
      <c r="AC894" s="50"/>
      <c r="AD894" s="43"/>
      <c r="AE894" s="50"/>
      <c r="AF894" s="43"/>
      <c r="AG894" s="50"/>
      <c r="AH894" s="43"/>
      <c r="AI894" s="50"/>
      <c r="AJ894" s="43"/>
      <c r="AK894" s="50"/>
      <c r="AL894" s="43"/>
      <c r="AM894" s="50"/>
      <c r="AO894" s="43"/>
      <c r="AP894" s="46"/>
      <c r="AQ894" s="43"/>
      <c r="AR894" s="119"/>
      <c r="AS894" s="1"/>
      <c r="AT894" s="1"/>
    </row>
    <row r="895">
      <c r="A895" s="43"/>
      <c r="B895" s="59" t="str">
        <f>IFERROR(HYPERLINK(VLOOKUP(A895,Internal_lists_bugs!$A$2:$C$73,3,FALSE()), VLOOKUP(A895,Internal_lists_bugs!$A$2:$C$73,3,FALSE())&amp;Char(10) &amp; Char(10) &amp; VLOOKUP(A895,Internal_lists_bugs!$A$2:$Z$73,26,FALSE())),"please select a BUG ID")</f>
        <v>please select a BUG ID</v>
      </c>
      <c r="C895" s="51" t="str">
        <f>IFERROR(VLOOKUP(A895,Internal_lists_bugs!$A$2:$G2003,7,FALSE()),"please select a BUG ID")</f>
        <v>please select a BUG ID</v>
      </c>
      <c r="D895" s="43"/>
      <c r="E895" s="63"/>
      <c r="F895" s="43"/>
      <c r="G895" s="63"/>
      <c r="H895" s="43"/>
      <c r="I895" s="63"/>
      <c r="J895" s="43"/>
      <c r="K895" s="50"/>
      <c r="L895" s="43"/>
      <c r="M895" s="50"/>
      <c r="N895" s="43"/>
      <c r="O895" s="50"/>
      <c r="P895" s="43"/>
      <c r="Q895" s="50"/>
      <c r="R895" s="43"/>
      <c r="S895" s="50"/>
      <c r="T895" s="43"/>
      <c r="U895" s="50"/>
      <c r="V895" s="43"/>
      <c r="W895" s="50"/>
      <c r="X895" s="43"/>
      <c r="Y895" s="50"/>
      <c r="Z895" s="43"/>
      <c r="AA895" s="50"/>
      <c r="AB895" s="43"/>
      <c r="AC895" s="50"/>
      <c r="AD895" s="43"/>
      <c r="AE895" s="50"/>
      <c r="AF895" s="43"/>
      <c r="AG895" s="50"/>
      <c r="AH895" s="43"/>
      <c r="AI895" s="50"/>
      <c r="AJ895" s="43"/>
      <c r="AK895" s="50"/>
      <c r="AL895" s="43"/>
      <c r="AM895" s="50"/>
      <c r="AO895" s="43"/>
      <c r="AP895" s="46"/>
      <c r="AQ895" s="43"/>
      <c r="AR895" s="119"/>
      <c r="AS895" s="1"/>
      <c r="AT895" s="1"/>
    </row>
    <row r="896">
      <c r="A896" s="43"/>
      <c r="B896" s="59" t="str">
        <f>IFERROR(HYPERLINK(VLOOKUP(A896,Internal_lists_bugs!$A$2:$C$73,3,FALSE()), VLOOKUP(A896,Internal_lists_bugs!$A$2:$C$73,3,FALSE())&amp;Char(10) &amp; Char(10) &amp; VLOOKUP(A896,Internal_lists_bugs!$A$2:$Z$73,26,FALSE())),"please select a BUG ID")</f>
        <v>please select a BUG ID</v>
      </c>
      <c r="C896" s="51" t="str">
        <f>IFERROR(VLOOKUP(A896,Internal_lists_bugs!$A$2:$G2003,7,FALSE()),"please select a BUG ID")</f>
        <v>please select a BUG ID</v>
      </c>
      <c r="D896" s="43"/>
      <c r="E896" s="63"/>
      <c r="F896" s="43"/>
      <c r="G896" s="63"/>
      <c r="H896" s="43"/>
      <c r="I896" s="63"/>
      <c r="J896" s="43"/>
      <c r="K896" s="50"/>
      <c r="L896" s="43"/>
      <c r="M896" s="50"/>
      <c r="N896" s="43"/>
      <c r="O896" s="50"/>
      <c r="P896" s="43"/>
      <c r="Q896" s="50"/>
      <c r="R896" s="43"/>
      <c r="S896" s="50"/>
      <c r="T896" s="43"/>
      <c r="U896" s="50"/>
      <c r="V896" s="43"/>
      <c r="W896" s="50"/>
      <c r="X896" s="43"/>
      <c r="Y896" s="50"/>
      <c r="Z896" s="43"/>
      <c r="AA896" s="50"/>
      <c r="AB896" s="43"/>
      <c r="AC896" s="50"/>
      <c r="AD896" s="43"/>
      <c r="AE896" s="50"/>
      <c r="AF896" s="43"/>
      <c r="AG896" s="50"/>
      <c r="AH896" s="43"/>
      <c r="AI896" s="50"/>
      <c r="AJ896" s="43"/>
      <c r="AK896" s="50"/>
      <c r="AL896" s="43"/>
      <c r="AM896" s="50"/>
      <c r="AO896" s="43"/>
      <c r="AP896" s="46"/>
      <c r="AQ896" s="43"/>
      <c r="AR896" s="119"/>
      <c r="AS896" s="1"/>
      <c r="AT896" s="1"/>
    </row>
    <row r="897">
      <c r="A897" s="43"/>
      <c r="B897" s="59" t="str">
        <f>IFERROR(HYPERLINK(VLOOKUP(A897,Internal_lists_bugs!$A$2:$C$73,3,FALSE()), VLOOKUP(A897,Internal_lists_bugs!$A$2:$C$73,3,FALSE())&amp;Char(10) &amp; Char(10) &amp; VLOOKUP(A897,Internal_lists_bugs!$A$2:$Z$73,26,FALSE())),"please select a BUG ID")</f>
        <v>please select a BUG ID</v>
      </c>
      <c r="C897" s="51" t="str">
        <f>IFERROR(VLOOKUP(A897,Internal_lists_bugs!$A$2:$G2003,7,FALSE()),"please select a BUG ID")</f>
        <v>please select a BUG ID</v>
      </c>
      <c r="D897" s="43"/>
      <c r="E897" s="63"/>
      <c r="F897" s="43"/>
      <c r="G897" s="63"/>
      <c r="H897" s="43"/>
      <c r="I897" s="63"/>
      <c r="J897" s="43"/>
      <c r="K897" s="50"/>
      <c r="L897" s="43"/>
      <c r="M897" s="50"/>
      <c r="N897" s="43"/>
      <c r="O897" s="50"/>
      <c r="P897" s="43"/>
      <c r="Q897" s="50"/>
      <c r="R897" s="43"/>
      <c r="S897" s="50"/>
      <c r="T897" s="43"/>
      <c r="U897" s="50"/>
      <c r="V897" s="43"/>
      <c r="W897" s="50"/>
      <c r="X897" s="43"/>
      <c r="Y897" s="50"/>
      <c r="Z897" s="43"/>
      <c r="AA897" s="50"/>
      <c r="AB897" s="43"/>
      <c r="AC897" s="50"/>
      <c r="AD897" s="43"/>
      <c r="AE897" s="50"/>
      <c r="AF897" s="43"/>
      <c r="AG897" s="50"/>
      <c r="AH897" s="43"/>
      <c r="AI897" s="50"/>
      <c r="AJ897" s="43"/>
      <c r="AK897" s="50"/>
      <c r="AL897" s="43"/>
      <c r="AM897" s="50"/>
      <c r="AO897" s="43"/>
      <c r="AP897" s="46"/>
      <c r="AQ897" s="43"/>
      <c r="AR897" s="119"/>
      <c r="AS897" s="1"/>
      <c r="AT897" s="1"/>
    </row>
    <row r="898">
      <c r="A898" s="43"/>
      <c r="B898" s="59" t="str">
        <f>IFERROR(HYPERLINK(VLOOKUP(A898,Internal_lists_bugs!$A$2:$C$73,3,FALSE()), VLOOKUP(A898,Internal_lists_bugs!$A$2:$C$73,3,FALSE())&amp;Char(10) &amp; Char(10) &amp; VLOOKUP(A898,Internal_lists_bugs!$A$2:$Z$73,26,FALSE())),"please select a BUG ID")</f>
        <v>please select a BUG ID</v>
      </c>
      <c r="C898" s="51" t="str">
        <f>IFERROR(VLOOKUP(A898,Internal_lists_bugs!$A$2:$G2003,7,FALSE()),"please select a BUG ID")</f>
        <v>please select a BUG ID</v>
      </c>
      <c r="D898" s="43"/>
      <c r="E898" s="63"/>
      <c r="F898" s="43"/>
      <c r="G898" s="63"/>
      <c r="H898" s="43"/>
      <c r="I898" s="63"/>
      <c r="J898" s="43"/>
      <c r="K898" s="50"/>
      <c r="L898" s="43"/>
      <c r="M898" s="50"/>
      <c r="N898" s="43"/>
      <c r="O898" s="50"/>
      <c r="P898" s="43"/>
      <c r="Q898" s="50"/>
      <c r="R898" s="43"/>
      <c r="S898" s="50"/>
      <c r="T898" s="43"/>
      <c r="U898" s="50"/>
      <c r="V898" s="43"/>
      <c r="W898" s="50"/>
      <c r="X898" s="43"/>
      <c r="Y898" s="50"/>
      <c r="Z898" s="43"/>
      <c r="AA898" s="50"/>
      <c r="AB898" s="43"/>
      <c r="AC898" s="50"/>
      <c r="AD898" s="43"/>
      <c r="AE898" s="50"/>
      <c r="AF898" s="43"/>
      <c r="AG898" s="50"/>
      <c r="AH898" s="43"/>
      <c r="AI898" s="50"/>
      <c r="AJ898" s="43"/>
      <c r="AK898" s="50"/>
      <c r="AL898" s="43"/>
      <c r="AM898" s="50"/>
      <c r="AO898" s="43"/>
      <c r="AP898" s="46"/>
      <c r="AQ898" s="43"/>
      <c r="AR898" s="119"/>
      <c r="AS898" s="1"/>
      <c r="AT898" s="1"/>
    </row>
    <row r="899">
      <c r="A899" s="43"/>
      <c r="B899" s="59" t="str">
        <f>IFERROR(HYPERLINK(VLOOKUP(A899,Internal_lists_bugs!$A$2:$C$73,3,FALSE()), VLOOKUP(A899,Internal_lists_bugs!$A$2:$C$73,3,FALSE())&amp;Char(10) &amp; Char(10) &amp; VLOOKUP(A899,Internal_lists_bugs!$A$2:$Z$73,26,FALSE())),"please select a BUG ID")</f>
        <v>please select a BUG ID</v>
      </c>
      <c r="C899" s="51" t="str">
        <f>IFERROR(VLOOKUP(A899,Internal_lists_bugs!$A$2:$G2003,7,FALSE()),"please select a BUG ID")</f>
        <v>please select a BUG ID</v>
      </c>
      <c r="D899" s="43"/>
      <c r="E899" s="63"/>
      <c r="F899" s="43"/>
      <c r="G899" s="63"/>
      <c r="H899" s="43"/>
      <c r="I899" s="63"/>
      <c r="J899" s="43"/>
      <c r="K899" s="50"/>
      <c r="L899" s="43"/>
      <c r="M899" s="50"/>
      <c r="N899" s="43"/>
      <c r="O899" s="50"/>
      <c r="P899" s="43"/>
      <c r="Q899" s="50"/>
      <c r="R899" s="43"/>
      <c r="S899" s="50"/>
      <c r="T899" s="43"/>
      <c r="U899" s="50"/>
      <c r="V899" s="43"/>
      <c r="W899" s="50"/>
      <c r="X899" s="43"/>
      <c r="Y899" s="50"/>
      <c r="Z899" s="43"/>
      <c r="AA899" s="50"/>
      <c r="AB899" s="43"/>
      <c r="AC899" s="50"/>
      <c r="AD899" s="43"/>
      <c r="AE899" s="50"/>
      <c r="AF899" s="43"/>
      <c r="AG899" s="50"/>
      <c r="AH899" s="43"/>
      <c r="AI899" s="50"/>
      <c r="AJ899" s="43"/>
      <c r="AK899" s="50"/>
      <c r="AL899" s="43"/>
      <c r="AM899" s="50"/>
      <c r="AO899" s="43"/>
      <c r="AP899" s="46"/>
      <c r="AQ899" s="43"/>
      <c r="AR899" s="119"/>
      <c r="AS899" s="1"/>
      <c r="AT899" s="1"/>
    </row>
    <row r="900">
      <c r="A900" s="43"/>
      <c r="B900" s="59" t="str">
        <f>IFERROR(HYPERLINK(VLOOKUP(A900,Internal_lists_bugs!$A$2:$C$73,3,FALSE()), VLOOKUP(A900,Internal_lists_bugs!$A$2:$C$73,3,FALSE())&amp;Char(10) &amp; Char(10) &amp; VLOOKUP(A900,Internal_lists_bugs!$A$2:$Z$73,26,FALSE())),"please select a BUG ID")</f>
        <v>please select a BUG ID</v>
      </c>
      <c r="C900" s="51" t="str">
        <f>IFERROR(VLOOKUP(A900,Internal_lists_bugs!$A$2:$G2003,7,FALSE()),"please select a BUG ID")</f>
        <v>please select a BUG ID</v>
      </c>
      <c r="D900" s="43"/>
      <c r="E900" s="63"/>
      <c r="F900" s="43"/>
      <c r="G900" s="63"/>
      <c r="H900" s="43"/>
      <c r="I900" s="63"/>
      <c r="J900" s="43"/>
      <c r="K900" s="50"/>
      <c r="L900" s="43"/>
      <c r="M900" s="50"/>
      <c r="N900" s="43"/>
      <c r="O900" s="50"/>
      <c r="P900" s="43"/>
      <c r="Q900" s="50"/>
      <c r="R900" s="43"/>
      <c r="S900" s="50"/>
      <c r="T900" s="43"/>
      <c r="U900" s="50"/>
      <c r="V900" s="43"/>
      <c r="W900" s="50"/>
      <c r="X900" s="43"/>
      <c r="Y900" s="50"/>
      <c r="Z900" s="43"/>
      <c r="AA900" s="50"/>
      <c r="AB900" s="43"/>
      <c r="AC900" s="50"/>
      <c r="AD900" s="43"/>
      <c r="AE900" s="50"/>
      <c r="AF900" s="43"/>
      <c r="AG900" s="50"/>
      <c r="AH900" s="43"/>
      <c r="AI900" s="50"/>
      <c r="AJ900" s="43"/>
      <c r="AK900" s="50"/>
      <c r="AL900" s="43"/>
      <c r="AM900" s="50"/>
      <c r="AO900" s="43"/>
      <c r="AP900" s="46"/>
      <c r="AQ900" s="43"/>
      <c r="AR900" s="119"/>
      <c r="AS900" s="1"/>
      <c r="AT900" s="1"/>
    </row>
    <row r="901">
      <c r="A901" s="43"/>
      <c r="B901" s="59" t="str">
        <f>IFERROR(HYPERLINK(VLOOKUP(A901,Internal_lists_bugs!$A$2:$C$73,3,FALSE()), VLOOKUP(A901,Internal_lists_bugs!$A$2:$C$73,3,FALSE())&amp;Char(10) &amp; Char(10) &amp; VLOOKUP(A901,Internal_lists_bugs!$A$2:$Z$73,26,FALSE())),"please select a BUG ID")</f>
        <v>please select a BUG ID</v>
      </c>
      <c r="C901" s="51" t="str">
        <f>IFERROR(VLOOKUP(A901,Internal_lists_bugs!$A$2:$G2003,7,FALSE()),"please select a BUG ID")</f>
        <v>please select a BUG ID</v>
      </c>
      <c r="D901" s="43"/>
      <c r="E901" s="63"/>
      <c r="F901" s="43"/>
      <c r="G901" s="63"/>
      <c r="H901" s="43"/>
      <c r="I901" s="63"/>
      <c r="J901" s="43"/>
      <c r="K901" s="50"/>
      <c r="L901" s="43"/>
      <c r="M901" s="50"/>
      <c r="N901" s="43"/>
      <c r="O901" s="50"/>
      <c r="P901" s="43"/>
      <c r="Q901" s="50"/>
      <c r="R901" s="43"/>
      <c r="S901" s="50"/>
      <c r="T901" s="43"/>
      <c r="U901" s="50"/>
      <c r="V901" s="43"/>
      <c r="W901" s="50"/>
      <c r="X901" s="43"/>
      <c r="Y901" s="50"/>
      <c r="Z901" s="43"/>
      <c r="AA901" s="50"/>
      <c r="AB901" s="43"/>
      <c r="AC901" s="50"/>
      <c r="AD901" s="43"/>
      <c r="AE901" s="50"/>
      <c r="AF901" s="43"/>
      <c r="AG901" s="50"/>
      <c r="AH901" s="43"/>
      <c r="AI901" s="50"/>
      <c r="AJ901" s="43"/>
      <c r="AK901" s="50"/>
      <c r="AL901" s="43"/>
      <c r="AM901" s="50"/>
      <c r="AO901" s="43"/>
      <c r="AP901" s="46"/>
      <c r="AQ901" s="43"/>
      <c r="AR901" s="119"/>
      <c r="AS901" s="1"/>
      <c r="AT901" s="1"/>
    </row>
    <row r="902">
      <c r="A902" s="43"/>
      <c r="B902" s="59" t="str">
        <f>IFERROR(HYPERLINK(VLOOKUP(A902,Internal_lists_bugs!$A$2:$C$73,3,FALSE()), VLOOKUP(A902,Internal_lists_bugs!$A$2:$C$73,3,FALSE())&amp;Char(10) &amp; Char(10) &amp; VLOOKUP(A902,Internal_lists_bugs!$A$2:$Z$73,26,FALSE())),"please select a BUG ID")</f>
        <v>please select a BUG ID</v>
      </c>
      <c r="C902" s="51" t="str">
        <f>IFERROR(VLOOKUP(A902,Internal_lists_bugs!$A$2:$G2003,7,FALSE()),"please select a BUG ID")</f>
        <v>please select a BUG ID</v>
      </c>
      <c r="D902" s="43"/>
      <c r="E902" s="63"/>
      <c r="F902" s="43"/>
      <c r="G902" s="63"/>
      <c r="H902" s="43"/>
      <c r="I902" s="63"/>
      <c r="J902" s="43"/>
      <c r="K902" s="50"/>
      <c r="L902" s="43"/>
      <c r="M902" s="50"/>
      <c r="N902" s="43"/>
      <c r="O902" s="50"/>
      <c r="P902" s="43"/>
      <c r="Q902" s="50"/>
      <c r="R902" s="43"/>
      <c r="S902" s="50"/>
      <c r="T902" s="43"/>
      <c r="U902" s="50"/>
      <c r="V902" s="43"/>
      <c r="W902" s="50"/>
      <c r="X902" s="43"/>
      <c r="Y902" s="50"/>
      <c r="Z902" s="43"/>
      <c r="AA902" s="50"/>
      <c r="AB902" s="43"/>
      <c r="AC902" s="50"/>
      <c r="AD902" s="43"/>
      <c r="AE902" s="50"/>
      <c r="AF902" s="43"/>
      <c r="AG902" s="50"/>
      <c r="AH902" s="43"/>
      <c r="AI902" s="50"/>
      <c r="AJ902" s="43"/>
      <c r="AK902" s="50"/>
      <c r="AL902" s="43"/>
      <c r="AM902" s="50"/>
      <c r="AO902" s="43"/>
      <c r="AP902" s="46"/>
      <c r="AQ902" s="43"/>
      <c r="AR902" s="119"/>
      <c r="AS902" s="1"/>
      <c r="AT902" s="1"/>
    </row>
    <row r="903">
      <c r="A903" s="43"/>
      <c r="B903" s="59" t="str">
        <f>IFERROR(HYPERLINK(VLOOKUP(A903,Internal_lists_bugs!$A$2:$C$73,3,FALSE()), VLOOKUP(A903,Internal_lists_bugs!$A$2:$C$73,3,FALSE())&amp;Char(10) &amp; Char(10) &amp; VLOOKUP(A903,Internal_lists_bugs!$A$2:$Z$73,26,FALSE())),"please select a BUG ID")</f>
        <v>please select a BUG ID</v>
      </c>
      <c r="C903" s="51" t="str">
        <f>IFERROR(VLOOKUP(A903,Internal_lists_bugs!$A$2:$G2003,7,FALSE()),"please select a BUG ID")</f>
        <v>please select a BUG ID</v>
      </c>
      <c r="D903" s="43"/>
      <c r="E903" s="63"/>
      <c r="F903" s="43"/>
      <c r="G903" s="63"/>
      <c r="H903" s="43"/>
      <c r="I903" s="63"/>
      <c r="J903" s="43"/>
      <c r="K903" s="50"/>
      <c r="L903" s="43"/>
      <c r="M903" s="50"/>
      <c r="N903" s="43"/>
      <c r="O903" s="50"/>
      <c r="P903" s="43"/>
      <c r="Q903" s="50"/>
      <c r="R903" s="43"/>
      <c r="S903" s="50"/>
      <c r="T903" s="43"/>
      <c r="U903" s="50"/>
      <c r="V903" s="43"/>
      <c r="W903" s="50"/>
      <c r="X903" s="43"/>
      <c r="Y903" s="50"/>
      <c r="Z903" s="43"/>
      <c r="AA903" s="50"/>
      <c r="AB903" s="43"/>
      <c r="AC903" s="50"/>
      <c r="AD903" s="43"/>
      <c r="AE903" s="50"/>
      <c r="AF903" s="43"/>
      <c r="AG903" s="50"/>
      <c r="AH903" s="43"/>
      <c r="AI903" s="50"/>
      <c r="AJ903" s="43"/>
      <c r="AK903" s="50"/>
      <c r="AL903" s="43"/>
      <c r="AM903" s="50"/>
      <c r="AO903" s="43"/>
      <c r="AP903" s="46"/>
      <c r="AQ903" s="43"/>
      <c r="AR903" s="119"/>
      <c r="AS903" s="1"/>
      <c r="AT903" s="1"/>
    </row>
    <row r="904">
      <c r="A904" s="43"/>
      <c r="B904" s="59" t="str">
        <f>IFERROR(HYPERLINK(VLOOKUP(A904,Internal_lists_bugs!$A$2:$C$73,3,FALSE()), VLOOKUP(A904,Internal_lists_bugs!$A$2:$C$73,3,FALSE())&amp;Char(10) &amp; Char(10) &amp; VLOOKUP(A904,Internal_lists_bugs!$A$2:$Z$73,26,FALSE())),"please select a BUG ID")</f>
        <v>please select a BUG ID</v>
      </c>
      <c r="C904" s="51" t="str">
        <f>IFERROR(VLOOKUP(A904,Internal_lists_bugs!$A$2:$G2003,7,FALSE()),"please select a BUG ID")</f>
        <v>please select a BUG ID</v>
      </c>
      <c r="D904" s="43"/>
      <c r="E904" s="63"/>
      <c r="F904" s="43"/>
      <c r="G904" s="63"/>
      <c r="H904" s="43"/>
      <c r="I904" s="63"/>
      <c r="J904" s="43"/>
      <c r="K904" s="50"/>
      <c r="L904" s="43"/>
      <c r="M904" s="50"/>
      <c r="N904" s="43"/>
      <c r="O904" s="50"/>
      <c r="P904" s="43"/>
      <c r="Q904" s="50"/>
      <c r="R904" s="43"/>
      <c r="S904" s="50"/>
      <c r="T904" s="43"/>
      <c r="U904" s="50"/>
      <c r="V904" s="43"/>
      <c r="W904" s="50"/>
      <c r="X904" s="43"/>
      <c r="Y904" s="50"/>
      <c r="Z904" s="43"/>
      <c r="AA904" s="50"/>
      <c r="AB904" s="43"/>
      <c r="AC904" s="50"/>
      <c r="AD904" s="43"/>
      <c r="AE904" s="50"/>
      <c r="AF904" s="43"/>
      <c r="AG904" s="50"/>
      <c r="AH904" s="43"/>
      <c r="AI904" s="50"/>
      <c r="AJ904" s="43"/>
      <c r="AK904" s="50"/>
      <c r="AL904" s="43"/>
      <c r="AM904" s="50"/>
      <c r="AO904" s="43"/>
      <c r="AP904" s="46"/>
      <c r="AQ904" s="43"/>
      <c r="AR904" s="119"/>
      <c r="AS904" s="1"/>
      <c r="AT904" s="1"/>
    </row>
    <row r="905">
      <c r="A905" s="43"/>
      <c r="B905" s="59" t="str">
        <f>IFERROR(HYPERLINK(VLOOKUP(A905,Internal_lists_bugs!$A$2:$C$73,3,FALSE()), VLOOKUP(A905,Internal_lists_bugs!$A$2:$C$73,3,FALSE())&amp;Char(10) &amp; Char(10) &amp; VLOOKUP(A905,Internal_lists_bugs!$A$2:$Z$73,26,FALSE())),"please select a BUG ID")</f>
        <v>please select a BUG ID</v>
      </c>
      <c r="C905" s="51" t="str">
        <f>IFERROR(VLOOKUP(A905,Internal_lists_bugs!$A$2:$G2003,7,FALSE()),"please select a BUG ID")</f>
        <v>please select a BUG ID</v>
      </c>
      <c r="D905" s="43"/>
      <c r="E905" s="63"/>
      <c r="F905" s="43"/>
      <c r="G905" s="63"/>
      <c r="H905" s="43"/>
      <c r="I905" s="63"/>
      <c r="J905" s="43"/>
      <c r="K905" s="50"/>
      <c r="L905" s="43"/>
      <c r="M905" s="50"/>
      <c r="N905" s="43"/>
      <c r="O905" s="50"/>
      <c r="P905" s="43"/>
      <c r="Q905" s="50"/>
      <c r="R905" s="43"/>
      <c r="S905" s="50"/>
      <c r="T905" s="43"/>
      <c r="U905" s="50"/>
      <c r="V905" s="43"/>
      <c r="W905" s="50"/>
      <c r="X905" s="43"/>
      <c r="Y905" s="50"/>
      <c r="Z905" s="43"/>
      <c r="AA905" s="50"/>
      <c r="AB905" s="43"/>
      <c r="AC905" s="50"/>
      <c r="AD905" s="43"/>
      <c r="AE905" s="50"/>
      <c r="AF905" s="43"/>
      <c r="AG905" s="50"/>
      <c r="AH905" s="43"/>
      <c r="AI905" s="50"/>
      <c r="AJ905" s="43"/>
      <c r="AK905" s="50"/>
      <c r="AL905" s="43"/>
      <c r="AM905" s="50"/>
      <c r="AO905" s="43"/>
      <c r="AP905" s="46"/>
      <c r="AQ905" s="43"/>
      <c r="AR905" s="119"/>
      <c r="AS905" s="1"/>
      <c r="AT905" s="1"/>
    </row>
    <row r="906">
      <c r="A906" s="43"/>
      <c r="B906" s="59" t="str">
        <f>IFERROR(HYPERLINK(VLOOKUP(A906,Internal_lists_bugs!$A$2:$C$73,3,FALSE()), VLOOKUP(A906,Internal_lists_bugs!$A$2:$C$73,3,FALSE())&amp;Char(10) &amp; Char(10) &amp; VLOOKUP(A906,Internal_lists_bugs!$A$2:$Z$73,26,FALSE())),"please select a BUG ID")</f>
        <v>please select a BUG ID</v>
      </c>
      <c r="C906" s="51" t="str">
        <f>IFERROR(VLOOKUP(A906,Internal_lists_bugs!$A$2:$G2003,7,FALSE()),"please select a BUG ID")</f>
        <v>please select a BUG ID</v>
      </c>
      <c r="D906" s="43"/>
      <c r="E906" s="63"/>
      <c r="F906" s="43"/>
      <c r="G906" s="63"/>
      <c r="H906" s="43"/>
      <c r="I906" s="63"/>
      <c r="J906" s="43"/>
      <c r="K906" s="50"/>
      <c r="L906" s="43"/>
      <c r="M906" s="50"/>
      <c r="N906" s="43"/>
      <c r="O906" s="50"/>
      <c r="P906" s="43"/>
      <c r="Q906" s="50"/>
      <c r="R906" s="43"/>
      <c r="S906" s="50"/>
      <c r="T906" s="43"/>
      <c r="U906" s="50"/>
      <c r="V906" s="43"/>
      <c r="W906" s="50"/>
      <c r="X906" s="43"/>
      <c r="Y906" s="50"/>
      <c r="Z906" s="43"/>
      <c r="AA906" s="50"/>
      <c r="AB906" s="43"/>
      <c r="AC906" s="50"/>
      <c r="AD906" s="43"/>
      <c r="AE906" s="50"/>
      <c r="AF906" s="43"/>
      <c r="AG906" s="50"/>
      <c r="AH906" s="43"/>
      <c r="AI906" s="50"/>
      <c r="AJ906" s="43"/>
      <c r="AK906" s="50"/>
      <c r="AL906" s="43"/>
      <c r="AM906" s="50"/>
      <c r="AO906" s="43"/>
      <c r="AP906" s="46"/>
      <c r="AQ906" s="43"/>
      <c r="AR906" s="119"/>
      <c r="AS906" s="1"/>
      <c r="AT906" s="1"/>
    </row>
    <row r="907">
      <c r="A907" s="43"/>
      <c r="B907" s="59" t="str">
        <f>IFERROR(HYPERLINK(VLOOKUP(A907,Internal_lists_bugs!$A$2:$C$73,3,FALSE()), VLOOKUP(A907,Internal_lists_bugs!$A$2:$C$73,3,FALSE())&amp;Char(10) &amp; Char(10) &amp; VLOOKUP(A907,Internal_lists_bugs!$A$2:$Z$73,26,FALSE())),"please select a BUG ID")</f>
        <v>please select a BUG ID</v>
      </c>
      <c r="C907" s="51" t="str">
        <f>IFERROR(VLOOKUP(A907,Internal_lists_bugs!$A$2:$G2003,7,FALSE()),"please select a BUG ID")</f>
        <v>please select a BUG ID</v>
      </c>
      <c r="D907" s="43"/>
      <c r="E907" s="63"/>
      <c r="F907" s="43"/>
      <c r="G907" s="63"/>
      <c r="H907" s="43"/>
      <c r="I907" s="63"/>
      <c r="J907" s="43"/>
      <c r="K907" s="50"/>
      <c r="L907" s="43"/>
      <c r="M907" s="50"/>
      <c r="N907" s="43"/>
      <c r="O907" s="50"/>
      <c r="P907" s="43"/>
      <c r="Q907" s="50"/>
      <c r="R907" s="43"/>
      <c r="S907" s="50"/>
      <c r="T907" s="43"/>
      <c r="U907" s="50"/>
      <c r="V907" s="43"/>
      <c r="W907" s="50"/>
      <c r="X907" s="43"/>
      <c r="Y907" s="50"/>
      <c r="Z907" s="43"/>
      <c r="AA907" s="50"/>
      <c r="AB907" s="43"/>
      <c r="AC907" s="50"/>
      <c r="AD907" s="43"/>
      <c r="AE907" s="50"/>
      <c r="AF907" s="43"/>
      <c r="AG907" s="50"/>
      <c r="AH907" s="43"/>
      <c r="AI907" s="50"/>
      <c r="AJ907" s="43"/>
      <c r="AK907" s="50"/>
      <c r="AL907" s="43"/>
      <c r="AM907" s="50"/>
      <c r="AO907" s="43"/>
      <c r="AP907" s="46"/>
      <c r="AQ907" s="43"/>
      <c r="AR907" s="119"/>
      <c r="AS907" s="1"/>
      <c r="AT907" s="1"/>
    </row>
    <row r="908">
      <c r="A908" s="43"/>
      <c r="B908" s="59" t="str">
        <f>IFERROR(HYPERLINK(VLOOKUP(A908,Internal_lists_bugs!$A$2:$C$73,3,FALSE()), VLOOKUP(A908,Internal_lists_bugs!$A$2:$C$73,3,FALSE())&amp;Char(10) &amp; Char(10) &amp; VLOOKUP(A908,Internal_lists_bugs!$A$2:$Z$73,26,FALSE())),"please select a BUG ID")</f>
        <v>please select a BUG ID</v>
      </c>
      <c r="C908" s="51" t="str">
        <f>IFERROR(VLOOKUP(A908,Internal_lists_bugs!$A$2:$G2003,7,FALSE()),"please select a BUG ID")</f>
        <v>please select a BUG ID</v>
      </c>
      <c r="D908" s="43"/>
      <c r="E908" s="63"/>
      <c r="F908" s="43"/>
      <c r="G908" s="63"/>
      <c r="H908" s="43"/>
      <c r="I908" s="63"/>
      <c r="J908" s="43"/>
      <c r="K908" s="50"/>
      <c r="L908" s="43"/>
      <c r="M908" s="50"/>
      <c r="N908" s="43"/>
      <c r="O908" s="50"/>
      <c r="P908" s="43"/>
      <c r="Q908" s="50"/>
      <c r="R908" s="43"/>
      <c r="S908" s="50"/>
      <c r="T908" s="43"/>
      <c r="U908" s="50"/>
      <c r="V908" s="43"/>
      <c r="W908" s="50"/>
      <c r="X908" s="43"/>
      <c r="Y908" s="50"/>
      <c r="Z908" s="43"/>
      <c r="AA908" s="50"/>
      <c r="AB908" s="43"/>
      <c r="AC908" s="50"/>
      <c r="AD908" s="43"/>
      <c r="AE908" s="50"/>
      <c r="AF908" s="43"/>
      <c r="AG908" s="50"/>
      <c r="AH908" s="43"/>
      <c r="AI908" s="50"/>
      <c r="AJ908" s="43"/>
      <c r="AK908" s="50"/>
      <c r="AL908" s="43"/>
      <c r="AM908" s="50"/>
      <c r="AO908" s="43"/>
      <c r="AP908" s="46"/>
      <c r="AQ908" s="43"/>
      <c r="AR908" s="119"/>
      <c r="AS908" s="1"/>
      <c r="AT908" s="1"/>
    </row>
    <row r="909">
      <c r="A909" s="43"/>
      <c r="B909" s="59" t="str">
        <f>IFERROR(HYPERLINK(VLOOKUP(A909,Internal_lists_bugs!$A$2:$C$73,3,FALSE()), VLOOKUP(A909,Internal_lists_bugs!$A$2:$C$73,3,FALSE())&amp;Char(10) &amp; Char(10) &amp; VLOOKUP(A909,Internal_lists_bugs!$A$2:$Z$73,26,FALSE())),"please select a BUG ID")</f>
        <v>please select a BUG ID</v>
      </c>
      <c r="C909" s="51" t="str">
        <f>IFERROR(VLOOKUP(A909,Internal_lists_bugs!$A$2:$G2003,7,FALSE()),"please select a BUG ID")</f>
        <v>please select a BUG ID</v>
      </c>
      <c r="D909" s="43"/>
      <c r="E909" s="63"/>
      <c r="F909" s="43"/>
      <c r="G909" s="63"/>
      <c r="H909" s="43"/>
      <c r="I909" s="63"/>
      <c r="J909" s="43"/>
      <c r="K909" s="50"/>
      <c r="L909" s="43"/>
      <c r="M909" s="50"/>
      <c r="N909" s="43"/>
      <c r="O909" s="50"/>
      <c r="P909" s="43"/>
      <c r="Q909" s="50"/>
      <c r="R909" s="43"/>
      <c r="S909" s="50"/>
      <c r="T909" s="43"/>
      <c r="U909" s="50"/>
      <c r="V909" s="43"/>
      <c r="W909" s="50"/>
      <c r="X909" s="43"/>
      <c r="Y909" s="50"/>
      <c r="Z909" s="43"/>
      <c r="AA909" s="50"/>
      <c r="AB909" s="43"/>
      <c r="AC909" s="50"/>
      <c r="AD909" s="43"/>
      <c r="AE909" s="50"/>
      <c r="AF909" s="43"/>
      <c r="AG909" s="50"/>
      <c r="AH909" s="43"/>
      <c r="AI909" s="50"/>
      <c r="AJ909" s="43"/>
      <c r="AK909" s="50"/>
      <c r="AL909" s="43"/>
      <c r="AM909" s="50"/>
      <c r="AO909" s="43"/>
      <c r="AP909" s="46"/>
      <c r="AQ909" s="43"/>
      <c r="AR909" s="119"/>
      <c r="AS909" s="1"/>
      <c r="AT909" s="1"/>
    </row>
    <row r="910">
      <c r="A910" s="43"/>
      <c r="B910" s="59" t="str">
        <f>IFERROR(HYPERLINK(VLOOKUP(A910,Internal_lists_bugs!$A$2:$C$73,3,FALSE()), VLOOKUP(A910,Internal_lists_bugs!$A$2:$C$73,3,FALSE())&amp;Char(10) &amp; Char(10) &amp; VLOOKUP(A910,Internal_lists_bugs!$A$2:$Z$73,26,FALSE())),"please select a BUG ID")</f>
        <v>please select a BUG ID</v>
      </c>
      <c r="C910" s="51" t="str">
        <f>IFERROR(VLOOKUP(A910,Internal_lists_bugs!$A$2:$G2003,7,FALSE()),"please select a BUG ID")</f>
        <v>please select a BUG ID</v>
      </c>
      <c r="D910" s="43"/>
      <c r="E910" s="63"/>
      <c r="F910" s="43"/>
      <c r="G910" s="63"/>
      <c r="H910" s="43"/>
      <c r="I910" s="63"/>
      <c r="J910" s="43"/>
      <c r="K910" s="50"/>
      <c r="L910" s="43"/>
      <c r="M910" s="50"/>
      <c r="N910" s="43"/>
      <c r="O910" s="50"/>
      <c r="P910" s="43"/>
      <c r="Q910" s="50"/>
      <c r="R910" s="43"/>
      <c r="S910" s="50"/>
      <c r="T910" s="43"/>
      <c r="U910" s="50"/>
      <c r="V910" s="43"/>
      <c r="W910" s="50"/>
      <c r="X910" s="43"/>
      <c r="Y910" s="50"/>
      <c r="Z910" s="43"/>
      <c r="AA910" s="50"/>
      <c r="AB910" s="43"/>
      <c r="AC910" s="50"/>
      <c r="AD910" s="43"/>
      <c r="AE910" s="50"/>
      <c r="AF910" s="43"/>
      <c r="AG910" s="50"/>
      <c r="AH910" s="43"/>
      <c r="AI910" s="50"/>
      <c r="AJ910" s="43"/>
      <c r="AK910" s="50"/>
      <c r="AL910" s="43"/>
      <c r="AM910" s="50"/>
      <c r="AO910" s="43"/>
      <c r="AP910" s="46"/>
      <c r="AQ910" s="43"/>
      <c r="AR910" s="119"/>
      <c r="AS910" s="1"/>
      <c r="AT910" s="1"/>
    </row>
    <row r="911">
      <c r="A911" s="43"/>
      <c r="B911" s="59" t="str">
        <f>IFERROR(HYPERLINK(VLOOKUP(A911,Internal_lists_bugs!$A$2:$C$73,3,FALSE()), VLOOKUP(A911,Internal_lists_bugs!$A$2:$C$73,3,FALSE())&amp;Char(10) &amp; Char(10) &amp; VLOOKUP(A911,Internal_lists_bugs!$A$2:$Z$73,26,FALSE())),"please select a BUG ID")</f>
        <v>please select a BUG ID</v>
      </c>
      <c r="C911" s="51" t="str">
        <f>IFERROR(VLOOKUP(A911,Internal_lists_bugs!$A$2:$G2003,7,FALSE()),"please select a BUG ID")</f>
        <v>please select a BUG ID</v>
      </c>
      <c r="D911" s="43"/>
      <c r="E911" s="63"/>
      <c r="F911" s="43"/>
      <c r="G911" s="63"/>
      <c r="H911" s="43"/>
      <c r="I911" s="63"/>
      <c r="J911" s="43"/>
      <c r="K911" s="50"/>
      <c r="L911" s="43"/>
      <c r="M911" s="50"/>
      <c r="N911" s="43"/>
      <c r="O911" s="50"/>
      <c r="P911" s="43"/>
      <c r="Q911" s="50"/>
      <c r="R911" s="43"/>
      <c r="S911" s="50"/>
      <c r="T911" s="43"/>
      <c r="U911" s="50"/>
      <c r="V911" s="43"/>
      <c r="W911" s="50"/>
      <c r="X911" s="43"/>
      <c r="Y911" s="50"/>
      <c r="Z911" s="43"/>
      <c r="AA911" s="50"/>
      <c r="AB911" s="43"/>
      <c r="AC911" s="50"/>
      <c r="AD911" s="43"/>
      <c r="AE911" s="50"/>
      <c r="AF911" s="43"/>
      <c r="AG911" s="50"/>
      <c r="AH911" s="43"/>
      <c r="AI911" s="50"/>
      <c r="AJ911" s="43"/>
      <c r="AK911" s="50"/>
      <c r="AL911" s="43"/>
      <c r="AM911" s="50"/>
      <c r="AO911" s="43"/>
      <c r="AP911" s="46"/>
      <c r="AQ911" s="43"/>
      <c r="AR911" s="119"/>
      <c r="AS911" s="1"/>
      <c r="AT911" s="1"/>
    </row>
    <row r="912">
      <c r="A912" s="43"/>
      <c r="B912" s="59" t="str">
        <f>IFERROR(HYPERLINK(VLOOKUP(A912,Internal_lists_bugs!$A$2:$C$73,3,FALSE()), VLOOKUP(A912,Internal_lists_bugs!$A$2:$C$73,3,FALSE())&amp;Char(10) &amp; Char(10) &amp; VLOOKUP(A912,Internal_lists_bugs!$A$2:$Z$73,26,FALSE())),"please select a BUG ID")</f>
        <v>please select a BUG ID</v>
      </c>
      <c r="C912" s="51" t="str">
        <f>IFERROR(VLOOKUP(A912,Internal_lists_bugs!$A$2:$G2003,7,FALSE()),"please select a BUG ID")</f>
        <v>please select a BUG ID</v>
      </c>
      <c r="D912" s="43"/>
      <c r="E912" s="63"/>
      <c r="F912" s="43"/>
      <c r="G912" s="63"/>
      <c r="H912" s="43"/>
      <c r="I912" s="63"/>
      <c r="J912" s="43"/>
      <c r="K912" s="50"/>
      <c r="L912" s="43"/>
      <c r="M912" s="50"/>
      <c r="N912" s="43"/>
      <c r="O912" s="50"/>
      <c r="P912" s="43"/>
      <c r="Q912" s="50"/>
      <c r="R912" s="43"/>
      <c r="S912" s="50"/>
      <c r="T912" s="43"/>
      <c r="U912" s="50"/>
      <c r="V912" s="43"/>
      <c r="W912" s="50"/>
      <c r="X912" s="43"/>
      <c r="Y912" s="50"/>
      <c r="Z912" s="43"/>
      <c r="AA912" s="50"/>
      <c r="AB912" s="43"/>
      <c r="AC912" s="50"/>
      <c r="AD912" s="43"/>
      <c r="AE912" s="50"/>
      <c r="AF912" s="43"/>
      <c r="AG912" s="50"/>
      <c r="AH912" s="43"/>
      <c r="AI912" s="50"/>
      <c r="AJ912" s="43"/>
      <c r="AK912" s="50"/>
      <c r="AL912" s="43"/>
      <c r="AM912" s="50"/>
      <c r="AO912" s="43"/>
      <c r="AP912" s="46"/>
      <c r="AQ912" s="43"/>
      <c r="AR912" s="119"/>
      <c r="AS912" s="1"/>
      <c r="AT912" s="1"/>
    </row>
    <row r="913">
      <c r="A913" s="43"/>
      <c r="B913" s="59" t="str">
        <f>IFERROR(HYPERLINK(VLOOKUP(A913,Internal_lists_bugs!$A$2:$C$73,3,FALSE()), VLOOKUP(A913,Internal_lists_bugs!$A$2:$C$73,3,FALSE())&amp;Char(10) &amp; Char(10) &amp; VLOOKUP(A913,Internal_lists_bugs!$A$2:$Z$73,26,FALSE())),"please select a BUG ID")</f>
        <v>please select a BUG ID</v>
      </c>
      <c r="C913" s="51" t="str">
        <f>IFERROR(VLOOKUP(A913,Internal_lists_bugs!$A$2:$G2003,7,FALSE()),"please select a BUG ID")</f>
        <v>please select a BUG ID</v>
      </c>
      <c r="D913" s="43"/>
      <c r="E913" s="63"/>
      <c r="F913" s="43"/>
      <c r="G913" s="63"/>
      <c r="H913" s="43"/>
      <c r="I913" s="63"/>
      <c r="J913" s="43"/>
      <c r="K913" s="50"/>
      <c r="L913" s="43"/>
      <c r="M913" s="50"/>
      <c r="N913" s="43"/>
      <c r="O913" s="50"/>
      <c r="P913" s="43"/>
      <c r="Q913" s="50"/>
      <c r="R913" s="43"/>
      <c r="S913" s="50"/>
      <c r="T913" s="43"/>
      <c r="U913" s="50"/>
      <c r="V913" s="43"/>
      <c r="W913" s="50"/>
      <c r="X913" s="43"/>
      <c r="Y913" s="50"/>
      <c r="Z913" s="43"/>
      <c r="AA913" s="50"/>
      <c r="AB913" s="43"/>
      <c r="AC913" s="50"/>
      <c r="AD913" s="43"/>
      <c r="AE913" s="50"/>
      <c r="AF913" s="43"/>
      <c r="AG913" s="50"/>
      <c r="AH913" s="43"/>
      <c r="AI913" s="50"/>
      <c r="AJ913" s="43"/>
      <c r="AK913" s="50"/>
      <c r="AL913" s="43"/>
      <c r="AM913" s="50"/>
      <c r="AO913" s="43"/>
      <c r="AP913" s="46"/>
      <c r="AQ913" s="43"/>
      <c r="AR913" s="119"/>
      <c r="AS913" s="1"/>
      <c r="AT913" s="1"/>
    </row>
    <row r="914">
      <c r="A914" s="43"/>
      <c r="B914" s="59" t="str">
        <f>IFERROR(HYPERLINK(VLOOKUP(A914,Internal_lists_bugs!$A$2:$C$73,3,FALSE()), VLOOKUP(A914,Internal_lists_bugs!$A$2:$C$73,3,FALSE())&amp;Char(10) &amp; Char(10) &amp; VLOOKUP(A914,Internal_lists_bugs!$A$2:$Z$73,26,FALSE())),"please select a BUG ID")</f>
        <v>please select a BUG ID</v>
      </c>
      <c r="C914" s="51" t="str">
        <f>IFERROR(VLOOKUP(A914,Internal_lists_bugs!$A$2:$G2003,7,FALSE()),"please select a BUG ID")</f>
        <v>please select a BUG ID</v>
      </c>
      <c r="D914" s="43"/>
      <c r="E914" s="63"/>
      <c r="F914" s="43"/>
      <c r="G914" s="63"/>
      <c r="H914" s="43"/>
      <c r="I914" s="63"/>
      <c r="J914" s="43"/>
      <c r="K914" s="50"/>
      <c r="L914" s="43"/>
      <c r="M914" s="50"/>
      <c r="N914" s="43"/>
      <c r="O914" s="50"/>
      <c r="P914" s="43"/>
      <c r="Q914" s="50"/>
      <c r="R914" s="43"/>
      <c r="S914" s="50"/>
      <c r="T914" s="43"/>
      <c r="U914" s="50"/>
      <c r="V914" s="43"/>
      <c r="W914" s="50"/>
      <c r="X914" s="43"/>
      <c r="Y914" s="50"/>
      <c r="Z914" s="43"/>
      <c r="AA914" s="50"/>
      <c r="AB914" s="43"/>
      <c r="AC914" s="50"/>
      <c r="AD914" s="43"/>
      <c r="AE914" s="50"/>
      <c r="AF914" s="43"/>
      <c r="AG914" s="50"/>
      <c r="AH914" s="43"/>
      <c r="AI914" s="50"/>
      <c r="AJ914" s="43"/>
      <c r="AK914" s="50"/>
      <c r="AL914" s="43"/>
      <c r="AM914" s="50"/>
      <c r="AO914" s="43"/>
      <c r="AP914" s="46"/>
      <c r="AQ914" s="43"/>
      <c r="AR914" s="119"/>
      <c r="AS914" s="1"/>
      <c r="AT914" s="1"/>
    </row>
    <row r="915">
      <c r="A915" s="43"/>
      <c r="B915" s="59" t="str">
        <f>IFERROR(HYPERLINK(VLOOKUP(A915,Internal_lists_bugs!$A$2:$C$73,3,FALSE()), VLOOKUP(A915,Internal_lists_bugs!$A$2:$C$73,3,FALSE())&amp;Char(10) &amp; Char(10) &amp; VLOOKUP(A915,Internal_lists_bugs!$A$2:$Z$73,26,FALSE())),"please select a BUG ID")</f>
        <v>please select a BUG ID</v>
      </c>
      <c r="C915" s="51" t="str">
        <f>IFERROR(VLOOKUP(A915,Internal_lists_bugs!$A$2:$G2003,7,FALSE()),"please select a BUG ID")</f>
        <v>please select a BUG ID</v>
      </c>
      <c r="D915" s="43"/>
      <c r="E915" s="63"/>
      <c r="F915" s="43"/>
      <c r="G915" s="63"/>
      <c r="H915" s="43"/>
      <c r="I915" s="63"/>
      <c r="J915" s="43"/>
      <c r="K915" s="50"/>
      <c r="L915" s="43"/>
      <c r="M915" s="50"/>
      <c r="N915" s="43"/>
      <c r="O915" s="50"/>
      <c r="P915" s="43"/>
      <c r="Q915" s="50"/>
      <c r="R915" s="43"/>
      <c r="S915" s="50"/>
      <c r="T915" s="43"/>
      <c r="U915" s="50"/>
      <c r="V915" s="43"/>
      <c r="W915" s="50"/>
      <c r="X915" s="43"/>
      <c r="Y915" s="50"/>
      <c r="Z915" s="43"/>
      <c r="AA915" s="50"/>
      <c r="AB915" s="43"/>
      <c r="AC915" s="50"/>
      <c r="AD915" s="43"/>
      <c r="AE915" s="50"/>
      <c r="AF915" s="43"/>
      <c r="AG915" s="50"/>
      <c r="AH915" s="43"/>
      <c r="AI915" s="50"/>
      <c r="AJ915" s="43"/>
      <c r="AK915" s="50"/>
      <c r="AL915" s="43"/>
      <c r="AM915" s="50"/>
      <c r="AO915" s="43"/>
      <c r="AP915" s="46"/>
      <c r="AQ915" s="43"/>
      <c r="AR915" s="119"/>
      <c r="AS915" s="1"/>
      <c r="AT915" s="1"/>
    </row>
    <row r="916">
      <c r="A916" s="43"/>
      <c r="B916" s="59" t="str">
        <f>IFERROR(HYPERLINK(VLOOKUP(A916,Internal_lists_bugs!$A$2:$C$73,3,FALSE()), VLOOKUP(A916,Internal_lists_bugs!$A$2:$C$73,3,FALSE())&amp;Char(10) &amp; Char(10) &amp; VLOOKUP(A916,Internal_lists_bugs!$A$2:$Z$73,26,FALSE())),"please select a BUG ID")</f>
        <v>please select a BUG ID</v>
      </c>
      <c r="C916" s="51" t="str">
        <f>IFERROR(VLOOKUP(A916,Internal_lists_bugs!$A$2:$G2003,7,FALSE()),"please select a BUG ID")</f>
        <v>please select a BUG ID</v>
      </c>
      <c r="D916" s="43"/>
      <c r="E916" s="63"/>
      <c r="F916" s="43"/>
      <c r="G916" s="63"/>
      <c r="H916" s="43"/>
      <c r="I916" s="63"/>
      <c r="J916" s="43"/>
      <c r="K916" s="50"/>
      <c r="L916" s="43"/>
      <c r="M916" s="50"/>
      <c r="N916" s="43"/>
      <c r="O916" s="50"/>
      <c r="P916" s="43"/>
      <c r="Q916" s="50"/>
      <c r="R916" s="43"/>
      <c r="S916" s="50"/>
      <c r="T916" s="43"/>
      <c r="U916" s="50"/>
      <c r="V916" s="43"/>
      <c r="W916" s="50"/>
      <c r="X916" s="43"/>
      <c r="Y916" s="50"/>
      <c r="Z916" s="43"/>
      <c r="AA916" s="50"/>
      <c r="AB916" s="43"/>
      <c r="AC916" s="50"/>
      <c r="AD916" s="43"/>
      <c r="AE916" s="50"/>
      <c r="AF916" s="43"/>
      <c r="AG916" s="50"/>
      <c r="AH916" s="43"/>
      <c r="AI916" s="50"/>
      <c r="AJ916" s="43"/>
      <c r="AK916" s="50"/>
      <c r="AL916" s="43"/>
      <c r="AM916" s="50"/>
      <c r="AO916" s="43"/>
      <c r="AP916" s="46"/>
      <c r="AQ916" s="43"/>
      <c r="AR916" s="119"/>
      <c r="AS916" s="1"/>
      <c r="AT916" s="1"/>
    </row>
    <row r="917">
      <c r="A917" s="43"/>
      <c r="B917" s="59" t="str">
        <f>IFERROR(HYPERLINK(VLOOKUP(A917,Internal_lists_bugs!$A$2:$C$73,3,FALSE()), VLOOKUP(A917,Internal_lists_bugs!$A$2:$C$73,3,FALSE())&amp;Char(10) &amp; Char(10) &amp; VLOOKUP(A917,Internal_lists_bugs!$A$2:$Z$73,26,FALSE())),"please select a BUG ID")</f>
        <v>please select a BUG ID</v>
      </c>
      <c r="C917" s="51" t="str">
        <f>IFERROR(VLOOKUP(A917,Internal_lists_bugs!$A$2:$G2003,7,FALSE()),"please select a BUG ID")</f>
        <v>please select a BUG ID</v>
      </c>
      <c r="D917" s="43"/>
      <c r="E917" s="63"/>
      <c r="F917" s="43"/>
      <c r="G917" s="63"/>
      <c r="H917" s="43"/>
      <c r="I917" s="63"/>
      <c r="J917" s="43"/>
      <c r="K917" s="50"/>
      <c r="L917" s="43"/>
      <c r="M917" s="50"/>
      <c r="N917" s="43"/>
      <c r="O917" s="50"/>
      <c r="P917" s="43"/>
      <c r="Q917" s="50"/>
      <c r="R917" s="43"/>
      <c r="S917" s="50"/>
      <c r="T917" s="43"/>
      <c r="U917" s="50"/>
      <c r="V917" s="43"/>
      <c r="W917" s="50"/>
      <c r="X917" s="43"/>
      <c r="Y917" s="50"/>
      <c r="Z917" s="43"/>
      <c r="AA917" s="50"/>
      <c r="AB917" s="43"/>
      <c r="AC917" s="50"/>
      <c r="AD917" s="43"/>
      <c r="AE917" s="50"/>
      <c r="AF917" s="43"/>
      <c r="AG917" s="50"/>
      <c r="AH917" s="43"/>
      <c r="AI917" s="50"/>
      <c r="AJ917" s="43"/>
      <c r="AK917" s="50"/>
      <c r="AL917" s="43"/>
      <c r="AM917" s="50"/>
      <c r="AO917" s="43"/>
      <c r="AP917" s="46"/>
      <c r="AQ917" s="43"/>
      <c r="AR917" s="119"/>
      <c r="AS917" s="1"/>
      <c r="AT917" s="1"/>
    </row>
    <row r="918">
      <c r="A918" s="43"/>
      <c r="B918" s="59" t="str">
        <f>IFERROR(HYPERLINK(VLOOKUP(A918,Internal_lists_bugs!$A$2:$C$73,3,FALSE()), VLOOKUP(A918,Internal_lists_bugs!$A$2:$C$73,3,FALSE())&amp;Char(10) &amp; Char(10) &amp; VLOOKUP(A918,Internal_lists_bugs!$A$2:$Z$73,26,FALSE())),"please select a BUG ID")</f>
        <v>please select a BUG ID</v>
      </c>
      <c r="C918" s="51" t="str">
        <f>IFERROR(VLOOKUP(A918,Internal_lists_bugs!$A$2:$G2003,7,FALSE()),"please select a BUG ID")</f>
        <v>please select a BUG ID</v>
      </c>
      <c r="D918" s="43"/>
      <c r="E918" s="63"/>
      <c r="F918" s="43"/>
      <c r="G918" s="63"/>
      <c r="H918" s="43"/>
      <c r="I918" s="63"/>
      <c r="J918" s="43"/>
      <c r="K918" s="50"/>
      <c r="L918" s="43"/>
      <c r="M918" s="50"/>
      <c r="N918" s="43"/>
      <c r="O918" s="50"/>
      <c r="P918" s="43"/>
      <c r="Q918" s="50"/>
      <c r="R918" s="43"/>
      <c r="S918" s="50"/>
      <c r="T918" s="43"/>
      <c r="U918" s="50"/>
      <c r="V918" s="43"/>
      <c r="W918" s="50"/>
      <c r="X918" s="43"/>
      <c r="Y918" s="50"/>
      <c r="Z918" s="43"/>
      <c r="AA918" s="50"/>
      <c r="AB918" s="43"/>
      <c r="AC918" s="50"/>
      <c r="AD918" s="43"/>
      <c r="AE918" s="50"/>
      <c r="AF918" s="43"/>
      <c r="AG918" s="50"/>
      <c r="AH918" s="43"/>
      <c r="AI918" s="50"/>
      <c r="AJ918" s="43"/>
      <c r="AK918" s="50"/>
      <c r="AL918" s="43"/>
      <c r="AM918" s="50"/>
      <c r="AO918" s="43"/>
      <c r="AP918" s="46"/>
      <c r="AQ918" s="43"/>
      <c r="AR918" s="119"/>
      <c r="AS918" s="1"/>
      <c r="AT918" s="1"/>
    </row>
    <row r="919">
      <c r="A919" s="43"/>
      <c r="B919" s="59" t="str">
        <f>IFERROR(HYPERLINK(VLOOKUP(A919,Internal_lists_bugs!$A$2:$C$73,3,FALSE()), VLOOKUP(A919,Internal_lists_bugs!$A$2:$C$73,3,FALSE())&amp;Char(10) &amp; Char(10) &amp; VLOOKUP(A919,Internal_lists_bugs!$A$2:$Z$73,26,FALSE())),"please select a BUG ID")</f>
        <v>please select a BUG ID</v>
      </c>
      <c r="C919" s="51" t="str">
        <f>IFERROR(VLOOKUP(A919,Internal_lists_bugs!$A$2:$G2003,7,FALSE()),"please select a BUG ID")</f>
        <v>please select a BUG ID</v>
      </c>
      <c r="D919" s="43"/>
      <c r="E919" s="63"/>
      <c r="F919" s="43"/>
      <c r="G919" s="63"/>
      <c r="H919" s="43"/>
      <c r="I919" s="63"/>
      <c r="J919" s="43"/>
      <c r="K919" s="50"/>
      <c r="L919" s="43"/>
      <c r="M919" s="50"/>
      <c r="N919" s="43"/>
      <c r="O919" s="50"/>
      <c r="P919" s="43"/>
      <c r="Q919" s="50"/>
      <c r="R919" s="43"/>
      <c r="S919" s="50"/>
      <c r="T919" s="43"/>
      <c r="U919" s="50"/>
      <c r="V919" s="43"/>
      <c r="W919" s="50"/>
      <c r="X919" s="43"/>
      <c r="Y919" s="50"/>
      <c r="Z919" s="43"/>
      <c r="AA919" s="50"/>
      <c r="AB919" s="43"/>
      <c r="AC919" s="50"/>
      <c r="AD919" s="43"/>
      <c r="AE919" s="50"/>
      <c r="AF919" s="43"/>
      <c r="AG919" s="50"/>
      <c r="AH919" s="43"/>
      <c r="AI919" s="50"/>
      <c r="AJ919" s="43"/>
      <c r="AK919" s="50"/>
      <c r="AL919" s="43"/>
      <c r="AM919" s="50"/>
      <c r="AO919" s="43"/>
      <c r="AP919" s="46"/>
      <c r="AQ919" s="43"/>
      <c r="AR919" s="119"/>
      <c r="AS919" s="1"/>
      <c r="AT919" s="1"/>
    </row>
    <row r="920">
      <c r="A920" s="43"/>
      <c r="B920" s="59" t="str">
        <f>IFERROR(HYPERLINK(VLOOKUP(A920,Internal_lists_bugs!$A$2:$C$73,3,FALSE()), VLOOKUP(A920,Internal_lists_bugs!$A$2:$C$73,3,FALSE())&amp;Char(10) &amp; Char(10) &amp; VLOOKUP(A920,Internal_lists_bugs!$A$2:$Z$73,26,FALSE())),"please select a BUG ID")</f>
        <v>please select a BUG ID</v>
      </c>
      <c r="C920" s="51" t="str">
        <f>IFERROR(VLOOKUP(A920,Internal_lists_bugs!$A$2:$G2003,7,FALSE()),"please select a BUG ID")</f>
        <v>please select a BUG ID</v>
      </c>
      <c r="D920" s="43"/>
      <c r="E920" s="63"/>
      <c r="F920" s="43"/>
      <c r="G920" s="63"/>
      <c r="H920" s="43"/>
      <c r="I920" s="63"/>
      <c r="J920" s="43"/>
      <c r="K920" s="50"/>
      <c r="L920" s="43"/>
      <c r="M920" s="50"/>
      <c r="N920" s="43"/>
      <c r="O920" s="50"/>
      <c r="P920" s="43"/>
      <c r="Q920" s="50"/>
      <c r="R920" s="43"/>
      <c r="S920" s="50"/>
      <c r="T920" s="43"/>
      <c r="U920" s="50"/>
      <c r="V920" s="43"/>
      <c r="W920" s="50"/>
      <c r="X920" s="43"/>
      <c r="Y920" s="50"/>
      <c r="Z920" s="43"/>
      <c r="AA920" s="50"/>
      <c r="AB920" s="43"/>
      <c r="AC920" s="50"/>
      <c r="AD920" s="43"/>
      <c r="AE920" s="50"/>
      <c r="AF920" s="43"/>
      <c r="AG920" s="50"/>
      <c r="AH920" s="43"/>
      <c r="AI920" s="50"/>
      <c r="AJ920" s="43"/>
      <c r="AK920" s="50"/>
      <c r="AL920" s="43"/>
      <c r="AM920" s="50"/>
      <c r="AO920" s="43"/>
      <c r="AP920" s="46"/>
      <c r="AQ920" s="43"/>
      <c r="AR920" s="119"/>
      <c r="AS920" s="1"/>
      <c r="AT920" s="1"/>
    </row>
    <row r="921">
      <c r="A921" s="43"/>
      <c r="B921" s="59" t="str">
        <f>IFERROR(HYPERLINK(VLOOKUP(A921,Internal_lists_bugs!$A$2:$C$73,3,FALSE()), VLOOKUP(A921,Internal_lists_bugs!$A$2:$C$73,3,FALSE())&amp;Char(10) &amp; Char(10) &amp; VLOOKUP(A921,Internal_lists_bugs!$A$2:$Z$73,26,FALSE())),"please select a BUG ID")</f>
        <v>please select a BUG ID</v>
      </c>
      <c r="C921" s="51" t="str">
        <f>IFERROR(VLOOKUP(A921,Internal_lists_bugs!$A$2:$G2003,7,FALSE()),"please select a BUG ID")</f>
        <v>please select a BUG ID</v>
      </c>
      <c r="D921" s="43"/>
      <c r="E921" s="63"/>
      <c r="F921" s="43"/>
      <c r="G921" s="63"/>
      <c r="H921" s="43"/>
      <c r="I921" s="63"/>
      <c r="J921" s="43"/>
      <c r="K921" s="50"/>
      <c r="L921" s="43"/>
      <c r="M921" s="50"/>
      <c r="N921" s="43"/>
      <c r="O921" s="50"/>
      <c r="P921" s="43"/>
      <c r="Q921" s="50"/>
      <c r="R921" s="43"/>
      <c r="S921" s="50"/>
      <c r="T921" s="43"/>
      <c r="U921" s="50"/>
      <c r="V921" s="43"/>
      <c r="W921" s="50"/>
      <c r="X921" s="43"/>
      <c r="Y921" s="50"/>
      <c r="Z921" s="43"/>
      <c r="AA921" s="50"/>
      <c r="AB921" s="43"/>
      <c r="AC921" s="50"/>
      <c r="AD921" s="43"/>
      <c r="AE921" s="50"/>
      <c r="AF921" s="43"/>
      <c r="AG921" s="50"/>
      <c r="AH921" s="43"/>
      <c r="AI921" s="50"/>
      <c r="AJ921" s="43"/>
      <c r="AK921" s="50"/>
      <c r="AL921" s="43"/>
      <c r="AM921" s="50"/>
      <c r="AO921" s="43"/>
      <c r="AP921" s="46"/>
      <c r="AQ921" s="43"/>
      <c r="AR921" s="119"/>
      <c r="AS921" s="1"/>
      <c r="AT921" s="1"/>
    </row>
    <row r="922">
      <c r="A922" s="43"/>
      <c r="B922" s="59" t="str">
        <f>IFERROR(HYPERLINK(VLOOKUP(A922,Internal_lists_bugs!$A$2:$C$73,3,FALSE()), VLOOKUP(A922,Internal_lists_bugs!$A$2:$C$73,3,FALSE())&amp;Char(10) &amp; Char(10) &amp; VLOOKUP(A922,Internal_lists_bugs!$A$2:$Z$73,26,FALSE())),"please select a BUG ID")</f>
        <v>please select a BUG ID</v>
      </c>
      <c r="C922" s="51" t="str">
        <f>IFERROR(VLOOKUP(A922,Internal_lists_bugs!$A$2:$G2003,7,FALSE()),"please select a BUG ID")</f>
        <v>please select a BUG ID</v>
      </c>
      <c r="D922" s="43"/>
      <c r="E922" s="63"/>
      <c r="F922" s="43"/>
      <c r="G922" s="63"/>
      <c r="H922" s="43"/>
      <c r="I922" s="63"/>
      <c r="J922" s="43"/>
      <c r="K922" s="50"/>
      <c r="L922" s="43"/>
      <c r="M922" s="50"/>
      <c r="N922" s="43"/>
      <c r="O922" s="50"/>
      <c r="P922" s="43"/>
      <c r="Q922" s="50"/>
      <c r="R922" s="43"/>
      <c r="S922" s="50"/>
      <c r="T922" s="43"/>
      <c r="U922" s="50"/>
      <c r="V922" s="43"/>
      <c r="W922" s="50"/>
      <c r="X922" s="43"/>
      <c r="Y922" s="50"/>
      <c r="Z922" s="43"/>
      <c r="AA922" s="50"/>
      <c r="AB922" s="43"/>
      <c r="AC922" s="50"/>
      <c r="AD922" s="43"/>
      <c r="AE922" s="50"/>
      <c r="AF922" s="43"/>
      <c r="AG922" s="50"/>
      <c r="AH922" s="43"/>
      <c r="AI922" s="50"/>
      <c r="AJ922" s="43"/>
      <c r="AK922" s="50"/>
      <c r="AL922" s="43"/>
      <c r="AM922" s="50"/>
      <c r="AO922" s="43"/>
      <c r="AP922" s="46"/>
      <c r="AQ922" s="43"/>
      <c r="AR922" s="119"/>
      <c r="AS922" s="1"/>
      <c r="AT922" s="1"/>
    </row>
    <row r="923">
      <c r="A923" s="43"/>
      <c r="B923" s="59" t="str">
        <f>IFERROR(HYPERLINK(VLOOKUP(A923,Internal_lists_bugs!$A$2:$C$73,3,FALSE()), VLOOKUP(A923,Internal_lists_bugs!$A$2:$C$73,3,FALSE())&amp;Char(10) &amp; Char(10) &amp; VLOOKUP(A923,Internal_lists_bugs!$A$2:$Z$73,26,FALSE())),"please select a BUG ID")</f>
        <v>please select a BUG ID</v>
      </c>
      <c r="C923" s="51" t="str">
        <f>IFERROR(VLOOKUP(A923,Internal_lists_bugs!$A$2:$G2003,7,FALSE()),"please select a BUG ID")</f>
        <v>please select a BUG ID</v>
      </c>
      <c r="D923" s="43"/>
      <c r="E923" s="63"/>
      <c r="F923" s="43"/>
      <c r="G923" s="63"/>
      <c r="H923" s="43"/>
      <c r="I923" s="63"/>
      <c r="J923" s="43"/>
      <c r="K923" s="50"/>
      <c r="L923" s="43"/>
      <c r="M923" s="50"/>
      <c r="N923" s="43"/>
      <c r="O923" s="50"/>
      <c r="P923" s="43"/>
      <c r="Q923" s="50"/>
      <c r="R923" s="43"/>
      <c r="S923" s="50"/>
      <c r="T923" s="43"/>
      <c r="U923" s="50"/>
      <c r="V923" s="43"/>
      <c r="W923" s="50"/>
      <c r="X923" s="43"/>
      <c r="Y923" s="50"/>
      <c r="Z923" s="43"/>
      <c r="AA923" s="50"/>
      <c r="AB923" s="43"/>
      <c r="AC923" s="50"/>
      <c r="AD923" s="43"/>
      <c r="AE923" s="50"/>
      <c r="AF923" s="43"/>
      <c r="AG923" s="50"/>
      <c r="AH923" s="43"/>
      <c r="AI923" s="50"/>
      <c r="AJ923" s="43"/>
      <c r="AK923" s="50"/>
      <c r="AL923" s="43"/>
      <c r="AM923" s="50"/>
      <c r="AO923" s="43"/>
      <c r="AP923" s="46"/>
      <c r="AQ923" s="43"/>
      <c r="AR923" s="119"/>
      <c r="AS923" s="1"/>
      <c r="AT923" s="1"/>
    </row>
    <row r="924">
      <c r="A924" s="43"/>
      <c r="B924" s="59" t="str">
        <f>IFERROR(HYPERLINK(VLOOKUP(A924,Internal_lists_bugs!$A$2:$C$73,3,FALSE()), VLOOKUP(A924,Internal_lists_bugs!$A$2:$C$73,3,FALSE())&amp;Char(10) &amp; Char(10) &amp; VLOOKUP(A924,Internal_lists_bugs!$A$2:$Z$73,26,FALSE())),"please select a BUG ID")</f>
        <v>please select a BUG ID</v>
      </c>
      <c r="C924" s="51" t="str">
        <f>IFERROR(VLOOKUP(A924,Internal_lists_bugs!$A$2:$G2003,7,FALSE()),"please select a BUG ID")</f>
        <v>please select a BUG ID</v>
      </c>
      <c r="D924" s="43"/>
      <c r="E924" s="63"/>
      <c r="F924" s="43"/>
      <c r="G924" s="63"/>
      <c r="H924" s="43"/>
      <c r="I924" s="63"/>
      <c r="J924" s="43"/>
      <c r="K924" s="50"/>
      <c r="L924" s="43"/>
      <c r="M924" s="50"/>
      <c r="N924" s="43"/>
      <c r="O924" s="50"/>
      <c r="P924" s="43"/>
      <c r="Q924" s="50"/>
      <c r="R924" s="43"/>
      <c r="S924" s="50"/>
      <c r="T924" s="43"/>
      <c r="U924" s="50"/>
      <c r="V924" s="43"/>
      <c r="W924" s="50"/>
      <c r="X924" s="43"/>
      <c r="Y924" s="50"/>
      <c r="Z924" s="43"/>
      <c r="AA924" s="50"/>
      <c r="AB924" s="43"/>
      <c r="AC924" s="50"/>
      <c r="AD924" s="43"/>
      <c r="AE924" s="50"/>
      <c r="AF924" s="43"/>
      <c r="AG924" s="50"/>
      <c r="AH924" s="43"/>
      <c r="AI924" s="50"/>
      <c r="AJ924" s="43"/>
      <c r="AK924" s="50"/>
      <c r="AL924" s="43"/>
      <c r="AM924" s="50"/>
      <c r="AN924" s="46"/>
      <c r="AO924" s="43"/>
      <c r="AP924" s="46"/>
      <c r="AQ924" s="43"/>
      <c r="AR924" s="119"/>
      <c r="AS924" s="1"/>
      <c r="AT924" s="1"/>
    </row>
    <row r="925">
      <c r="A925" s="43"/>
      <c r="B925" s="59" t="str">
        <f>IFERROR(HYPERLINK(VLOOKUP(A925,Internal_lists_bugs!$A$2:$C$73,3,FALSE()), VLOOKUP(A925,Internal_lists_bugs!$A$2:$C$73,3,FALSE())&amp;Char(10) &amp; Char(10) &amp; VLOOKUP(A925,Internal_lists_bugs!$A$2:$Z$73,26,FALSE())),"please select a BUG ID")</f>
        <v>please select a BUG ID</v>
      </c>
      <c r="C925" s="51" t="str">
        <f>IFERROR(VLOOKUP(A925,Internal_lists_bugs!$A$2:$G2003,7,FALSE()),"please select a BUG ID")</f>
        <v>please select a BUG ID</v>
      </c>
      <c r="D925" s="43"/>
      <c r="E925" s="63"/>
      <c r="F925" s="43"/>
      <c r="G925" s="63"/>
      <c r="H925" s="43"/>
      <c r="I925" s="63"/>
      <c r="J925" s="43"/>
      <c r="K925" s="50"/>
      <c r="L925" s="43"/>
      <c r="M925" s="50"/>
      <c r="N925" s="43"/>
      <c r="O925" s="50"/>
      <c r="P925" s="43"/>
      <c r="Q925" s="50"/>
      <c r="R925" s="43"/>
      <c r="S925" s="50"/>
      <c r="T925" s="43"/>
      <c r="U925" s="50"/>
      <c r="V925" s="43"/>
      <c r="W925" s="50"/>
      <c r="X925" s="43"/>
      <c r="Y925" s="50"/>
      <c r="Z925" s="43"/>
      <c r="AA925" s="50"/>
      <c r="AB925" s="43"/>
      <c r="AC925" s="50"/>
      <c r="AD925" s="43"/>
      <c r="AE925" s="50"/>
      <c r="AF925" s="43"/>
      <c r="AG925" s="50"/>
      <c r="AH925" s="43"/>
      <c r="AI925" s="50"/>
      <c r="AJ925" s="43"/>
      <c r="AK925" s="50"/>
      <c r="AL925" s="43"/>
      <c r="AM925" s="50"/>
      <c r="AN925" s="46"/>
      <c r="AO925" s="43"/>
      <c r="AP925" s="46"/>
      <c r="AQ925" s="43"/>
      <c r="AR925" s="119"/>
      <c r="AS925" s="1"/>
      <c r="AT925" s="1"/>
    </row>
    <row r="926">
      <c r="A926" s="43"/>
      <c r="B926" s="59" t="str">
        <f>IFERROR(HYPERLINK(VLOOKUP(A926,Internal_lists_bugs!$A$2:$C$73,3,FALSE()), VLOOKUP(A926,Internal_lists_bugs!$A$2:$C$73,3,FALSE())&amp;Char(10) &amp; Char(10) &amp; VLOOKUP(A926,Internal_lists_bugs!$A$2:$Z$73,26,FALSE())),"please select a BUG ID")</f>
        <v>please select a BUG ID</v>
      </c>
      <c r="C926" s="51" t="str">
        <f>IFERROR(VLOOKUP(A926,Internal_lists_bugs!$A$2:$G2003,7,FALSE()),"please select a BUG ID")</f>
        <v>please select a BUG ID</v>
      </c>
      <c r="D926" s="43"/>
      <c r="E926" s="63"/>
      <c r="F926" s="43"/>
      <c r="G926" s="63"/>
      <c r="H926" s="43"/>
      <c r="I926" s="63"/>
      <c r="J926" s="43"/>
      <c r="K926" s="50"/>
      <c r="L926" s="43"/>
      <c r="M926" s="50"/>
      <c r="N926" s="43"/>
      <c r="O926" s="50"/>
      <c r="P926" s="43"/>
      <c r="Q926" s="50"/>
      <c r="R926" s="43"/>
      <c r="S926" s="50"/>
      <c r="T926" s="43"/>
      <c r="U926" s="50"/>
      <c r="V926" s="43"/>
      <c r="W926" s="50"/>
      <c r="X926" s="43"/>
      <c r="Y926" s="50"/>
      <c r="Z926" s="43"/>
      <c r="AA926" s="50"/>
      <c r="AB926" s="43"/>
      <c r="AC926" s="50"/>
      <c r="AD926" s="43"/>
      <c r="AE926" s="50"/>
      <c r="AF926" s="43"/>
      <c r="AG926" s="50"/>
      <c r="AH926" s="43"/>
      <c r="AI926" s="50"/>
      <c r="AJ926" s="43"/>
      <c r="AK926" s="50"/>
      <c r="AL926" s="43"/>
      <c r="AM926" s="50"/>
      <c r="AN926" s="46"/>
      <c r="AO926" s="43"/>
      <c r="AP926" s="46"/>
      <c r="AQ926" s="43"/>
      <c r="AR926" s="119"/>
      <c r="AS926" s="1"/>
      <c r="AT926" s="1"/>
    </row>
    <row r="927">
      <c r="A927" s="43"/>
      <c r="B927" s="59" t="str">
        <f>IFERROR(HYPERLINK(VLOOKUP(A927,Internal_lists_bugs!$A$2:$C$73,3,FALSE()), VLOOKUP(A927,Internal_lists_bugs!$A$2:$C$73,3,FALSE())&amp;Char(10) &amp; Char(10) &amp; VLOOKUP(A927,Internal_lists_bugs!$A$2:$Z$73,26,FALSE())),"please select a BUG ID")</f>
        <v>please select a BUG ID</v>
      </c>
      <c r="C927" s="51" t="str">
        <f>IFERROR(VLOOKUP(A927,Internal_lists_bugs!$A$2:$G2003,7,FALSE()),"please select a BUG ID")</f>
        <v>please select a BUG ID</v>
      </c>
      <c r="D927" s="43"/>
      <c r="E927" s="63"/>
      <c r="F927" s="43"/>
      <c r="G927" s="63"/>
      <c r="H927" s="43"/>
      <c r="I927" s="63"/>
      <c r="J927" s="43"/>
      <c r="K927" s="50"/>
      <c r="L927" s="43"/>
      <c r="M927" s="50"/>
      <c r="N927" s="43"/>
      <c r="O927" s="50"/>
      <c r="P927" s="43"/>
      <c r="Q927" s="50"/>
      <c r="R927" s="43"/>
      <c r="S927" s="50"/>
      <c r="T927" s="43"/>
      <c r="U927" s="50"/>
      <c r="V927" s="43"/>
      <c r="W927" s="50"/>
      <c r="X927" s="43"/>
      <c r="Y927" s="50"/>
      <c r="Z927" s="43"/>
      <c r="AA927" s="50"/>
      <c r="AB927" s="43"/>
      <c r="AC927" s="50"/>
      <c r="AD927" s="43"/>
      <c r="AE927" s="50"/>
      <c r="AF927" s="43"/>
      <c r="AG927" s="50"/>
      <c r="AH927" s="43"/>
      <c r="AI927" s="50"/>
      <c r="AJ927" s="43"/>
      <c r="AK927" s="50"/>
      <c r="AL927" s="43"/>
      <c r="AM927" s="50"/>
      <c r="AN927" s="46"/>
      <c r="AO927" s="43"/>
      <c r="AP927" s="46"/>
      <c r="AQ927" s="43"/>
      <c r="AR927" s="119"/>
      <c r="AS927" s="1"/>
      <c r="AT927" s="1"/>
    </row>
    <row r="928">
      <c r="A928" s="43"/>
      <c r="B928" s="59" t="str">
        <f>IFERROR(HYPERLINK(VLOOKUP(A928,Internal_lists_bugs!$A$2:$C$73,3,FALSE()), VLOOKUP(A928,Internal_lists_bugs!$A$2:$C$73,3,FALSE())&amp;Char(10) &amp; Char(10) &amp; VLOOKUP(A928,Internal_lists_bugs!$A$2:$Z$73,26,FALSE())),"please select a BUG ID")</f>
        <v>please select a BUG ID</v>
      </c>
      <c r="C928" s="51" t="str">
        <f>IFERROR(VLOOKUP(A928,Internal_lists_bugs!$A$2:$G2003,7,FALSE()),"please select a BUG ID")</f>
        <v>please select a BUG ID</v>
      </c>
      <c r="D928" s="43"/>
      <c r="E928" s="63"/>
      <c r="F928" s="43"/>
      <c r="G928" s="63"/>
      <c r="H928" s="43"/>
      <c r="I928" s="63"/>
      <c r="J928" s="43"/>
      <c r="K928" s="50"/>
      <c r="L928" s="43"/>
      <c r="M928" s="50"/>
      <c r="N928" s="43"/>
      <c r="O928" s="50"/>
      <c r="P928" s="43"/>
      <c r="Q928" s="50"/>
      <c r="R928" s="43"/>
      <c r="S928" s="50"/>
      <c r="T928" s="43"/>
      <c r="U928" s="50"/>
      <c r="V928" s="43"/>
      <c r="W928" s="50"/>
      <c r="X928" s="43"/>
      <c r="Y928" s="50"/>
      <c r="Z928" s="43"/>
      <c r="AA928" s="50"/>
      <c r="AB928" s="43"/>
      <c r="AC928" s="50"/>
      <c r="AD928" s="43"/>
      <c r="AE928" s="50"/>
      <c r="AF928" s="43"/>
      <c r="AG928" s="50"/>
      <c r="AH928" s="43"/>
      <c r="AI928" s="50"/>
      <c r="AJ928" s="43"/>
      <c r="AK928" s="50"/>
      <c r="AL928" s="43"/>
      <c r="AM928" s="50"/>
      <c r="AN928" s="46"/>
      <c r="AO928" s="43"/>
      <c r="AP928" s="46"/>
      <c r="AQ928" s="43"/>
      <c r="AR928" s="119"/>
      <c r="AS928" s="1"/>
      <c r="AT928" s="1"/>
    </row>
    <row r="929">
      <c r="A929" s="43"/>
      <c r="B929" s="59" t="str">
        <f>IFERROR(HYPERLINK(VLOOKUP(A929,Internal_lists_bugs!$A$2:$C$73,3,FALSE()), VLOOKUP(A929,Internal_lists_bugs!$A$2:$C$73,3,FALSE())&amp;Char(10) &amp; Char(10) &amp; VLOOKUP(A929,Internal_lists_bugs!$A$2:$Z$73,26,FALSE())),"please select a BUG ID")</f>
        <v>please select a BUG ID</v>
      </c>
      <c r="C929" s="51" t="str">
        <f>IFERROR(VLOOKUP(A929,Internal_lists_bugs!$A$2:$G2003,7,FALSE()),"please select a BUG ID")</f>
        <v>please select a BUG ID</v>
      </c>
      <c r="D929" s="43"/>
      <c r="E929" s="63"/>
      <c r="F929" s="43"/>
      <c r="G929" s="63"/>
      <c r="H929" s="43"/>
      <c r="I929" s="63"/>
      <c r="J929" s="43"/>
      <c r="K929" s="50"/>
      <c r="L929" s="43"/>
      <c r="M929" s="50"/>
      <c r="N929" s="43"/>
      <c r="O929" s="50"/>
      <c r="P929" s="43"/>
      <c r="Q929" s="50"/>
      <c r="R929" s="43"/>
      <c r="S929" s="50"/>
      <c r="T929" s="43"/>
      <c r="U929" s="50"/>
      <c r="V929" s="43"/>
      <c r="W929" s="50"/>
      <c r="X929" s="43"/>
      <c r="Y929" s="50"/>
      <c r="Z929" s="43"/>
      <c r="AA929" s="50"/>
      <c r="AB929" s="43"/>
      <c r="AC929" s="50"/>
      <c r="AD929" s="43"/>
      <c r="AE929" s="50"/>
      <c r="AF929" s="43"/>
      <c r="AG929" s="50"/>
      <c r="AH929" s="43"/>
      <c r="AI929" s="50"/>
      <c r="AJ929" s="43"/>
      <c r="AK929" s="50"/>
      <c r="AL929" s="43"/>
      <c r="AM929" s="50"/>
      <c r="AN929" s="46"/>
      <c r="AO929" s="43"/>
      <c r="AP929" s="46"/>
      <c r="AQ929" s="43"/>
      <c r="AR929" s="119"/>
      <c r="AS929" s="1"/>
      <c r="AT929" s="1"/>
    </row>
    <row r="930">
      <c r="A930" s="43"/>
      <c r="B930" s="59" t="str">
        <f>IFERROR(HYPERLINK(VLOOKUP(A930,Internal_lists_bugs!$A$2:$C$73,3,FALSE()), VLOOKUP(A930,Internal_lists_bugs!$A$2:$C$73,3,FALSE())&amp;Char(10) &amp; Char(10) &amp; VLOOKUP(A930,Internal_lists_bugs!$A$2:$Z$73,26,FALSE())),"please select a BUG ID")</f>
        <v>please select a BUG ID</v>
      </c>
      <c r="C930" s="51" t="str">
        <f>IFERROR(VLOOKUP(A930,Internal_lists_bugs!$A$2:$G2003,7,FALSE()),"please select a BUG ID")</f>
        <v>please select a BUG ID</v>
      </c>
      <c r="D930" s="43"/>
      <c r="E930" s="63"/>
      <c r="F930" s="43"/>
      <c r="G930" s="63"/>
      <c r="H930" s="43"/>
      <c r="I930" s="63"/>
      <c r="J930" s="43"/>
      <c r="K930" s="50"/>
      <c r="L930" s="43"/>
      <c r="M930" s="50"/>
      <c r="N930" s="43"/>
      <c r="O930" s="50"/>
      <c r="P930" s="43"/>
      <c r="Q930" s="50"/>
      <c r="R930" s="43"/>
      <c r="S930" s="50"/>
      <c r="T930" s="43"/>
      <c r="U930" s="50"/>
      <c r="V930" s="43"/>
      <c r="W930" s="50"/>
      <c r="X930" s="43"/>
      <c r="Y930" s="50"/>
      <c r="Z930" s="43"/>
      <c r="AA930" s="50"/>
      <c r="AB930" s="43"/>
      <c r="AC930" s="50"/>
      <c r="AD930" s="43"/>
      <c r="AE930" s="50"/>
      <c r="AF930" s="43"/>
      <c r="AG930" s="50"/>
      <c r="AH930" s="43"/>
      <c r="AI930" s="50"/>
      <c r="AJ930" s="43"/>
      <c r="AK930" s="50"/>
      <c r="AL930" s="43"/>
      <c r="AM930" s="50"/>
      <c r="AN930" s="46"/>
      <c r="AO930" s="43"/>
      <c r="AP930" s="46"/>
      <c r="AQ930" s="43"/>
      <c r="AR930" s="119"/>
      <c r="AS930" s="1"/>
      <c r="AT930" s="1"/>
    </row>
    <row r="931">
      <c r="A931" s="43"/>
      <c r="B931" s="59" t="str">
        <f>IFERROR(HYPERLINK(VLOOKUP(A931,Internal_lists_bugs!$A$2:$C$73,3,FALSE()), VLOOKUP(A931,Internal_lists_bugs!$A$2:$C$73,3,FALSE())&amp;Char(10) &amp; Char(10) &amp; VLOOKUP(A931,Internal_lists_bugs!$A$2:$Z$73,26,FALSE())),"please select a BUG ID")</f>
        <v>please select a BUG ID</v>
      </c>
      <c r="C931" s="51" t="str">
        <f>IFERROR(VLOOKUP(A931,Internal_lists_bugs!$A$2:$G2003,7,FALSE()),"please select a BUG ID")</f>
        <v>please select a BUG ID</v>
      </c>
      <c r="D931" s="43"/>
      <c r="E931" s="63"/>
      <c r="F931" s="43"/>
      <c r="G931" s="63"/>
      <c r="H931" s="43"/>
      <c r="I931" s="63"/>
      <c r="J931" s="43"/>
      <c r="K931" s="50"/>
      <c r="L931" s="43"/>
      <c r="M931" s="50"/>
      <c r="N931" s="43"/>
      <c r="O931" s="50"/>
      <c r="P931" s="43"/>
      <c r="Q931" s="50"/>
      <c r="R931" s="43"/>
      <c r="S931" s="50"/>
      <c r="T931" s="43"/>
      <c r="U931" s="50"/>
      <c r="V931" s="43"/>
      <c r="W931" s="50"/>
      <c r="X931" s="43"/>
      <c r="Y931" s="50"/>
      <c r="Z931" s="43"/>
      <c r="AA931" s="50"/>
      <c r="AB931" s="43"/>
      <c r="AC931" s="50"/>
      <c r="AD931" s="43"/>
      <c r="AE931" s="50"/>
      <c r="AF931" s="43"/>
      <c r="AG931" s="50"/>
      <c r="AH931" s="43"/>
      <c r="AI931" s="50"/>
      <c r="AJ931" s="43"/>
      <c r="AK931" s="50"/>
      <c r="AL931" s="43"/>
      <c r="AM931" s="50"/>
      <c r="AN931" s="46"/>
      <c r="AO931" s="43"/>
      <c r="AP931" s="46"/>
      <c r="AQ931" s="43"/>
      <c r="AR931" s="119"/>
      <c r="AS931" s="1"/>
      <c r="AT931" s="1"/>
    </row>
    <row r="932">
      <c r="A932" s="43"/>
      <c r="B932" s="59" t="str">
        <f>IFERROR(HYPERLINK(VLOOKUP(A932,Internal_lists_bugs!$A$2:$C$73,3,FALSE()), VLOOKUP(A932,Internal_lists_bugs!$A$2:$C$73,3,FALSE())&amp;Char(10) &amp; Char(10) &amp; VLOOKUP(A932,Internal_lists_bugs!$A$2:$Z$73,26,FALSE())),"please select a BUG ID")</f>
        <v>please select a BUG ID</v>
      </c>
      <c r="C932" s="51" t="str">
        <f>IFERROR(VLOOKUP(A932,Internal_lists_bugs!$A$2:$G2003,7,FALSE()),"please select a BUG ID")</f>
        <v>please select a BUG ID</v>
      </c>
      <c r="D932" s="43"/>
      <c r="E932" s="63"/>
      <c r="F932" s="43"/>
      <c r="G932" s="63"/>
      <c r="H932" s="43"/>
      <c r="I932" s="63"/>
      <c r="J932" s="43"/>
      <c r="K932" s="50"/>
      <c r="L932" s="43"/>
      <c r="M932" s="50"/>
      <c r="N932" s="43"/>
      <c r="O932" s="50"/>
      <c r="P932" s="43"/>
      <c r="Q932" s="50"/>
      <c r="R932" s="43"/>
      <c r="S932" s="50"/>
      <c r="T932" s="43"/>
      <c r="U932" s="50"/>
      <c r="V932" s="43"/>
      <c r="W932" s="50"/>
      <c r="X932" s="43"/>
      <c r="Y932" s="50"/>
      <c r="Z932" s="43"/>
      <c r="AA932" s="50"/>
      <c r="AB932" s="43"/>
      <c r="AC932" s="50"/>
      <c r="AD932" s="43"/>
      <c r="AE932" s="50"/>
      <c r="AF932" s="43"/>
      <c r="AG932" s="50"/>
      <c r="AH932" s="43"/>
      <c r="AI932" s="50"/>
      <c r="AJ932" s="43"/>
      <c r="AK932" s="50"/>
      <c r="AL932" s="43"/>
      <c r="AM932" s="50"/>
      <c r="AN932" s="46"/>
      <c r="AO932" s="43"/>
      <c r="AP932" s="46"/>
      <c r="AQ932" s="43"/>
      <c r="AR932" s="119"/>
      <c r="AS932" s="1"/>
      <c r="AT932" s="1"/>
    </row>
    <row r="933">
      <c r="A933" s="43"/>
      <c r="B933" s="59" t="str">
        <f>IFERROR(HYPERLINK(VLOOKUP(A933,Internal_lists_bugs!$A$2:$C$73,3,FALSE()), VLOOKUP(A933,Internal_lists_bugs!$A$2:$C$73,3,FALSE())&amp;Char(10) &amp; Char(10) &amp; VLOOKUP(A933,Internal_lists_bugs!$A$2:$Z$73,26,FALSE())),"please select a BUG ID")</f>
        <v>please select a BUG ID</v>
      </c>
      <c r="C933" s="51" t="str">
        <f>IFERROR(VLOOKUP(A933,Internal_lists_bugs!$A$2:$G2003,7,FALSE()),"please select a BUG ID")</f>
        <v>please select a BUG ID</v>
      </c>
      <c r="D933" s="43"/>
      <c r="E933" s="63"/>
      <c r="F933" s="43"/>
      <c r="G933" s="63"/>
      <c r="H933" s="43"/>
      <c r="I933" s="63"/>
      <c r="J933" s="43"/>
      <c r="K933" s="50"/>
      <c r="L933" s="43"/>
      <c r="M933" s="50"/>
      <c r="N933" s="43"/>
      <c r="O933" s="50"/>
      <c r="P933" s="43"/>
      <c r="Q933" s="50"/>
      <c r="R933" s="43"/>
      <c r="S933" s="50"/>
      <c r="T933" s="43"/>
      <c r="U933" s="50"/>
      <c r="V933" s="43"/>
      <c r="W933" s="50"/>
      <c r="X933" s="43"/>
      <c r="Y933" s="50"/>
      <c r="Z933" s="43"/>
      <c r="AA933" s="50"/>
      <c r="AB933" s="43"/>
      <c r="AC933" s="50"/>
      <c r="AD933" s="43"/>
      <c r="AE933" s="50"/>
      <c r="AF933" s="43"/>
      <c r="AG933" s="50"/>
      <c r="AH933" s="43"/>
      <c r="AI933" s="50"/>
      <c r="AJ933" s="43"/>
      <c r="AK933" s="50"/>
      <c r="AL933" s="43"/>
      <c r="AM933" s="50"/>
      <c r="AN933" s="46"/>
      <c r="AO933" s="43"/>
      <c r="AP933" s="46"/>
      <c r="AQ933" s="43"/>
      <c r="AR933" s="119"/>
      <c r="AS933" s="1"/>
      <c r="AT933" s="1"/>
    </row>
    <row r="934">
      <c r="A934" s="43"/>
      <c r="B934" s="59" t="str">
        <f>IFERROR(HYPERLINK(VLOOKUP(A934,Internal_lists_bugs!$A$2:$C$73,3,FALSE()), VLOOKUP(A934,Internal_lists_bugs!$A$2:$C$73,3,FALSE())&amp;Char(10) &amp; Char(10) &amp; VLOOKUP(A934,Internal_lists_bugs!$A$2:$Z$73,26,FALSE())),"please select a BUG ID")</f>
        <v>please select a BUG ID</v>
      </c>
      <c r="C934" s="51" t="str">
        <f>IFERROR(VLOOKUP(A934,Internal_lists_bugs!$A$2:$G2003,7,FALSE()),"please select a BUG ID")</f>
        <v>please select a BUG ID</v>
      </c>
      <c r="D934" s="43"/>
      <c r="E934" s="63"/>
      <c r="F934" s="43"/>
      <c r="G934" s="63"/>
      <c r="H934" s="43"/>
      <c r="I934" s="63"/>
      <c r="J934" s="43"/>
      <c r="K934" s="50"/>
      <c r="L934" s="43"/>
      <c r="M934" s="50"/>
      <c r="N934" s="43"/>
      <c r="O934" s="50"/>
      <c r="P934" s="43"/>
      <c r="Q934" s="50"/>
      <c r="R934" s="43"/>
      <c r="S934" s="50"/>
      <c r="T934" s="43"/>
      <c r="U934" s="50"/>
      <c r="V934" s="43"/>
      <c r="W934" s="50"/>
      <c r="X934" s="43"/>
      <c r="Y934" s="50"/>
      <c r="Z934" s="43"/>
      <c r="AA934" s="50"/>
      <c r="AB934" s="43"/>
      <c r="AC934" s="50"/>
      <c r="AD934" s="43"/>
      <c r="AE934" s="50"/>
      <c r="AF934" s="43"/>
      <c r="AG934" s="50"/>
      <c r="AH934" s="43"/>
      <c r="AI934" s="50"/>
      <c r="AJ934" s="43"/>
      <c r="AK934" s="50"/>
      <c r="AL934" s="43"/>
      <c r="AM934" s="50"/>
      <c r="AN934" s="46"/>
      <c r="AO934" s="43"/>
      <c r="AP934" s="46"/>
      <c r="AQ934" s="43"/>
      <c r="AR934" s="119"/>
      <c r="AS934" s="1"/>
      <c r="AT934" s="1"/>
    </row>
    <row r="935">
      <c r="A935" s="43"/>
      <c r="B935" s="59" t="str">
        <f>IFERROR(HYPERLINK(VLOOKUP(A935,Internal_lists_bugs!$A$2:$C$73,3,FALSE()), VLOOKUP(A935,Internal_lists_bugs!$A$2:$C$73,3,FALSE())&amp;Char(10) &amp; Char(10) &amp; VLOOKUP(A935,Internal_lists_bugs!$A$2:$Z$73,26,FALSE())),"please select a BUG ID")</f>
        <v>please select a BUG ID</v>
      </c>
      <c r="C935" s="51" t="str">
        <f>IFERROR(VLOOKUP(A935,Internal_lists_bugs!$A$2:$G2003,7,FALSE()),"please select a BUG ID")</f>
        <v>please select a BUG ID</v>
      </c>
      <c r="D935" s="43"/>
      <c r="E935" s="63"/>
      <c r="F935" s="43"/>
      <c r="G935" s="63"/>
      <c r="H935" s="43"/>
      <c r="I935" s="63"/>
      <c r="J935" s="43"/>
      <c r="K935" s="50"/>
      <c r="L935" s="43"/>
      <c r="M935" s="50"/>
      <c r="N935" s="43"/>
      <c r="O935" s="50"/>
      <c r="P935" s="43"/>
      <c r="Q935" s="50"/>
      <c r="R935" s="43"/>
      <c r="S935" s="50"/>
      <c r="T935" s="43"/>
      <c r="U935" s="50"/>
      <c r="V935" s="43"/>
      <c r="W935" s="50"/>
      <c r="X935" s="43"/>
      <c r="Y935" s="50"/>
      <c r="Z935" s="43"/>
      <c r="AA935" s="50"/>
      <c r="AB935" s="43"/>
      <c r="AC935" s="50"/>
      <c r="AD935" s="43"/>
      <c r="AE935" s="50"/>
      <c r="AF935" s="43"/>
      <c r="AG935" s="50"/>
      <c r="AH935" s="43"/>
      <c r="AI935" s="50"/>
      <c r="AJ935" s="43"/>
      <c r="AK935" s="50"/>
      <c r="AL935" s="43"/>
      <c r="AM935" s="50"/>
      <c r="AN935" s="46"/>
      <c r="AO935" s="43"/>
      <c r="AP935" s="46"/>
      <c r="AQ935" s="43"/>
      <c r="AR935" s="119"/>
      <c r="AS935" s="1"/>
      <c r="AT935" s="1"/>
    </row>
    <row r="936">
      <c r="A936" s="43"/>
      <c r="B936" s="59" t="str">
        <f>IFERROR(HYPERLINK(VLOOKUP(A936,Internal_lists_bugs!$A$2:$C$73,3,FALSE()), VLOOKUP(A936,Internal_lists_bugs!$A$2:$C$73,3,FALSE())&amp;Char(10) &amp; Char(10) &amp; VLOOKUP(A936,Internal_lists_bugs!$A$2:$Z$73,26,FALSE())),"please select a BUG ID")</f>
        <v>please select a BUG ID</v>
      </c>
      <c r="C936" s="51" t="str">
        <f>IFERROR(VLOOKUP(A936,Internal_lists_bugs!$A$2:$G2003,7,FALSE()),"please select a BUG ID")</f>
        <v>please select a BUG ID</v>
      </c>
      <c r="D936" s="43"/>
      <c r="E936" s="63"/>
      <c r="F936" s="43"/>
      <c r="G936" s="63"/>
      <c r="H936" s="43"/>
      <c r="I936" s="63"/>
      <c r="J936" s="43"/>
      <c r="K936" s="50"/>
      <c r="L936" s="43"/>
      <c r="M936" s="50"/>
      <c r="N936" s="43"/>
      <c r="O936" s="50"/>
      <c r="P936" s="43"/>
      <c r="Q936" s="50"/>
      <c r="R936" s="43"/>
      <c r="S936" s="50"/>
      <c r="T936" s="43"/>
      <c r="U936" s="50"/>
      <c r="V936" s="43"/>
      <c r="W936" s="50"/>
      <c r="X936" s="43"/>
      <c r="Y936" s="50"/>
      <c r="Z936" s="43"/>
      <c r="AA936" s="50"/>
      <c r="AB936" s="43"/>
      <c r="AC936" s="50"/>
      <c r="AD936" s="43"/>
      <c r="AE936" s="50"/>
      <c r="AF936" s="43"/>
      <c r="AG936" s="50"/>
      <c r="AH936" s="43"/>
      <c r="AI936" s="50"/>
      <c r="AJ936" s="43"/>
      <c r="AK936" s="50"/>
      <c r="AL936" s="43"/>
      <c r="AM936" s="50"/>
      <c r="AN936" s="46"/>
      <c r="AO936" s="43"/>
      <c r="AP936" s="46"/>
      <c r="AQ936" s="43"/>
      <c r="AR936" s="119"/>
      <c r="AS936" s="1"/>
      <c r="AT936" s="1"/>
    </row>
    <row r="937">
      <c r="A937" s="43"/>
      <c r="B937" s="59" t="str">
        <f>IFERROR(HYPERLINK(VLOOKUP(A937,Internal_lists_bugs!$A$2:$C$73,3,FALSE()), VLOOKUP(A937,Internal_lists_bugs!$A$2:$C$73,3,FALSE())&amp;Char(10) &amp; Char(10) &amp; VLOOKUP(A937,Internal_lists_bugs!$A$2:$Z$73,26,FALSE())),"please select a BUG ID")</f>
        <v>please select a BUG ID</v>
      </c>
      <c r="C937" s="51" t="str">
        <f>IFERROR(VLOOKUP(A937,Internal_lists_bugs!$A$2:$G2003,7,FALSE()),"please select a BUG ID")</f>
        <v>please select a BUG ID</v>
      </c>
      <c r="D937" s="43"/>
      <c r="E937" s="63"/>
      <c r="F937" s="43"/>
      <c r="G937" s="63"/>
      <c r="H937" s="43"/>
      <c r="I937" s="63"/>
      <c r="J937" s="43"/>
      <c r="K937" s="50"/>
      <c r="L937" s="43"/>
      <c r="M937" s="50"/>
      <c r="N937" s="43"/>
      <c r="O937" s="50"/>
      <c r="P937" s="43"/>
      <c r="Q937" s="50"/>
      <c r="R937" s="43"/>
      <c r="S937" s="50"/>
      <c r="T937" s="43"/>
      <c r="U937" s="50"/>
      <c r="V937" s="43"/>
      <c r="W937" s="50"/>
      <c r="X937" s="43"/>
      <c r="Y937" s="50"/>
      <c r="Z937" s="43"/>
      <c r="AA937" s="50"/>
      <c r="AB937" s="43"/>
      <c r="AC937" s="50"/>
      <c r="AD937" s="43"/>
      <c r="AE937" s="50"/>
      <c r="AF937" s="43"/>
      <c r="AG937" s="50"/>
      <c r="AH937" s="43"/>
      <c r="AI937" s="50"/>
      <c r="AJ937" s="43"/>
      <c r="AK937" s="50"/>
      <c r="AL937" s="43"/>
      <c r="AM937" s="50"/>
      <c r="AN937" s="46"/>
      <c r="AO937" s="43"/>
      <c r="AP937" s="46"/>
      <c r="AQ937" s="43"/>
      <c r="AR937" s="119"/>
      <c r="AS937" s="1"/>
      <c r="AT937" s="1"/>
    </row>
    <row r="938">
      <c r="A938" s="43"/>
      <c r="B938" s="59" t="str">
        <f>IFERROR(HYPERLINK(VLOOKUP(A938,Internal_lists_bugs!$A$2:$C$73,3,FALSE()), VLOOKUP(A938,Internal_lists_bugs!$A$2:$C$73,3,FALSE())&amp;Char(10) &amp; Char(10) &amp; VLOOKUP(A938,Internal_lists_bugs!$A$2:$Z$73,26,FALSE())),"please select a BUG ID")</f>
        <v>please select a BUG ID</v>
      </c>
      <c r="C938" s="51" t="str">
        <f>IFERROR(VLOOKUP(A938,Internal_lists_bugs!$A$2:$G2003,7,FALSE()),"please select a BUG ID")</f>
        <v>please select a BUG ID</v>
      </c>
      <c r="D938" s="43"/>
      <c r="E938" s="63"/>
      <c r="F938" s="43"/>
      <c r="G938" s="63"/>
      <c r="H938" s="43"/>
      <c r="I938" s="63"/>
      <c r="J938" s="43"/>
      <c r="K938" s="50"/>
      <c r="L938" s="43"/>
      <c r="M938" s="50"/>
      <c r="N938" s="43"/>
      <c r="O938" s="50"/>
      <c r="P938" s="43"/>
      <c r="Q938" s="50"/>
      <c r="R938" s="43"/>
      <c r="S938" s="50"/>
      <c r="T938" s="43"/>
      <c r="U938" s="50"/>
      <c r="V938" s="43"/>
      <c r="W938" s="50"/>
      <c r="X938" s="43"/>
      <c r="Y938" s="50"/>
      <c r="Z938" s="43"/>
      <c r="AA938" s="50"/>
      <c r="AB938" s="43"/>
      <c r="AC938" s="50"/>
      <c r="AD938" s="43"/>
      <c r="AE938" s="50"/>
      <c r="AF938" s="43"/>
      <c r="AG938" s="50"/>
      <c r="AH938" s="43"/>
      <c r="AI938" s="50"/>
      <c r="AJ938" s="43"/>
      <c r="AK938" s="50"/>
      <c r="AL938" s="43"/>
      <c r="AM938" s="50"/>
      <c r="AN938" s="46"/>
      <c r="AO938" s="43"/>
      <c r="AP938" s="46"/>
      <c r="AQ938" s="43"/>
      <c r="AR938" s="119"/>
      <c r="AS938" s="1"/>
      <c r="AT938" s="1"/>
    </row>
    <row r="939">
      <c r="A939" s="43"/>
      <c r="B939" s="59" t="str">
        <f>IFERROR(HYPERLINK(VLOOKUP(A939,Internal_lists_bugs!$A$2:$C$73,3,FALSE()), VLOOKUP(A939,Internal_lists_bugs!$A$2:$C$73,3,FALSE())&amp;Char(10) &amp; Char(10) &amp; VLOOKUP(A939,Internal_lists_bugs!$A$2:$Z$73,26,FALSE())),"please select a BUG ID")</f>
        <v>please select a BUG ID</v>
      </c>
      <c r="C939" s="51" t="str">
        <f>IFERROR(VLOOKUP(A939,Internal_lists_bugs!$A$2:$G2003,7,FALSE()),"please select a BUG ID")</f>
        <v>please select a BUG ID</v>
      </c>
      <c r="D939" s="43"/>
      <c r="E939" s="63"/>
      <c r="F939" s="43"/>
      <c r="G939" s="63"/>
      <c r="H939" s="43"/>
      <c r="I939" s="63"/>
      <c r="J939" s="43"/>
      <c r="K939" s="50"/>
      <c r="L939" s="43"/>
      <c r="M939" s="50"/>
      <c r="N939" s="43"/>
      <c r="O939" s="50"/>
      <c r="P939" s="43"/>
      <c r="Q939" s="50"/>
      <c r="R939" s="43"/>
      <c r="S939" s="50"/>
      <c r="T939" s="43"/>
      <c r="U939" s="50"/>
      <c r="V939" s="43"/>
      <c r="W939" s="50"/>
      <c r="X939" s="43"/>
      <c r="Y939" s="50"/>
      <c r="Z939" s="43"/>
      <c r="AA939" s="50"/>
      <c r="AB939" s="43"/>
      <c r="AC939" s="50"/>
      <c r="AD939" s="43"/>
      <c r="AE939" s="50"/>
      <c r="AF939" s="43"/>
      <c r="AG939" s="50"/>
      <c r="AH939" s="43"/>
      <c r="AI939" s="50"/>
      <c r="AJ939" s="43"/>
      <c r="AK939" s="50"/>
      <c r="AL939" s="43"/>
      <c r="AM939" s="50"/>
      <c r="AN939" s="46"/>
      <c r="AO939" s="43"/>
      <c r="AP939" s="46"/>
      <c r="AQ939" s="43"/>
      <c r="AR939" s="119"/>
      <c r="AS939" s="1"/>
      <c r="AT939" s="1"/>
    </row>
    <row r="940">
      <c r="A940" s="43"/>
      <c r="B940" s="59" t="str">
        <f>IFERROR(HYPERLINK(VLOOKUP(A940,Internal_lists_bugs!$A$2:$C$73,3,FALSE()), VLOOKUP(A940,Internal_lists_bugs!$A$2:$C$73,3,FALSE())&amp;Char(10) &amp; Char(10) &amp; VLOOKUP(A940,Internal_lists_bugs!$A$2:$Z$73,26,FALSE())),"please select a BUG ID")</f>
        <v>please select a BUG ID</v>
      </c>
      <c r="C940" s="51" t="str">
        <f>IFERROR(VLOOKUP(A940,Internal_lists_bugs!$A$2:$G2003,7,FALSE()),"please select a BUG ID")</f>
        <v>please select a BUG ID</v>
      </c>
      <c r="D940" s="43"/>
      <c r="E940" s="63"/>
      <c r="F940" s="43"/>
      <c r="G940" s="63"/>
      <c r="H940" s="43"/>
      <c r="I940" s="63"/>
      <c r="J940" s="43"/>
      <c r="K940" s="50"/>
      <c r="L940" s="43"/>
      <c r="M940" s="50"/>
      <c r="N940" s="43"/>
      <c r="O940" s="50"/>
      <c r="P940" s="43"/>
      <c r="Q940" s="50"/>
      <c r="R940" s="43"/>
      <c r="S940" s="50"/>
      <c r="T940" s="43"/>
      <c r="U940" s="50"/>
      <c r="V940" s="43"/>
      <c r="W940" s="50"/>
      <c r="X940" s="43"/>
      <c r="Y940" s="50"/>
      <c r="Z940" s="43"/>
      <c r="AA940" s="50"/>
      <c r="AB940" s="43"/>
      <c r="AC940" s="50"/>
      <c r="AD940" s="43"/>
      <c r="AE940" s="50"/>
      <c r="AF940" s="43"/>
      <c r="AG940" s="50"/>
      <c r="AH940" s="43"/>
      <c r="AI940" s="50"/>
      <c r="AJ940" s="43"/>
      <c r="AK940" s="50"/>
      <c r="AL940" s="43"/>
      <c r="AM940" s="50"/>
      <c r="AN940" s="46"/>
      <c r="AO940" s="43"/>
      <c r="AP940" s="46"/>
      <c r="AQ940" s="43"/>
      <c r="AR940" s="119"/>
      <c r="AS940" s="1"/>
      <c r="AT940" s="1"/>
    </row>
    <row r="941">
      <c r="A941" s="43"/>
      <c r="B941" s="59" t="str">
        <f>IFERROR(HYPERLINK(VLOOKUP(A941,Internal_lists_bugs!$A$2:$C$73,3,FALSE()), VLOOKUP(A941,Internal_lists_bugs!$A$2:$C$73,3,FALSE())&amp;Char(10) &amp; Char(10) &amp; VLOOKUP(A941,Internal_lists_bugs!$A$2:$Z$73,26,FALSE())),"please select a BUG ID")</f>
        <v>please select a BUG ID</v>
      </c>
      <c r="C941" s="51" t="str">
        <f>IFERROR(VLOOKUP(A941,Internal_lists_bugs!$A$2:$G2003,7,FALSE()),"please select a BUG ID")</f>
        <v>please select a BUG ID</v>
      </c>
      <c r="D941" s="43"/>
      <c r="E941" s="63"/>
      <c r="F941" s="43"/>
      <c r="G941" s="63"/>
      <c r="H941" s="43"/>
      <c r="I941" s="63"/>
      <c r="J941" s="43"/>
      <c r="K941" s="50"/>
      <c r="L941" s="43"/>
      <c r="M941" s="50"/>
      <c r="N941" s="43"/>
      <c r="O941" s="50"/>
      <c r="P941" s="43"/>
      <c r="Q941" s="50"/>
      <c r="R941" s="43"/>
      <c r="S941" s="50"/>
      <c r="T941" s="43"/>
      <c r="U941" s="50"/>
      <c r="V941" s="43"/>
      <c r="W941" s="50"/>
      <c r="X941" s="43"/>
      <c r="Y941" s="50"/>
      <c r="Z941" s="43"/>
      <c r="AA941" s="50"/>
      <c r="AB941" s="43"/>
      <c r="AC941" s="50"/>
      <c r="AD941" s="43"/>
      <c r="AE941" s="50"/>
      <c r="AF941" s="43"/>
      <c r="AG941" s="50"/>
      <c r="AH941" s="43"/>
      <c r="AI941" s="50"/>
      <c r="AJ941" s="43"/>
      <c r="AK941" s="50"/>
      <c r="AL941" s="43"/>
      <c r="AM941" s="50"/>
      <c r="AN941" s="46"/>
      <c r="AO941" s="43"/>
      <c r="AP941" s="46"/>
      <c r="AQ941" s="43"/>
      <c r="AR941" s="119"/>
      <c r="AS941" s="1"/>
      <c r="AT941" s="1"/>
    </row>
    <row r="942">
      <c r="A942" s="43"/>
      <c r="B942" s="59" t="str">
        <f>IFERROR(HYPERLINK(VLOOKUP(A942,Internal_lists_bugs!$A$2:$C$73,3,FALSE()), VLOOKUP(A942,Internal_lists_bugs!$A$2:$C$73,3,FALSE())&amp;Char(10) &amp; Char(10) &amp; VLOOKUP(A942,Internal_lists_bugs!$A$2:$Z$73,26,FALSE())),"please select a BUG ID")</f>
        <v>please select a BUG ID</v>
      </c>
      <c r="C942" s="51" t="str">
        <f>IFERROR(VLOOKUP(A942,Internal_lists_bugs!$A$2:$G2003,7,FALSE()),"please select a BUG ID")</f>
        <v>please select a BUG ID</v>
      </c>
      <c r="D942" s="43"/>
      <c r="E942" s="63"/>
      <c r="F942" s="43"/>
      <c r="G942" s="63"/>
      <c r="H942" s="43"/>
      <c r="I942" s="63"/>
      <c r="J942" s="43"/>
      <c r="K942" s="50"/>
      <c r="L942" s="43"/>
      <c r="M942" s="50"/>
      <c r="N942" s="43"/>
      <c r="O942" s="50"/>
      <c r="P942" s="43"/>
      <c r="Q942" s="50"/>
      <c r="R942" s="43"/>
      <c r="S942" s="50"/>
      <c r="T942" s="43"/>
      <c r="U942" s="50"/>
      <c r="V942" s="43"/>
      <c r="W942" s="50"/>
      <c r="X942" s="43"/>
      <c r="Y942" s="50"/>
      <c r="Z942" s="43"/>
      <c r="AA942" s="50"/>
      <c r="AB942" s="43"/>
      <c r="AC942" s="50"/>
      <c r="AD942" s="43"/>
      <c r="AE942" s="50"/>
      <c r="AF942" s="43"/>
      <c r="AG942" s="50"/>
      <c r="AH942" s="43"/>
      <c r="AI942" s="50"/>
      <c r="AJ942" s="43"/>
      <c r="AK942" s="50"/>
      <c r="AL942" s="43"/>
      <c r="AM942" s="50"/>
      <c r="AN942" s="46"/>
      <c r="AO942" s="43"/>
      <c r="AP942" s="46"/>
      <c r="AQ942" s="43"/>
      <c r="AR942" s="119"/>
      <c r="AS942" s="1"/>
      <c r="AT942" s="1"/>
    </row>
    <row r="943">
      <c r="A943" s="43"/>
      <c r="B943" s="59" t="str">
        <f>IFERROR(HYPERLINK(VLOOKUP(A943,Internal_lists_bugs!$A$2:$C$73,3,FALSE()), VLOOKUP(A943,Internal_lists_bugs!$A$2:$C$73,3,FALSE())&amp;Char(10) &amp; Char(10) &amp; VLOOKUP(A943,Internal_lists_bugs!$A$2:$Z$73,26,FALSE())),"please select a BUG ID")</f>
        <v>please select a BUG ID</v>
      </c>
      <c r="C943" s="51" t="str">
        <f>IFERROR(VLOOKUP(A943,Internal_lists_bugs!$A$2:$G2003,7,FALSE()),"please select a BUG ID")</f>
        <v>please select a BUG ID</v>
      </c>
      <c r="D943" s="43"/>
      <c r="E943" s="63"/>
      <c r="F943" s="43"/>
      <c r="G943" s="63"/>
      <c r="H943" s="43"/>
      <c r="I943" s="63"/>
      <c r="J943" s="43"/>
      <c r="K943" s="50"/>
      <c r="L943" s="43"/>
      <c r="M943" s="50"/>
      <c r="N943" s="43"/>
      <c r="O943" s="50"/>
      <c r="P943" s="43"/>
      <c r="Q943" s="50"/>
      <c r="R943" s="43"/>
      <c r="S943" s="50"/>
      <c r="T943" s="43"/>
      <c r="U943" s="50"/>
      <c r="V943" s="43"/>
      <c r="W943" s="50"/>
      <c r="X943" s="43"/>
      <c r="Y943" s="50"/>
      <c r="Z943" s="43"/>
      <c r="AA943" s="50"/>
      <c r="AB943" s="43"/>
      <c r="AC943" s="50"/>
      <c r="AD943" s="43"/>
      <c r="AE943" s="50"/>
      <c r="AF943" s="43"/>
      <c r="AG943" s="50"/>
      <c r="AH943" s="43"/>
      <c r="AI943" s="50"/>
      <c r="AJ943" s="43"/>
      <c r="AK943" s="50"/>
      <c r="AL943" s="43"/>
      <c r="AM943" s="50"/>
      <c r="AN943" s="46"/>
      <c r="AO943" s="43"/>
      <c r="AP943" s="46"/>
      <c r="AQ943" s="43"/>
      <c r="AR943" s="119"/>
      <c r="AS943" s="1"/>
      <c r="AT943" s="1"/>
    </row>
    <row r="944">
      <c r="A944" s="43"/>
      <c r="B944" s="59" t="str">
        <f>IFERROR(HYPERLINK(VLOOKUP(A944,Internal_lists_bugs!$A$2:$C$73,3,FALSE()), VLOOKUP(A944,Internal_lists_bugs!$A$2:$C$73,3,FALSE())&amp;Char(10) &amp; Char(10) &amp; VLOOKUP(A944,Internal_lists_bugs!$A$2:$Z$73,26,FALSE())),"please select a BUG ID")</f>
        <v>please select a BUG ID</v>
      </c>
      <c r="C944" s="51" t="str">
        <f>IFERROR(VLOOKUP(A944,Internal_lists_bugs!$A$2:$G2003,7,FALSE()),"please select a BUG ID")</f>
        <v>please select a BUG ID</v>
      </c>
      <c r="D944" s="43"/>
      <c r="E944" s="63"/>
      <c r="F944" s="43"/>
      <c r="G944" s="63"/>
      <c r="H944" s="43"/>
      <c r="I944" s="63"/>
      <c r="J944" s="43"/>
      <c r="K944" s="50"/>
      <c r="L944" s="43"/>
      <c r="M944" s="50"/>
      <c r="N944" s="43"/>
      <c r="O944" s="50"/>
      <c r="P944" s="43"/>
      <c r="Q944" s="50"/>
      <c r="R944" s="43"/>
      <c r="S944" s="50"/>
      <c r="T944" s="43"/>
      <c r="U944" s="50"/>
      <c r="V944" s="43"/>
      <c r="W944" s="50"/>
      <c r="X944" s="43"/>
      <c r="Y944" s="50"/>
      <c r="Z944" s="43"/>
      <c r="AA944" s="50"/>
      <c r="AB944" s="43"/>
      <c r="AC944" s="50"/>
      <c r="AD944" s="43"/>
      <c r="AE944" s="50"/>
      <c r="AF944" s="43"/>
      <c r="AG944" s="50"/>
      <c r="AH944" s="43"/>
      <c r="AI944" s="50"/>
      <c r="AJ944" s="43"/>
      <c r="AK944" s="50"/>
      <c r="AL944" s="43"/>
      <c r="AM944" s="50"/>
      <c r="AN944" s="46"/>
      <c r="AO944" s="43"/>
      <c r="AP944" s="46"/>
      <c r="AQ944" s="43"/>
      <c r="AR944" s="119"/>
      <c r="AS944" s="1"/>
      <c r="AT944" s="1"/>
    </row>
    <row r="945">
      <c r="A945" s="43"/>
      <c r="B945" s="59" t="str">
        <f>IFERROR(HYPERLINK(VLOOKUP(A945,Internal_lists_bugs!$A$2:$C$73,3,FALSE()), VLOOKUP(A945,Internal_lists_bugs!$A$2:$C$73,3,FALSE())&amp;Char(10) &amp; Char(10) &amp; VLOOKUP(A945,Internal_lists_bugs!$A$2:$Z$73,26,FALSE())),"please select a BUG ID")</f>
        <v>please select a BUG ID</v>
      </c>
      <c r="C945" s="51" t="str">
        <f>IFERROR(VLOOKUP(A945,Internal_lists_bugs!$A$2:$G2003,7,FALSE()),"please select a BUG ID")</f>
        <v>please select a BUG ID</v>
      </c>
      <c r="D945" s="43"/>
      <c r="E945" s="63"/>
      <c r="F945" s="43"/>
      <c r="G945" s="63"/>
      <c r="H945" s="43"/>
      <c r="I945" s="63"/>
      <c r="J945" s="43"/>
      <c r="K945" s="50"/>
      <c r="L945" s="43"/>
      <c r="M945" s="50"/>
      <c r="N945" s="43"/>
      <c r="O945" s="50"/>
      <c r="P945" s="43"/>
      <c r="Q945" s="50"/>
      <c r="R945" s="43"/>
      <c r="S945" s="50"/>
      <c r="T945" s="43"/>
      <c r="U945" s="50"/>
      <c r="V945" s="43"/>
      <c r="W945" s="50"/>
      <c r="X945" s="43"/>
      <c r="Y945" s="50"/>
      <c r="Z945" s="43"/>
      <c r="AA945" s="50"/>
      <c r="AB945" s="43"/>
      <c r="AC945" s="50"/>
      <c r="AD945" s="43"/>
      <c r="AE945" s="50"/>
      <c r="AF945" s="43"/>
      <c r="AG945" s="50"/>
      <c r="AH945" s="43"/>
      <c r="AI945" s="50"/>
      <c r="AJ945" s="43"/>
      <c r="AK945" s="50"/>
      <c r="AL945" s="43"/>
      <c r="AM945" s="50"/>
      <c r="AN945" s="46"/>
      <c r="AO945" s="43"/>
      <c r="AP945" s="46"/>
      <c r="AQ945" s="43"/>
      <c r="AR945" s="119"/>
      <c r="AS945" s="1"/>
      <c r="AT945" s="1"/>
    </row>
    <row r="946">
      <c r="A946" s="43"/>
      <c r="B946" s="59" t="str">
        <f>IFERROR(HYPERLINK(VLOOKUP(A946,Internal_lists_bugs!$A$2:$C$73,3,FALSE()), VLOOKUP(A946,Internal_lists_bugs!$A$2:$C$73,3,FALSE())&amp;Char(10) &amp; Char(10) &amp; VLOOKUP(A946,Internal_lists_bugs!$A$2:$Z$73,26,FALSE())),"please select a BUG ID")</f>
        <v>please select a BUG ID</v>
      </c>
      <c r="C946" s="51" t="str">
        <f>IFERROR(VLOOKUP(A946,Internal_lists_bugs!$A$2:$G2003,7,FALSE()),"please select a BUG ID")</f>
        <v>please select a BUG ID</v>
      </c>
      <c r="D946" s="43"/>
      <c r="E946" s="63"/>
      <c r="F946" s="43"/>
      <c r="G946" s="63"/>
      <c r="H946" s="43"/>
      <c r="I946" s="63"/>
      <c r="J946" s="43"/>
      <c r="K946" s="50"/>
      <c r="L946" s="43"/>
      <c r="M946" s="50"/>
      <c r="N946" s="43"/>
      <c r="O946" s="50"/>
      <c r="P946" s="43"/>
      <c r="Q946" s="50"/>
      <c r="R946" s="43"/>
      <c r="S946" s="50"/>
      <c r="T946" s="43"/>
      <c r="U946" s="50"/>
      <c r="V946" s="43"/>
      <c r="W946" s="50"/>
      <c r="X946" s="43"/>
      <c r="Y946" s="50"/>
      <c r="Z946" s="43"/>
      <c r="AA946" s="50"/>
      <c r="AB946" s="43"/>
      <c r="AC946" s="50"/>
      <c r="AD946" s="43"/>
      <c r="AE946" s="50"/>
      <c r="AF946" s="43"/>
      <c r="AG946" s="50"/>
      <c r="AH946" s="43"/>
      <c r="AI946" s="50"/>
      <c r="AJ946" s="43"/>
      <c r="AK946" s="50"/>
      <c r="AL946" s="43"/>
      <c r="AM946" s="50"/>
      <c r="AN946" s="46"/>
      <c r="AO946" s="43"/>
      <c r="AP946" s="46"/>
      <c r="AQ946" s="43"/>
      <c r="AR946" s="119"/>
      <c r="AS946" s="1"/>
      <c r="AT946" s="1"/>
    </row>
    <row r="947">
      <c r="A947" s="43"/>
      <c r="B947" s="59" t="str">
        <f>IFERROR(HYPERLINK(VLOOKUP(A947,Internal_lists_bugs!$A$2:$C$73,3,FALSE()), VLOOKUP(A947,Internal_lists_bugs!$A$2:$C$73,3,FALSE())&amp;Char(10) &amp; Char(10) &amp; VLOOKUP(A947,Internal_lists_bugs!$A$2:$Z$73,26,FALSE())),"please select a BUG ID")</f>
        <v>please select a BUG ID</v>
      </c>
      <c r="C947" s="51" t="str">
        <f>IFERROR(VLOOKUP(A947,Internal_lists_bugs!$A$2:$G2003,7,FALSE()),"please select a BUG ID")</f>
        <v>please select a BUG ID</v>
      </c>
      <c r="D947" s="43"/>
      <c r="E947" s="63"/>
      <c r="F947" s="43"/>
      <c r="G947" s="63"/>
      <c r="H947" s="43"/>
      <c r="I947" s="63"/>
      <c r="J947" s="43"/>
      <c r="K947" s="50"/>
      <c r="L947" s="43"/>
      <c r="M947" s="50"/>
      <c r="N947" s="43"/>
      <c r="O947" s="50"/>
      <c r="P947" s="43"/>
      <c r="Q947" s="50"/>
      <c r="R947" s="43"/>
      <c r="S947" s="50"/>
      <c r="T947" s="43"/>
      <c r="U947" s="50"/>
      <c r="V947" s="43"/>
      <c r="W947" s="50"/>
      <c r="X947" s="43"/>
      <c r="Y947" s="50"/>
      <c r="Z947" s="43"/>
      <c r="AA947" s="50"/>
      <c r="AB947" s="43"/>
      <c r="AC947" s="50"/>
      <c r="AD947" s="43"/>
      <c r="AE947" s="50"/>
      <c r="AF947" s="43"/>
      <c r="AG947" s="50"/>
      <c r="AH947" s="43"/>
      <c r="AI947" s="50"/>
      <c r="AJ947" s="43"/>
      <c r="AK947" s="50"/>
      <c r="AL947" s="43"/>
      <c r="AM947" s="50"/>
      <c r="AN947" s="46"/>
      <c r="AO947" s="43"/>
      <c r="AP947" s="46"/>
      <c r="AQ947" s="43"/>
      <c r="AR947" s="119"/>
      <c r="AS947" s="1"/>
      <c r="AT947" s="1"/>
    </row>
    <row r="948">
      <c r="A948" s="43"/>
      <c r="B948" s="59" t="str">
        <f>IFERROR(HYPERLINK(VLOOKUP(A948,Internal_lists_bugs!$A$2:$C$73,3,FALSE()), VLOOKUP(A948,Internal_lists_bugs!$A$2:$C$73,3,FALSE())&amp;Char(10) &amp; Char(10) &amp; VLOOKUP(A948,Internal_lists_bugs!$A$2:$Z$73,26,FALSE())),"please select a BUG ID")</f>
        <v>please select a BUG ID</v>
      </c>
      <c r="C948" s="51" t="str">
        <f>IFERROR(VLOOKUP(A948,Internal_lists_bugs!$A$2:$G2003,7,FALSE()),"please select a BUG ID")</f>
        <v>please select a BUG ID</v>
      </c>
      <c r="D948" s="43"/>
      <c r="E948" s="63"/>
      <c r="F948" s="43"/>
      <c r="G948" s="63"/>
      <c r="H948" s="43"/>
      <c r="I948" s="63"/>
      <c r="J948" s="43"/>
      <c r="K948" s="50"/>
      <c r="L948" s="43"/>
      <c r="M948" s="50"/>
      <c r="N948" s="43"/>
      <c r="O948" s="50"/>
      <c r="P948" s="43"/>
      <c r="Q948" s="50"/>
      <c r="R948" s="43"/>
      <c r="S948" s="50"/>
      <c r="T948" s="43"/>
      <c r="U948" s="50"/>
      <c r="V948" s="43"/>
      <c r="W948" s="50"/>
      <c r="X948" s="43"/>
      <c r="Y948" s="50"/>
      <c r="Z948" s="43"/>
      <c r="AA948" s="50"/>
      <c r="AB948" s="43"/>
      <c r="AC948" s="50"/>
      <c r="AD948" s="43"/>
      <c r="AE948" s="50"/>
      <c r="AF948" s="43"/>
      <c r="AG948" s="50"/>
      <c r="AH948" s="43"/>
      <c r="AI948" s="50"/>
      <c r="AJ948" s="43"/>
      <c r="AK948" s="50"/>
      <c r="AL948" s="43"/>
      <c r="AM948" s="50"/>
      <c r="AN948" s="46"/>
      <c r="AO948" s="43"/>
      <c r="AP948" s="46"/>
      <c r="AQ948" s="43"/>
      <c r="AR948" s="119"/>
      <c r="AS948" s="1"/>
      <c r="AT948" s="1"/>
    </row>
    <row r="949">
      <c r="A949" s="43"/>
      <c r="B949" s="59" t="str">
        <f>IFERROR(HYPERLINK(VLOOKUP(A949,Internal_lists_bugs!$A$2:$C$73,3,FALSE()), VLOOKUP(A949,Internal_lists_bugs!$A$2:$C$73,3,FALSE())&amp;Char(10) &amp; Char(10) &amp; VLOOKUP(A949,Internal_lists_bugs!$A$2:$Z$73,26,FALSE())),"please select a BUG ID")</f>
        <v>please select a BUG ID</v>
      </c>
      <c r="C949" s="51" t="str">
        <f>IFERROR(VLOOKUP(A949,Internal_lists_bugs!$A$2:$G2003,7,FALSE()),"please select a BUG ID")</f>
        <v>please select a BUG ID</v>
      </c>
      <c r="D949" s="43"/>
      <c r="E949" s="63"/>
      <c r="F949" s="43"/>
      <c r="G949" s="63"/>
      <c r="H949" s="43"/>
      <c r="I949" s="63"/>
      <c r="J949" s="43"/>
      <c r="K949" s="50"/>
      <c r="L949" s="43"/>
      <c r="M949" s="50"/>
      <c r="N949" s="43"/>
      <c r="O949" s="50"/>
      <c r="P949" s="43"/>
      <c r="Q949" s="50"/>
      <c r="R949" s="43"/>
      <c r="S949" s="50"/>
      <c r="T949" s="43"/>
      <c r="U949" s="50"/>
      <c r="V949" s="43"/>
      <c r="W949" s="50"/>
      <c r="X949" s="43"/>
      <c r="Y949" s="50"/>
      <c r="Z949" s="43"/>
      <c r="AA949" s="50"/>
      <c r="AB949" s="43"/>
      <c r="AC949" s="50"/>
      <c r="AD949" s="43"/>
      <c r="AE949" s="50"/>
      <c r="AF949" s="43"/>
      <c r="AG949" s="50"/>
      <c r="AH949" s="43"/>
      <c r="AI949" s="50"/>
      <c r="AJ949" s="43"/>
      <c r="AK949" s="50"/>
      <c r="AL949" s="43"/>
      <c r="AM949" s="50"/>
      <c r="AN949" s="46"/>
      <c r="AO949" s="43"/>
      <c r="AP949" s="46"/>
      <c r="AQ949" s="43"/>
      <c r="AR949" s="119"/>
      <c r="AS949" s="1"/>
      <c r="AT949" s="1"/>
    </row>
    <row r="950">
      <c r="A950" s="43"/>
      <c r="B950" s="59" t="str">
        <f>IFERROR(HYPERLINK(VLOOKUP(A950,Internal_lists_bugs!$A$2:$C$73,3,FALSE()), VLOOKUP(A950,Internal_lists_bugs!$A$2:$C$73,3,FALSE())&amp;Char(10) &amp; Char(10) &amp; VLOOKUP(A950,Internal_lists_bugs!$A$2:$Z$73,26,FALSE())),"please select a BUG ID")</f>
        <v>please select a BUG ID</v>
      </c>
      <c r="C950" s="51" t="str">
        <f>IFERROR(VLOOKUP(A950,Internal_lists_bugs!$A$2:$G2003,7,FALSE()),"please select a BUG ID")</f>
        <v>please select a BUG ID</v>
      </c>
      <c r="D950" s="43"/>
      <c r="E950" s="63"/>
      <c r="F950" s="43"/>
      <c r="G950" s="63"/>
      <c r="H950" s="43"/>
      <c r="I950" s="63"/>
      <c r="J950" s="43"/>
      <c r="K950" s="50"/>
      <c r="L950" s="43"/>
      <c r="M950" s="50"/>
      <c r="N950" s="43"/>
      <c r="O950" s="50"/>
      <c r="P950" s="43"/>
      <c r="Q950" s="50"/>
      <c r="R950" s="43"/>
      <c r="S950" s="50"/>
      <c r="T950" s="43"/>
      <c r="U950" s="50"/>
      <c r="V950" s="43"/>
      <c r="W950" s="50"/>
      <c r="X950" s="43"/>
      <c r="Y950" s="50"/>
      <c r="Z950" s="43"/>
      <c r="AA950" s="50"/>
      <c r="AB950" s="43"/>
      <c r="AC950" s="50"/>
      <c r="AD950" s="43"/>
      <c r="AE950" s="50"/>
      <c r="AF950" s="43"/>
      <c r="AG950" s="50"/>
      <c r="AH950" s="43"/>
      <c r="AI950" s="50"/>
      <c r="AJ950" s="43"/>
      <c r="AK950" s="50"/>
      <c r="AL950" s="43"/>
      <c r="AM950" s="50"/>
      <c r="AN950" s="46"/>
      <c r="AO950" s="43"/>
      <c r="AP950" s="46"/>
      <c r="AQ950" s="43"/>
      <c r="AR950" s="119"/>
      <c r="AS950" s="1"/>
      <c r="AT950" s="1"/>
    </row>
    <row r="951">
      <c r="A951" s="43"/>
      <c r="B951" s="59" t="str">
        <f>IFERROR(HYPERLINK(VLOOKUP(A951,Internal_lists_bugs!$A$2:$C$73,3,FALSE()), VLOOKUP(A951,Internal_lists_bugs!$A$2:$C$73,3,FALSE())&amp;Char(10) &amp; Char(10) &amp; VLOOKUP(A951,Internal_lists_bugs!$A$2:$Z$73,26,FALSE())),"please select a BUG ID")</f>
        <v>please select a BUG ID</v>
      </c>
      <c r="C951" s="51" t="str">
        <f>IFERROR(VLOOKUP(A951,Internal_lists_bugs!$A$2:$G2003,7,FALSE()),"please select a BUG ID")</f>
        <v>please select a BUG ID</v>
      </c>
      <c r="D951" s="43"/>
      <c r="E951" s="63"/>
      <c r="F951" s="43"/>
      <c r="G951" s="63"/>
      <c r="H951" s="43"/>
      <c r="I951" s="63"/>
      <c r="J951" s="43"/>
      <c r="K951" s="50"/>
      <c r="L951" s="43"/>
      <c r="M951" s="50"/>
      <c r="N951" s="43"/>
      <c r="O951" s="50"/>
      <c r="P951" s="43"/>
      <c r="Q951" s="50"/>
      <c r="R951" s="43"/>
      <c r="S951" s="50"/>
      <c r="T951" s="43"/>
      <c r="U951" s="50"/>
      <c r="V951" s="43"/>
      <c r="W951" s="50"/>
      <c r="X951" s="43"/>
      <c r="Y951" s="50"/>
      <c r="Z951" s="43"/>
      <c r="AA951" s="50"/>
      <c r="AB951" s="43"/>
      <c r="AC951" s="50"/>
      <c r="AD951" s="43"/>
      <c r="AE951" s="50"/>
      <c r="AF951" s="43"/>
      <c r="AG951" s="50"/>
      <c r="AH951" s="43"/>
      <c r="AI951" s="50"/>
      <c r="AJ951" s="43"/>
      <c r="AK951" s="50"/>
      <c r="AL951" s="43"/>
      <c r="AM951" s="50"/>
      <c r="AN951" s="46"/>
      <c r="AO951" s="43"/>
      <c r="AP951" s="46"/>
      <c r="AQ951" s="43"/>
      <c r="AR951" s="119"/>
      <c r="AS951" s="1"/>
      <c r="AT951" s="1"/>
    </row>
    <row r="952">
      <c r="A952" s="43"/>
      <c r="B952" s="59" t="str">
        <f>IFERROR(HYPERLINK(VLOOKUP(A952,Internal_lists_bugs!$A$2:$C$73,3,FALSE()), VLOOKUP(A952,Internal_lists_bugs!$A$2:$C$73,3,FALSE())&amp;Char(10) &amp; Char(10) &amp; VLOOKUP(A952,Internal_lists_bugs!$A$2:$Z$73,26,FALSE())),"please select a BUG ID")</f>
        <v>please select a BUG ID</v>
      </c>
      <c r="C952" s="51" t="str">
        <f>IFERROR(VLOOKUP(A952,Internal_lists_bugs!$A$2:$G2003,7,FALSE()),"please select a BUG ID")</f>
        <v>please select a BUG ID</v>
      </c>
      <c r="D952" s="43"/>
      <c r="E952" s="63"/>
      <c r="F952" s="43"/>
      <c r="G952" s="63"/>
      <c r="H952" s="43"/>
      <c r="I952" s="63"/>
      <c r="J952" s="43"/>
      <c r="K952" s="50"/>
      <c r="L952" s="43"/>
      <c r="M952" s="50"/>
      <c r="N952" s="43"/>
      <c r="O952" s="50"/>
      <c r="P952" s="43"/>
      <c r="Q952" s="50"/>
      <c r="R952" s="43"/>
      <c r="S952" s="50"/>
      <c r="T952" s="43"/>
      <c r="U952" s="50"/>
      <c r="V952" s="43"/>
      <c r="W952" s="50"/>
      <c r="X952" s="43"/>
      <c r="Y952" s="50"/>
      <c r="Z952" s="43"/>
      <c r="AA952" s="50"/>
      <c r="AB952" s="43"/>
      <c r="AC952" s="50"/>
      <c r="AD952" s="43"/>
      <c r="AE952" s="50"/>
      <c r="AF952" s="43"/>
      <c r="AG952" s="50"/>
      <c r="AH952" s="43"/>
      <c r="AI952" s="50"/>
      <c r="AJ952" s="43"/>
      <c r="AK952" s="50"/>
      <c r="AL952" s="43"/>
      <c r="AM952" s="50"/>
      <c r="AN952" s="46"/>
      <c r="AO952" s="43"/>
      <c r="AP952" s="46"/>
      <c r="AQ952" s="43"/>
      <c r="AR952" s="119"/>
      <c r="AS952" s="1"/>
      <c r="AT952" s="1"/>
    </row>
    <row r="953">
      <c r="A953" s="43"/>
      <c r="B953" s="59" t="str">
        <f>IFERROR(HYPERLINK(VLOOKUP(A953,Internal_lists_bugs!$A$2:$C$73,3,FALSE()), VLOOKUP(A953,Internal_lists_bugs!$A$2:$C$73,3,FALSE())&amp;Char(10) &amp; Char(10) &amp; VLOOKUP(A953,Internal_lists_bugs!$A$2:$Z$73,26,FALSE())),"please select a BUG ID")</f>
        <v>please select a BUG ID</v>
      </c>
      <c r="C953" s="51" t="str">
        <f>IFERROR(VLOOKUP(A953,Internal_lists_bugs!$A$2:$G2003,7,FALSE()),"please select a BUG ID")</f>
        <v>please select a BUG ID</v>
      </c>
      <c r="D953" s="43"/>
      <c r="E953" s="63"/>
      <c r="F953" s="43"/>
      <c r="G953" s="63"/>
      <c r="H953" s="43"/>
      <c r="I953" s="63"/>
      <c r="J953" s="43"/>
      <c r="K953" s="50"/>
      <c r="L953" s="43"/>
      <c r="M953" s="50"/>
      <c r="N953" s="43"/>
      <c r="O953" s="50"/>
      <c r="P953" s="43"/>
      <c r="Q953" s="50"/>
      <c r="R953" s="43"/>
      <c r="S953" s="50"/>
      <c r="T953" s="43"/>
      <c r="U953" s="50"/>
      <c r="V953" s="43"/>
      <c r="W953" s="50"/>
      <c r="X953" s="43"/>
      <c r="Y953" s="50"/>
      <c r="Z953" s="43"/>
      <c r="AA953" s="50"/>
      <c r="AB953" s="43"/>
      <c r="AC953" s="50"/>
      <c r="AD953" s="43"/>
      <c r="AE953" s="50"/>
      <c r="AF953" s="43"/>
      <c r="AG953" s="50"/>
      <c r="AH953" s="43"/>
      <c r="AI953" s="50"/>
      <c r="AJ953" s="43"/>
      <c r="AK953" s="50"/>
      <c r="AL953" s="43"/>
      <c r="AM953" s="50"/>
      <c r="AN953" s="46"/>
      <c r="AO953" s="43"/>
      <c r="AP953" s="46"/>
      <c r="AQ953" s="43"/>
      <c r="AR953" s="119"/>
      <c r="AS953" s="1"/>
      <c r="AT953" s="1"/>
    </row>
    <row r="954">
      <c r="A954" s="43"/>
      <c r="B954" s="59" t="str">
        <f>IFERROR(HYPERLINK(VLOOKUP(A954,Internal_lists_bugs!$A$2:$C$73,3,FALSE()), VLOOKUP(A954,Internal_lists_bugs!$A$2:$C$73,3,FALSE())&amp;Char(10) &amp; Char(10) &amp; VLOOKUP(A954,Internal_lists_bugs!$A$2:$Z$73,26,FALSE())),"please select a BUG ID")</f>
        <v>please select a BUG ID</v>
      </c>
      <c r="C954" s="51" t="str">
        <f>IFERROR(VLOOKUP(A954,Internal_lists_bugs!$A$2:$G2003,7,FALSE()),"please select a BUG ID")</f>
        <v>please select a BUG ID</v>
      </c>
      <c r="D954" s="43"/>
      <c r="E954" s="63"/>
      <c r="F954" s="43"/>
      <c r="G954" s="63"/>
      <c r="H954" s="43"/>
      <c r="I954" s="63"/>
      <c r="J954" s="43"/>
      <c r="K954" s="50"/>
      <c r="L954" s="43"/>
      <c r="M954" s="50"/>
      <c r="N954" s="43"/>
      <c r="O954" s="50"/>
      <c r="P954" s="43"/>
      <c r="Q954" s="50"/>
      <c r="R954" s="43"/>
      <c r="S954" s="50"/>
      <c r="T954" s="43"/>
      <c r="U954" s="50"/>
      <c r="V954" s="43"/>
      <c r="W954" s="50"/>
      <c r="X954" s="43"/>
      <c r="Y954" s="50"/>
      <c r="Z954" s="43"/>
      <c r="AA954" s="50"/>
      <c r="AB954" s="43"/>
      <c r="AC954" s="50"/>
      <c r="AD954" s="43"/>
      <c r="AE954" s="50"/>
      <c r="AF954" s="43"/>
      <c r="AG954" s="50"/>
      <c r="AH954" s="43"/>
      <c r="AI954" s="50"/>
      <c r="AJ954" s="43"/>
      <c r="AK954" s="50"/>
      <c r="AL954" s="43"/>
      <c r="AM954" s="50"/>
      <c r="AN954" s="46"/>
      <c r="AO954" s="43"/>
      <c r="AP954" s="46"/>
      <c r="AQ954" s="43"/>
      <c r="AR954" s="119"/>
      <c r="AS954" s="1"/>
      <c r="AT954" s="1"/>
    </row>
    <row r="955">
      <c r="A955" s="43"/>
      <c r="B955" s="59" t="str">
        <f>IFERROR(HYPERLINK(VLOOKUP(A955,Internal_lists_bugs!$A$2:$C$73,3,FALSE()), VLOOKUP(A955,Internal_lists_bugs!$A$2:$C$73,3,FALSE())&amp;Char(10) &amp; Char(10) &amp; VLOOKUP(A955,Internal_lists_bugs!$A$2:$Z$73,26,FALSE())),"please select a BUG ID")</f>
        <v>please select a BUG ID</v>
      </c>
      <c r="C955" s="51" t="str">
        <f>IFERROR(VLOOKUP(A955,Internal_lists_bugs!$A$2:$G2003,7,FALSE()),"please select a BUG ID")</f>
        <v>please select a BUG ID</v>
      </c>
      <c r="D955" s="43"/>
      <c r="E955" s="63"/>
      <c r="F955" s="43"/>
      <c r="G955" s="63"/>
      <c r="H955" s="43"/>
      <c r="I955" s="63"/>
      <c r="J955" s="43"/>
      <c r="K955" s="50"/>
      <c r="L955" s="43"/>
      <c r="M955" s="50"/>
      <c r="N955" s="43"/>
      <c r="O955" s="50"/>
      <c r="P955" s="43"/>
      <c r="Q955" s="50"/>
      <c r="R955" s="43"/>
      <c r="S955" s="50"/>
      <c r="T955" s="43"/>
      <c r="U955" s="50"/>
      <c r="V955" s="43"/>
      <c r="W955" s="50"/>
      <c r="X955" s="43"/>
      <c r="Y955" s="50"/>
      <c r="Z955" s="43"/>
      <c r="AA955" s="50"/>
      <c r="AB955" s="43"/>
      <c r="AC955" s="50"/>
      <c r="AD955" s="43"/>
      <c r="AE955" s="50"/>
      <c r="AF955" s="43"/>
      <c r="AG955" s="50"/>
      <c r="AH955" s="43"/>
      <c r="AI955" s="50"/>
      <c r="AJ955" s="43"/>
      <c r="AK955" s="50"/>
      <c r="AL955" s="43"/>
      <c r="AM955" s="50"/>
      <c r="AN955" s="46"/>
      <c r="AO955" s="43"/>
      <c r="AP955" s="46"/>
      <c r="AQ955" s="43"/>
      <c r="AR955" s="119"/>
      <c r="AS955" s="1"/>
      <c r="AT955" s="1"/>
    </row>
    <row r="956">
      <c r="A956" s="43"/>
      <c r="B956" s="59" t="str">
        <f>IFERROR(HYPERLINK(VLOOKUP(A956,Internal_lists_bugs!$A$2:$C$73,3,FALSE()), VLOOKUP(A956,Internal_lists_bugs!$A$2:$C$73,3,FALSE())&amp;Char(10) &amp; Char(10) &amp; VLOOKUP(A956,Internal_lists_bugs!$A$2:$Z$73,26,FALSE())),"please select a BUG ID")</f>
        <v>please select a BUG ID</v>
      </c>
      <c r="C956" s="51" t="str">
        <f>IFERROR(VLOOKUP(A956,Internal_lists_bugs!$A$2:$G2003,7,FALSE()),"please select a BUG ID")</f>
        <v>please select a BUG ID</v>
      </c>
      <c r="D956" s="43"/>
      <c r="E956" s="63"/>
      <c r="F956" s="43"/>
      <c r="G956" s="63"/>
      <c r="H956" s="43"/>
      <c r="I956" s="63"/>
      <c r="J956" s="43"/>
      <c r="K956" s="50"/>
      <c r="L956" s="43"/>
      <c r="M956" s="50"/>
      <c r="N956" s="43"/>
      <c r="O956" s="50"/>
      <c r="P956" s="43"/>
      <c r="Q956" s="50"/>
      <c r="R956" s="43"/>
      <c r="S956" s="50"/>
      <c r="T956" s="43"/>
      <c r="U956" s="50"/>
      <c r="V956" s="43"/>
      <c r="W956" s="50"/>
      <c r="X956" s="43"/>
      <c r="Y956" s="50"/>
      <c r="Z956" s="43"/>
      <c r="AA956" s="50"/>
      <c r="AB956" s="43"/>
      <c r="AC956" s="50"/>
      <c r="AD956" s="43"/>
      <c r="AE956" s="50"/>
      <c r="AF956" s="43"/>
      <c r="AG956" s="50"/>
      <c r="AH956" s="43"/>
      <c r="AI956" s="50"/>
      <c r="AJ956" s="43"/>
      <c r="AK956" s="50"/>
      <c r="AL956" s="43"/>
      <c r="AM956" s="50"/>
      <c r="AN956" s="46"/>
      <c r="AO956" s="43"/>
      <c r="AP956" s="46"/>
      <c r="AQ956" s="43"/>
      <c r="AR956" s="119"/>
      <c r="AS956" s="1"/>
      <c r="AT956" s="1"/>
    </row>
    <row r="957">
      <c r="A957" s="43"/>
      <c r="B957" s="59" t="str">
        <f>IFERROR(HYPERLINK(VLOOKUP(A957,Internal_lists_bugs!$A$2:$C$73,3,FALSE()), VLOOKUP(A957,Internal_lists_bugs!$A$2:$C$73,3,FALSE())&amp;Char(10) &amp; Char(10) &amp; VLOOKUP(A957,Internal_lists_bugs!$A$2:$Z$73,26,FALSE())),"please select a BUG ID")</f>
        <v>please select a BUG ID</v>
      </c>
      <c r="C957" s="51" t="str">
        <f>IFERROR(VLOOKUP(A957,Internal_lists_bugs!$A$2:$G2003,7,FALSE()),"please select a BUG ID")</f>
        <v>please select a BUG ID</v>
      </c>
      <c r="D957" s="43"/>
      <c r="E957" s="63"/>
      <c r="F957" s="43"/>
      <c r="G957" s="63"/>
      <c r="H957" s="43"/>
      <c r="I957" s="63"/>
      <c r="J957" s="43"/>
      <c r="K957" s="50"/>
      <c r="L957" s="43"/>
      <c r="M957" s="50"/>
      <c r="N957" s="43"/>
      <c r="O957" s="50"/>
      <c r="P957" s="43"/>
      <c r="Q957" s="50"/>
      <c r="R957" s="43"/>
      <c r="S957" s="50"/>
      <c r="T957" s="43"/>
      <c r="U957" s="50"/>
      <c r="V957" s="43"/>
      <c r="W957" s="50"/>
      <c r="X957" s="43"/>
      <c r="Y957" s="50"/>
      <c r="Z957" s="43"/>
      <c r="AA957" s="50"/>
      <c r="AB957" s="43"/>
      <c r="AC957" s="50"/>
      <c r="AD957" s="43"/>
      <c r="AE957" s="50"/>
      <c r="AF957" s="43"/>
      <c r="AG957" s="50"/>
      <c r="AH957" s="43"/>
      <c r="AI957" s="50"/>
      <c r="AJ957" s="43"/>
      <c r="AK957" s="50"/>
      <c r="AL957" s="43"/>
      <c r="AM957" s="50"/>
      <c r="AN957" s="46"/>
      <c r="AO957" s="43"/>
      <c r="AP957" s="46"/>
      <c r="AQ957" s="43"/>
      <c r="AR957" s="119"/>
      <c r="AS957" s="1"/>
      <c r="AT957" s="1"/>
    </row>
    <row r="958">
      <c r="A958" s="43"/>
      <c r="B958" s="59" t="str">
        <f>IFERROR(HYPERLINK(VLOOKUP(A958,Internal_lists_bugs!$A$2:$C$73,3,FALSE()), VLOOKUP(A958,Internal_lists_bugs!$A$2:$C$73,3,FALSE())&amp;Char(10) &amp; Char(10) &amp; VLOOKUP(A958,Internal_lists_bugs!$A$2:$Z$73,26,FALSE())),"please select a BUG ID")</f>
        <v>please select a BUG ID</v>
      </c>
      <c r="C958" s="51" t="str">
        <f>IFERROR(VLOOKUP(A958,Internal_lists_bugs!$A$2:$G2003,7,FALSE()),"please select a BUG ID")</f>
        <v>please select a BUG ID</v>
      </c>
      <c r="D958" s="43"/>
      <c r="E958" s="63"/>
      <c r="F958" s="43"/>
      <c r="G958" s="63"/>
      <c r="H958" s="43"/>
      <c r="I958" s="63"/>
      <c r="J958" s="43"/>
      <c r="K958" s="50"/>
      <c r="L958" s="43"/>
      <c r="M958" s="50"/>
      <c r="N958" s="43"/>
      <c r="O958" s="50"/>
      <c r="P958" s="43"/>
      <c r="Q958" s="50"/>
      <c r="R958" s="43"/>
      <c r="S958" s="50"/>
      <c r="T958" s="43"/>
      <c r="U958" s="50"/>
      <c r="V958" s="43"/>
      <c r="W958" s="50"/>
      <c r="X958" s="43"/>
      <c r="Y958" s="50"/>
      <c r="Z958" s="43"/>
      <c r="AA958" s="50"/>
      <c r="AB958" s="43"/>
      <c r="AC958" s="50"/>
      <c r="AD958" s="43"/>
      <c r="AE958" s="50"/>
      <c r="AF958" s="43"/>
      <c r="AG958" s="50"/>
      <c r="AH958" s="43"/>
      <c r="AI958" s="50"/>
      <c r="AJ958" s="43"/>
      <c r="AK958" s="50"/>
      <c r="AL958" s="43"/>
      <c r="AM958" s="50"/>
      <c r="AN958" s="46"/>
      <c r="AO958" s="43"/>
      <c r="AP958" s="46"/>
      <c r="AQ958" s="43"/>
      <c r="AR958" s="119"/>
      <c r="AS958" s="1"/>
      <c r="AT958" s="1"/>
    </row>
    <row r="959">
      <c r="A959" s="43"/>
      <c r="B959" s="59" t="str">
        <f>IFERROR(HYPERLINK(VLOOKUP(A959,Internal_lists_bugs!$A$2:$C$73,3,FALSE()), VLOOKUP(A959,Internal_lists_bugs!$A$2:$C$73,3,FALSE())&amp;Char(10) &amp; Char(10) &amp; VLOOKUP(A959,Internal_lists_bugs!$A$2:$Z$73,26,FALSE())),"please select a BUG ID")</f>
        <v>please select a BUG ID</v>
      </c>
      <c r="C959" s="51" t="str">
        <f>IFERROR(VLOOKUP(A959,Internal_lists_bugs!$A$2:$G2003,7,FALSE()),"please select a BUG ID")</f>
        <v>please select a BUG ID</v>
      </c>
      <c r="D959" s="43"/>
      <c r="E959" s="63"/>
      <c r="F959" s="43"/>
      <c r="G959" s="63"/>
      <c r="H959" s="43"/>
      <c r="I959" s="63"/>
      <c r="J959" s="43"/>
      <c r="K959" s="50"/>
      <c r="L959" s="43"/>
      <c r="M959" s="50"/>
      <c r="N959" s="43"/>
      <c r="O959" s="50"/>
      <c r="P959" s="43"/>
      <c r="Q959" s="50"/>
      <c r="R959" s="43"/>
      <c r="S959" s="50"/>
      <c r="T959" s="43"/>
      <c r="U959" s="50"/>
      <c r="V959" s="43"/>
      <c r="W959" s="50"/>
      <c r="X959" s="43"/>
      <c r="Y959" s="50"/>
      <c r="Z959" s="43"/>
      <c r="AA959" s="50"/>
      <c r="AB959" s="43"/>
      <c r="AC959" s="50"/>
      <c r="AD959" s="43"/>
      <c r="AE959" s="50"/>
      <c r="AF959" s="43"/>
      <c r="AG959" s="50"/>
      <c r="AH959" s="43"/>
      <c r="AI959" s="50"/>
      <c r="AJ959" s="43"/>
      <c r="AK959" s="50"/>
      <c r="AL959" s="43"/>
      <c r="AM959" s="50"/>
      <c r="AN959" s="46"/>
      <c r="AO959" s="43"/>
      <c r="AP959" s="46"/>
      <c r="AQ959" s="43"/>
      <c r="AR959" s="119"/>
      <c r="AS959" s="1"/>
      <c r="AT959" s="1"/>
    </row>
    <row r="960">
      <c r="A960" s="43"/>
      <c r="B960" s="59" t="str">
        <f>IFERROR(HYPERLINK(VLOOKUP(A960,Internal_lists_bugs!$A$2:$C$73,3,FALSE()), VLOOKUP(A960,Internal_lists_bugs!$A$2:$C$73,3,FALSE())&amp;Char(10) &amp; Char(10) &amp; VLOOKUP(A960,Internal_lists_bugs!$A$2:$Z$73,26,FALSE())),"please select a BUG ID")</f>
        <v>please select a BUG ID</v>
      </c>
      <c r="C960" s="51" t="str">
        <f>IFERROR(VLOOKUP(A960,Internal_lists_bugs!$A$2:$G2003,7,FALSE()),"please select a BUG ID")</f>
        <v>please select a BUG ID</v>
      </c>
      <c r="D960" s="43"/>
      <c r="E960" s="63"/>
      <c r="F960" s="43"/>
      <c r="G960" s="63"/>
      <c r="H960" s="43"/>
      <c r="I960" s="63"/>
      <c r="J960" s="43"/>
      <c r="K960" s="50"/>
      <c r="L960" s="43"/>
      <c r="M960" s="50"/>
      <c r="N960" s="43"/>
      <c r="O960" s="50"/>
      <c r="P960" s="43"/>
      <c r="Q960" s="50"/>
      <c r="R960" s="43"/>
      <c r="S960" s="50"/>
      <c r="T960" s="43"/>
      <c r="U960" s="50"/>
      <c r="V960" s="43"/>
      <c r="W960" s="50"/>
      <c r="X960" s="43"/>
      <c r="Y960" s="50"/>
      <c r="Z960" s="43"/>
      <c r="AA960" s="50"/>
      <c r="AB960" s="43"/>
      <c r="AC960" s="50"/>
      <c r="AD960" s="43"/>
      <c r="AE960" s="50"/>
      <c r="AF960" s="43"/>
      <c r="AG960" s="50"/>
      <c r="AH960" s="43"/>
      <c r="AI960" s="50"/>
      <c r="AJ960" s="43"/>
      <c r="AK960" s="50"/>
      <c r="AL960" s="43"/>
      <c r="AM960" s="50"/>
      <c r="AN960" s="46"/>
      <c r="AO960" s="43"/>
      <c r="AP960" s="46"/>
      <c r="AQ960" s="43"/>
      <c r="AR960" s="119"/>
      <c r="AS960" s="1"/>
      <c r="AT960" s="1"/>
    </row>
    <row r="961">
      <c r="A961" s="43"/>
      <c r="B961" s="59" t="str">
        <f>IFERROR(HYPERLINK(VLOOKUP(A961,Internal_lists_bugs!$A$2:$C$73,3,FALSE()), VLOOKUP(A961,Internal_lists_bugs!$A$2:$C$73,3,FALSE())&amp;Char(10) &amp; Char(10) &amp; VLOOKUP(A961,Internal_lists_bugs!$A$2:$Z$73,26,FALSE())),"please select a BUG ID")</f>
        <v>please select a BUG ID</v>
      </c>
      <c r="C961" s="51" t="str">
        <f>IFERROR(VLOOKUP(A961,Internal_lists_bugs!$A$2:$G2003,7,FALSE()),"please select a BUG ID")</f>
        <v>please select a BUG ID</v>
      </c>
      <c r="D961" s="43"/>
      <c r="E961" s="63"/>
      <c r="F961" s="43"/>
      <c r="G961" s="63"/>
      <c r="H961" s="43"/>
      <c r="I961" s="63"/>
      <c r="J961" s="43"/>
      <c r="K961" s="50"/>
      <c r="L961" s="43"/>
      <c r="M961" s="50"/>
      <c r="N961" s="43"/>
      <c r="O961" s="50"/>
      <c r="P961" s="43"/>
      <c r="Q961" s="50"/>
      <c r="R961" s="43"/>
      <c r="S961" s="50"/>
      <c r="T961" s="43"/>
      <c r="U961" s="50"/>
      <c r="V961" s="43"/>
      <c r="W961" s="50"/>
      <c r="X961" s="43"/>
      <c r="Y961" s="50"/>
      <c r="Z961" s="43"/>
      <c r="AA961" s="50"/>
      <c r="AB961" s="43"/>
      <c r="AC961" s="50"/>
      <c r="AD961" s="43"/>
      <c r="AE961" s="50"/>
      <c r="AF961" s="43"/>
      <c r="AG961" s="50"/>
      <c r="AH961" s="43"/>
      <c r="AI961" s="50"/>
      <c r="AJ961" s="43"/>
      <c r="AK961" s="50"/>
      <c r="AL961" s="43"/>
      <c r="AM961" s="50"/>
      <c r="AN961" s="46"/>
      <c r="AO961" s="43"/>
      <c r="AP961" s="46"/>
      <c r="AQ961" s="43"/>
      <c r="AR961" s="119"/>
      <c r="AS961" s="1"/>
      <c r="AT961" s="1"/>
    </row>
    <row r="962">
      <c r="A962" s="43"/>
      <c r="B962" s="59" t="str">
        <f>IFERROR(HYPERLINK(VLOOKUP(A962,Internal_lists_bugs!$A$2:$C$73,3,FALSE()), VLOOKUP(A962,Internal_lists_bugs!$A$2:$C$73,3,FALSE())&amp;Char(10) &amp; Char(10) &amp; VLOOKUP(A962,Internal_lists_bugs!$A$2:$Z$73,26,FALSE())),"please select a BUG ID")</f>
        <v>please select a BUG ID</v>
      </c>
      <c r="C962" s="51" t="str">
        <f>IFERROR(VLOOKUP(A962,Internal_lists_bugs!$A$2:$G2003,7,FALSE()),"please select a BUG ID")</f>
        <v>please select a BUG ID</v>
      </c>
      <c r="D962" s="43"/>
      <c r="E962" s="63"/>
      <c r="F962" s="43"/>
      <c r="G962" s="63"/>
      <c r="H962" s="43"/>
      <c r="I962" s="63"/>
      <c r="J962" s="43"/>
      <c r="K962" s="50"/>
      <c r="L962" s="43"/>
      <c r="M962" s="50"/>
      <c r="N962" s="43"/>
      <c r="O962" s="50"/>
      <c r="P962" s="43"/>
      <c r="Q962" s="50"/>
      <c r="R962" s="43"/>
      <c r="S962" s="50"/>
      <c r="T962" s="43"/>
      <c r="U962" s="50"/>
      <c r="V962" s="43"/>
      <c r="W962" s="50"/>
      <c r="X962" s="43"/>
      <c r="Y962" s="50"/>
      <c r="Z962" s="43"/>
      <c r="AA962" s="50"/>
      <c r="AB962" s="43"/>
      <c r="AC962" s="50"/>
      <c r="AD962" s="43"/>
      <c r="AE962" s="50"/>
      <c r="AF962" s="43"/>
      <c r="AG962" s="50"/>
      <c r="AH962" s="43"/>
      <c r="AI962" s="50"/>
      <c r="AJ962" s="43"/>
      <c r="AK962" s="50"/>
      <c r="AL962" s="43"/>
      <c r="AM962" s="50"/>
      <c r="AN962" s="46"/>
      <c r="AO962" s="43"/>
      <c r="AP962" s="46"/>
      <c r="AQ962" s="43"/>
      <c r="AR962" s="119"/>
      <c r="AS962" s="1"/>
      <c r="AT962" s="1"/>
    </row>
    <row r="963">
      <c r="A963" s="43"/>
      <c r="B963" s="59" t="str">
        <f>IFERROR(HYPERLINK(VLOOKUP(A963,Internal_lists_bugs!$A$2:$C$73,3,FALSE()), VLOOKUP(A963,Internal_lists_bugs!$A$2:$C$73,3,FALSE())&amp;Char(10) &amp; Char(10) &amp; VLOOKUP(A963,Internal_lists_bugs!$A$2:$Z$73,26,FALSE())),"please select a BUG ID")</f>
        <v>please select a BUG ID</v>
      </c>
      <c r="C963" s="51" t="str">
        <f>IFERROR(VLOOKUP(A963,Internal_lists_bugs!$A$2:$G2003,7,FALSE()),"please select a BUG ID")</f>
        <v>please select a BUG ID</v>
      </c>
      <c r="D963" s="43"/>
      <c r="E963" s="63"/>
      <c r="F963" s="43"/>
      <c r="G963" s="63"/>
      <c r="H963" s="43"/>
      <c r="I963" s="63"/>
      <c r="J963" s="43"/>
      <c r="K963" s="50"/>
      <c r="L963" s="43"/>
      <c r="M963" s="50"/>
      <c r="N963" s="43"/>
      <c r="O963" s="50"/>
      <c r="P963" s="43"/>
      <c r="Q963" s="50"/>
      <c r="R963" s="43"/>
      <c r="S963" s="50"/>
      <c r="T963" s="43"/>
      <c r="U963" s="50"/>
      <c r="V963" s="43"/>
      <c r="W963" s="50"/>
      <c r="X963" s="43"/>
      <c r="Y963" s="50"/>
      <c r="Z963" s="43"/>
      <c r="AA963" s="50"/>
      <c r="AB963" s="43"/>
      <c r="AC963" s="50"/>
      <c r="AD963" s="43"/>
      <c r="AE963" s="50"/>
      <c r="AF963" s="43"/>
      <c r="AG963" s="50"/>
      <c r="AH963" s="43"/>
      <c r="AI963" s="50"/>
      <c r="AJ963" s="43"/>
      <c r="AK963" s="50"/>
      <c r="AL963" s="43"/>
      <c r="AM963" s="50"/>
      <c r="AN963" s="46"/>
      <c r="AO963" s="43"/>
      <c r="AP963" s="46"/>
      <c r="AQ963" s="43"/>
      <c r="AR963" s="119"/>
      <c r="AS963" s="1"/>
      <c r="AT963" s="1"/>
    </row>
    <row r="964">
      <c r="A964" s="43"/>
      <c r="B964" s="59" t="str">
        <f>IFERROR(HYPERLINK(VLOOKUP(A964,Internal_lists_bugs!$A$2:$C$73,3,FALSE()), VLOOKUP(A964,Internal_lists_bugs!$A$2:$C$73,3,FALSE())&amp;Char(10) &amp; Char(10) &amp; VLOOKUP(A964,Internal_lists_bugs!$A$2:$Z$73,26,FALSE())),"please select a BUG ID")</f>
        <v>please select a BUG ID</v>
      </c>
      <c r="C964" s="51" t="str">
        <f>IFERROR(VLOOKUP(A964,Internal_lists_bugs!$A$2:$G2003,7,FALSE()),"please select a BUG ID")</f>
        <v>please select a BUG ID</v>
      </c>
      <c r="D964" s="43"/>
      <c r="E964" s="63"/>
      <c r="F964" s="43"/>
      <c r="G964" s="63"/>
      <c r="H964" s="43"/>
      <c r="I964" s="63"/>
      <c r="J964" s="43"/>
      <c r="K964" s="50"/>
      <c r="L964" s="43"/>
      <c r="M964" s="50"/>
      <c r="N964" s="43"/>
      <c r="O964" s="50"/>
      <c r="P964" s="43"/>
      <c r="Q964" s="50"/>
      <c r="R964" s="43"/>
      <c r="S964" s="50"/>
      <c r="T964" s="43"/>
      <c r="U964" s="50"/>
      <c r="V964" s="43"/>
      <c r="W964" s="50"/>
      <c r="X964" s="43"/>
      <c r="Y964" s="50"/>
      <c r="Z964" s="43"/>
      <c r="AA964" s="50"/>
      <c r="AB964" s="43"/>
      <c r="AC964" s="50"/>
      <c r="AD964" s="43"/>
      <c r="AE964" s="50"/>
      <c r="AF964" s="43"/>
      <c r="AG964" s="50"/>
      <c r="AH964" s="43"/>
      <c r="AI964" s="50"/>
      <c r="AJ964" s="43"/>
      <c r="AK964" s="50"/>
      <c r="AL964" s="43"/>
      <c r="AM964" s="50"/>
      <c r="AN964" s="46"/>
      <c r="AO964" s="43"/>
      <c r="AP964" s="46"/>
      <c r="AQ964" s="43"/>
      <c r="AR964" s="119"/>
      <c r="AS964" s="1"/>
      <c r="AT964" s="1"/>
    </row>
    <row r="965">
      <c r="A965" s="43"/>
      <c r="B965" s="59" t="str">
        <f>IFERROR(HYPERLINK(VLOOKUP(A965,Internal_lists_bugs!$A$2:$C$73,3,FALSE()), VLOOKUP(A965,Internal_lists_bugs!$A$2:$C$73,3,FALSE())&amp;Char(10) &amp; Char(10) &amp; VLOOKUP(A965,Internal_lists_bugs!$A$2:$Z$73,26,FALSE())),"please select a BUG ID")</f>
        <v>please select a BUG ID</v>
      </c>
      <c r="C965" s="51" t="str">
        <f>IFERROR(VLOOKUP(A965,Internal_lists_bugs!$A$2:$G2003,7,FALSE()),"please select a BUG ID")</f>
        <v>please select a BUG ID</v>
      </c>
      <c r="D965" s="43"/>
      <c r="E965" s="63"/>
      <c r="F965" s="43"/>
      <c r="G965" s="63"/>
      <c r="H965" s="43"/>
      <c r="I965" s="63"/>
      <c r="J965" s="43"/>
      <c r="K965" s="50"/>
      <c r="L965" s="43"/>
      <c r="M965" s="50"/>
      <c r="N965" s="43"/>
      <c r="O965" s="50"/>
      <c r="P965" s="43"/>
      <c r="Q965" s="50"/>
      <c r="R965" s="43"/>
      <c r="S965" s="50"/>
      <c r="T965" s="43"/>
      <c r="U965" s="50"/>
      <c r="V965" s="43"/>
      <c r="W965" s="50"/>
      <c r="X965" s="43"/>
      <c r="Y965" s="50"/>
      <c r="Z965" s="43"/>
      <c r="AA965" s="50"/>
      <c r="AB965" s="43"/>
      <c r="AC965" s="50"/>
      <c r="AD965" s="43"/>
      <c r="AE965" s="50"/>
      <c r="AF965" s="43"/>
      <c r="AG965" s="50"/>
      <c r="AH965" s="43"/>
      <c r="AI965" s="50"/>
      <c r="AJ965" s="43"/>
      <c r="AK965" s="50"/>
      <c r="AL965" s="43"/>
      <c r="AM965" s="50"/>
      <c r="AN965" s="46"/>
      <c r="AO965" s="43"/>
      <c r="AP965" s="46"/>
      <c r="AQ965" s="43"/>
      <c r="AR965" s="119"/>
      <c r="AS965" s="1"/>
      <c r="AT965" s="1"/>
    </row>
    <row r="966">
      <c r="A966" s="43"/>
      <c r="B966" s="59" t="str">
        <f>IFERROR(HYPERLINK(VLOOKUP(A966,Internal_lists_bugs!$A$2:$C$73,3,FALSE()), VLOOKUP(A966,Internal_lists_bugs!$A$2:$C$73,3,FALSE())&amp;Char(10) &amp; Char(10) &amp; VLOOKUP(A966,Internal_lists_bugs!$A$2:$Z$73,26,FALSE())),"please select a BUG ID")</f>
        <v>please select a BUG ID</v>
      </c>
      <c r="C966" s="51" t="str">
        <f>IFERROR(VLOOKUP(A966,Internal_lists_bugs!$A$2:$G2003,7,FALSE()),"please select a BUG ID")</f>
        <v>please select a BUG ID</v>
      </c>
      <c r="D966" s="43"/>
      <c r="E966" s="63"/>
      <c r="F966" s="43"/>
      <c r="G966" s="63"/>
      <c r="H966" s="43"/>
      <c r="I966" s="63"/>
      <c r="J966" s="43"/>
      <c r="K966" s="50"/>
      <c r="L966" s="43"/>
      <c r="M966" s="50"/>
      <c r="N966" s="43"/>
      <c r="O966" s="50"/>
      <c r="P966" s="43"/>
      <c r="Q966" s="50"/>
      <c r="R966" s="43"/>
      <c r="S966" s="50"/>
      <c r="T966" s="43"/>
      <c r="U966" s="50"/>
      <c r="V966" s="43"/>
      <c r="W966" s="50"/>
      <c r="X966" s="43"/>
      <c r="Y966" s="50"/>
      <c r="Z966" s="43"/>
      <c r="AA966" s="50"/>
      <c r="AB966" s="43"/>
      <c r="AC966" s="50"/>
      <c r="AD966" s="43"/>
      <c r="AE966" s="50"/>
      <c r="AF966" s="43"/>
      <c r="AG966" s="50"/>
      <c r="AH966" s="43"/>
      <c r="AI966" s="50"/>
      <c r="AJ966" s="43"/>
      <c r="AK966" s="50"/>
      <c r="AL966" s="43"/>
      <c r="AM966" s="50"/>
      <c r="AN966" s="46"/>
      <c r="AO966" s="43"/>
      <c r="AP966" s="46"/>
      <c r="AQ966" s="43"/>
      <c r="AR966" s="119"/>
      <c r="AS966" s="1"/>
      <c r="AT966" s="1"/>
    </row>
    <row r="967">
      <c r="A967" s="43"/>
      <c r="B967" s="59" t="str">
        <f>IFERROR(HYPERLINK(VLOOKUP(A967,Internal_lists_bugs!$A$2:$C$73,3,FALSE()), VLOOKUP(A967,Internal_lists_bugs!$A$2:$C$73,3,FALSE())&amp;Char(10) &amp; Char(10) &amp; VLOOKUP(A967,Internal_lists_bugs!$A$2:$Z$73,26,FALSE())),"please select a BUG ID")</f>
        <v>please select a BUG ID</v>
      </c>
      <c r="C967" s="51" t="str">
        <f>IFERROR(VLOOKUP(A967,Internal_lists_bugs!$A$2:$G2003,7,FALSE()),"please select a BUG ID")</f>
        <v>please select a BUG ID</v>
      </c>
      <c r="D967" s="43"/>
      <c r="E967" s="63"/>
      <c r="F967" s="43"/>
      <c r="G967" s="63"/>
      <c r="H967" s="43"/>
      <c r="I967" s="63"/>
      <c r="J967" s="43"/>
      <c r="K967" s="50"/>
      <c r="L967" s="43"/>
      <c r="M967" s="50"/>
      <c r="N967" s="43"/>
      <c r="O967" s="50"/>
      <c r="P967" s="43"/>
      <c r="Q967" s="50"/>
      <c r="R967" s="43"/>
      <c r="S967" s="50"/>
      <c r="T967" s="43"/>
      <c r="U967" s="50"/>
      <c r="V967" s="43"/>
      <c r="W967" s="50"/>
      <c r="X967" s="43"/>
      <c r="Y967" s="50"/>
      <c r="Z967" s="43"/>
      <c r="AA967" s="50"/>
      <c r="AB967" s="43"/>
      <c r="AC967" s="50"/>
      <c r="AD967" s="43"/>
      <c r="AE967" s="50"/>
      <c r="AF967" s="43"/>
      <c r="AG967" s="50"/>
      <c r="AH967" s="43"/>
      <c r="AI967" s="50"/>
      <c r="AJ967" s="43"/>
      <c r="AK967" s="50"/>
      <c r="AL967" s="43"/>
      <c r="AM967" s="50"/>
      <c r="AN967" s="46"/>
      <c r="AO967" s="43"/>
      <c r="AP967" s="46"/>
      <c r="AQ967" s="43"/>
      <c r="AR967" s="119"/>
      <c r="AS967" s="1"/>
      <c r="AT967" s="1"/>
    </row>
    <row r="968">
      <c r="A968" s="43"/>
      <c r="B968" s="59" t="str">
        <f>IFERROR(HYPERLINK(VLOOKUP(A968,Internal_lists_bugs!$A$2:$C$73,3,FALSE()), VLOOKUP(A968,Internal_lists_bugs!$A$2:$C$73,3,FALSE())&amp;Char(10) &amp; Char(10) &amp; VLOOKUP(A968,Internal_lists_bugs!$A$2:$Z$73,26,FALSE())),"please select a BUG ID")</f>
        <v>please select a BUG ID</v>
      </c>
      <c r="C968" s="51" t="str">
        <f>IFERROR(VLOOKUP(A968,Internal_lists_bugs!$A$2:$G2003,7,FALSE()),"please select a BUG ID")</f>
        <v>please select a BUG ID</v>
      </c>
      <c r="D968" s="43"/>
      <c r="E968" s="63"/>
      <c r="F968" s="43"/>
      <c r="G968" s="63"/>
      <c r="H968" s="43"/>
      <c r="I968" s="63"/>
      <c r="J968" s="43"/>
      <c r="K968" s="50"/>
      <c r="L968" s="43"/>
      <c r="M968" s="50"/>
      <c r="N968" s="43"/>
      <c r="O968" s="50"/>
      <c r="P968" s="43"/>
      <c r="Q968" s="50"/>
      <c r="R968" s="43"/>
      <c r="S968" s="50"/>
      <c r="T968" s="43"/>
      <c r="U968" s="50"/>
      <c r="V968" s="43"/>
      <c r="W968" s="50"/>
      <c r="X968" s="43"/>
      <c r="Y968" s="50"/>
      <c r="Z968" s="43"/>
      <c r="AA968" s="50"/>
      <c r="AB968" s="43"/>
      <c r="AC968" s="50"/>
      <c r="AD968" s="43"/>
      <c r="AE968" s="50"/>
      <c r="AF968" s="43"/>
      <c r="AG968" s="50"/>
      <c r="AH968" s="43"/>
      <c r="AI968" s="50"/>
      <c r="AJ968" s="43"/>
      <c r="AK968" s="50"/>
      <c r="AL968" s="43"/>
      <c r="AM968" s="50"/>
      <c r="AN968" s="46"/>
      <c r="AO968" s="43"/>
      <c r="AP968" s="46"/>
      <c r="AQ968" s="43"/>
      <c r="AR968" s="119"/>
      <c r="AS968" s="1"/>
      <c r="AT968" s="1"/>
    </row>
    <row r="969">
      <c r="A969" s="43"/>
      <c r="B969" s="59" t="str">
        <f>IFERROR(HYPERLINK(VLOOKUP(A969,Internal_lists_bugs!$A$2:$C$73,3,FALSE()), VLOOKUP(A969,Internal_lists_bugs!$A$2:$C$73,3,FALSE())&amp;Char(10) &amp; Char(10) &amp; VLOOKUP(A969,Internal_lists_bugs!$A$2:$Z$73,26,FALSE())),"please select a BUG ID")</f>
        <v>please select a BUG ID</v>
      </c>
      <c r="C969" s="51" t="str">
        <f>IFERROR(VLOOKUP(A969,Internal_lists_bugs!$A$2:$G2003,7,FALSE()),"please select a BUG ID")</f>
        <v>please select a BUG ID</v>
      </c>
      <c r="D969" s="43"/>
      <c r="E969" s="63"/>
      <c r="F969" s="43"/>
      <c r="G969" s="63"/>
      <c r="H969" s="43"/>
      <c r="I969" s="63"/>
      <c r="J969" s="43"/>
      <c r="K969" s="50"/>
      <c r="L969" s="43"/>
      <c r="M969" s="50"/>
      <c r="N969" s="43"/>
      <c r="O969" s="50"/>
      <c r="P969" s="43"/>
      <c r="Q969" s="50"/>
      <c r="R969" s="43"/>
      <c r="S969" s="50"/>
      <c r="T969" s="43"/>
      <c r="U969" s="50"/>
      <c r="V969" s="43"/>
      <c r="W969" s="50"/>
      <c r="X969" s="43"/>
      <c r="Y969" s="50"/>
      <c r="Z969" s="43"/>
      <c r="AA969" s="50"/>
      <c r="AB969" s="43"/>
      <c r="AC969" s="50"/>
      <c r="AD969" s="43"/>
      <c r="AE969" s="50"/>
      <c r="AF969" s="43"/>
      <c r="AG969" s="50"/>
      <c r="AH969" s="43"/>
      <c r="AI969" s="50"/>
      <c r="AJ969" s="43"/>
      <c r="AK969" s="50"/>
      <c r="AL969" s="43"/>
      <c r="AM969" s="50"/>
      <c r="AN969" s="46"/>
      <c r="AO969" s="43"/>
      <c r="AP969" s="46"/>
      <c r="AQ969" s="43"/>
      <c r="AR969" s="119"/>
      <c r="AS969" s="1"/>
      <c r="AT969" s="1"/>
    </row>
    <row r="970">
      <c r="A970" s="43"/>
      <c r="B970" s="59" t="str">
        <f>IFERROR(HYPERLINK(VLOOKUP(A970,Internal_lists_bugs!$A$2:$C$73,3,FALSE()), VLOOKUP(A970,Internal_lists_bugs!$A$2:$C$73,3,FALSE())&amp;Char(10) &amp; Char(10) &amp; VLOOKUP(A970,Internal_lists_bugs!$A$2:$Z$73,26,FALSE())),"please select a BUG ID")</f>
        <v>please select a BUG ID</v>
      </c>
      <c r="C970" s="51" t="str">
        <f>IFERROR(VLOOKUP(A970,Internal_lists_bugs!$A$2:$G2003,7,FALSE()),"please select a BUG ID")</f>
        <v>please select a BUG ID</v>
      </c>
      <c r="D970" s="43"/>
      <c r="E970" s="63"/>
      <c r="F970" s="43"/>
      <c r="G970" s="63"/>
      <c r="H970" s="43"/>
      <c r="I970" s="63"/>
      <c r="J970" s="43"/>
      <c r="K970" s="50"/>
      <c r="L970" s="43"/>
      <c r="M970" s="50"/>
      <c r="N970" s="43"/>
      <c r="O970" s="50"/>
      <c r="P970" s="43"/>
      <c r="Q970" s="50"/>
      <c r="R970" s="43"/>
      <c r="S970" s="50"/>
      <c r="T970" s="43"/>
      <c r="U970" s="50"/>
      <c r="V970" s="43"/>
      <c r="W970" s="50"/>
      <c r="X970" s="43"/>
      <c r="Y970" s="50"/>
      <c r="Z970" s="43"/>
      <c r="AA970" s="50"/>
      <c r="AB970" s="43"/>
      <c r="AC970" s="50"/>
      <c r="AD970" s="43"/>
      <c r="AE970" s="50"/>
      <c r="AF970" s="43"/>
      <c r="AG970" s="50"/>
      <c r="AH970" s="43"/>
      <c r="AI970" s="50"/>
      <c r="AJ970" s="43"/>
      <c r="AK970" s="50"/>
      <c r="AL970" s="43"/>
      <c r="AM970" s="50"/>
      <c r="AN970" s="46"/>
      <c r="AO970" s="43"/>
      <c r="AP970" s="46"/>
      <c r="AQ970" s="43"/>
      <c r="AR970" s="119"/>
      <c r="AS970" s="1"/>
      <c r="AT970" s="1"/>
    </row>
    <row r="971">
      <c r="A971" s="43"/>
      <c r="B971" s="59" t="str">
        <f>IFERROR(HYPERLINK(VLOOKUP(A971,Internal_lists_bugs!$A$2:$C$73,3,FALSE()), VLOOKUP(A971,Internal_lists_bugs!$A$2:$C$73,3,FALSE())&amp;Char(10) &amp; Char(10) &amp; VLOOKUP(A971,Internal_lists_bugs!$A$2:$Z$73,26,FALSE())),"please select a BUG ID")</f>
        <v>please select a BUG ID</v>
      </c>
      <c r="C971" s="51" t="str">
        <f>IFERROR(VLOOKUP(A971,Internal_lists_bugs!$A$2:$G2003,7,FALSE()),"please select a BUG ID")</f>
        <v>please select a BUG ID</v>
      </c>
      <c r="D971" s="43"/>
      <c r="E971" s="63"/>
      <c r="F971" s="43"/>
      <c r="G971" s="63"/>
      <c r="H971" s="43"/>
      <c r="I971" s="63"/>
      <c r="J971" s="43"/>
      <c r="K971" s="50"/>
      <c r="L971" s="43"/>
      <c r="M971" s="50"/>
      <c r="N971" s="43"/>
      <c r="O971" s="50"/>
      <c r="P971" s="43"/>
      <c r="Q971" s="50"/>
      <c r="R971" s="43"/>
      <c r="S971" s="50"/>
      <c r="T971" s="43"/>
      <c r="U971" s="50"/>
      <c r="V971" s="43"/>
      <c r="W971" s="50"/>
      <c r="X971" s="43"/>
      <c r="Y971" s="50"/>
      <c r="Z971" s="43"/>
      <c r="AA971" s="50"/>
      <c r="AB971" s="43"/>
      <c r="AC971" s="50"/>
      <c r="AD971" s="43"/>
      <c r="AE971" s="50"/>
      <c r="AF971" s="43"/>
      <c r="AG971" s="50"/>
      <c r="AH971" s="43"/>
      <c r="AI971" s="50"/>
      <c r="AJ971" s="43"/>
      <c r="AK971" s="50"/>
      <c r="AL971" s="43"/>
      <c r="AM971" s="50"/>
      <c r="AN971" s="46"/>
      <c r="AO971" s="43"/>
      <c r="AP971" s="46"/>
      <c r="AQ971" s="43"/>
      <c r="AR971" s="119"/>
      <c r="AS971" s="1"/>
      <c r="AT971" s="1"/>
    </row>
    <row r="972">
      <c r="A972" s="43"/>
      <c r="B972" s="59" t="str">
        <f>IFERROR(HYPERLINK(VLOOKUP(A972,Internal_lists_bugs!$A$2:$C$73,3,FALSE()), VLOOKUP(A972,Internal_lists_bugs!$A$2:$C$73,3,FALSE())&amp;Char(10) &amp; Char(10) &amp; VLOOKUP(A972,Internal_lists_bugs!$A$2:$Z$73,26,FALSE())),"please select a BUG ID")</f>
        <v>please select a BUG ID</v>
      </c>
      <c r="C972" s="51" t="str">
        <f>IFERROR(VLOOKUP(A972,Internal_lists_bugs!$A$2:$G2003,7,FALSE()),"please select a BUG ID")</f>
        <v>please select a BUG ID</v>
      </c>
      <c r="D972" s="43"/>
      <c r="E972" s="63"/>
      <c r="F972" s="43"/>
      <c r="G972" s="63"/>
      <c r="H972" s="43"/>
      <c r="I972" s="63"/>
      <c r="J972" s="43"/>
      <c r="K972" s="50"/>
      <c r="L972" s="43"/>
      <c r="M972" s="50"/>
      <c r="N972" s="43"/>
      <c r="O972" s="50"/>
      <c r="P972" s="43"/>
      <c r="Q972" s="50"/>
      <c r="R972" s="43"/>
      <c r="S972" s="50"/>
      <c r="T972" s="43"/>
      <c r="U972" s="50"/>
      <c r="V972" s="43"/>
      <c r="W972" s="50"/>
      <c r="X972" s="43"/>
      <c r="Y972" s="50"/>
      <c r="Z972" s="43"/>
      <c r="AA972" s="50"/>
      <c r="AB972" s="43"/>
      <c r="AC972" s="50"/>
      <c r="AD972" s="43"/>
      <c r="AE972" s="50"/>
      <c r="AF972" s="43"/>
      <c r="AG972" s="50"/>
      <c r="AH972" s="43"/>
      <c r="AI972" s="50"/>
      <c r="AJ972" s="43"/>
      <c r="AK972" s="50"/>
      <c r="AL972" s="43"/>
      <c r="AM972" s="50"/>
      <c r="AN972" s="46"/>
      <c r="AO972" s="43"/>
      <c r="AP972" s="46"/>
      <c r="AQ972" s="43"/>
      <c r="AR972" s="119"/>
      <c r="AS972" s="1"/>
      <c r="AT972" s="1"/>
    </row>
    <row r="973">
      <c r="A973" s="43"/>
      <c r="B973" s="59" t="str">
        <f>IFERROR(HYPERLINK(VLOOKUP(A973,Internal_lists_bugs!$A$2:$C$73,3,FALSE()), VLOOKUP(A973,Internal_lists_bugs!$A$2:$C$73,3,FALSE())&amp;Char(10) &amp; Char(10) &amp; VLOOKUP(A973,Internal_lists_bugs!$A$2:$Z$73,26,FALSE())),"please select a BUG ID")</f>
        <v>please select a BUG ID</v>
      </c>
      <c r="C973" s="51" t="str">
        <f>IFERROR(VLOOKUP(A973,Internal_lists_bugs!$A$2:$G2003,7,FALSE()),"please select a BUG ID")</f>
        <v>please select a BUG ID</v>
      </c>
      <c r="D973" s="43"/>
      <c r="E973" s="63"/>
      <c r="F973" s="43"/>
      <c r="G973" s="63"/>
      <c r="H973" s="43"/>
      <c r="I973" s="63"/>
      <c r="J973" s="43"/>
      <c r="K973" s="50"/>
      <c r="L973" s="43"/>
      <c r="N973" s="49"/>
      <c r="O973" s="50"/>
      <c r="P973" s="49"/>
      <c r="Q973" s="50"/>
      <c r="R973" s="41"/>
      <c r="S973" s="50"/>
      <c r="T973" s="49"/>
      <c r="U973" s="50"/>
      <c r="V973" s="49"/>
      <c r="W973" s="50"/>
      <c r="X973" s="49"/>
      <c r="Y973" s="50"/>
      <c r="Z973" s="49"/>
      <c r="AA973" s="50"/>
      <c r="AB973" s="49"/>
      <c r="AC973" s="50"/>
      <c r="AD973" s="49"/>
      <c r="AE973" s="50"/>
      <c r="AF973" s="49"/>
      <c r="AG973" s="50"/>
      <c r="AH973" s="49"/>
      <c r="AI973" s="50"/>
      <c r="AJ973" s="49"/>
      <c r="AK973" s="50"/>
      <c r="AL973" s="49"/>
      <c r="AM973" s="50"/>
      <c r="AN973" s="46"/>
      <c r="AO973" s="43"/>
      <c r="AP973" s="46"/>
      <c r="AQ973" s="43"/>
      <c r="AR973" s="119"/>
      <c r="AS973" s="1"/>
      <c r="AT973" s="1"/>
    </row>
    <row r="974">
      <c r="A974" s="43"/>
      <c r="B974" s="59" t="str">
        <f>IFERROR(HYPERLINK(VLOOKUP(A974,Internal_lists_bugs!$A$2:$C$73,3,FALSE()), VLOOKUP(A974,Internal_lists_bugs!$A$2:$C$73,3,FALSE())&amp;Char(10) &amp; Char(10) &amp; VLOOKUP(A974,Internal_lists_bugs!$A$2:$Z$73,26,FALSE())),"please select a BUG ID")</f>
        <v>please select a BUG ID</v>
      </c>
      <c r="C974" s="51" t="str">
        <f>IFERROR(VLOOKUP(A974,Internal_lists_bugs!$A$2:$G2003,7,FALSE()),"please select a BUG ID")</f>
        <v>please select a BUG ID</v>
      </c>
      <c r="D974" s="43"/>
      <c r="E974" s="63"/>
      <c r="F974" s="43"/>
      <c r="G974" s="63"/>
      <c r="H974" s="43"/>
      <c r="I974" s="63"/>
      <c r="J974" s="43"/>
      <c r="K974" s="50"/>
      <c r="L974" s="43"/>
      <c r="N974" s="49"/>
      <c r="O974" s="50"/>
      <c r="P974" s="49"/>
      <c r="Q974" s="50"/>
      <c r="R974" s="49"/>
      <c r="S974" s="50"/>
      <c r="T974" s="49"/>
      <c r="U974" s="50"/>
      <c r="V974" s="49"/>
      <c r="W974" s="50"/>
      <c r="X974" s="49"/>
      <c r="Y974" s="50"/>
      <c r="Z974" s="49"/>
      <c r="AA974" s="50"/>
      <c r="AB974" s="49"/>
      <c r="AC974" s="50"/>
      <c r="AD974" s="49"/>
      <c r="AE974" s="50"/>
      <c r="AF974" s="49"/>
      <c r="AG974" s="50"/>
      <c r="AH974" s="49"/>
      <c r="AI974" s="50"/>
      <c r="AJ974" s="49"/>
      <c r="AK974" s="50"/>
      <c r="AL974" s="49"/>
      <c r="AM974" s="50"/>
      <c r="AN974" s="46"/>
      <c r="AO974" s="43"/>
      <c r="AP974" s="46"/>
      <c r="AQ974" s="43"/>
      <c r="AR974" s="119"/>
      <c r="AS974" s="1"/>
      <c r="AT974" s="1"/>
    </row>
    <row r="975">
      <c r="A975" s="43"/>
      <c r="B975" s="59" t="str">
        <f>IFERROR(HYPERLINK(VLOOKUP(A975,Internal_lists_bugs!$A$2:$C$73,3,FALSE()), VLOOKUP(A975,Internal_lists_bugs!$A$2:$C$73,3,FALSE())&amp;Char(10) &amp; Char(10) &amp; VLOOKUP(A975,Internal_lists_bugs!$A$2:$Z$73,26,FALSE())),"please select a BUG ID")</f>
        <v>please select a BUG ID</v>
      </c>
      <c r="C975" s="51" t="str">
        <f>IFERROR(VLOOKUP(A975,Internal_lists_bugs!$A$2:$G2003,7,FALSE()),"please select a BUG ID")</f>
        <v>please select a BUG ID</v>
      </c>
      <c r="D975" s="43"/>
      <c r="E975" s="63"/>
      <c r="F975" s="43"/>
      <c r="G975" s="63"/>
      <c r="H975" s="43"/>
      <c r="I975" s="63"/>
      <c r="J975" s="43"/>
      <c r="K975" s="50"/>
      <c r="L975" s="43"/>
      <c r="N975" s="49"/>
      <c r="O975" s="50"/>
      <c r="P975" s="49"/>
      <c r="Q975" s="50"/>
      <c r="R975" s="41"/>
      <c r="S975" s="50"/>
      <c r="T975" s="49"/>
      <c r="U975" s="50"/>
      <c r="V975" s="49"/>
      <c r="W975" s="50"/>
      <c r="X975" s="49"/>
      <c r="Y975" s="50"/>
      <c r="Z975" s="49"/>
      <c r="AA975" s="50"/>
      <c r="AB975" s="49"/>
      <c r="AC975" s="50"/>
      <c r="AD975" s="49"/>
      <c r="AE975" s="50"/>
      <c r="AF975" s="49"/>
      <c r="AG975" s="50"/>
      <c r="AH975" s="49"/>
      <c r="AI975" s="50"/>
      <c r="AJ975" s="49"/>
      <c r="AK975" s="50"/>
      <c r="AL975" s="49"/>
      <c r="AM975" s="50"/>
      <c r="AN975" s="46"/>
      <c r="AO975" s="43"/>
      <c r="AP975" s="46"/>
      <c r="AQ975" s="43"/>
      <c r="AR975" s="119"/>
      <c r="AS975" s="1"/>
      <c r="AT975" s="1"/>
    </row>
    <row r="976">
      <c r="A976" s="43"/>
      <c r="B976" s="59" t="str">
        <f>IFERROR(HYPERLINK(VLOOKUP(A976,Internal_lists_bugs!$A$2:$C$73,3,FALSE()), VLOOKUP(A976,Internal_lists_bugs!$A$2:$C$73,3,FALSE())&amp;Char(10) &amp; Char(10) &amp; VLOOKUP(A976,Internal_lists_bugs!$A$2:$Z$73,26,FALSE())),"please select a BUG ID")</f>
        <v>please select a BUG ID</v>
      </c>
      <c r="C976" s="51" t="str">
        <f>IFERROR(VLOOKUP(A976,Internal_lists_bugs!$A$2:$G2003,7,FALSE()),"please select a BUG ID")</f>
        <v>please select a BUG ID</v>
      </c>
      <c r="D976" s="43"/>
      <c r="E976" s="63"/>
      <c r="F976" s="43"/>
      <c r="G976" s="63"/>
      <c r="H976" s="43"/>
      <c r="I976" s="63"/>
      <c r="J976" s="43"/>
      <c r="K976" s="50"/>
      <c r="L976" s="43"/>
      <c r="N976" s="49"/>
      <c r="O976" s="50"/>
      <c r="P976" s="49"/>
      <c r="Q976" s="50"/>
      <c r="R976" s="41"/>
      <c r="S976" s="50"/>
      <c r="T976" s="49"/>
      <c r="U976" s="50"/>
      <c r="V976" s="49"/>
      <c r="W976" s="50"/>
      <c r="X976" s="49"/>
      <c r="Y976" s="50"/>
      <c r="Z976" s="49"/>
      <c r="AA976" s="50"/>
      <c r="AB976" s="49"/>
      <c r="AC976" s="50"/>
      <c r="AD976" s="49"/>
      <c r="AE976" s="50"/>
      <c r="AF976" s="49"/>
      <c r="AG976" s="50"/>
      <c r="AH976" s="49"/>
      <c r="AI976" s="50"/>
      <c r="AJ976" s="49"/>
      <c r="AK976" s="50"/>
      <c r="AL976" s="49"/>
      <c r="AM976" s="50"/>
      <c r="AN976" s="46"/>
      <c r="AO976" s="43"/>
      <c r="AP976" s="46"/>
      <c r="AQ976" s="43"/>
      <c r="AR976" s="119"/>
      <c r="AS976" s="1"/>
      <c r="AT976" s="1"/>
    </row>
    <row r="977">
      <c r="A977" s="43"/>
      <c r="B977" s="59" t="str">
        <f>IFERROR(HYPERLINK(VLOOKUP(A977,Internal_lists_bugs!$A$2:$C$73,3,FALSE()), VLOOKUP(A977,Internal_lists_bugs!$A$2:$C$73,3,FALSE())&amp;Char(10) &amp; Char(10) &amp; VLOOKUP(A977,Internal_lists_bugs!$A$2:$Z$73,26,FALSE())),"please select a BUG ID")</f>
        <v>please select a BUG ID</v>
      </c>
      <c r="C977" s="51" t="str">
        <f>IFERROR(VLOOKUP(A977,Internal_lists_bugs!$A$2:$G2003,7,FALSE()),"please select a BUG ID")</f>
        <v>please select a BUG ID</v>
      </c>
      <c r="D977" s="43"/>
      <c r="E977" s="63"/>
      <c r="F977" s="43"/>
      <c r="G977" s="63"/>
      <c r="H977" s="43"/>
      <c r="I977" s="63"/>
      <c r="J977" s="43"/>
      <c r="K977" s="50"/>
      <c r="L977" s="43"/>
      <c r="N977" s="49"/>
      <c r="O977" s="50"/>
      <c r="P977" s="49"/>
      <c r="Q977" s="50"/>
      <c r="R977" s="49"/>
      <c r="S977" s="50"/>
      <c r="T977" s="49"/>
      <c r="U977" s="50"/>
      <c r="V977" s="49"/>
      <c r="W977" s="50"/>
      <c r="X977" s="49"/>
      <c r="Y977" s="50"/>
      <c r="Z977" s="49"/>
      <c r="AA977" s="50"/>
      <c r="AB977" s="49"/>
      <c r="AC977" s="50"/>
      <c r="AD977" s="49"/>
      <c r="AE977" s="50"/>
      <c r="AF977" s="49"/>
      <c r="AG977" s="50"/>
      <c r="AH977" s="49"/>
      <c r="AI977" s="50"/>
      <c r="AJ977" s="49"/>
      <c r="AK977" s="50"/>
      <c r="AL977" s="49"/>
      <c r="AM977" s="50"/>
      <c r="AN977" s="46"/>
      <c r="AO977" s="43"/>
      <c r="AP977" s="46"/>
      <c r="AQ977" s="43"/>
      <c r="AR977" s="119"/>
      <c r="AS977" s="1"/>
      <c r="AT977" s="1"/>
    </row>
    <row r="978">
      <c r="A978" s="43"/>
      <c r="B978" s="59" t="str">
        <f>IFERROR(HYPERLINK(VLOOKUP(A978,Internal_lists_bugs!$A$2:$C$73,3,FALSE()), VLOOKUP(A978,Internal_lists_bugs!$A$2:$C$73,3,FALSE())&amp;Char(10) &amp; Char(10) &amp; VLOOKUP(A978,Internal_lists_bugs!$A$2:$Z$73,26,FALSE())),"please select a BUG ID")</f>
        <v>please select a BUG ID</v>
      </c>
      <c r="C978" s="51" t="str">
        <f>IFERROR(VLOOKUP(A978,Internal_lists_bugs!$A$2:$G2003,7,FALSE()),"please select a BUG ID")</f>
        <v>please select a BUG ID</v>
      </c>
      <c r="D978" s="43"/>
      <c r="E978" s="63"/>
      <c r="F978" s="43"/>
      <c r="G978" s="63"/>
      <c r="H978" s="43"/>
      <c r="I978" s="63"/>
      <c r="J978" s="43"/>
      <c r="K978" s="50"/>
      <c r="L978" s="43"/>
      <c r="N978" s="49"/>
      <c r="O978" s="50"/>
      <c r="P978" s="49"/>
      <c r="Q978" s="50"/>
      <c r="R978" s="49"/>
      <c r="S978" s="50"/>
      <c r="T978" s="49"/>
      <c r="U978" s="50"/>
      <c r="V978" s="49"/>
      <c r="W978" s="50"/>
      <c r="X978" s="49"/>
      <c r="Y978" s="50"/>
      <c r="Z978" s="49"/>
      <c r="AA978" s="50"/>
      <c r="AB978" s="49"/>
      <c r="AC978" s="50"/>
      <c r="AD978" s="49"/>
      <c r="AE978" s="50"/>
      <c r="AF978" s="49"/>
      <c r="AG978" s="50"/>
      <c r="AH978" s="49"/>
      <c r="AI978" s="50"/>
      <c r="AJ978" s="49"/>
      <c r="AK978" s="50"/>
      <c r="AL978" s="49"/>
      <c r="AM978" s="50"/>
      <c r="AN978" s="46"/>
      <c r="AO978" s="43"/>
      <c r="AP978" s="46"/>
      <c r="AQ978" s="43"/>
      <c r="AR978" s="119"/>
      <c r="AS978" s="1"/>
      <c r="AT978" s="1"/>
    </row>
    <row r="979">
      <c r="A979" s="43"/>
      <c r="B979" s="59" t="str">
        <f>IFERROR(HYPERLINK(VLOOKUP(A979,Internal_lists_bugs!$A$2:$C$73,3,FALSE()), VLOOKUP(A979,Internal_lists_bugs!$A$2:$C$73,3,FALSE())&amp;Char(10) &amp; Char(10) &amp; VLOOKUP(A979,Internal_lists_bugs!$A$2:$Z$73,26,FALSE())),"please select a BUG ID")</f>
        <v>please select a BUG ID</v>
      </c>
      <c r="C979" s="51" t="str">
        <f>IFERROR(VLOOKUP(A979,Internal_lists_bugs!$A$2:$G2003,7,FALSE()),"please select a BUG ID")</f>
        <v>please select a BUG ID</v>
      </c>
      <c r="D979" s="43"/>
      <c r="E979" s="63"/>
      <c r="F979" s="43"/>
      <c r="G979" s="63"/>
      <c r="H979" s="43"/>
      <c r="I979" s="63"/>
      <c r="J979" s="43"/>
      <c r="K979" s="50"/>
      <c r="L979" s="43"/>
      <c r="N979" s="49"/>
      <c r="O979" s="50"/>
      <c r="P979" s="49"/>
      <c r="Q979" s="50"/>
      <c r="R979" s="49"/>
      <c r="S979" s="50"/>
      <c r="T979" s="49"/>
      <c r="U979" s="50"/>
      <c r="V979" s="49"/>
      <c r="W979" s="50"/>
      <c r="X979" s="49"/>
      <c r="Y979" s="50"/>
      <c r="Z979" s="49"/>
      <c r="AA979" s="50"/>
      <c r="AB979" s="49"/>
      <c r="AC979" s="50"/>
      <c r="AD979" s="49"/>
      <c r="AE979" s="50"/>
      <c r="AF979" s="49"/>
      <c r="AG979" s="50"/>
      <c r="AH979" s="49"/>
      <c r="AI979" s="50"/>
      <c r="AJ979" s="49"/>
      <c r="AK979" s="50"/>
      <c r="AL979" s="49"/>
      <c r="AM979" s="50"/>
      <c r="AN979" s="46"/>
      <c r="AO979" s="43"/>
      <c r="AP979" s="46"/>
      <c r="AQ979" s="43"/>
      <c r="AR979" s="119"/>
      <c r="AS979" s="1"/>
      <c r="AT979" s="1"/>
    </row>
    <row r="980">
      <c r="A980" s="43"/>
      <c r="B980" s="59" t="str">
        <f>IFERROR(HYPERLINK(VLOOKUP(A980,Internal_lists_bugs!$A$2:$C$73,3,FALSE()), VLOOKUP(A980,Internal_lists_bugs!$A$2:$C$73,3,FALSE())&amp;Char(10) &amp; Char(10) &amp; VLOOKUP(A980,Internal_lists_bugs!$A$2:$Z$73,26,FALSE())),"please select a BUG ID")</f>
        <v>please select a BUG ID</v>
      </c>
      <c r="C980" s="51" t="str">
        <f>IFERROR(VLOOKUP(A980,Internal_lists_bugs!$A$2:$G2003,7,FALSE()),"please select a BUG ID")</f>
        <v>please select a BUG ID</v>
      </c>
      <c r="D980" s="43"/>
      <c r="E980" s="63"/>
      <c r="F980" s="43"/>
      <c r="G980" s="63"/>
      <c r="H980" s="43"/>
      <c r="I980" s="63"/>
      <c r="J980" s="43"/>
      <c r="K980" s="50"/>
      <c r="L980" s="43"/>
      <c r="N980" s="49"/>
      <c r="O980" s="50"/>
      <c r="P980" s="49"/>
      <c r="Q980" s="50"/>
      <c r="R980" s="49"/>
      <c r="S980" s="50"/>
      <c r="T980" s="49"/>
      <c r="U980" s="50"/>
      <c r="V980" s="49"/>
      <c r="W980" s="50"/>
      <c r="X980" s="49"/>
      <c r="Y980" s="50"/>
      <c r="Z980" s="49"/>
      <c r="AA980" s="50"/>
      <c r="AB980" s="49"/>
      <c r="AC980" s="50"/>
      <c r="AD980" s="49"/>
      <c r="AE980" s="50"/>
      <c r="AF980" s="49"/>
      <c r="AG980" s="50"/>
      <c r="AH980" s="49"/>
      <c r="AI980" s="50"/>
      <c r="AJ980" s="49"/>
      <c r="AK980" s="50"/>
      <c r="AL980" s="49"/>
      <c r="AM980" s="50"/>
      <c r="AN980" s="46"/>
      <c r="AO980" s="43"/>
      <c r="AP980" s="46"/>
      <c r="AQ980" s="43"/>
      <c r="AR980" s="119"/>
      <c r="AS980" s="1"/>
      <c r="AT980" s="1"/>
    </row>
    <row r="981">
      <c r="A981" s="43"/>
      <c r="B981" s="59" t="str">
        <f>IFERROR(HYPERLINK(VLOOKUP(A981,Internal_lists_bugs!$A$2:$C$73,3,FALSE()), VLOOKUP(A981,Internal_lists_bugs!$A$2:$C$73,3,FALSE())&amp;Char(10) &amp; Char(10) &amp; VLOOKUP(A981,Internal_lists_bugs!$A$2:$Z$73,26,FALSE())),"please select a BUG ID")</f>
        <v>please select a BUG ID</v>
      </c>
      <c r="C981" s="51" t="str">
        <f>IFERROR(VLOOKUP(A981,Internal_lists_bugs!$A$2:$G2003,7,FALSE()),"please select a BUG ID")</f>
        <v>please select a BUG ID</v>
      </c>
      <c r="D981" s="43"/>
      <c r="E981" s="63"/>
      <c r="F981" s="43"/>
      <c r="G981" s="63"/>
      <c r="H981" s="43"/>
      <c r="I981" s="63"/>
      <c r="J981" s="43"/>
      <c r="K981" s="50"/>
      <c r="L981" s="43"/>
      <c r="N981" s="49"/>
      <c r="O981" s="50"/>
      <c r="P981" s="49"/>
      <c r="Q981" s="50"/>
      <c r="R981" s="49"/>
      <c r="S981" s="50"/>
      <c r="T981" s="49"/>
      <c r="U981" s="50"/>
      <c r="V981" s="49"/>
      <c r="W981" s="50"/>
      <c r="X981" s="49"/>
      <c r="Y981" s="50"/>
      <c r="Z981" s="49"/>
      <c r="AA981" s="50"/>
      <c r="AB981" s="49"/>
      <c r="AC981" s="50"/>
      <c r="AD981" s="49"/>
      <c r="AE981" s="50"/>
      <c r="AF981" s="49"/>
      <c r="AG981" s="50"/>
      <c r="AH981" s="49"/>
      <c r="AI981" s="50"/>
      <c r="AJ981" s="49"/>
      <c r="AK981" s="50"/>
      <c r="AL981" s="49"/>
      <c r="AM981" s="50"/>
      <c r="AN981" s="46"/>
      <c r="AO981" s="43"/>
      <c r="AP981" s="46"/>
      <c r="AQ981" s="43"/>
      <c r="AR981" s="119"/>
      <c r="AS981" s="1"/>
      <c r="AT981" s="1"/>
    </row>
    <row r="982">
      <c r="A982" s="43"/>
      <c r="B982" s="59" t="str">
        <f>IFERROR(HYPERLINK(VLOOKUP(A982,Internal_lists_bugs!$A$2:$C$73,3,FALSE()), VLOOKUP(A982,Internal_lists_bugs!$A$2:$C$73,3,FALSE())&amp;Char(10) &amp; Char(10) &amp; VLOOKUP(A982,Internal_lists_bugs!$A$2:$Z$73,26,FALSE())),"please select a BUG ID")</f>
        <v>please select a BUG ID</v>
      </c>
      <c r="C982" s="51" t="str">
        <f>IFERROR(VLOOKUP(A982,Internal_lists_bugs!$A$2:$G2003,7,FALSE()),"please select a BUG ID")</f>
        <v>please select a BUG ID</v>
      </c>
      <c r="D982" s="43"/>
      <c r="E982" s="63"/>
      <c r="F982" s="43"/>
      <c r="G982" s="63"/>
      <c r="H982" s="43"/>
      <c r="I982" s="63"/>
      <c r="J982" s="43"/>
      <c r="K982" s="50"/>
      <c r="L982" s="43"/>
      <c r="N982" s="49"/>
      <c r="O982" s="50"/>
      <c r="P982" s="49"/>
      <c r="Q982" s="50"/>
      <c r="R982" s="49"/>
      <c r="S982" s="50"/>
      <c r="T982" s="49"/>
      <c r="U982" s="50"/>
      <c r="V982" s="49"/>
      <c r="W982" s="50"/>
      <c r="X982" s="49"/>
      <c r="Y982" s="50"/>
      <c r="Z982" s="49"/>
      <c r="AA982" s="50"/>
      <c r="AB982" s="49"/>
      <c r="AC982" s="50"/>
      <c r="AD982" s="49"/>
      <c r="AE982" s="50"/>
      <c r="AF982" s="49"/>
      <c r="AG982" s="50"/>
      <c r="AH982" s="49"/>
      <c r="AI982" s="50"/>
      <c r="AJ982" s="49"/>
      <c r="AK982" s="50"/>
      <c r="AL982" s="49"/>
      <c r="AM982" s="50"/>
      <c r="AN982" s="46"/>
      <c r="AO982" s="43"/>
      <c r="AP982" s="46"/>
      <c r="AQ982" s="43"/>
      <c r="AR982" s="119"/>
      <c r="AS982" s="1"/>
      <c r="AT982" s="1"/>
    </row>
    <row r="983">
      <c r="A983" s="43"/>
      <c r="B983" s="59" t="str">
        <f>IFERROR(HYPERLINK(VLOOKUP(A983,Internal_lists_bugs!$A$2:$C$73,3,FALSE()), VLOOKUP(A983,Internal_lists_bugs!$A$2:$C$73,3,FALSE())&amp;Char(10) &amp; Char(10) &amp; VLOOKUP(A983,Internal_lists_bugs!$A$2:$Z$73,26,FALSE())),"please select a BUG ID")</f>
        <v>please select a BUG ID</v>
      </c>
      <c r="C983" s="51" t="str">
        <f>IFERROR(VLOOKUP(A983,Internal_lists_bugs!$A$2:$G2003,7,FALSE()),"please select a BUG ID")</f>
        <v>please select a BUG ID</v>
      </c>
      <c r="D983" s="43"/>
      <c r="E983" s="63"/>
      <c r="F983" s="43"/>
      <c r="G983" s="63"/>
      <c r="H983" s="43"/>
      <c r="I983" s="63"/>
      <c r="J983" s="43"/>
      <c r="K983" s="50"/>
      <c r="L983" s="43"/>
      <c r="N983" s="49"/>
      <c r="O983" s="50"/>
      <c r="P983" s="49"/>
      <c r="Q983" s="50"/>
      <c r="R983" s="49"/>
      <c r="S983" s="50"/>
      <c r="T983" s="49"/>
      <c r="U983" s="50"/>
      <c r="V983" s="49"/>
      <c r="W983" s="50"/>
      <c r="X983" s="49"/>
      <c r="Y983" s="50"/>
      <c r="Z983" s="49"/>
      <c r="AA983" s="50"/>
      <c r="AB983" s="49"/>
      <c r="AC983" s="50"/>
      <c r="AD983" s="49"/>
      <c r="AE983" s="50"/>
      <c r="AF983" s="49"/>
      <c r="AG983" s="50"/>
      <c r="AH983" s="49"/>
      <c r="AI983" s="50"/>
      <c r="AJ983" s="49"/>
      <c r="AK983" s="50"/>
      <c r="AL983" s="49"/>
      <c r="AM983" s="50"/>
      <c r="AN983" s="46"/>
      <c r="AO983" s="43"/>
      <c r="AP983" s="46"/>
      <c r="AQ983" s="43"/>
      <c r="AR983" s="119"/>
      <c r="AS983" s="1"/>
      <c r="AT983" s="1"/>
    </row>
    <row r="984">
      <c r="A984" s="43"/>
      <c r="B984" s="59" t="str">
        <f>IFERROR(HYPERLINK(VLOOKUP(A984,Internal_lists_bugs!$A$2:$C$73,3,FALSE()), VLOOKUP(A984,Internal_lists_bugs!$A$2:$C$73,3,FALSE())&amp;Char(10) &amp; Char(10) &amp; VLOOKUP(A984,Internal_lists_bugs!$A$2:$Z$73,26,FALSE())),"please select a BUG ID")</f>
        <v>please select a BUG ID</v>
      </c>
      <c r="C984" s="51" t="str">
        <f>IFERROR(VLOOKUP(A984,Internal_lists_bugs!$A$2:$G2003,7,FALSE()),"please select a BUG ID")</f>
        <v>please select a BUG ID</v>
      </c>
      <c r="D984" s="43"/>
      <c r="E984" s="63"/>
      <c r="F984" s="43"/>
      <c r="G984" s="63"/>
      <c r="H984" s="43"/>
      <c r="I984" s="63"/>
      <c r="J984" s="43"/>
      <c r="K984" s="50"/>
      <c r="L984" s="43"/>
      <c r="N984" s="49"/>
      <c r="O984" s="50"/>
      <c r="P984" s="49"/>
      <c r="Q984" s="50"/>
      <c r="R984" s="49"/>
      <c r="S984" s="50"/>
      <c r="T984" s="49"/>
      <c r="U984" s="50"/>
      <c r="V984" s="49"/>
      <c r="W984" s="50"/>
      <c r="X984" s="49"/>
      <c r="Y984" s="50"/>
      <c r="Z984" s="49"/>
      <c r="AA984" s="50"/>
      <c r="AB984" s="49"/>
      <c r="AC984" s="50"/>
      <c r="AD984" s="49"/>
      <c r="AE984" s="50"/>
      <c r="AF984" s="49"/>
      <c r="AG984" s="50"/>
      <c r="AH984" s="49"/>
      <c r="AI984" s="50"/>
      <c r="AJ984" s="49"/>
      <c r="AK984" s="50"/>
      <c r="AL984" s="49"/>
      <c r="AM984" s="50"/>
      <c r="AN984" s="46"/>
      <c r="AO984" s="43"/>
      <c r="AP984" s="46"/>
      <c r="AQ984" s="43"/>
      <c r="AR984" s="119"/>
      <c r="AS984" s="1"/>
      <c r="AT984" s="1"/>
    </row>
    <row r="985">
      <c r="A985" s="43"/>
      <c r="B985" s="59" t="str">
        <f>IFERROR(HYPERLINK(VLOOKUP(A985,Internal_lists_bugs!$A$2:$C$73,3,FALSE()), VLOOKUP(A985,Internal_lists_bugs!$A$2:$C$73,3,FALSE())&amp;Char(10) &amp; Char(10) &amp; VLOOKUP(A985,Internal_lists_bugs!$A$2:$Z$73,26,FALSE())),"please select a BUG ID")</f>
        <v>please select a BUG ID</v>
      </c>
      <c r="C985" s="51" t="str">
        <f>IFERROR(VLOOKUP(A985,Internal_lists_bugs!$A$2:$G2003,7,FALSE()),"please select a BUG ID")</f>
        <v>please select a BUG ID</v>
      </c>
      <c r="D985" s="43"/>
      <c r="E985" s="63"/>
      <c r="F985" s="43"/>
      <c r="G985" s="63"/>
      <c r="H985" s="43"/>
      <c r="I985" s="63"/>
      <c r="J985" s="43"/>
      <c r="K985" s="50"/>
      <c r="L985" s="43"/>
      <c r="N985" s="49"/>
      <c r="O985" s="50"/>
      <c r="P985" s="49"/>
      <c r="Q985" s="50"/>
      <c r="R985" s="49"/>
      <c r="S985" s="50"/>
      <c r="T985" s="49"/>
      <c r="U985" s="50"/>
      <c r="V985" s="49"/>
      <c r="W985" s="50"/>
      <c r="X985" s="49"/>
      <c r="Y985" s="50"/>
      <c r="Z985" s="49"/>
      <c r="AA985" s="50"/>
      <c r="AB985" s="49"/>
      <c r="AC985" s="50"/>
      <c r="AD985" s="49"/>
      <c r="AE985" s="50"/>
      <c r="AF985" s="49"/>
      <c r="AG985" s="50"/>
      <c r="AH985" s="49"/>
      <c r="AI985" s="50"/>
      <c r="AJ985" s="49"/>
      <c r="AK985" s="50"/>
      <c r="AL985" s="49"/>
      <c r="AM985" s="50"/>
      <c r="AN985" s="46"/>
      <c r="AO985" s="43"/>
      <c r="AP985" s="46"/>
      <c r="AQ985" s="43"/>
      <c r="AR985" s="119"/>
      <c r="AS985" s="1"/>
      <c r="AT985" s="1"/>
    </row>
    <row r="986">
      <c r="A986" s="43"/>
      <c r="B986" s="59" t="str">
        <f>IFERROR(HYPERLINK(VLOOKUP(A986,Internal_lists_bugs!$A$2:$C$73,3,FALSE()), VLOOKUP(A986,Internal_lists_bugs!$A$2:$C$73,3,FALSE())&amp;Char(10) &amp; Char(10) &amp; VLOOKUP(A986,Internal_lists_bugs!$A$2:$Z$73,26,FALSE())),"please select a BUG ID")</f>
        <v>please select a BUG ID</v>
      </c>
      <c r="C986" s="51" t="str">
        <f>IFERROR(VLOOKUP(A986,Internal_lists_bugs!$A$2:$G2003,7,FALSE()),"please select a BUG ID")</f>
        <v>please select a BUG ID</v>
      </c>
      <c r="D986" s="43"/>
      <c r="E986" s="63"/>
      <c r="F986" s="43"/>
      <c r="G986" s="63"/>
      <c r="H986" s="43"/>
      <c r="I986" s="63"/>
      <c r="J986" s="43"/>
      <c r="K986" s="50"/>
      <c r="L986" s="43"/>
      <c r="N986" s="49"/>
      <c r="O986" s="50"/>
      <c r="P986" s="49"/>
      <c r="Q986" s="50"/>
      <c r="R986" s="49"/>
      <c r="S986" s="50"/>
      <c r="T986" s="49"/>
      <c r="U986" s="50"/>
      <c r="V986" s="49"/>
      <c r="W986" s="50"/>
      <c r="X986" s="49"/>
      <c r="Y986" s="50"/>
      <c r="Z986" s="49"/>
      <c r="AA986" s="50"/>
      <c r="AB986" s="49"/>
      <c r="AC986" s="50"/>
      <c r="AD986" s="49"/>
      <c r="AE986" s="50"/>
      <c r="AF986" s="49"/>
      <c r="AG986" s="50"/>
      <c r="AH986" s="49"/>
      <c r="AI986" s="50"/>
      <c r="AJ986" s="49"/>
      <c r="AK986" s="50"/>
      <c r="AL986" s="49"/>
      <c r="AM986" s="50"/>
      <c r="AN986" s="46"/>
      <c r="AO986" s="43"/>
      <c r="AP986" s="46"/>
      <c r="AQ986" s="43"/>
      <c r="AR986" s="119"/>
      <c r="AS986" s="1"/>
      <c r="AT986" s="1"/>
    </row>
    <row r="987">
      <c r="A987" s="43"/>
      <c r="B987" s="59" t="str">
        <f>IFERROR(HYPERLINK(VLOOKUP(A987,Internal_lists_bugs!$A$2:$C$73,3,FALSE()), VLOOKUP(A987,Internal_lists_bugs!$A$2:$C$73,3,FALSE())&amp;Char(10) &amp; Char(10) &amp; VLOOKUP(A987,Internal_lists_bugs!$A$2:$Z$73,26,FALSE())),"please select a BUG ID")</f>
        <v>please select a BUG ID</v>
      </c>
      <c r="C987" s="51" t="str">
        <f>IFERROR(VLOOKUP(A987,Internal_lists_bugs!$A$2:$G2003,7,FALSE()),"please select a BUG ID")</f>
        <v>please select a BUG ID</v>
      </c>
      <c r="D987" s="43"/>
      <c r="E987" s="63"/>
      <c r="F987" s="43"/>
      <c r="G987" s="63"/>
      <c r="H987" s="43"/>
      <c r="I987" s="63"/>
      <c r="J987" s="43"/>
      <c r="K987" s="50"/>
      <c r="L987" s="43"/>
      <c r="N987" s="49"/>
      <c r="O987" s="50"/>
      <c r="P987" s="49"/>
      <c r="Q987" s="50"/>
      <c r="R987" s="49"/>
      <c r="S987" s="50"/>
      <c r="T987" s="49"/>
      <c r="U987" s="50"/>
      <c r="V987" s="49"/>
      <c r="W987" s="50"/>
      <c r="X987" s="49"/>
      <c r="Y987" s="50"/>
      <c r="Z987" s="49"/>
      <c r="AA987" s="50"/>
      <c r="AB987" s="49"/>
      <c r="AC987" s="50"/>
      <c r="AD987" s="49"/>
      <c r="AE987" s="50"/>
      <c r="AF987" s="49"/>
      <c r="AG987" s="50"/>
      <c r="AH987" s="49"/>
      <c r="AI987" s="50"/>
      <c r="AJ987" s="49"/>
      <c r="AK987" s="50"/>
      <c r="AL987" s="49"/>
      <c r="AM987" s="50"/>
      <c r="AN987" s="46"/>
      <c r="AO987" s="43"/>
      <c r="AP987" s="46"/>
      <c r="AQ987" s="43"/>
      <c r="AR987" s="119"/>
      <c r="AS987" s="1"/>
      <c r="AT987" s="1"/>
    </row>
    <row r="988">
      <c r="A988" s="43"/>
      <c r="B988" s="59" t="str">
        <f>IFERROR(HYPERLINK(VLOOKUP(A988,Internal_lists_bugs!$A$2:$C$73,3,FALSE()), VLOOKUP(A988,Internal_lists_bugs!$A$2:$C$73,3,FALSE())&amp;Char(10) &amp; Char(10) &amp; VLOOKUP(A988,Internal_lists_bugs!$A$2:$Z$73,26,FALSE())),"please select a BUG ID")</f>
        <v>please select a BUG ID</v>
      </c>
      <c r="C988" s="51" t="str">
        <f>IFERROR(VLOOKUP(A988,Internal_lists_bugs!$A$2:$G2003,7,FALSE()),"please select a BUG ID")</f>
        <v>please select a BUG ID</v>
      </c>
      <c r="D988" s="43"/>
      <c r="E988" s="63"/>
      <c r="F988" s="43"/>
      <c r="G988" s="63"/>
      <c r="H988" s="43"/>
      <c r="I988" s="63"/>
      <c r="J988" s="43"/>
      <c r="K988" s="50"/>
      <c r="L988" s="43"/>
      <c r="N988" s="49"/>
      <c r="O988" s="50"/>
      <c r="P988" s="49"/>
      <c r="Q988" s="50"/>
      <c r="R988" s="49"/>
      <c r="S988" s="50"/>
      <c r="T988" s="49"/>
      <c r="U988" s="50"/>
      <c r="V988" s="49"/>
      <c r="W988" s="50"/>
      <c r="X988" s="49"/>
      <c r="Y988" s="50"/>
      <c r="Z988" s="49"/>
      <c r="AA988" s="50"/>
      <c r="AB988" s="49"/>
      <c r="AC988" s="50"/>
      <c r="AD988" s="49"/>
      <c r="AE988" s="50"/>
      <c r="AF988" s="49"/>
      <c r="AG988" s="50"/>
      <c r="AH988" s="49"/>
      <c r="AI988" s="50"/>
      <c r="AJ988" s="49"/>
      <c r="AK988" s="50"/>
      <c r="AL988" s="49"/>
      <c r="AM988" s="50"/>
      <c r="AN988" s="46"/>
      <c r="AO988" s="43"/>
      <c r="AP988" s="46"/>
      <c r="AQ988" s="43"/>
      <c r="AR988" s="119"/>
      <c r="AS988" s="1"/>
      <c r="AT988" s="1"/>
    </row>
    <row r="989">
      <c r="A989" s="43"/>
      <c r="B989" s="59" t="str">
        <f>IFERROR(HYPERLINK(VLOOKUP(A989,Internal_lists_bugs!$A$2:$C$73,3,FALSE()), VLOOKUP(A989,Internal_lists_bugs!$A$2:$C$73,3,FALSE())&amp;Char(10) &amp; Char(10) &amp; VLOOKUP(A989,Internal_lists_bugs!$A$2:$Z$73,26,FALSE())),"please select a BUG ID")</f>
        <v>please select a BUG ID</v>
      </c>
      <c r="C989" s="51" t="str">
        <f>IFERROR(VLOOKUP(A989,Internal_lists_bugs!$A$2:$G2003,7,FALSE()),"please select a BUG ID")</f>
        <v>please select a BUG ID</v>
      </c>
      <c r="D989" s="43"/>
      <c r="E989" s="63"/>
      <c r="F989" s="43"/>
      <c r="G989" s="63"/>
      <c r="H989" s="43"/>
      <c r="I989" s="63"/>
      <c r="J989" s="43"/>
      <c r="K989" s="50"/>
      <c r="L989" s="43"/>
      <c r="N989" s="49"/>
      <c r="O989" s="50"/>
      <c r="P989" s="49"/>
      <c r="Q989" s="50"/>
      <c r="R989" s="49"/>
      <c r="S989" s="50"/>
      <c r="T989" s="49"/>
      <c r="U989" s="50"/>
      <c r="V989" s="49"/>
      <c r="W989" s="50"/>
      <c r="X989" s="49"/>
      <c r="Y989" s="50"/>
      <c r="Z989" s="49"/>
      <c r="AA989" s="50"/>
      <c r="AB989" s="49"/>
      <c r="AC989" s="50"/>
      <c r="AD989" s="49"/>
      <c r="AE989" s="50"/>
      <c r="AF989" s="49"/>
      <c r="AG989" s="50"/>
      <c r="AH989" s="49"/>
      <c r="AI989" s="50"/>
      <c r="AJ989" s="49"/>
      <c r="AK989" s="50"/>
      <c r="AL989" s="49"/>
      <c r="AM989" s="50"/>
      <c r="AN989" s="46"/>
      <c r="AO989" s="43"/>
      <c r="AP989" s="46"/>
      <c r="AQ989" s="43"/>
      <c r="AR989" s="119"/>
      <c r="AS989" s="1"/>
      <c r="AT989" s="1"/>
    </row>
    <row r="990">
      <c r="A990" s="43"/>
      <c r="B990" s="59" t="str">
        <f>IFERROR(HYPERLINK(VLOOKUP(A990,Internal_lists_bugs!$A$2:$C$73,3,FALSE()), VLOOKUP(A990,Internal_lists_bugs!$A$2:$C$73,3,FALSE())&amp;Char(10) &amp; Char(10) &amp; VLOOKUP(A990,Internal_lists_bugs!$A$2:$Z$73,26,FALSE())),"please select a BUG ID")</f>
        <v>please select a BUG ID</v>
      </c>
      <c r="C990" s="51" t="str">
        <f>IFERROR(VLOOKUP(A990,Internal_lists_bugs!$A$2:$G2003,7,FALSE()),"please select a BUG ID")</f>
        <v>please select a BUG ID</v>
      </c>
      <c r="D990" s="43"/>
      <c r="E990" s="63"/>
      <c r="F990" s="43"/>
      <c r="G990" s="63"/>
      <c r="H990" s="43"/>
      <c r="I990" s="63"/>
      <c r="J990" s="43"/>
      <c r="K990" s="50"/>
      <c r="L990" s="43"/>
      <c r="N990" s="49"/>
      <c r="O990" s="50"/>
      <c r="P990" s="49"/>
      <c r="Q990" s="50"/>
      <c r="R990" s="49"/>
      <c r="S990" s="50"/>
      <c r="T990" s="49"/>
      <c r="U990" s="50"/>
      <c r="V990" s="49"/>
      <c r="W990" s="50"/>
      <c r="X990" s="49"/>
      <c r="Y990" s="50"/>
      <c r="Z990" s="49"/>
      <c r="AA990" s="50"/>
      <c r="AB990" s="49"/>
      <c r="AC990" s="50"/>
      <c r="AD990" s="49"/>
      <c r="AE990" s="50"/>
      <c r="AF990" s="49"/>
      <c r="AG990" s="50"/>
      <c r="AH990" s="49"/>
      <c r="AI990" s="50"/>
      <c r="AJ990" s="49"/>
      <c r="AK990" s="50"/>
      <c r="AL990" s="49"/>
      <c r="AM990" s="50"/>
      <c r="AN990" s="46"/>
      <c r="AO990" s="43"/>
      <c r="AP990" s="46"/>
      <c r="AQ990" s="43"/>
      <c r="AR990" s="119"/>
      <c r="AS990" s="1"/>
      <c r="AT990" s="1"/>
    </row>
    <row r="991">
      <c r="A991" s="43"/>
      <c r="B991" s="59" t="str">
        <f>IFERROR(HYPERLINK(VLOOKUP(A991,Internal_lists_bugs!$A$2:$C$73,3,FALSE()), VLOOKUP(A991,Internal_lists_bugs!$A$2:$C$73,3,FALSE())&amp;Char(10) &amp; Char(10) &amp; VLOOKUP(A991,Internal_lists_bugs!$A$2:$Z$73,26,FALSE())),"please select a BUG ID")</f>
        <v>please select a BUG ID</v>
      </c>
      <c r="C991" s="51" t="str">
        <f>IFERROR(VLOOKUP(A991,Internal_lists_bugs!$A$2:$G2003,7,FALSE()),"please select a BUG ID")</f>
        <v>please select a BUG ID</v>
      </c>
      <c r="D991" s="43"/>
      <c r="E991" s="63"/>
      <c r="F991" s="43"/>
      <c r="G991" s="63"/>
      <c r="H991" s="43"/>
      <c r="I991" s="63"/>
      <c r="J991" s="43"/>
      <c r="K991" s="50"/>
      <c r="L991" s="43"/>
      <c r="N991" s="49"/>
      <c r="O991" s="50"/>
      <c r="P991" s="49"/>
      <c r="Q991" s="50"/>
      <c r="R991" s="49"/>
      <c r="S991" s="50"/>
      <c r="T991" s="41"/>
      <c r="U991" s="50"/>
      <c r="V991" s="49"/>
      <c r="W991" s="50"/>
      <c r="X991" s="49"/>
      <c r="Y991" s="50"/>
      <c r="Z991" s="49"/>
      <c r="AA991" s="50"/>
      <c r="AB991" s="49"/>
      <c r="AC991" s="50"/>
      <c r="AD991" s="49"/>
      <c r="AE991" s="50"/>
      <c r="AF991" s="49"/>
      <c r="AG991" s="50"/>
      <c r="AH991" s="49"/>
      <c r="AI991" s="50"/>
      <c r="AJ991" s="49"/>
      <c r="AK991" s="50"/>
      <c r="AL991" s="49"/>
      <c r="AM991" s="50"/>
      <c r="AN991" s="46"/>
      <c r="AO991" s="43"/>
      <c r="AP991" s="46"/>
      <c r="AQ991" s="43"/>
      <c r="AR991" s="119"/>
      <c r="AS991" s="1"/>
      <c r="AT991" s="1"/>
    </row>
    <row r="992">
      <c r="A992" s="43"/>
      <c r="B992" s="59" t="str">
        <f>IFERROR(HYPERLINK(VLOOKUP(A992,Internal_lists_bugs!$A$2:$C$73,3,FALSE()), VLOOKUP(A992,Internal_lists_bugs!$A$2:$C$73,3,FALSE())&amp;Char(10) &amp; Char(10) &amp; VLOOKUP(A992,Internal_lists_bugs!$A$2:$Z$73,26,FALSE())),"please select a BUG ID")</f>
        <v>please select a BUG ID</v>
      </c>
      <c r="C992" s="51" t="str">
        <f>IFERROR(VLOOKUP(A992,Internal_lists_bugs!$A$2:$G2003,7,FALSE()),"please select a BUG ID")</f>
        <v>please select a BUG ID</v>
      </c>
      <c r="D992" s="43"/>
      <c r="E992" s="63"/>
      <c r="F992" s="43"/>
      <c r="G992" s="63"/>
      <c r="H992" s="43"/>
      <c r="I992" s="63"/>
      <c r="J992" s="43"/>
      <c r="K992" s="50"/>
      <c r="L992" s="43"/>
      <c r="N992" s="49"/>
      <c r="O992" s="50"/>
      <c r="P992" s="49"/>
      <c r="Q992" s="50"/>
      <c r="R992" s="49"/>
      <c r="S992" s="50"/>
      <c r="T992" s="49"/>
      <c r="U992" s="50"/>
      <c r="V992" s="49"/>
      <c r="W992" s="50"/>
      <c r="X992" s="49"/>
      <c r="Y992" s="50"/>
      <c r="Z992" s="49"/>
      <c r="AA992" s="50"/>
      <c r="AB992" s="49"/>
      <c r="AC992" s="50"/>
      <c r="AD992" s="49"/>
      <c r="AE992" s="50"/>
      <c r="AF992" s="49"/>
      <c r="AG992" s="50"/>
      <c r="AH992" s="49"/>
      <c r="AI992" s="50"/>
      <c r="AJ992" s="49"/>
      <c r="AK992" s="50"/>
      <c r="AL992" s="49"/>
      <c r="AM992" s="50"/>
      <c r="AN992" s="46"/>
      <c r="AO992" s="43"/>
      <c r="AP992" s="46"/>
      <c r="AQ992" s="43"/>
      <c r="AR992" s="119"/>
      <c r="AS992" s="1"/>
      <c r="AT992" s="1"/>
    </row>
    <row r="993">
      <c r="A993" s="43"/>
      <c r="B993" s="59" t="str">
        <f>IFERROR(HYPERLINK(VLOOKUP(A993,Internal_lists_bugs!$A$2:$C$73,3,FALSE()), VLOOKUP(A993,Internal_lists_bugs!$A$2:$C$73,3,FALSE())&amp;Char(10) &amp; Char(10) &amp; VLOOKUP(A993,Internal_lists_bugs!$A$2:$Z$73,26,FALSE())),"please select a BUG ID")</f>
        <v>please select a BUG ID</v>
      </c>
      <c r="C993" s="51" t="str">
        <f>IFERROR(VLOOKUP(A993,Internal_lists_bugs!$A$2:$G2003,7,FALSE()),"please select a BUG ID")</f>
        <v>please select a BUG ID</v>
      </c>
      <c r="D993" s="43"/>
      <c r="E993" s="63"/>
      <c r="F993" s="43"/>
      <c r="G993" s="63"/>
      <c r="H993" s="43"/>
      <c r="I993" s="63"/>
      <c r="J993" s="43"/>
      <c r="K993" s="50"/>
      <c r="L993" s="43"/>
      <c r="N993" s="49"/>
      <c r="O993" s="50"/>
      <c r="P993" s="49"/>
      <c r="Q993" s="50"/>
      <c r="R993" s="49"/>
      <c r="S993" s="50"/>
      <c r="T993" s="49"/>
      <c r="U993" s="50"/>
      <c r="V993" s="49"/>
      <c r="W993" s="50"/>
      <c r="X993" s="49"/>
      <c r="Y993" s="50"/>
      <c r="Z993" s="49"/>
      <c r="AA993" s="50"/>
      <c r="AB993" s="49"/>
      <c r="AC993" s="50"/>
      <c r="AD993" s="49"/>
      <c r="AE993" s="50"/>
      <c r="AF993" s="49"/>
      <c r="AG993" s="50"/>
      <c r="AH993" s="49"/>
      <c r="AI993" s="50"/>
      <c r="AJ993" s="49"/>
      <c r="AK993" s="50"/>
      <c r="AL993" s="49"/>
      <c r="AM993" s="50"/>
      <c r="AN993" s="46"/>
      <c r="AO993" s="43"/>
      <c r="AP993" s="46"/>
      <c r="AQ993" s="43"/>
      <c r="AR993" s="119"/>
      <c r="AS993" s="1"/>
      <c r="AT993" s="1"/>
    </row>
    <row r="994">
      <c r="A994" s="43"/>
      <c r="B994" s="59" t="str">
        <f>IFERROR(HYPERLINK(VLOOKUP(A994,Internal_lists_bugs!$A$2:$C$73,3,FALSE()), VLOOKUP(A994,Internal_lists_bugs!$A$2:$C$73,3,FALSE())&amp;Char(10) &amp; Char(10) &amp; VLOOKUP(A994,Internal_lists_bugs!$A$2:$Z$73,26,FALSE())),"please select a BUG ID")</f>
        <v>please select a BUG ID</v>
      </c>
      <c r="C994" s="51" t="str">
        <f>IFERROR(VLOOKUP(A994,Internal_lists_bugs!$A$2:$G2003,7,FALSE()),"please select a BUG ID")</f>
        <v>please select a BUG ID</v>
      </c>
      <c r="D994" s="43"/>
      <c r="E994" s="63"/>
      <c r="F994" s="43"/>
      <c r="G994" s="63"/>
      <c r="H994" s="43"/>
      <c r="I994" s="63"/>
      <c r="J994" s="43"/>
      <c r="K994" s="50"/>
      <c r="L994" s="43"/>
      <c r="N994" s="49"/>
      <c r="O994" s="50"/>
      <c r="P994" s="49"/>
      <c r="Q994" s="50"/>
      <c r="R994" s="49"/>
      <c r="S994" s="50"/>
      <c r="T994" s="49"/>
      <c r="U994" s="50"/>
      <c r="V994" s="49"/>
      <c r="W994" s="50"/>
      <c r="X994" s="49"/>
      <c r="Y994" s="50"/>
      <c r="Z994" s="49"/>
      <c r="AA994" s="50"/>
      <c r="AB994" s="49"/>
      <c r="AC994" s="50"/>
      <c r="AD994" s="49"/>
      <c r="AE994" s="50"/>
      <c r="AF994" s="49"/>
      <c r="AG994" s="50"/>
      <c r="AH994" s="49"/>
      <c r="AI994" s="50"/>
      <c r="AJ994" s="49"/>
      <c r="AK994" s="50"/>
      <c r="AL994" s="49"/>
      <c r="AM994" s="50"/>
      <c r="AN994" s="46"/>
      <c r="AO994" s="43"/>
      <c r="AP994" s="46"/>
      <c r="AQ994" s="43"/>
      <c r="AR994" s="119"/>
      <c r="AS994" s="1"/>
      <c r="AT994" s="1"/>
    </row>
    <row r="995">
      <c r="A995" s="43"/>
      <c r="B995" s="59" t="str">
        <f>IFERROR(HYPERLINK(VLOOKUP(A995,Internal_lists_bugs!$A$2:$C$73,3,FALSE()), VLOOKUP(A995,Internal_lists_bugs!$A$2:$C$73,3,FALSE())&amp;Char(10) &amp; Char(10) &amp; VLOOKUP(A995,Internal_lists_bugs!$A$2:$Z$73,26,FALSE())),"please select a BUG ID")</f>
        <v>please select a BUG ID</v>
      </c>
      <c r="C995" s="51" t="str">
        <f>IFERROR(VLOOKUP(A995,Internal_lists_bugs!$A$2:$G2003,7,FALSE()),"please select a BUG ID")</f>
        <v>please select a BUG ID</v>
      </c>
      <c r="D995" s="43"/>
      <c r="E995" s="63"/>
      <c r="F995" s="43"/>
      <c r="G995" s="63"/>
      <c r="H995" s="43"/>
      <c r="I995" s="63"/>
      <c r="J995" s="43"/>
      <c r="K995" s="50"/>
      <c r="L995" s="43"/>
      <c r="N995" s="49"/>
      <c r="O995" s="50"/>
      <c r="P995" s="49"/>
      <c r="Q995" s="50"/>
      <c r="R995" s="49"/>
      <c r="S995" s="50"/>
      <c r="T995" s="49"/>
      <c r="U995" s="50"/>
      <c r="V995" s="49"/>
      <c r="W995" s="50"/>
      <c r="X995" s="49"/>
      <c r="Y995" s="50"/>
      <c r="Z995" s="49"/>
      <c r="AA995" s="50"/>
      <c r="AB995" s="49"/>
      <c r="AC995" s="50"/>
      <c r="AD995" s="49"/>
      <c r="AE995" s="50"/>
      <c r="AF995" s="49"/>
      <c r="AG995" s="50"/>
      <c r="AH995" s="49"/>
      <c r="AI995" s="50"/>
      <c r="AJ995" s="49"/>
      <c r="AK995" s="50"/>
      <c r="AL995" s="49"/>
      <c r="AM995" s="50"/>
      <c r="AN995" s="46"/>
      <c r="AO995" s="43"/>
      <c r="AP995" s="46"/>
      <c r="AQ995" s="43"/>
      <c r="AR995" s="119"/>
      <c r="AS995" s="1"/>
      <c r="AT995" s="1"/>
    </row>
    <row r="996">
      <c r="A996" s="43"/>
      <c r="B996" s="59" t="str">
        <f>IFERROR(HYPERLINK(VLOOKUP(A996,Internal_lists_bugs!$A$2:$C$73,3,FALSE()), VLOOKUP(A996,Internal_lists_bugs!$A$2:$C$73,3,FALSE())&amp;Char(10) &amp; Char(10) &amp; VLOOKUP(A996,Internal_lists_bugs!$A$2:$Z$73,26,FALSE())),"please select a BUG ID")</f>
        <v>please select a BUG ID</v>
      </c>
      <c r="C996" s="51" t="str">
        <f>IFERROR(VLOOKUP(A996,Internal_lists_bugs!$A$2:$G2003,7,FALSE()),"please select a BUG ID")</f>
        <v>please select a BUG ID</v>
      </c>
      <c r="D996" s="43"/>
      <c r="E996" s="63"/>
      <c r="F996" s="43"/>
      <c r="G996" s="63"/>
      <c r="H996" s="43"/>
      <c r="I996" s="63"/>
      <c r="J996" s="43"/>
      <c r="K996" s="50"/>
      <c r="L996" s="43"/>
      <c r="N996" s="49"/>
      <c r="O996" s="50"/>
      <c r="P996" s="49"/>
      <c r="Q996" s="50"/>
      <c r="R996" s="49"/>
      <c r="S996" s="50"/>
      <c r="T996" s="49"/>
      <c r="U996" s="50"/>
      <c r="V996" s="49"/>
      <c r="W996" s="50"/>
      <c r="X996" s="49"/>
      <c r="Y996" s="50"/>
      <c r="Z996" s="49"/>
      <c r="AA996" s="50"/>
      <c r="AB996" s="49"/>
      <c r="AC996" s="50"/>
      <c r="AD996" s="49"/>
      <c r="AE996" s="50"/>
      <c r="AF996" s="49"/>
      <c r="AG996" s="50"/>
      <c r="AH996" s="49"/>
      <c r="AI996" s="50"/>
      <c r="AJ996" s="49"/>
      <c r="AK996" s="50"/>
      <c r="AL996" s="49"/>
      <c r="AM996" s="50"/>
      <c r="AN996" s="46"/>
      <c r="AO996" s="43"/>
      <c r="AP996" s="46"/>
      <c r="AQ996" s="43"/>
      <c r="AR996" s="119"/>
      <c r="AS996" s="1"/>
      <c r="AT996" s="1"/>
    </row>
    <row r="997">
      <c r="A997" s="43"/>
      <c r="B997" s="59" t="str">
        <f>IFERROR(HYPERLINK(VLOOKUP(A997,Internal_lists_bugs!$A$2:$C$73,3,FALSE()), VLOOKUP(A997,Internal_lists_bugs!$A$2:$C$73,3,FALSE())&amp;Char(10) &amp; Char(10) &amp; VLOOKUP(A997,Internal_lists_bugs!$A$2:$Z$73,26,FALSE())),"please select a BUG ID")</f>
        <v>please select a BUG ID</v>
      </c>
      <c r="C997" s="51" t="str">
        <f>IFERROR(VLOOKUP(A997,Internal_lists_bugs!$A$2:$G2003,7,FALSE()),"please select a BUG ID")</f>
        <v>please select a BUG ID</v>
      </c>
      <c r="D997" s="43"/>
      <c r="E997" s="63"/>
      <c r="F997" s="43"/>
      <c r="G997" s="63"/>
      <c r="H997" s="43"/>
      <c r="I997" s="63"/>
      <c r="J997" s="43"/>
      <c r="K997" s="50"/>
      <c r="L997" s="43"/>
      <c r="N997" s="49"/>
      <c r="O997" s="50"/>
      <c r="P997" s="49"/>
      <c r="R997" s="49"/>
      <c r="S997" s="50"/>
      <c r="T997" s="49"/>
      <c r="U997" s="50"/>
      <c r="V997" s="49"/>
      <c r="W997" s="50"/>
      <c r="X997" s="49"/>
      <c r="Y997" s="50"/>
      <c r="Z997" s="49"/>
      <c r="AA997" s="50"/>
      <c r="AB997" s="49"/>
      <c r="AC997" s="50"/>
      <c r="AD997" s="49"/>
      <c r="AE997" s="50"/>
      <c r="AF997" s="49"/>
      <c r="AG997" s="50"/>
      <c r="AH997" s="49"/>
      <c r="AI997" s="50"/>
      <c r="AJ997" s="49"/>
      <c r="AK997" s="50"/>
      <c r="AL997" s="49"/>
      <c r="AM997" s="50"/>
      <c r="AN997" s="46"/>
      <c r="AO997" s="43"/>
      <c r="AP997" s="46"/>
      <c r="AQ997" s="43"/>
      <c r="AR997" s="119"/>
      <c r="AS997" s="1"/>
      <c r="AT997" s="1"/>
    </row>
    <row r="998">
      <c r="A998" s="43"/>
      <c r="B998" s="59" t="str">
        <f>IFERROR(HYPERLINK(VLOOKUP(A998,Internal_lists_bugs!$A$2:$C$73,3,FALSE()), VLOOKUP(A998,Internal_lists_bugs!$A$2:$C$73,3,FALSE())&amp;Char(10) &amp; Char(10) &amp; VLOOKUP(A998,Internal_lists_bugs!$A$2:$Z$73,26,FALSE())),"please select a BUG ID")</f>
        <v>please select a BUG ID</v>
      </c>
      <c r="C998" s="51" t="str">
        <f>IFERROR(VLOOKUP(A998,Internal_lists_bugs!$A$2:$G2003,7,FALSE()),"please select a BUG ID")</f>
        <v>please select a BUG ID</v>
      </c>
      <c r="D998" s="43"/>
      <c r="E998" s="63"/>
      <c r="F998" s="43"/>
      <c r="G998" s="63"/>
      <c r="H998" s="43"/>
      <c r="I998" s="63"/>
      <c r="J998" s="43"/>
      <c r="K998" s="50"/>
      <c r="L998" s="43"/>
      <c r="N998" s="49"/>
      <c r="O998" s="50"/>
      <c r="P998" s="49"/>
      <c r="R998" s="49"/>
      <c r="S998" s="50"/>
      <c r="T998" s="49"/>
      <c r="U998" s="50"/>
      <c r="V998" s="49"/>
      <c r="W998" s="50"/>
      <c r="X998" s="49"/>
      <c r="Y998" s="50"/>
      <c r="Z998" s="49"/>
      <c r="AA998" s="50"/>
      <c r="AB998" s="49"/>
      <c r="AC998" s="50"/>
      <c r="AD998" s="49"/>
      <c r="AE998" s="50"/>
      <c r="AF998" s="49"/>
      <c r="AG998" s="50"/>
      <c r="AH998" s="49"/>
      <c r="AI998" s="50"/>
      <c r="AJ998" s="49"/>
      <c r="AK998" s="50"/>
      <c r="AL998" s="49"/>
      <c r="AM998" s="50"/>
      <c r="AN998" s="46"/>
      <c r="AO998" s="43"/>
      <c r="AP998" s="46"/>
      <c r="AQ998" s="43"/>
      <c r="AR998" s="119"/>
      <c r="AS998" s="1"/>
      <c r="AT998" s="1"/>
    </row>
    <row r="999">
      <c r="A999" s="43"/>
      <c r="B999" s="59" t="str">
        <f>IFERROR(HYPERLINK(VLOOKUP(A999,Internal_lists_bugs!$A$2:$C$73,3,FALSE()), VLOOKUP(A999,Internal_lists_bugs!$A$2:$C$73,3,FALSE())&amp;Char(10) &amp; Char(10) &amp; VLOOKUP(A999,Internal_lists_bugs!$A$2:$Z$73,26,FALSE())),"please select a BUG ID")</f>
        <v>please select a BUG ID</v>
      </c>
      <c r="C999" s="51" t="str">
        <f>IFERROR(VLOOKUP(A999,Internal_lists_bugs!$A$2:$G2003,7,FALSE()),"please select a BUG ID")</f>
        <v>please select a BUG ID</v>
      </c>
      <c r="D999" s="43"/>
      <c r="E999" s="63"/>
      <c r="F999" s="43"/>
      <c r="G999" s="63"/>
      <c r="H999" s="43"/>
      <c r="I999" s="63"/>
      <c r="J999" s="43"/>
      <c r="K999" s="50"/>
      <c r="L999" s="43"/>
      <c r="N999" s="49"/>
      <c r="O999" s="50"/>
      <c r="P999" s="49"/>
      <c r="R999" s="49"/>
      <c r="S999" s="50"/>
      <c r="T999" s="49"/>
      <c r="U999" s="50"/>
      <c r="V999" s="49"/>
      <c r="W999" s="50"/>
      <c r="X999" s="49"/>
      <c r="Y999" s="50"/>
      <c r="Z999" s="49"/>
      <c r="AA999" s="50"/>
      <c r="AB999" s="49"/>
      <c r="AC999" s="50"/>
      <c r="AD999" s="49"/>
      <c r="AE999" s="50"/>
      <c r="AF999" s="49"/>
      <c r="AG999" s="50"/>
      <c r="AH999" s="49"/>
      <c r="AI999" s="50"/>
      <c r="AJ999" s="49"/>
      <c r="AK999" s="50"/>
      <c r="AL999" s="49"/>
      <c r="AM999" s="50"/>
      <c r="AN999" s="46"/>
      <c r="AO999" s="43"/>
      <c r="AP999" s="46"/>
      <c r="AQ999" s="43"/>
      <c r="AR999" s="119"/>
      <c r="AS999" s="1"/>
      <c r="AT999" s="1"/>
    </row>
    <row r="1000">
      <c r="A1000" s="43"/>
      <c r="B1000" s="59" t="str">
        <f>IFERROR(HYPERLINK(VLOOKUP(A1000,Internal_lists_bugs!$A$2:$C$73,3,FALSE()), VLOOKUP(A1000,Internal_lists_bugs!$A$2:$C$73,3,FALSE())&amp;Char(10) &amp; Char(10) &amp; VLOOKUP(A1000,Internal_lists_bugs!$A$2:$Z$73,26,FALSE())),"please select a BUG ID")</f>
        <v>please select a BUG ID</v>
      </c>
      <c r="C1000" s="51" t="str">
        <f>IFERROR(VLOOKUP(A1000,Internal_lists_bugs!$A$2:$G2003,7,FALSE()),"please select a BUG ID")</f>
        <v>please select a BUG ID</v>
      </c>
      <c r="D1000" s="43"/>
      <c r="E1000" s="63"/>
      <c r="F1000" s="43"/>
      <c r="G1000" s="63"/>
      <c r="H1000" s="43"/>
      <c r="I1000" s="63"/>
      <c r="J1000" s="43"/>
      <c r="K1000" s="50"/>
      <c r="L1000" s="43"/>
      <c r="N1000" s="49"/>
      <c r="O1000" s="50"/>
      <c r="P1000" s="49"/>
      <c r="R1000" s="49"/>
      <c r="S1000" s="50"/>
      <c r="T1000" s="49"/>
      <c r="U1000" s="50"/>
      <c r="V1000" s="49"/>
      <c r="W1000" s="50"/>
      <c r="X1000" s="49"/>
      <c r="Y1000" s="50"/>
      <c r="Z1000" s="49"/>
      <c r="AA1000" s="50"/>
      <c r="AB1000" s="49"/>
      <c r="AC1000" s="50"/>
      <c r="AD1000" s="49"/>
      <c r="AE1000" s="50"/>
      <c r="AF1000" s="49"/>
      <c r="AG1000" s="50"/>
      <c r="AH1000" s="49"/>
      <c r="AI1000" s="50"/>
      <c r="AJ1000" s="49"/>
      <c r="AK1000" s="50"/>
      <c r="AL1000" s="49"/>
      <c r="AM1000" s="50"/>
      <c r="AN1000" s="46"/>
      <c r="AO1000" s="43"/>
      <c r="AP1000" s="46"/>
      <c r="AQ1000" s="43"/>
      <c r="AR1000" s="119"/>
      <c r="AS1000" s="1"/>
      <c r="AT1000" s="1"/>
    </row>
    <row r="1001">
      <c r="A1001" s="43"/>
      <c r="B1001" s="59" t="str">
        <f>IFERROR(HYPERLINK(VLOOKUP(A1001,Internal_lists_bugs!$A$2:$C$73,3,FALSE()), VLOOKUP(A1001,Internal_lists_bugs!$A$2:$C$73,3,FALSE())&amp;Char(10) &amp; Char(10) &amp; VLOOKUP(A1001,Internal_lists_bugs!$A$2:$Z$73,26,FALSE())),"please select a BUG ID")</f>
        <v>please select a BUG ID</v>
      </c>
      <c r="C1001" s="51" t="str">
        <f>IFERROR(VLOOKUP(A1001,Internal_lists_bugs!$A$2:$G2003,7,FALSE()),"please select a BUG ID")</f>
        <v>please select a BUG ID</v>
      </c>
      <c r="D1001" s="43"/>
      <c r="E1001" s="63"/>
      <c r="F1001" s="43"/>
      <c r="G1001" s="63"/>
      <c r="H1001" s="43"/>
      <c r="I1001" s="63"/>
      <c r="J1001" s="43"/>
      <c r="K1001" s="50"/>
      <c r="L1001" s="43"/>
      <c r="N1001" s="49"/>
      <c r="O1001" s="50"/>
      <c r="P1001" s="49"/>
      <c r="R1001" s="49"/>
      <c r="S1001" s="50"/>
      <c r="T1001" s="49"/>
      <c r="U1001" s="50"/>
      <c r="V1001" s="49"/>
      <c r="W1001" s="50"/>
      <c r="X1001" s="49"/>
      <c r="Y1001" s="50"/>
      <c r="Z1001" s="49"/>
      <c r="AA1001" s="50"/>
      <c r="AB1001" s="49"/>
      <c r="AC1001" s="50"/>
      <c r="AD1001" s="49"/>
      <c r="AE1001" s="50"/>
      <c r="AF1001" s="49"/>
      <c r="AG1001" s="50"/>
      <c r="AH1001" s="49"/>
      <c r="AI1001" s="50"/>
      <c r="AJ1001" s="49"/>
      <c r="AK1001" s="50"/>
      <c r="AL1001" s="49"/>
      <c r="AM1001" s="50"/>
      <c r="AN1001" s="46"/>
      <c r="AO1001" s="43"/>
      <c r="AP1001" s="46"/>
      <c r="AQ1001" s="43"/>
      <c r="AR1001" s="119"/>
      <c r="AS1001" s="1"/>
      <c r="AT1001" s="1"/>
    </row>
    <row r="1002">
      <c r="A1002" s="43"/>
      <c r="B1002" s="59" t="str">
        <f>IFERROR(HYPERLINK(VLOOKUP(A1002,Internal_lists_bugs!$A$2:$C$73,3,FALSE()), VLOOKUP(A1002,Internal_lists_bugs!$A$2:$C$73,3,FALSE())&amp;Char(10) &amp; Char(10) &amp; VLOOKUP(A1002,Internal_lists_bugs!$A$2:$Z$73,26,FALSE())),"please select a BUG ID")</f>
        <v>please select a BUG ID</v>
      </c>
      <c r="C1002" s="51" t="str">
        <f>IFERROR(VLOOKUP(A1002,Internal_lists_bugs!$A$2:$G2003,7,FALSE()),"please select a BUG ID")</f>
        <v>please select a BUG ID</v>
      </c>
      <c r="D1002" s="43"/>
      <c r="E1002" s="63"/>
      <c r="F1002" s="43"/>
      <c r="G1002" s="63"/>
      <c r="H1002" s="43"/>
      <c r="I1002" s="63"/>
      <c r="J1002" s="43"/>
      <c r="K1002" s="50"/>
      <c r="L1002" s="43"/>
      <c r="N1002" s="49"/>
      <c r="O1002" s="50"/>
      <c r="P1002" s="49"/>
      <c r="R1002" s="49"/>
      <c r="S1002" s="50"/>
      <c r="T1002" s="49"/>
      <c r="U1002" s="50"/>
      <c r="V1002" s="49"/>
      <c r="W1002" s="50"/>
      <c r="X1002" s="49"/>
      <c r="Y1002" s="50"/>
      <c r="Z1002" s="49"/>
      <c r="AA1002" s="50"/>
      <c r="AB1002" s="49"/>
      <c r="AC1002" s="50"/>
      <c r="AD1002" s="49"/>
      <c r="AE1002" s="50"/>
      <c r="AF1002" s="49"/>
      <c r="AG1002" s="50"/>
      <c r="AH1002" s="49"/>
      <c r="AI1002" s="50"/>
      <c r="AJ1002" s="49"/>
      <c r="AK1002" s="50"/>
      <c r="AL1002" s="49"/>
      <c r="AM1002" s="50"/>
      <c r="AN1002" s="46"/>
      <c r="AO1002" s="43"/>
      <c r="AP1002" s="46"/>
      <c r="AQ1002" s="43"/>
      <c r="AR1002" s="119"/>
      <c r="AS1002" s="1"/>
      <c r="AT1002" s="1"/>
    </row>
    <row r="1003">
      <c r="A1003" s="43"/>
      <c r="B1003" s="59" t="str">
        <f>IFERROR(HYPERLINK(VLOOKUP(A1003,Internal_lists_bugs!$A$2:$C$73,3,FALSE()), VLOOKUP(A1003,Internal_lists_bugs!$A$2:$C$73,3,FALSE())&amp;Char(10) &amp; Char(10) &amp; VLOOKUP(A1003,Internal_lists_bugs!$A$2:$Z$73,26,FALSE())),"please select a BUG ID")</f>
        <v>please select a BUG ID</v>
      </c>
      <c r="C1003" s="51" t="str">
        <f>IFERROR(VLOOKUP(A1003,Internal_lists_bugs!$A$2:$G2003,7,FALSE()),"please select a BUG ID")</f>
        <v>please select a BUG ID</v>
      </c>
      <c r="D1003" s="43"/>
      <c r="E1003" s="63"/>
      <c r="F1003" s="43"/>
      <c r="G1003" s="63"/>
      <c r="H1003" s="43"/>
      <c r="I1003" s="63"/>
      <c r="J1003" s="43"/>
      <c r="K1003" s="50"/>
      <c r="L1003" s="43"/>
      <c r="N1003" s="49"/>
      <c r="O1003" s="50"/>
      <c r="P1003" s="49"/>
      <c r="R1003" s="49"/>
      <c r="S1003" s="50"/>
      <c r="T1003" s="49"/>
      <c r="U1003" s="50"/>
      <c r="V1003" s="49"/>
      <c r="W1003" s="50"/>
      <c r="X1003" s="49"/>
      <c r="Y1003" s="50"/>
      <c r="Z1003" s="49"/>
      <c r="AA1003" s="50"/>
      <c r="AB1003" s="49"/>
      <c r="AC1003" s="50"/>
      <c r="AD1003" s="49"/>
      <c r="AE1003" s="50"/>
      <c r="AF1003" s="49"/>
      <c r="AG1003" s="50"/>
      <c r="AH1003" s="49"/>
      <c r="AI1003" s="50"/>
      <c r="AJ1003" s="49"/>
      <c r="AK1003" s="50"/>
      <c r="AL1003" s="49"/>
      <c r="AM1003" s="50"/>
      <c r="AN1003" s="46"/>
      <c r="AO1003" s="43"/>
      <c r="AP1003" s="46"/>
      <c r="AQ1003" s="43"/>
      <c r="AR1003" s="119"/>
      <c r="AS1003" s="1"/>
      <c r="AT1003" s="1"/>
    </row>
    <row r="1004">
      <c r="A1004" s="43"/>
      <c r="B1004" s="59" t="str">
        <f>IFERROR(HYPERLINK(VLOOKUP(A1004,Internal_lists_bugs!$A$2:$C$73,3,FALSE()), VLOOKUP(A1004,Internal_lists_bugs!$A$2:$C$73,3,FALSE())&amp;Char(10) &amp; Char(10) &amp; VLOOKUP(A1004,Internal_lists_bugs!$A$2:$Z$73,26,FALSE())),"please select a BUG ID")</f>
        <v>please select a BUG ID</v>
      </c>
      <c r="C1004" s="51" t="str">
        <f>IFERROR(VLOOKUP(A1004,Internal_lists_bugs!$A$2:$G2003,7,FALSE()),"please select a BUG ID")</f>
        <v>please select a BUG ID</v>
      </c>
      <c r="D1004" s="43"/>
      <c r="E1004" s="63"/>
      <c r="F1004" s="43"/>
      <c r="G1004" s="63"/>
      <c r="H1004" s="43"/>
      <c r="I1004" s="63"/>
      <c r="J1004" s="43"/>
      <c r="K1004" s="50"/>
      <c r="L1004" s="43"/>
      <c r="N1004" s="49"/>
      <c r="O1004" s="50"/>
      <c r="P1004" s="49"/>
      <c r="R1004" s="49"/>
      <c r="S1004" s="50"/>
      <c r="T1004" s="49"/>
      <c r="U1004" s="50"/>
      <c r="V1004" s="49"/>
      <c r="W1004" s="50"/>
      <c r="X1004" s="49"/>
      <c r="Y1004" s="50"/>
      <c r="Z1004" s="49"/>
      <c r="AA1004" s="50"/>
      <c r="AB1004" s="49"/>
      <c r="AC1004" s="50"/>
      <c r="AD1004" s="49"/>
      <c r="AE1004" s="50"/>
      <c r="AF1004" s="49"/>
      <c r="AG1004" s="50"/>
      <c r="AH1004" s="49"/>
      <c r="AI1004" s="50"/>
      <c r="AJ1004" s="49"/>
      <c r="AK1004" s="50"/>
      <c r="AL1004" s="49"/>
      <c r="AM1004" s="50"/>
      <c r="AN1004" s="46"/>
      <c r="AO1004" s="43"/>
      <c r="AP1004" s="46"/>
      <c r="AQ1004" s="43"/>
      <c r="AR1004" s="119"/>
      <c r="AS1004" s="1"/>
      <c r="AT1004" s="1"/>
    </row>
    <row r="1005">
      <c r="A1005" s="43"/>
      <c r="B1005" s="59" t="str">
        <f>IFERROR(HYPERLINK(VLOOKUP(A1005,Internal_lists_bugs!$A$2:$C$73,3,FALSE()), VLOOKUP(A1005,Internal_lists_bugs!$A$2:$C$73,3,FALSE())&amp;Char(10) &amp; Char(10) &amp; VLOOKUP(A1005,Internal_lists_bugs!$A$2:$Z$73,26,FALSE())),"please select a BUG ID")</f>
        <v>please select a BUG ID</v>
      </c>
      <c r="C1005" s="51" t="str">
        <f>IFERROR(VLOOKUP(A1005,Internal_lists_bugs!$A$2:$G2003,7,FALSE()),"please select a BUG ID")</f>
        <v>please select a BUG ID</v>
      </c>
      <c r="D1005" s="43"/>
      <c r="E1005" s="63"/>
      <c r="F1005" s="43"/>
      <c r="G1005" s="63"/>
      <c r="H1005" s="43"/>
      <c r="I1005" s="63"/>
      <c r="J1005" s="43"/>
      <c r="K1005" s="50"/>
      <c r="L1005" s="43"/>
      <c r="N1005" s="49"/>
      <c r="O1005" s="50"/>
      <c r="P1005" s="49"/>
      <c r="R1005" s="49"/>
      <c r="S1005" s="50"/>
      <c r="T1005" s="49"/>
      <c r="U1005" s="50"/>
      <c r="V1005" s="49"/>
      <c r="W1005" s="50"/>
      <c r="X1005" s="49"/>
      <c r="Y1005" s="50"/>
      <c r="Z1005" s="49"/>
      <c r="AA1005" s="50"/>
      <c r="AB1005" s="49"/>
      <c r="AC1005" s="50"/>
      <c r="AD1005" s="49"/>
      <c r="AE1005" s="50"/>
      <c r="AF1005" s="49"/>
      <c r="AG1005" s="50"/>
      <c r="AH1005" s="49"/>
      <c r="AI1005" s="50"/>
      <c r="AJ1005" s="49"/>
      <c r="AK1005" s="50"/>
      <c r="AL1005" s="49"/>
      <c r="AM1005" s="50"/>
      <c r="AN1005" s="46"/>
      <c r="AO1005" s="43"/>
      <c r="AP1005" s="46"/>
      <c r="AQ1005" s="43"/>
      <c r="AR1005" s="119"/>
      <c r="AS1005" s="1"/>
      <c r="AT1005" s="1"/>
    </row>
    <row r="1006">
      <c r="A1006" s="43"/>
      <c r="B1006" s="59" t="str">
        <f>IFERROR(HYPERLINK(VLOOKUP(A1006,Internal_lists_bugs!$A$2:$C$73,3,FALSE()), VLOOKUP(A1006,Internal_lists_bugs!$A$2:$C$73,3,FALSE())&amp;Char(10) &amp; Char(10) &amp; VLOOKUP(A1006,Internal_lists_bugs!$A$2:$Z$73,26,FALSE())),"please select a BUG ID")</f>
        <v>please select a BUG ID</v>
      </c>
      <c r="C1006" s="51" t="str">
        <f>IFERROR(VLOOKUP(A1006,Internal_lists_bugs!$A$2:$G2003,7,FALSE()),"please select a BUG ID")</f>
        <v>please select a BUG ID</v>
      </c>
      <c r="D1006" s="43"/>
      <c r="E1006" s="63"/>
      <c r="F1006" s="43"/>
      <c r="G1006" s="63"/>
      <c r="H1006" s="43"/>
      <c r="I1006" s="63"/>
      <c r="J1006" s="43"/>
      <c r="K1006" s="50"/>
      <c r="L1006" s="43"/>
      <c r="N1006" s="49"/>
      <c r="O1006" s="50"/>
      <c r="P1006" s="49"/>
      <c r="R1006" s="49"/>
      <c r="S1006" s="50"/>
      <c r="T1006" s="49"/>
      <c r="U1006" s="50"/>
      <c r="V1006" s="49"/>
      <c r="W1006" s="50"/>
      <c r="X1006" s="49"/>
      <c r="Y1006" s="50"/>
      <c r="Z1006" s="49"/>
      <c r="AA1006" s="50"/>
      <c r="AB1006" s="49"/>
      <c r="AC1006" s="50"/>
      <c r="AD1006" s="49"/>
      <c r="AE1006" s="50"/>
      <c r="AF1006" s="49"/>
      <c r="AG1006" s="50"/>
      <c r="AH1006" s="49"/>
      <c r="AI1006" s="50"/>
      <c r="AJ1006" s="49"/>
      <c r="AK1006" s="50"/>
      <c r="AL1006" s="49"/>
      <c r="AM1006" s="50"/>
      <c r="AN1006" s="46"/>
      <c r="AO1006" s="43"/>
      <c r="AP1006" s="46"/>
      <c r="AQ1006" s="43"/>
      <c r="AR1006" s="119"/>
      <c r="AS1006" s="1"/>
      <c r="AT1006" s="1"/>
    </row>
    <row r="1007">
      <c r="A1007" s="43"/>
      <c r="B1007" s="59" t="str">
        <f>IFERROR(HYPERLINK(VLOOKUP(A1007,Internal_lists_bugs!$A$2:$C$73,3,FALSE()), VLOOKUP(A1007,Internal_lists_bugs!$A$2:$C$73,3,FALSE())&amp;Char(10) &amp; Char(10) &amp; VLOOKUP(A1007,Internal_lists_bugs!$A$2:$Z$73,26,FALSE())),"please select a BUG ID")</f>
        <v>please select a BUG ID</v>
      </c>
      <c r="C1007" s="51" t="str">
        <f>IFERROR(VLOOKUP(A1007,Internal_lists_bugs!$A$2:$G2003,7,FALSE()),"please select a BUG ID")</f>
        <v>please select a BUG ID</v>
      </c>
      <c r="D1007" s="43"/>
      <c r="E1007" s="63"/>
      <c r="F1007" s="43"/>
      <c r="G1007" s="63"/>
      <c r="H1007" s="43"/>
      <c r="I1007" s="63"/>
      <c r="J1007" s="43"/>
      <c r="K1007" s="50"/>
      <c r="L1007" s="43"/>
      <c r="N1007" s="49"/>
      <c r="O1007" s="50"/>
      <c r="P1007" s="49"/>
      <c r="R1007" s="49"/>
      <c r="S1007" s="50"/>
      <c r="T1007" s="49"/>
      <c r="U1007" s="50"/>
      <c r="V1007" s="49"/>
      <c r="W1007" s="50"/>
      <c r="X1007" s="49"/>
      <c r="Y1007" s="50"/>
      <c r="Z1007" s="49"/>
      <c r="AA1007" s="50"/>
      <c r="AB1007" s="49"/>
      <c r="AC1007" s="50"/>
      <c r="AD1007" s="49"/>
      <c r="AE1007" s="50"/>
      <c r="AF1007" s="49"/>
      <c r="AG1007" s="50"/>
      <c r="AH1007" s="49"/>
      <c r="AI1007" s="50"/>
      <c r="AJ1007" s="49"/>
      <c r="AK1007" s="50"/>
      <c r="AL1007" s="49"/>
      <c r="AM1007" s="50"/>
      <c r="AN1007" s="46"/>
      <c r="AO1007" s="43"/>
      <c r="AP1007" s="46"/>
      <c r="AQ1007" s="43"/>
      <c r="AR1007" s="119"/>
      <c r="AS1007" s="1"/>
      <c r="AT1007" s="1"/>
    </row>
    <row r="1008">
      <c r="A1008" s="43"/>
      <c r="B1008" s="59" t="str">
        <f>IFERROR(HYPERLINK(VLOOKUP(A1008,Internal_lists_bugs!$A$2:$C$73,3,FALSE()), VLOOKUP(A1008,Internal_lists_bugs!$A$2:$C$73,3,FALSE())&amp;Char(10) &amp; Char(10) &amp; VLOOKUP(A1008,Internal_lists_bugs!$A$2:$Z$73,26,FALSE())),"please select a BUG ID")</f>
        <v>please select a BUG ID</v>
      </c>
      <c r="C1008" s="51" t="str">
        <f>IFERROR(VLOOKUP(A1008,Internal_lists_bugs!$A$2:$G2003,7,FALSE()),"please select a BUG ID")</f>
        <v>please select a BUG ID</v>
      </c>
      <c r="D1008" s="43"/>
      <c r="E1008" s="63"/>
      <c r="F1008" s="43"/>
      <c r="G1008" s="63"/>
      <c r="H1008" s="43"/>
      <c r="I1008" s="63"/>
      <c r="J1008" s="43"/>
      <c r="K1008" s="50"/>
      <c r="L1008" s="43"/>
      <c r="N1008" s="49"/>
      <c r="O1008" s="50"/>
      <c r="P1008" s="49"/>
      <c r="R1008" s="49"/>
      <c r="S1008" s="50"/>
      <c r="T1008" s="49"/>
      <c r="U1008" s="50"/>
      <c r="V1008" s="49"/>
      <c r="W1008" s="50"/>
      <c r="X1008" s="49"/>
      <c r="Y1008" s="50"/>
      <c r="Z1008" s="49"/>
      <c r="AA1008" s="50"/>
      <c r="AB1008" s="49"/>
      <c r="AC1008" s="50"/>
      <c r="AD1008" s="49"/>
      <c r="AE1008" s="50"/>
      <c r="AF1008" s="49"/>
      <c r="AG1008" s="50"/>
      <c r="AH1008" s="49"/>
      <c r="AI1008" s="50"/>
      <c r="AJ1008" s="49"/>
      <c r="AK1008" s="50"/>
      <c r="AL1008" s="49"/>
      <c r="AM1008" s="50"/>
      <c r="AN1008" s="46"/>
      <c r="AO1008" s="43"/>
      <c r="AP1008" s="46"/>
      <c r="AQ1008" s="43"/>
      <c r="AR1008" s="119"/>
      <c r="AS1008" s="1"/>
      <c r="AT1008" s="1"/>
    </row>
    <row r="1009">
      <c r="A1009" s="43"/>
      <c r="B1009" s="59" t="str">
        <f>IFERROR(HYPERLINK(VLOOKUP(A1009,Internal_lists_bugs!$A$2:$C$73,3,FALSE()), VLOOKUP(A1009,Internal_lists_bugs!$A$2:$C$73,3,FALSE())&amp;Char(10) &amp; Char(10) &amp; VLOOKUP(A1009,Internal_lists_bugs!$A$2:$Z$73,26,FALSE())),"please select a BUG ID")</f>
        <v>please select a BUG ID</v>
      </c>
      <c r="C1009" s="51" t="str">
        <f>IFERROR(VLOOKUP(A1009,Internal_lists_bugs!$A$2:$G2003,7,FALSE()),"please select a BUG ID")</f>
        <v>please select a BUG ID</v>
      </c>
      <c r="D1009" s="43"/>
      <c r="E1009" s="63"/>
      <c r="F1009" s="43"/>
      <c r="G1009" s="63"/>
      <c r="H1009" s="43"/>
      <c r="I1009" s="63"/>
      <c r="J1009" s="43"/>
      <c r="K1009" s="50"/>
      <c r="L1009" s="43"/>
      <c r="N1009" s="49"/>
      <c r="O1009" s="50"/>
      <c r="P1009" s="49"/>
      <c r="R1009" s="49"/>
      <c r="S1009" s="50"/>
      <c r="T1009" s="43"/>
      <c r="U1009" s="50"/>
      <c r="V1009" s="49"/>
      <c r="W1009" s="50"/>
      <c r="X1009" s="49"/>
      <c r="Y1009" s="50"/>
      <c r="Z1009" s="49"/>
      <c r="AA1009" s="50"/>
      <c r="AB1009" s="49"/>
      <c r="AC1009" s="50"/>
      <c r="AD1009" s="49"/>
      <c r="AE1009" s="50"/>
      <c r="AF1009" s="49"/>
      <c r="AG1009" s="50"/>
      <c r="AH1009" s="49"/>
      <c r="AI1009" s="50"/>
      <c r="AJ1009" s="49"/>
      <c r="AK1009" s="50"/>
      <c r="AL1009" s="49"/>
      <c r="AM1009" s="50"/>
      <c r="AO1009" s="43"/>
      <c r="AP1009" s="46"/>
      <c r="AQ1009" s="43"/>
      <c r="AR1009" s="119"/>
      <c r="AS1009" s="1"/>
      <c r="AT1009" s="1"/>
    </row>
    <row r="1010">
      <c r="A1010" s="43"/>
      <c r="B1010" s="59"/>
      <c r="C1010" s="51"/>
      <c r="D1010" s="43"/>
      <c r="E1010" s="85"/>
      <c r="F1010" s="43"/>
      <c r="G1010" s="85"/>
      <c r="H1010" s="43"/>
      <c r="I1010" s="85"/>
      <c r="J1010" s="43"/>
      <c r="L1010" s="43"/>
      <c r="N1010" s="43"/>
      <c r="P1010" s="43"/>
      <c r="R1010" s="43"/>
      <c r="T1010" s="43"/>
      <c r="V1010" s="43"/>
      <c r="X1010" s="43"/>
      <c r="Z1010" s="43"/>
      <c r="AB1010" s="43"/>
      <c r="AD1010" s="43"/>
      <c r="AF1010" s="43"/>
      <c r="AH1010" s="43"/>
      <c r="AJ1010" s="43"/>
      <c r="AL1010" s="43"/>
      <c r="AO1010" s="43"/>
      <c r="AP1010" s="1"/>
      <c r="AQ1010" s="43"/>
      <c r="AR1010" s="123"/>
      <c r="AS1010" s="1"/>
      <c r="AT1010" s="1"/>
    </row>
    <row r="1011">
      <c r="A1011" s="43"/>
      <c r="B1011" s="59"/>
      <c r="C1011" s="51"/>
      <c r="D1011" s="43"/>
      <c r="E1011" s="85"/>
      <c r="F1011" s="43"/>
      <c r="G1011" s="85"/>
      <c r="H1011" s="43"/>
      <c r="I1011" s="85"/>
      <c r="J1011" s="43"/>
      <c r="L1011" s="43"/>
      <c r="N1011" s="43"/>
      <c r="P1011" s="43"/>
      <c r="R1011" s="43"/>
      <c r="T1011" s="43"/>
      <c r="V1011" s="43"/>
      <c r="X1011" s="43"/>
      <c r="Z1011" s="43"/>
      <c r="AB1011" s="43"/>
      <c r="AD1011" s="43"/>
      <c r="AF1011" s="43"/>
      <c r="AH1011" s="43"/>
      <c r="AJ1011" s="43"/>
      <c r="AL1011" s="43"/>
      <c r="AO1011" s="43"/>
      <c r="AP1011" s="1"/>
      <c r="AQ1011" s="43"/>
      <c r="AR1011" s="123"/>
      <c r="AS1011" s="1"/>
      <c r="AT1011" s="1"/>
    </row>
    <row r="1012">
      <c r="A1012" s="43"/>
      <c r="B1012" s="59"/>
      <c r="C1012" s="51"/>
      <c r="D1012" s="43"/>
      <c r="E1012" s="85"/>
      <c r="F1012" s="43"/>
      <c r="G1012" s="85"/>
      <c r="H1012" s="43"/>
      <c r="I1012" s="85"/>
      <c r="J1012" s="43"/>
      <c r="L1012" s="43"/>
      <c r="N1012" s="43"/>
      <c r="P1012" s="43"/>
      <c r="R1012" s="43"/>
      <c r="T1012" s="43"/>
      <c r="V1012" s="43"/>
      <c r="X1012" s="43"/>
      <c r="Z1012" s="43"/>
      <c r="AB1012" s="43"/>
      <c r="AD1012" s="43"/>
      <c r="AF1012" s="43"/>
      <c r="AH1012" s="43"/>
      <c r="AJ1012" s="43"/>
      <c r="AL1012" s="43"/>
      <c r="AO1012" s="43"/>
      <c r="AP1012" s="1"/>
      <c r="AQ1012" s="43"/>
      <c r="AR1012" s="123"/>
      <c r="AS1012" s="1"/>
      <c r="AT1012" s="1"/>
    </row>
    <row r="1013">
      <c r="A1013" s="43"/>
      <c r="B1013" s="59"/>
      <c r="C1013" s="51"/>
      <c r="D1013" s="43"/>
      <c r="E1013" s="85"/>
      <c r="F1013" s="43"/>
      <c r="G1013" s="85"/>
      <c r="H1013" s="43"/>
      <c r="I1013" s="85"/>
      <c r="J1013" s="43"/>
      <c r="L1013" s="43"/>
      <c r="N1013" s="43"/>
      <c r="P1013" s="43"/>
      <c r="R1013" s="43"/>
      <c r="T1013" s="43"/>
      <c r="V1013" s="43"/>
      <c r="X1013" s="43"/>
      <c r="Z1013" s="43"/>
      <c r="AB1013" s="43"/>
      <c r="AD1013" s="43"/>
      <c r="AF1013" s="43"/>
      <c r="AH1013" s="43"/>
      <c r="AJ1013" s="43"/>
      <c r="AL1013" s="43"/>
      <c r="AO1013" s="43"/>
      <c r="AP1013" s="1"/>
      <c r="AQ1013" s="43"/>
      <c r="AR1013" s="123"/>
      <c r="AS1013" s="1"/>
      <c r="AT1013" s="1"/>
    </row>
    <row r="1014">
      <c r="A1014" s="43"/>
      <c r="B1014" s="59"/>
      <c r="C1014" s="51"/>
      <c r="D1014" s="43"/>
      <c r="E1014" s="85"/>
      <c r="F1014" s="43"/>
      <c r="G1014" s="85"/>
      <c r="H1014" s="43"/>
      <c r="I1014" s="85"/>
      <c r="J1014" s="43"/>
      <c r="L1014" s="43"/>
      <c r="N1014" s="43"/>
      <c r="P1014" s="43"/>
      <c r="R1014" s="43"/>
      <c r="T1014" s="43"/>
      <c r="V1014" s="43"/>
      <c r="X1014" s="43"/>
      <c r="Z1014" s="43"/>
      <c r="AB1014" s="43"/>
      <c r="AD1014" s="43"/>
      <c r="AF1014" s="43"/>
      <c r="AH1014" s="43"/>
      <c r="AJ1014" s="43"/>
      <c r="AL1014" s="43"/>
      <c r="AO1014" s="43"/>
      <c r="AP1014" s="1"/>
      <c r="AQ1014" s="43"/>
      <c r="AR1014" s="123"/>
      <c r="AS1014" s="1"/>
      <c r="AT1014" s="1"/>
    </row>
    <row r="1015">
      <c r="A1015" s="43"/>
      <c r="B1015" s="59"/>
      <c r="C1015" s="51"/>
      <c r="D1015" s="43"/>
      <c r="E1015" s="85"/>
      <c r="F1015" s="43"/>
      <c r="G1015" s="85"/>
      <c r="H1015" s="43"/>
      <c r="I1015" s="85"/>
      <c r="J1015" s="43"/>
      <c r="L1015" s="43"/>
      <c r="N1015" s="43"/>
      <c r="P1015" s="43"/>
      <c r="R1015" s="43"/>
      <c r="T1015" s="43"/>
      <c r="V1015" s="43"/>
      <c r="X1015" s="43"/>
      <c r="Z1015" s="43"/>
      <c r="AB1015" s="43"/>
      <c r="AD1015" s="43"/>
      <c r="AF1015" s="43"/>
      <c r="AH1015" s="43"/>
      <c r="AJ1015" s="43"/>
      <c r="AL1015" s="43"/>
      <c r="AO1015" s="43"/>
      <c r="AP1015" s="1"/>
      <c r="AQ1015" s="43"/>
      <c r="AR1015" s="123"/>
      <c r="AS1015" s="1"/>
      <c r="AT1015" s="1"/>
    </row>
    <row r="1016">
      <c r="A1016" s="43"/>
      <c r="B1016" s="59"/>
      <c r="C1016" s="51"/>
      <c r="D1016" s="43"/>
      <c r="E1016" s="85"/>
      <c r="F1016" s="43"/>
      <c r="G1016" s="85"/>
      <c r="H1016" s="43"/>
      <c r="I1016" s="85"/>
      <c r="J1016" s="43"/>
      <c r="L1016" s="43"/>
      <c r="N1016" s="43"/>
      <c r="P1016" s="43"/>
      <c r="R1016" s="43"/>
      <c r="T1016" s="43"/>
      <c r="V1016" s="43"/>
      <c r="X1016" s="43"/>
      <c r="Z1016" s="43"/>
      <c r="AB1016" s="43"/>
      <c r="AD1016" s="43"/>
      <c r="AF1016" s="43"/>
      <c r="AH1016" s="43"/>
      <c r="AJ1016" s="43"/>
      <c r="AL1016" s="43"/>
      <c r="AO1016" s="43"/>
      <c r="AP1016" s="1"/>
      <c r="AQ1016" s="43"/>
      <c r="AR1016" s="123"/>
      <c r="AS1016" s="1"/>
      <c r="AT1016" s="1"/>
    </row>
    <row r="1017">
      <c r="A1017" s="43"/>
      <c r="B1017" s="59"/>
      <c r="C1017" s="51"/>
      <c r="D1017" s="43"/>
      <c r="E1017" s="85"/>
      <c r="F1017" s="43"/>
      <c r="G1017" s="85"/>
      <c r="H1017" s="43"/>
      <c r="I1017" s="85"/>
      <c r="J1017" s="43"/>
      <c r="L1017" s="43"/>
      <c r="N1017" s="43"/>
      <c r="P1017" s="43"/>
      <c r="R1017" s="43"/>
      <c r="T1017" s="43"/>
      <c r="V1017" s="43"/>
      <c r="X1017" s="43"/>
      <c r="Z1017" s="43"/>
      <c r="AB1017" s="43"/>
      <c r="AD1017" s="43"/>
      <c r="AF1017" s="43"/>
      <c r="AH1017" s="43"/>
      <c r="AJ1017" s="43"/>
      <c r="AL1017" s="43"/>
      <c r="AO1017" s="43"/>
      <c r="AP1017" s="1"/>
      <c r="AQ1017" s="43"/>
      <c r="AR1017" s="123"/>
      <c r="AS1017" s="1"/>
      <c r="AT1017" s="1"/>
    </row>
    <row r="1018">
      <c r="A1018" s="43"/>
      <c r="B1018" s="59"/>
      <c r="C1018" s="51"/>
      <c r="D1018" s="43"/>
      <c r="E1018" s="85"/>
      <c r="F1018" s="43"/>
      <c r="G1018" s="85"/>
      <c r="H1018" s="43"/>
      <c r="I1018" s="85"/>
      <c r="J1018" s="43"/>
      <c r="L1018" s="43"/>
      <c r="N1018" s="43"/>
      <c r="P1018" s="43"/>
      <c r="R1018" s="43"/>
      <c r="T1018" s="43"/>
      <c r="V1018" s="43"/>
      <c r="X1018" s="43"/>
      <c r="Z1018" s="43"/>
      <c r="AB1018" s="43"/>
      <c r="AD1018" s="43"/>
      <c r="AF1018" s="43"/>
      <c r="AH1018" s="43"/>
      <c r="AJ1018" s="43"/>
      <c r="AL1018" s="43"/>
      <c r="AO1018" s="43"/>
      <c r="AP1018" s="1"/>
      <c r="AQ1018" s="43"/>
      <c r="AR1018" s="123"/>
      <c r="AS1018" s="1"/>
      <c r="AT1018" s="1"/>
    </row>
    <row r="1019">
      <c r="A1019" s="43"/>
      <c r="B1019" s="59"/>
      <c r="C1019" s="51"/>
      <c r="D1019" s="43"/>
      <c r="E1019" s="85"/>
      <c r="F1019" s="43"/>
      <c r="G1019" s="85"/>
      <c r="H1019" s="43"/>
      <c r="I1019" s="85"/>
      <c r="J1019" s="43"/>
      <c r="L1019" s="43"/>
      <c r="N1019" s="43"/>
      <c r="P1019" s="43"/>
      <c r="R1019" s="43"/>
      <c r="T1019" s="43"/>
      <c r="V1019" s="43"/>
      <c r="X1019" s="43"/>
      <c r="Z1019" s="43"/>
      <c r="AB1019" s="43"/>
      <c r="AD1019" s="43"/>
      <c r="AF1019" s="43"/>
      <c r="AH1019" s="43"/>
      <c r="AJ1019" s="43"/>
      <c r="AL1019" s="43"/>
      <c r="AO1019" s="43"/>
      <c r="AP1019" s="1"/>
      <c r="AQ1019" s="43"/>
      <c r="AR1019" s="123"/>
      <c r="AS1019" s="1"/>
      <c r="AT1019" s="1"/>
    </row>
    <row r="1020">
      <c r="A1020" s="43"/>
      <c r="B1020" s="59"/>
      <c r="C1020" s="51"/>
      <c r="D1020" s="43"/>
      <c r="E1020" s="85"/>
      <c r="F1020" s="43"/>
      <c r="G1020" s="85"/>
      <c r="H1020" s="43"/>
      <c r="I1020" s="85"/>
      <c r="J1020" s="43"/>
      <c r="L1020" s="43"/>
      <c r="N1020" s="43"/>
      <c r="P1020" s="43"/>
      <c r="R1020" s="43"/>
      <c r="T1020" s="43"/>
      <c r="V1020" s="43"/>
      <c r="X1020" s="43"/>
      <c r="Z1020" s="43"/>
      <c r="AB1020" s="43"/>
      <c r="AD1020" s="43"/>
      <c r="AF1020" s="43"/>
      <c r="AH1020" s="43"/>
      <c r="AJ1020" s="43"/>
      <c r="AL1020" s="43"/>
      <c r="AO1020" s="43"/>
      <c r="AP1020" s="1"/>
      <c r="AQ1020" s="43"/>
      <c r="AR1020" s="123"/>
      <c r="AS1020" s="1"/>
      <c r="AT1020" s="1"/>
    </row>
    <row r="1021">
      <c r="A1021" s="43"/>
      <c r="B1021" s="59"/>
      <c r="C1021" s="51"/>
      <c r="D1021" s="43"/>
      <c r="E1021" s="85"/>
      <c r="F1021" s="43"/>
      <c r="G1021" s="85"/>
      <c r="H1021" s="43"/>
      <c r="I1021" s="85"/>
      <c r="J1021" s="43"/>
      <c r="L1021" s="43"/>
      <c r="N1021" s="43"/>
      <c r="P1021" s="43"/>
      <c r="R1021" s="43"/>
      <c r="T1021" s="43"/>
      <c r="V1021" s="43"/>
      <c r="X1021" s="43"/>
      <c r="Z1021" s="43"/>
      <c r="AB1021" s="43"/>
      <c r="AD1021" s="43"/>
      <c r="AF1021" s="43"/>
      <c r="AH1021" s="43"/>
      <c r="AJ1021" s="43"/>
      <c r="AL1021" s="43"/>
      <c r="AO1021" s="43"/>
      <c r="AP1021" s="1"/>
      <c r="AQ1021" s="43"/>
      <c r="AR1021" s="123"/>
      <c r="AS1021" s="1"/>
      <c r="AT1021" s="1"/>
    </row>
    <row r="1022">
      <c r="A1022" s="43"/>
      <c r="B1022" s="59"/>
      <c r="C1022" s="51"/>
      <c r="D1022" s="43"/>
      <c r="E1022" s="85"/>
      <c r="F1022" s="43"/>
      <c r="G1022" s="85"/>
      <c r="H1022" s="43"/>
      <c r="I1022" s="85"/>
      <c r="J1022" s="43"/>
      <c r="L1022" s="43"/>
      <c r="N1022" s="43"/>
      <c r="P1022" s="43"/>
      <c r="R1022" s="43"/>
      <c r="T1022" s="43"/>
      <c r="V1022" s="43"/>
      <c r="X1022" s="43"/>
      <c r="Z1022" s="43"/>
      <c r="AB1022" s="43"/>
      <c r="AD1022" s="43"/>
      <c r="AF1022" s="43"/>
      <c r="AH1022" s="43"/>
      <c r="AJ1022" s="43"/>
      <c r="AL1022" s="43"/>
      <c r="AO1022" s="43"/>
      <c r="AP1022" s="1"/>
      <c r="AQ1022" s="43"/>
      <c r="AR1022" s="123"/>
      <c r="AS1022" s="1"/>
      <c r="AT1022" s="1"/>
    </row>
    <row r="1023">
      <c r="A1023" s="43"/>
      <c r="B1023" s="59"/>
      <c r="C1023" s="51"/>
      <c r="D1023" s="43"/>
      <c r="E1023" s="85"/>
      <c r="F1023" s="43"/>
      <c r="G1023" s="85"/>
      <c r="H1023" s="43"/>
      <c r="I1023" s="85"/>
      <c r="J1023" s="43"/>
      <c r="L1023" s="43"/>
      <c r="N1023" s="43"/>
      <c r="P1023" s="43"/>
      <c r="R1023" s="43"/>
      <c r="T1023" s="43"/>
      <c r="V1023" s="43"/>
      <c r="X1023" s="43"/>
      <c r="Z1023" s="43"/>
      <c r="AB1023" s="43"/>
      <c r="AD1023" s="43"/>
      <c r="AF1023" s="43"/>
      <c r="AH1023" s="43"/>
      <c r="AJ1023" s="43"/>
      <c r="AL1023" s="43"/>
      <c r="AO1023" s="43"/>
      <c r="AP1023" s="1"/>
      <c r="AQ1023" s="43"/>
      <c r="AR1023" s="123"/>
      <c r="AS1023" s="1"/>
      <c r="AT1023" s="1"/>
    </row>
    <row r="1024">
      <c r="A1024" s="43"/>
      <c r="B1024" s="59"/>
      <c r="C1024" s="51"/>
      <c r="D1024" s="43"/>
      <c r="E1024" s="85"/>
      <c r="F1024" s="43"/>
      <c r="G1024" s="85"/>
      <c r="H1024" s="43"/>
      <c r="I1024" s="85"/>
      <c r="J1024" s="43"/>
      <c r="L1024" s="43"/>
      <c r="N1024" s="43"/>
      <c r="P1024" s="43"/>
      <c r="R1024" s="43"/>
      <c r="T1024" s="43"/>
      <c r="V1024" s="43"/>
      <c r="X1024" s="43"/>
      <c r="Z1024" s="43"/>
      <c r="AB1024" s="43"/>
      <c r="AD1024" s="43"/>
      <c r="AF1024" s="43"/>
      <c r="AH1024" s="43"/>
      <c r="AJ1024" s="43"/>
      <c r="AL1024" s="43"/>
      <c r="AO1024" s="43"/>
      <c r="AP1024" s="1"/>
      <c r="AQ1024" s="43"/>
      <c r="AR1024" s="123"/>
      <c r="AS1024" s="1"/>
      <c r="AT1024" s="1"/>
    </row>
    <row r="1025">
      <c r="A1025" s="43"/>
      <c r="B1025" s="59"/>
      <c r="C1025" s="51"/>
      <c r="D1025" s="43"/>
      <c r="E1025" s="85"/>
      <c r="F1025" s="43"/>
      <c r="G1025" s="85"/>
      <c r="H1025" s="43"/>
      <c r="I1025" s="85"/>
      <c r="J1025" s="43"/>
      <c r="L1025" s="43"/>
      <c r="N1025" s="43"/>
      <c r="P1025" s="43"/>
      <c r="R1025" s="43"/>
      <c r="T1025" s="43"/>
      <c r="V1025" s="43"/>
      <c r="X1025" s="43"/>
      <c r="Z1025" s="43"/>
      <c r="AB1025" s="43"/>
      <c r="AD1025" s="43"/>
      <c r="AF1025" s="43"/>
      <c r="AH1025" s="43"/>
      <c r="AJ1025" s="43"/>
      <c r="AL1025" s="43"/>
      <c r="AO1025" s="43"/>
      <c r="AP1025" s="1"/>
      <c r="AQ1025" s="43"/>
      <c r="AR1025" s="123"/>
      <c r="AS1025" s="1"/>
      <c r="AT1025" s="1"/>
    </row>
    <row r="1026">
      <c r="A1026" s="43"/>
      <c r="B1026" s="59"/>
      <c r="C1026" s="51"/>
      <c r="D1026" s="43"/>
      <c r="E1026" s="85"/>
      <c r="F1026" s="43"/>
      <c r="G1026" s="85"/>
      <c r="H1026" s="43"/>
      <c r="I1026" s="85"/>
      <c r="J1026" s="43"/>
      <c r="L1026" s="43"/>
      <c r="N1026" s="43"/>
      <c r="P1026" s="43"/>
      <c r="R1026" s="43"/>
      <c r="T1026" s="43"/>
      <c r="V1026" s="43"/>
      <c r="X1026" s="43"/>
      <c r="Z1026" s="43"/>
      <c r="AB1026" s="43"/>
      <c r="AD1026" s="43"/>
      <c r="AF1026" s="43"/>
      <c r="AH1026" s="43"/>
      <c r="AJ1026" s="43"/>
      <c r="AL1026" s="43"/>
      <c r="AO1026" s="43"/>
      <c r="AP1026" s="1"/>
      <c r="AQ1026" s="43"/>
      <c r="AR1026" s="123"/>
      <c r="AS1026" s="1"/>
      <c r="AT1026" s="1"/>
    </row>
    <row r="1027">
      <c r="A1027" s="43"/>
      <c r="B1027" s="59"/>
      <c r="C1027" s="51"/>
      <c r="D1027" s="43"/>
      <c r="E1027" s="85"/>
      <c r="F1027" s="43"/>
      <c r="G1027" s="85"/>
      <c r="H1027" s="43"/>
      <c r="I1027" s="85"/>
      <c r="J1027" s="43"/>
      <c r="L1027" s="43"/>
      <c r="N1027" s="43"/>
      <c r="P1027" s="43"/>
      <c r="R1027" s="43"/>
      <c r="T1027" s="43"/>
      <c r="V1027" s="43"/>
      <c r="X1027" s="43"/>
      <c r="Z1027" s="43"/>
      <c r="AB1027" s="43"/>
      <c r="AD1027" s="43"/>
      <c r="AF1027" s="43"/>
      <c r="AH1027" s="43"/>
      <c r="AJ1027" s="43"/>
      <c r="AL1027" s="43"/>
      <c r="AO1027" s="43"/>
      <c r="AP1027" s="1"/>
      <c r="AQ1027" s="43"/>
      <c r="AR1027" s="123"/>
      <c r="AS1027" s="1"/>
      <c r="AT1027" s="1"/>
    </row>
    <row r="1028">
      <c r="A1028" s="43"/>
      <c r="B1028" s="59"/>
      <c r="C1028" s="51"/>
      <c r="D1028" s="43"/>
      <c r="E1028" s="85"/>
      <c r="F1028" s="43"/>
      <c r="G1028" s="85"/>
      <c r="H1028" s="43"/>
      <c r="I1028" s="85"/>
      <c r="J1028" s="43"/>
      <c r="L1028" s="43"/>
      <c r="N1028" s="43"/>
      <c r="P1028" s="43"/>
      <c r="R1028" s="43"/>
      <c r="T1028" s="43"/>
      <c r="V1028" s="43"/>
      <c r="X1028" s="43"/>
      <c r="Z1028" s="43"/>
      <c r="AB1028" s="43"/>
      <c r="AD1028" s="43"/>
      <c r="AF1028" s="43"/>
      <c r="AH1028" s="43"/>
      <c r="AJ1028" s="43"/>
      <c r="AL1028" s="43"/>
      <c r="AO1028" s="43"/>
      <c r="AP1028" s="1"/>
      <c r="AQ1028" s="43"/>
      <c r="AR1028" s="123"/>
      <c r="AS1028" s="1"/>
      <c r="AT1028" s="1"/>
    </row>
    <row r="1029">
      <c r="A1029" s="43"/>
      <c r="B1029" s="59"/>
      <c r="C1029" s="51"/>
      <c r="D1029" s="43"/>
      <c r="E1029" s="85"/>
      <c r="F1029" s="43"/>
      <c r="G1029" s="85"/>
      <c r="H1029" s="43"/>
      <c r="I1029" s="85"/>
      <c r="J1029" s="43"/>
      <c r="L1029" s="43"/>
      <c r="N1029" s="43"/>
      <c r="P1029" s="43"/>
      <c r="R1029" s="43"/>
      <c r="T1029" s="43"/>
      <c r="V1029" s="43"/>
      <c r="X1029" s="43"/>
      <c r="Z1029" s="43"/>
      <c r="AB1029" s="43"/>
      <c r="AD1029" s="43"/>
      <c r="AF1029" s="43"/>
      <c r="AH1029" s="43"/>
      <c r="AJ1029" s="43"/>
      <c r="AL1029" s="43"/>
      <c r="AO1029" s="43"/>
      <c r="AP1029" s="1"/>
      <c r="AQ1029" s="43"/>
      <c r="AR1029" s="123"/>
      <c r="AS1029" s="1"/>
      <c r="AT1029" s="1"/>
    </row>
    <row r="1030">
      <c r="A1030" s="43"/>
      <c r="B1030" s="59"/>
      <c r="C1030" s="51"/>
      <c r="D1030" s="43"/>
      <c r="E1030" s="85"/>
      <c r="F1030" s="43"/>
      <c r="G1030" s="85"/>
      <c r="H1030" s="43"/>
      <c r="I1030" s="85"/>
      <c r="J1030" s="43"/>
      <c r="L1030" s="43"/>
      <c r="N1030" s="43"/>
      <c r="P1030" s="43"/>
      <c r="R1030" s="43"/>
      <c r="T1030" s="43"/>
      <c r="V1030" s="43"/>
      <c r="X1030" s="43"/>
      <c r="Z1030" s="43"/>
      <c r="AB1030" s="43"/>
      <c r="AD1030" s="43"/>
      <c r="AF1030" s="43"/>
      <c r="AH1030" s="43"/>
      <c r="AJ1030" s="43"/>
      <c r="AL1030" s="43"/>
      <c r="AO1030" s="43"/>
      <c r="AP1030" s="1"/>
      <c r="AQ1030" s="43"/>
      <c r="AR1030" s="123"/>
      <c r="AS1030" s="1"/>
      <c r="AT1030" s="1"/>
    </row>
    <row r="1031">
      <c r="A1031" s="43"/>
      <c r="B1031" s="59"/>
      <c r="C1031" s="51"/>
      <c r="D1031" s="43"/>
      <c r="E1031" s="85"/>
      <c r="F1031" s="43"/>
      <c r="G1031" s="85"/>
      <c r="H1031" s="43"/>
      <c r="I1031" s="85"/>
      <c r="J1031" s="43"/>
      <c r="L1031" s="43"/>
      <c r="N1031" s="43"/>
      <c r="P1031" s="43"/>
      <c r="R1031" s="43"/>
      <c r="T1031" s="43"/>
      <c r="V1031" s="43"/>
      <c r="X1031" s="43"/>
      <c r="Z1031" s="43"/>
      <c r="AB1031" s="43"/>
      <c r="AD1031" s="43"/>
      <c r="AF1031" s="43"/>
      <c r="AH1031" s="43"/>
      <c r="AJ1031" s="43"/>
      <c r="AL1031" s="43"/>
      <c r="AO1031" s="43"/>
      <c r="AP1031" s="1"/>
      <c r="AQ1031" s="43"/>
      <c r="AR1031" s="123"/>
      <c r="AS1031" s="1"/>
      <c r="AT1031" s="1"/>
    </row>
    <row r="1032">
      <c r="A1032" s="43"/>
      <c r="B1032" s="59"/>
      <c r="C1032" s="51"/>
      <c r="D1032" s="43"/>
      <c r="E1032" s="85"/>
      <c r="F1032" s="43"/>
      <c r="G1032" s="85"/>
      <c r="H1032" s="43"/>
      <c r="I1032" s="85"/>
      <c r="J1032" s="43"/>
      <c r="L1032" s="43"/>
      <c r="N1032" s="43"/>
      <c r="P1032" s="43"/>
      <c r="R1032" s="43"/>
      <c r="T1032" s="43"/>
      <c r="V1032" s="43"/>
      <c r="X1032" s="43"/>
      <c r="Z1032" s="43"/>
      <c r="AB1032" s="43"/>
      <c r="AD1032" s="43"/>
      <c r="AF1032" s="43"/>
      <c r="AH1032" s="43"/>
      <c r="AJ1032" s="43"/>
      <c r="AL1032" s="43"/>
      <c r="AO1032" s="43"/>
      <c r="AP1032" s="1"/>
      <c r="AQ1032" s="43"/>
      <c r="AR1032" s="123"/>
      <c r="AS1032" s="1"/>
      <c r="AT1032" s="1"/>
    </row>
    <row r="1033">
      <c r="A1033" s="43"/>
      <c r="B1033" s="59"/>
      <c r="C1033" s="51"/>
      <c r="D1033" s="43"/>
      <c r="E1033" s="85"/>
      <c r="F1033" s="43"/>
      <c r="G1033" s="85"/>
      <c r="H1033" s="43"/>
      <c r="I1033" s="85"/>
      <c r="J1033" s="43"/>
      <c r="L1033" s="43"/>
      <c r="N1033" s="43"/>
      <c r="P1033" s="43"/>
      <c r="R1033" s="43"/>
      <c r="T1033" s="43"/>
      <c r="V1033" s="43"/>
      <c r="X1033" s="43"/>
      <c r="Z1033" s="43"/>
      <c r="AB1033" s="43"/>
      <c r="AD1033" s="43"/>
      <c r="AF1033" s="43"/>
      <c r="AH1033" s="43"/>
      <c r="AJ1033" s="43"/>
      <c r="AL1033" s="43"/>
      <c r="AO1033" s="43"/>
      <c r="AP1033" s="1"/>
      <c r="AQ1033" s="43"/>
      <c r="AR1033" s="123"/>
      <c r="AS1033" s="1"/>
      <c r="AT1033" s="1"/>
    </row>
    <row r="1034">
      <c r="A1034" s="43"/>
      <c r="B1034" s="59"/>
      <c r="C1034" s="51"/>
      <c r="D1034" s="43"/>
      <c r="E1034" s="85"/>
      <c r="F1034" s="43"/>
      <c r="G1034" s="85"/>
      <c r="H1034" s="43"/>
      <c r="I1034" s="85"/>
      <c r="J1034" s="43"/>
      <c r="L1034" s="43"/>
      <c r="N1034" s="43"/>
      <c r="P1034" s="43"/>
      <c r="R1034" s="43"/>
      <c r="T1034" s="43"/>
      <c r="V1034" s="43"/>
      <c r="X1034" s="43"/>
      <c r="Z1034" s="43"/>
      <c r="AB1034" s="43"/>
      <c r="AD1034" s="43"/>
      <c r="AF1034" s="43"/>
      <c r="AH1034" s="43"/>
      <c r="AJ1034" s="43"/>
      <c r="AL1034" s="43"/>
      <c r="AO1034" s="43"/>
      <c r="AP1034" s="1"/>
      <c r="AQ1034" s="43"/>
      <c r="AR1034" s="123"/>
      <c r="AS1034" s="1"/>
      <c r="AT1034" s="1"/>
    </row>
    <row r="1035">
      <c r="A1035" s="43"/>
      <c r="B1035" s="59"/>
      <c r="C1035" s="51"/>
      <c r="D1035" s="43"/>
      <c r="E1035" s="85"/>
      <c r="F1035" s="43"/>
      <c r="G1035" s="85"/>
      <c r="H1035" s="43"/>
      <c r="I1035" s="85"/>
      <c r="J1035" s="43"/>
      <c r="L1035" s="43"/>
      <c r="N1035" s="43"/>
      <c r="P1035" s="43"/>
      <c r="R1035" s="43"/>
      <c r="T1035" s="43"/>
      <c r="V1035" s="43"/>
      <c r="X1035" s="43"/>
      <c r="Z1035" s="43"/>
      <c r="AB1035" s="43"/>
      <c r="AD1035" s="43"/>
      <c r="AF1035" s="43"/>
      <c r="AH1035" s="43"/>
      <c r="AJ1035" s="43"/>
      <c r="AL1035" s="43"/>
      <c r="AO1035" s="43"/>
      <c r="AP1035" s="1"/>
      <c r="AQ1035" s="43"/>
      <c r="AR1035" s="123"/>
      <c r="AS1035" s="1"/>
      <c r="AT1035" s="1"/>
    </row>
    <row r="1036">
      <c r="A1036" s="43"/>
      <c r="B1036" s="59"/>
      <c r="C1036" s="51"/>
      <c r="D1036" s="43"/>
      <c r="E1036" s="85"/>
      <c r="F1036" s="43"/>
      <c r="G1036" s="85"/>
      <c r="H1036" s="43"/>
      <c r="I1036" s="85"/>
      <c r="J1036" s="43"/>
      <c r="L1036" s="43"/>
      <c r="N1036" s="43"/>
      <c r="P1036" s="43"/>
      <c r="R1036" s="43"/>
      <c r="T1036" s="43"/>
      <c r="V1036" s="43"/>
      <c r="X1036" s="43"/>
      <c r="Z1036" s="43"/>
      <c r="AB1036" s="43"/>
      <c r="AD1036" s="43"/>
      <c r="AF1036" s="43"/>
      <c r="AH1036" s="43"/>
      <c r="AJ1036" s="43"/>
      <c r="AL1036" s="43"/>
      <c r="AO1036" s="43"/>
      <c r="AP1036" s="1"/>
      <c r="AQ1036" s="43"/>
      <c r="AR1036" s="123"/>
      <c r="AS1036" s="1"/>
      <c r="AT1036" s="1"/>
    </row>
    <row r="1037">
      <c r="A1037" s="43"/>
      <c r="B1037" s="59"/>
      <c r="C1037" s="51"/>
      <c r="D1037" s="43"/>
      <c r="E1037" s="85"/>
      <c r="F1037" s="43"/>
      <c r="G1037" s="85"/>
      <c r="H1037" s="43"/>
      <c r="I1037" s="85"/>
      <c r="J1037" s="43"/>
      <c r="L1037" s="43"/>
      <c r="N1037" s="43"/>
      <c r="P1037" s="43"/>
      <c r="R1037" s="43"/>
      <c r="T1037" s="43"/>
      <c r="V1037" s="43"/>
      <c r="X1037" s="43"/>
      <c r="Z1037" s="43"/>
      <c r="AB1037" s="43"/>
      <c r="AD1037" s="43"/>
      <c r="AF1037" s="43"/>
      <c r="AH1037" s="43"/>
      <c r="AJ1037" s="43"/>
      <c r="AL1037" s="43"/>
      <c r="AO1037" s="43"/>
      <c r="AP1037" s="1"/>
      <c r="AQ1037" s="43"/>
      <c r="AR1037" s="123"/>
      <c r="AS1037" s="1"/>
      <c r="AT1037" s="1"/>
    </row>
    <row r="1038">
      <c r="A1038" s="43"/>
      <c r="B1038" s="59"/>
      <c r="C1038" s="51"/>
      <c r="D1038" s="43"/>
      <c r="E1038" s="85"/>
      <c r="F1038" s="43"/>
      <c r="G1038" s="85"/>
      <c r="H1038" s="43"/>
      <c r="I1038" s="85"/>
      <c r="J1038" s="43"/>
      <c r="L1038" s="43"/>
      <c r="N1038" s="43"/>
      <c r="P1038" s="43"/>
      <c r="R1038" s="43"/>
      <c r="T1038" s="43"/>
      <c r="V1038" s="43"/>
      <c r="X1038" s="43"/>
      <c r="Z1038" s="43"/>
      <c r="AB1038" s="43"/>
      <c r="AD1038" s="43"/>
      <c r="AF1038" s="43"/>
      <c r="AH1038" s="43"/>
      <c r="AJ1038" s="43"/>
      <c r="AL1038" s="43"/>
      <c r="AO1038" s="43"/>
      <c r="AP1038" s="1"/>
      <c r="AQ1038" s="43"/>
      <c r="AR1038" s="123"/>
      <c r="AS1038" s="1"/>
      <c r="AT1038" s="1"/>
    </row>
    <row r="1039">
      <c r="A1039" s="43"/>
      <c r="B1039" s="59"/>
      <c r="C1039" s="51"/>
      <c r="D1039" s="43"/>
      <c r="E1039" s="85"/>
      <c r="F1039" s="43"/>
      <c r="G1039" s="85"/>
      <c r="H1039" s="43"/>
      <c r="I1039" s="85"/>
      <c r="J1039" s="43"/>
      <c r="L1039" s="43"/>
      <c r="N1039" s="43"/>
      <c r="P1039" s="43"/>
      <c r="R1039" s="43"/>
      <c r="T1039" s="43"/>
      <c r="V1039" s="43"/>
      <c r="X1039" s="43"/>
      <c r="Z1039" s="43"/>
      <c r="AB1039" s="43"/>
      <c r="AD1039" s="43"/>
      <c r="AF1039" s="43"/>
      <c r="AH1039" s="43"/>
      <c r="AJ1039" s="43"/>
      <c r="AL1039" s="43"/>
      <c r="AO1039" s="43"/>
      <c r="AP1039" s="1"/>
      <c r="AQ1039" s="43"/>
      <c r="AR1039" s="123"/>
      <c r="AS1039" s="1"/>
      <c r="AT1039" s="1"/>
    </row>
    <row r="1040">
      <c r="A1040" s="43"/>
      <c r="B1040" s="59"/>
      <c r="C1040" s="51"/>
      <c r="D1040" s="43"/>
      <c r="E1040" s="85"/>
      <c r="F1040" s="43"/>
      <c r="G1040" s="85"/>
      <c r="H1040" s="43"/>
      <c r="I1040" s="85"/>
      <c r="J1040" s="43"/>
      <c r="L1040" s="43"/>
      <c r="N1040" s="43"/>
      <c r="P1040" s="43"/>
      <c r="R1040" s="43"/>
      <c r="T1040" s="43"/>
      <c r="V1040" s="43"/>
      <c r="X1040" s="43"/>
      <c r="Z1040" s="43"/>
      <c r="AB1040" s="43"/>
      <c r="AD1040" s="43"/>
      <c r="AF1040" s="43"/>
      <c r="AH1040" s="43"/>
      <c r="AJ1040" s="43"/>
      <c r="AL1040" s="43"/>
      <c r="AO1040" s="43"/>
      <c r="AP1040" s="1"/>
      <c r="AQ1040" s="43"/>
      <c r="AR1040" s="123"/>
      <c r="AS1040" s="1"/>
      <c r="AT1040" s="1"/>
    </row>
    <row r="1041">
      <c r="A1041" s="43"/>
      <c r="B1041" s="59"/>
      <c r="C1041" s="51"/>
      <c r="D1041" s="43"/>
      <c r="E1041" s="85"/>
      <c r="F1041" s="43"/>
      <c r="G1041" s="85"/>
      <c r="H1041" s="43"/>
      <c r="I1041" s="85"/>
      <c r="J1041" s="43"/>
      <c r="L1041" s="43"/>
      <c r="N1041" s="43"/>
      <c r="P1041" s="43"/>
      <c r="R1041" s="43"/>
      <c r="T1041" s="43"/>
      <c r="V1041" s="43"/>
      <c r="X1041" s="43"/>
      <c r="Z1041" s="43"/>
      <c r="AB1041" s="43"/>
      <c r="AD1041" s="43"/>
      <c r="AF1041" s="43"/>
      <c r="AH1041" s="43"/>
      <c r="AJ1041" s="43"/>
      <c r="AL1041" s="43"/>
      <c r="AO1041" s="43"/>
      <c r="AP1041" s="1"/>
      <c r="AQ1041" s="43"/>
      <c r="AR1041" s="123"/>
      <c r="AS1041" s="1"/>
      <c r="AT1041" s="1"/>
    </row>
    <row r="1042">
      <c r="A1042" s="43"/>
      <c r="B1042" s="59"/>
      <c r="C1042" s="51"/>
      <c r="D1042" s="43"/>
      <c r="E1042" s="85"/>
      <c r="F1042" s="43"/>
      <c r="G1042" s="85"/>
      <c r="H1042" s="43"/>
      <c r="I1042" s="85"/>
      <c r="J1042" s="43"/>
      <c r="L1042" s="43"/>
      <c r="N1042" s="43"/>
      <c r="P1042" s="43"/>
      <c r="R1042" s="43"/>
      <c r="T1042" s="43"/>
      <c r="V1042" s="43"/>
      <c r="X1042" s="43"/>
      <c r="Z1042" s="43"/>
      <c r="AB1042" s="43"/>
      <c r="AD1042" s="43"/>
      <c r="AF1042" s="43"/>
      <c r="AH1042" s="43"/>
      <c r="AJ1042" s="43"/>
      <c r="AL1042" s="43"/>
      <c r="AO1042" s="43"/>
      <c r="AP1042" s="1"/>
      <c r="AQ1042" s="43"/>
      <c r="AR1042" s="123"/>
      <c r="AS1042" s="1"/>
      <c r="AT1042" s="1"/>
    </row>
    <row r="1043">
      <c r="A1043" s="43"/>
      <c r="B1043" s="59"/>
      <c r="C1043" s="51"/>
      <c r="D1043" s="43"/>
      <c r="E1043" s="85"/>
      <c r="F1043" s="43"/>
      <c r="G1043" s="85"/>
      <c r="H1043" s="43"/>
      <c r="I1043" s="85"/>
      <c r="J1043" s="43"/>
      <c r="L1043" s="43"/>
      <c r="N1043" s="43"/>
      <c r="P1043" s="43"/>
      <c r="R1043" s="43"/>
      <c r="T1043" s="43"/>
      <c r="V1043" s="43"/>
      <c r="X1043" s="43"/>
      <c r="Z1043" s="43"/>
      <c r="AB1043" s="43"/>
      <c r="AD1043" s="43"/>
      <c r="AF1043" s="43"/>
      <c r="AH1043" s="43"/>
      <c r="AJ1043" s="43"/>
      <c r="AL1043" s="43"/>
      <c r="AO1043" s="43"/>
      <c r="AP1043" s="1"/>
      <c r="AQ1043" s="43"/>
      <c r="AR1043" s="123"/>
      <c r="AS1043" s="1"/>
      <c r="AT1043" s="1"/>
    </row>
    <row r="1044">
      <c r="A1044" s="43"/>
      <c r="B1044" s="59"/>
      <c r="C1044" s="51"/>
      <c r="D1044" s="43"/>
      <c r="E1044" s="85"/>
      <c r="F1044" s="43"/>
      <c r="G1044" s="85"/>
      <c r="H1044" s="43"/>
      <c r="I1044" s="85"/>
      <c r="J1044" s="43"/>
      <c r="L1044" s="43"/>
      <c r="N1044" s="43"/>
      <c r="P1044" s="43"/>
      <c r="R1044" s="43"/>
      <c r="T1044" s="43"/>
      <c r="V1044" s="43"/>
      <c r="X1044" s="43"/>
      <c r="Z1044" s="43"/>
      <c r="AB1044" s="43"/>
      <c r="AD1044" s="43"/>
      <c r="AF1044" s="43"/>
      <c r="AH1044" s="43"/>
      <c r="AJ1044" s="43"/>
      <c r="AL1044" s="43"/>
      <c r="AO1044" s="43"/>
      <c r="AP1044" s="1"/>
      <c r="AQ1044" s="43"/>
      <c r="AR1044" s="123"/>
      <c r="AS1044" s="1"/>
      <c r="AT1044" s="1"/>
    </row>
    <row r="1045">
      <c r="A1045" s="43"/>
      <c r="B1045" s="59"/>
      <c r="C1045" s="51"/>
      <c r="D1045" s="43"/>
      <c r="E1045" s="85"/>
      <c r="F1045" s="43"/>
      <c r="G1045" s="85"/>
      <c r="H1045" s="43"/>
      <c r="I1045" s="85"/>
      <c r="J1045" s="43"/>
      <c r="L1045" s="43"/>
      <c r="N1045" s="43"/>
      <c r="P1045" s="43"/>
      <c r="R1045" s="43"/>
      <c r="T1045" s="43"/>
      <c r="V1045" s="43"/>
      <c r="X1045" s="43"/>
      <c r="Z1045" s="43"/>
      <c r="AB1045" s="43"/>
      <c r="AD1045" s="43"/>
      <c r="AF1045" s="43"/>
      <c r="AH1045" s="43"/>
      <c r="AJ1045" s="43"/>
      <c r="AL1045" s="43"/>
      <c r="AO1045" s="43"/>
      <c r="AP1045" s="1"/>
      <c r="AQ1045" s="43"/>
      <c r="AR1045" s="123"/>
      <c r="AS1045" s="1"/>
      <c r="AT1045" s="1"/>
    </row>
    <row r="1046">
      <c r="A1046" s="43"/>
      <c r="B1046" s="59"/>
      <c r="C1046" s="51"/>
      <c r="D1046" s="43"/>
      <c r="E1046" s="85"/>
      <c r="F1046" s="43"/>
      <c r="G1046" s="85"/>
      <c r="H1046" s="43"/>
      <c r="I1046" s="85"/>
      <c r="J1046" s="43"/>
      <c r="L1046" s="43"/>
      <c r="N1046" s="43"/>
      <c r="P1046" s="43"/>
      <c r="R1046" s="43"/>
      <c r="T1046" s="43"/>
      <c r="V1046" s="43"/>
      <c r="X1046" s="43"/>
      <c r="Z1046" s="43"/>
      <c r="AB1046" s="43"/>
      <c r="AD1046" s="43"/>
      <c r="AF1046" s="43"/>
      <c r="AH1046" s="43"/>
      <c r="AJ1046" s="43"/>
      <c r="AL1046" s="43"/>
      <c r="AO1046" s="43"/>
      <c r="AP1046" s="1"/>
      <c r="AQ1046" s="43"/>
      <c r="AR1046" s="123"/>
      <c r="AS1046" s="1"/>
      <c r="AT1046" s="1"/>
    </row>
    <row r="1047">
      <c r="A1047" s="43"/>
      <c r="B1047" s="59"/>
      <c r="C1047" s="51"/>
      <c r="D1047" s="43"/>
      <c r="E1047" s="85"/>
      <c r="F1047" s="43"/>
      <c r="G1047" s="85"/>
      <c r="H1047" s="43"/>
      <c r="I1047" s="85"/>
      <c r="J1047" s="43"/>
      <c r="L1047" s="43"/>
      <c r="N1047" s="43"/>
      <c r="P1047" s="43"/>
      <c r="R1047" s="43"/>
      <c r="T1047" s="43"/>
      <c r="V1047" s="43"/>
      <c r="X1047" s="43"/>
      <c r="Z1047" s="43"/>
      <c r="AB1047" s="43"/>
      <c r="AD1047" s="43"/>
      <c r="AF1047" s="43"/>
      <c r="AH1047" s="43"/>
      <c r="AJ1047" s="43"/>
      <c r="AL1047" s="43"/>
      <c r="AO1047" s="43"/>
      <c r="AP1047" s="1"/>
      <c r="AQ1047" s="43"/>
      <c r="AR1047" s="123"/>
      <c r="AS1047" s="1"/>
      <c r="AT1047" s="1"/>
    </row>
    <row r="1048">
      <c r="A1048" s="43"/>
      <c r="B1048" s="59"/>
      <c r="C1048" s="51"/>
      <c r="D1048" s="43"/>
      <c r="E1048" s="85"/>
      <c r="F1048" s="43"/>
      <c r="G1048" s="85"/>
      <c r="H1048" s="43"/>
      <c r="I1048" s="85"/>
      <c r="J1048" s="43"/>
      <c r="L1048" s="43"/>
      <c r="N1048" s="43"/>
      <c r="P1048" s="43"/>
      <c r="R1048" s="43"/>
      <c r="T1048" s="43"/>
      <c r="V1048" s="43"/>
      <c r="X1048" s="43"/>
      <c r="Z1048" s="43"/>
      <c r="AB1048" s="43"/>
      <c r="AD1048" s="43"/>
      <c r="AF1048" s="43"/>
      <c r="AH1048" s="43"/>
      <c r="AJ1048" s="43"/>
      <c r="AL1048" s="43"/>
      <c r="AO1048" s="43"/>
      <c r="AP1048" s="1"/>
      <c r="AQ1048" s="43"/>
      <c r="AR1048" s="123"/>
      <c r="AS1048" s="1"/>
      <c r="AT1048" s="1"/>
    </row>
    <row r="1049">
      <c r="A1049" s="43"/>
      <c r="B1049" s="59"/>
      <c r="C1049" s="51"/>
      <c r="D1049" s="43"/>
      <c r="E1049" s="85"/>
      <c r="F1049" s="43"/>
      <c r="G1049" s="85"/>
      <c r="H1049" s="43"/>
      <c r="I1049" s="85"/>
      <c r="J1049" s="43"/>
      <c r="L1049" s="43"/>
      <c r="N1049" s="43"/>
      <c r="P1049" s="43"/>
      <c r="R1049" s="43"/>
      <c r="T1049" s="43"/>
      <c r="V1049" s="43"/>
      <c r="X1049" s="43"/>
      <c r="Z1049" s="43"/>
      <c r="AB1049" s="43"/>
      <c r="AD1049" s="43"/>
      <c r="AF1049" s="43"/>
      <c r="AH1049" s="43"/>
      <c r="AJ1049" s="43"/>
      <c r="AL1049" s="43"/>
      <c r="AO1049" s="43"/>
      <c r="AP1049" s="1"/>
      <c r="AQ1049" s="43"/>
      <c r="AR1049" s="123"/>
      <c r="AS1049" s="1"/>
      <c r="AT1049" s="1"/>
    </row>
    <row r="1050">
      <c r="A1050" s="43"/>
      <c r="B1050" s="59"/>
      <c r="C1050" s="51"/>
      <c r="D1050" s="43"/>
      <c r="E1050" s="85"/>
      <c r="F1050" s="43"/>
      <c r="G1050" s="85"/>
      <c r="H1050" s="43"/>
      <c r="I1050" s="85"/>
      <c r="J1050" s="43"/>
      <c r="L1050" s="43"/>
      <c r="N1050" s="43"/>
      <c r="P1050" s="43"/>
      <c r="R1050" s="43"/>
      <c r="T1050" s="43"/>
      <c r="V1050" s="43"/>
      <c r="X1050" s="43"/>
      <c r="Z1050" s="43"/>
      <c r="AB1050" s="43"/>
      <c r="AD1050" s="43"/>
      <c r="AF1050" s="43"/>
      <c r="AH1050" s="43"/>
      <c r="AJ1050" s="43"/>
      <c r="AL1050" s="43"/>
      <c r="AO1050" s="43"/>
      <c r="AP1050" s="1"/>
      <c r="AQ1050" s="43"/>
      <c r="AR1050" s="123"/>
      <c r="AS1050" s="1"/>
      <c r="AT1050" s="1"/>
    </row>
    <row r="1051">
      <c r="A1051" s="43"/>
      <c r="B1051" s="59"/>
      <c r="C1051" s="51"/>
      <c r="D1051" s="43"/>
      <c r="E1051" s="85"/>
      <c r="F1051" s="43"/>
      <c r="G1051" s="85"/>
      <c r="H1051" s="43"/>
      <c r="I1051" s="85"/>
      <c r="J1051" s="43"/>
      <c r="L1051" s="43"/>
      <c r="N1051" s="43"/>
      <c r="P1051" s="43"/>
      <c r="R1051" s="43"/>
      <c r="T1051" s="43"/>
      <c r="V1051" s="43"/>
      <c r="X1051" s="43"/>
      <c r="Z1051" s="43"/>
      <c r="AB1051" s="43"/>
      <c r="AD1051" s="43"/>
      <c r="AF1051" s="43"/>
      <c r="AH1051" s="43"/>
      <c r="AJ1051" s="43"/>
      <c r="AL1051" s="43"/>
      <c r="AO1051" s="43"/>
      <c r="AP1051" s="1"/>
      <c r="AQ1051" s="43"/>
      <c r="AR1051" s="123"/>
      <c r="AS1051" s="1"/>
      <c r="AT1051" s="1"/>
    </row>
    <row r="1052">
      <c r="A1052" s="43"/>
      <c r="B1052" s="59"/>
      <c r="C1052" s="51"/>
      <c r="D1052" s="43"/>
      <c r="E1052" s="85"/>
      <c r="F1052" s="43"/>
      <c r="G1052" s="85"/>
      <c r="H1052" s="43"/>
      <c r="I1052" s="85"/>
      <c r="J1052" s="43"/>
      <c r="L1052" s="43"/>
      <c r="N1052" s="43"/>
      <c r="P1052" s="43"/>
      <c r="R1052" s="43"/>
      <c r="T1052" s="43"/>
      <c r="V1052" s="43"/>
      <c r="X1052" s="43"/>
      <c r="Z1052" s="43"/>
      <c r="AB1052" s="43"/>
      <c r="AD1052" s="43"/>
      <c r="AF1052" s="43"/>
      <c r="AH1052" s="43"/>
      <c r="AJ1052" s="43"/>
      <c r="AL1052" s="43"/>
      <c r="AO1052" s="43"/>
      <c r="AP1052" s="1"/>
      <c r="AQ1052" s="43"/>
      <c r="AR1052" s="123"/>
      <c r="AS1052" s="1"/>
      <c r="AT1052" s="1"/>
    </row>
    <row r="1053">
      <c r="A1053" s="43"/>
      <c r="B1053" s="59"/>
      <c r="C1053" s="51"/>
      <c r="D1053" s="43"/>
      <c r="E1053" s="85"/>
      <c r="F1053" s="43"/>
      <c r="G1053" s="85"/>
      <c r="H1053" s="43"/>
      <c r="I1053" s="85"/>
      <c r="J1053" s="43"/>
      <c r="L1053" s="43"/>
      <c r="N1053" s="43"/>
      <c r="P1053" s="43"/>
      <c r="R1053" s="43"/>
      <c r="T1053" s="43"/>
      <c r="V1053" s="43"/>
      <c r="X1053" s="43"/>
      <c r="Z1053" s="43"/>
      <c r="AB1053" s="43"/>
      <c r="AD1053" s="43"/>
      <c r="AF1053" s="43"/>
      <c r="AH1053" s="43"/>
      <c r="AJ1053" s="43"/>
      <c r="AL1053" s="43"/>
      <c r="AO1053" s="43"/>
      <c r="AP1053" s="1"/>
      <c r="AQ1053" s="43"/>
      <c r="AR1053" s="123"/>
      <c r="AS1053" s="1"/>
      <c r="AT1053" s="1"/>
    </row>
    <row r="1054">
      <c r="A1054" s="43"/>
      <c r="B1054" s="59"/>
      <c r="C1054" s="51"/>
      <c r="D1054" s="43"/>
      <c r="E1054" s="85"/>
      <c r="F1054" s="43"/>
      <c r="G1054" s="85"/>
      <c r="H1054" s="43"/>
      <c r="I1054" s="85"/>
      <c r="J1054" s="43"/>
      <c r="L1054" s="43"/>
      <c r="N1054" s="43"/>
      <c r="P1054" s="43"/>
      <c r="R1054" s="43"/>
      <c r="T1054" s="43"/>
      <c r="V1054" s="43"/>
      <c r="X1054" s="43"/>
      <c r="Z1054" s="43"/>
      <c r="AB1054" s="43"/>
      <c r="AD1054" s="43"/>
      <c r="AF1054" s="43"/>
      <c r="AH1054" s="43"/>
      <c r="AJ1054" s="43"/>
      <c r="AL1054" s="43"/>
      <c r="AO1054" s="43"/>
      <c r="AP1054" s="1"/>
      <c r="AQ1054" s="43"/>
      <c r="AR1054" s="123"/>
      <c r="AS1054" s="1"/>
      <c r="AT1054" s="1"/>
    </row>
    <row r="1055">
      <c r="A1055" s="43"/>
      <c r="B1055" s="59"/>
      <c r="C1055" s="51"/>
      <c r="D1055" s="43"/>
      <c r="E1055" s="85"/>
      <c r="F1055" s="43"/>
      <c r="G1055" s="85"/>
      <c r="H1055" s="43"/>
      <c r="I1055" s="85"/>
      <c r="J1055" s="43"/>
      <c r="L1055" s="43"/>
      <c r="N1055" s="43"/>
      <c r="P1055" s="43"/>
      <c r="R1055" s="43"/>
      <c r="T1055" s="43"/>
      <c r="V1055" s="43"/>
      <c r="X1055" s="43"/>
      <c r="Z1055" s="43"/>
      <c r="AB1055" s="43"/>
      <c r="AD1055" s="43"/>
      <c r="AF1055" s="43"/>
      <c r="AH1055" s="43"/>
      <c r="AJ1055" s="43"/>
      <c r="AL1055" s="43"/>
      <c r="AO1055" s="43"/>
      <c r="AP1055" s="1"/>
      <c r="AQ1055" s="43"/>
      <c r="AR1055" s="123"/>
      <c r="AS1055" s="1"/>
      <c r="AT1055" s="1"/>
    </row>
    <row r="1056">
      <c r="A1056" s="43"/>
      <c r="B1056" s="59"/>
      <c r="C1056" s="51"/>
      <c r="D1056" s="43"/>
      <c r="E1056" s="85"/>
      <c r="F1056" s="43"/>
      <c r="G1056" s="85"/>
      <c r="H1056" s="43"/>
      <c r="I1056" s="85"/>
      <c r="J1056" s="43"/>
      <c r="L1056" s="43"/>
      <c r="N1056" s="43"/>
      <c r="P1056" s="43"/>
      <c r="R1056" s="43"/>
      <c r="T1056" s="43"/>
      <c r="V1056" s="43"/>
      <c r="X1056" s="43"/>
      <c r="Z1056" s="43"/>
      <c r="AB1056" s="43"/>
      <c r="AD1056" s="43"/>
      <c r="AF1056" s="43"/>
      <c r="AH1056" s="43"/>
      <c r="AJ1056" s="43"/>
      <c r="AL1056" s="43"/>
      <c r="AO1056" s="43"/>
      <c r="AP1056" s="1"/>
      <c r="AQ1056" s="43"/>
      <c r="AR1056" s="123"/>
      <c r="AS1056" s="1"/>
      <c r="AT1056" s="1"/>
    </row>
    <row r="1057">
      <c r="A1057" s="43"/>
      <c r="B1057" s="59"/>
      <c r="C1057" s="51"/>
      <c r="D1057" s="43"/>
      <c r="E1057" s="85"/>
      <c r="F1057" s="43"/>
      <c r="G1057" s="85"/>
      <c r="H1057" s="43"/>
      <c r="I1057" s="85"/>
      <c r="J1057" s="43"/>
      <c r="L1057" s="43"/>
      <c r="N1057" s="43"/>
      <c r="P1057" s="43"/>
      <c r="R1057" s="43"/>
      <c r="T1057" s="43"/>
      <c r="V1057" s="43"/>
      <c r="X1057" s="43"/>
      <c r="Z1057" s="43"/>
      <c r="AB1057" s="43"/>
      <c r="AD1057" s="43"/>
      <c r="AF1057" s="43"/>
      <c r="AH1057" s="43"/>
      <c r="AJ1057" s="43"/>
      <c r="AL1057" s="43"/>
      <c r="AO1057" s="43"/>
      <c r="AP1057" s="1"/>
      <c r="AQ1057" s="43"/>
      <c r="AR1057" s="123"/>
      <c r="AS1057" s="1"/>
      <c r="AT1057" s="1"/>
    </row>
    <row r="1058">
      <c r="A1058" s="43"/>
      <c r="B1058" s="59"/>
      <c r="C1058" s="51"/>
      <c r="D1058" s="43"/>
      <c r="E1058" s="85"/>
      <c r="F1058" s="43"/>
      <c r="G1058" s="85"/>
      <c r="H1058" s="43"/>
      <c r="I1058" s="85"/>
      <c r="J1058" s="43"/>
      <c r="L1058" s="43"/>
      <c r="N1058" s="43"/>
      <c r="P1058" s="43"/>
      <c r="R1058" s="43"/>
      <c r="T1058" s="43"/>
      <c r="V1058" s="43"/>
      <c r="X1058" s="43"/>
      <c r="Z1058" s="43"/>
      <c r="AB1058" s="43"/>
      <c r="AD1058" s="43"/>
      <c r="AF1058" s="43"/>
      <c r="AH1058" s="43"/>
      <c r="AJ1058" s="43"/>
      <c r="AL1058" s="43"/>
      <c r="AO1058" s="43"/>
      <c r="AP1058" s="1"/>
      <c r="AQ1058" s="43"/>
      <c r="AR1058" s="123"/>
      <c r="AS1058" s="1"/>
      <c r="AT1058" s="1"/>
    </row>
    <row r="1059">
      <c r="A1059" s="43"/>
      <c r="B1059" s="59"/>
      <c r="C1059" s="51"/>
      <c r="D1059" s="43"/>
      <c r="E1059" s="85"/>
      <c r="F1059" s="43"/>
      <c r="G1059" s="85"/>
      <c r="H1059" s="43"/>
      <c r="I1059" s="85"/>
      <c r="J1059" s="43"/>
      <c r="L1059" s="43"/>
      <c r="N1059" s="43"/>
      <c r="P1059" s="43"/>
      <c r="R1059" s="43"/>
      <c r="T1059" s="43"/>
      <c r="V1059" s="43"/>
      <c r="X1059" s="43"/>
      <c r="Z1059" s="43"/>
      <c r="AB1059" s="43"/>
      <c r="AD1059" s="43"/>
      <c r="AF1059" s="43"/>
      <c r="AH1059" s="43"/>
      <c r="AJ1059" s="43"/>
      <c r="AL1059" s="43"/>
      <c r="AO1059" s="43"/>
      <c r="AP1059" s="1"/>
      <c r="AQ1059" s="43"/>
      <c r="AR1059" s="123"/>
      <c r="AS1059" s="1"/>
      <c r="AT1059" s="1"/>
    </row>
    <row r="1060">
      <c r="A1060" s="43"/>
      <c r="B1060" s="59"/>
      <c r="C1060" s="51"/>
      <c r="D1060" s="43"/>
      <c r="E1060" s="85"/>
      <c r="F1060" s="43"/>
      <c r="G1060" s="85"/>
      <c r="H1060" s="43"/>
      <c r="I1060" s="85"/>
      <c r="J1060" s="43"/>
      <c r="L1060" s="43"/>
      <c r="N1060" s="43"/>
      <c r="P1060" s="43"/>
      <c r="R1060" s="43"/>
      <c r="T1060" s="43"/>
      <c r="V1060" s="43"/>
      <c r="X1060" s="43"/>
      <c r="Z1060" s="43"/>
      <c r="AB1060" s="43"/>
      <c r="AD1060" s="43"/>
      <c r="AF1060" s="43"/>
      <c r="AH1060" s="43"/>
      <c r="AJ1060" s="43"/>
      <c r="AL1060" s="43"/>
      <c r="AO1060" s="43"/>
      <c r="AP1060" s="1"/>
      <c r="AQ1060" s="43"/>
      <c r="AR1060" s="123"/>
      <c r="AS1060" s="1"/>
      <c r="AT1060" s="1"/>
    </row>
    <row r="1061">
      <c r="A1061" s="43"/>
      <c r="B1061" s="59"/>
      <c r="C1061" s="51"/>
      <c r="D1061" s="43"/>
      <c r="E1061" s="85"/>
      <c r="F1061" s="43"/>
      <c r="G1061" s="85"/>
      <c r="H1061" s="43"/>
      <c r="I1061" s="85"/>
      <c r="J1061" s="43"/>
      <c r="L1061" s="43"/>
      <c r="N1061" s="43"/>
      <c r="P1061" s="43"/>
      <c r="R1061" s="43"/>
      <c r="T1061" s="43"/>
      <c r="V1061" s="43"/>
      <c r="X1061" s="43"/>
      <c r="Z1061" s="43"/>
      <c r="AB1061" s="43"/>
      <c r="AD1061" s="43"/>
      <c r="AF1061" s="43"/>
      <c r="AH1061" s="43"/>
      <c r="AJ1061" s="43"/>
      <c r="AL1061" s="43"/>
      <c r="AO1061" s="43"/>
      <c r="AP1061" s="1"/>
      <c r="AQ1061" s="43"/>
      <c r="AR1061" s="123"/>
      <c r="AS1061" s="1"/>
      <c r="AT1061" s="1"/>
    </row>
    <row r="1062">
      <c r="A1062" s="43"/>
      <c r="B1062" s="59"/>
      <c r="C1062" s="51"/>
      <c r="D1062" s="43"/>
      <c r="E1062" s="85"/>
      <c r="F1062" s="43"/>
      <c r="G1062" s="85"/>
      <c r="H1062" s="43"/>
      <c r="I1062" s="85"/>
      <c r="J1062" s="43"/>
      <c r="L1062" s="43"/>
      <c r="N1062" s="43"/>
      <c r="P1062" s="43"/>
      <c r="R1062" s="43"/>
      <c r="T1062" s="43"/>
      <c r="V1062" s="43"/>
      <c r="X1062" s="43"/>
      <c r="Z1062" s="43"/>
      <c r="AB1062" s="43"/>
      <c r="AD1062" s="43"/>
      <c r="AF1062" s="43"/>
      <c r="AH1062" s="43"/>
      <c r="AJ1062" s="43"/>
      <c r="AL1062" s="43"/>
      <c r="AO1062" s="43"/>
      <c r="AP1062" s="1"/>
      <c r="AQ1062" s="43"/>
      <c r="AR1062" s="123"/>
      <c r="AS1062" s="1"/>
      <c r="AT1062" s="1"/>
    </row>
    <row r="1063">
      <c r="A1063" s="43"/>
      <c r="B1063" s="59"/>
      <c r="C1063" s="51"/>
      <c r="D1063" s="43"/>
      <c r="E1063" s="85"/>
      <c r="F1063" s="43"/>
      <c r="G1063" s="85"/>
      <c r="H1063" s="43"/>
      <c r="I1063" s="85"/>
      <c r="J1063" s="43"/>
      <c r="L1063" s="43"/>
      <c r="N1063" s="43"/>
      <c r="P1063" s="43"/>
      <c r="R1063" s="43"/>
      <c r="T1063" s="43"/>
      <c r="V1063" s="43"/>
      <c r="X1063" s="43"/>
      <c r="Z1063" s="43"/>
      <c r="AB1063" s="43"/>
      <c r="AD1063" s="43"/>
      <c r="AF1063" s="43"/>
      <c r="AH1063" s="43"/>
      <c r="AJ1063" s="43"/>
      <c r="AL1063" s="43"/>
      <c r="AO1063" s="43"/>
      <c r="AP1063" s="1"/>
      <c r="AQ1063" s="43"/>
      <c r="AR1063" s="123"/>
      <c r="AS1063" s="1"/>
      <c r="AT1063" s="1"/>
    </row>
    <row r="1064">
      <c r="A1064" s="43"/>
      <c r="B1064" s="59"/>
      <c r="C1064" s="51"/>
      <c r="D1064" s="43"/>
      <c r="E1064" s="85"/>
      <c r="F1064" s="43"/>
      <c r="G1064" s="85"/>
      <c r="H1064" s="43"/>
      <c r="I1064" s="85"/>
      <c r="J1064" s="43"/>
      <c r="L1064" s="43"/>
      <c r="N1064" s="43"/>
      <c r="P1064" s="43"/>
      <c r="R1064" s="43"/>
      <c r="T1064" s="43"/>
      <c r="V1064" s="43"/>
      <c r="X1064" s="43"/>
      <c r="Z1064" s="43"/>
      <c r="AB1064" s="43"/>
      <c r="AD1064" s="43"/>
      <c r="AF1064" s="43"/>
      <c r="AH1064" s="43"/>
      <c r="AJ1064" s="43"/>
      <c r="AL1064" s="43"/>
      <c r="AO1064" s="43"/>
      <c r="AP1064" s="1"/>
      <c r="AQ1064" s="43"/>
      <c r="AR1064" s="123"/>
      <c r="AS1064" s="1"/>
      <c r="AT1064" s="1"/>
    </row>
    <row r="1065">
      <c r="A1065" s="43"/>
      <c r="B1065" s="59"/>
      <c r="C1065" s="51"/>
      <c r="D1065" s="43"/>
      <c r="E1065" s="85"/>
      <c r="F1065" s="43"/>
      <c r="G1065" s="85"/>
      <c r="H1065" s="43"/>
      <c r="I1065" s="85"/>
      <c r="J1065" s="43"/>
      <c r="L1065" s="43"/>
      <c r="N1065" s="43"/>
      <c r="P1065" s="43"/>
      <c r="R1065" s="43"/>
      <c r="T1065" s="43"/>
      <c r="V1065" s="43"/>
      <c r="X1065" s="43"/>
      <c r="Z1065" s="43"/>
      <c r="AB1065" s="43"/>
      <c r="AD1065" s="43"/>
      <c r="AF1065" s="43"/>
      <c r="AH1065" s="43"/>
      <c r="AJ1065" s="43"/>
      <c r="AL1065" s="43"/>
      <c r="AO1065" s="43"/>
      <c r="AP1065" s="1"/>
      <c r="AQ1065" s="43"/>
      <c r="AR1065" s="123"/>
      <c r="AS1065" s="1"/>
      <c r="AT1065" s="1"/>
    </row>
    <row r="1066">
      <c r="A1066" s="43"/>
      <c r="B1066" s="59"/>
      <c r="C1066" s="51"/>
      <c r="D1066" s="43"/>
      <c r="E1066" s="85"/>
      <c r="F1066" s="43"/>
      <c r="G1066" s="85"/>
      <c r="H1066" s="43"/>
      <c r="I1066" s="85"/>
      <c r="J1066" s="43"/>
      <c r="L1066" s="43"/>
      <c r="N1066" s="43"/>
      <c r="P1066" s="43"/>
      <c r="R1066" s="43"/>
      <c r="T1066" s="43"/>
      <c r="V1066" s="43"/>
      <c r="X1066" s="43"/>
      <c r="Z1066" s="43"/>
      <c r="AB1066" s="43"/>
      <c r="AD1066" s="43"/>
      <c r="AF1066" s="43"/>
      <c r="AH1066" s="43"/>
      <c r="AJ1066" s="43"/>
      <c r="AL1066" s="43"/>
      <c r="AO1066" s="43"/>
      <c r="AP1066" s="1"/>
      <c r="AQ1066" s="43"/>
      <c r="AR1066" s="123"/>
      <c r="AS1066" s="1"/>
      <c r="AT1066" s="1"/>
    </row>
    <row r="1067">
      <c r="A1067" s="43"/>
      <c r="B1067" s="59"/>
      <c r="C1067" s="51"/>
      <c r="D1067" s="43"/>
      <c r="E1067" s="85"/>
      <c r="F1067" s="43"/>
      <c r="G1067" s="85"/>
      <c r="H1067" s="43"/>
      <c r="I1067" s="85"/>
      <c r="J1067" s="43"/>
      <c r="L1067" s="43"/>
      <c r="N1067" s="43"/>
      <c r="P1067" s="43"/>
      <c r="R1067" s="43"/>
      <c r="T1067" s="43"/>
      <c r="V1067" s="43"/>
      <c r="X1067" s="43"/>
      <c r="Z1067" s="43"/>
      <c r="AB1067" s="43"/>
      <c r="AD1067" s="43"/>
      <c r="AF1067" s="43"/>
      <c r="AH1067" s="43"/>
      <c r="AJ1067" s="43"/>
      <c r="AL1067" s="43"/>
      <c r="AO1067" s="43"/>
      <c r="AP1067" s="1"/>
      <c r="AQ1067" s="43"/>
      <c r="AR1067" s="123"/>
      <c r="AS1067" s="1"/>
      <c r="AT1067" s="1"/>
    </row>
    <row r="1068">
      <c r="A1068" s="43"/>
      <c r="B1068" s="59"/>
      <c r="C1068" s="51"/>
      <c r="D1068" s="43"/>
      <c r="E1068" s="85"/>
      <c r="F1068" s="43"/>
      <c r="G1068" s="85"/>
      <c r="H1068" s="43"/>
      <c r="I1068" s="85"/>
      <c r="J1068" s="43"/>
      <c r="L1068" s="43"/>
      <c r="N1068" s="43"/>
      <c r="P1068" s="43"/>
      <c r="R1068" s="43"/>
      <c r="T1068" s="43"/>
      <c r="V1068" s="43"/>
      <c r="X1068" s="43"/>
      <c r="Z1068" s="43"/>
      <c r="AB1068" s="43"/>
      <c r="AD1068" s="43"/>
      <c r="AF1068" s="43"/>
      <c r="AH1068" s="43"/>
      <c r="AJ1068" s="43"/>
      <c r="AL1068" s="43"/>
      <c r="AO1068" s="43"/>
      <c r="AP1068" s="1"/>
      <c r="AQ1068" s="43"/>
      <c r="AR1068" s="123"/>
      <c r="AS1068" s="1"/>
      <c r="AT1068" s="1"/>
    </row>
    <row r="1069">
      <c r="A1069" s="43"/>
      <c r="B1069" s="59"/>
      <c r="C1069" s="51"/>
      <c r="D1069" s="43"/>
      <c r="E1069" s="85"/>
      <c r="F1069" s="43"/>
      <c r="G1069" s="85"/>
      <c r="H1069" s="43"/>
      <c r="I1069" s="85"/>
      <c r="J1069" s="43"/>
      <c r="L1069" s="43"/>
      <c r="N1069" s="43"/>
      <c r="P1069" s="43"/>
      <c r="R1069" s="43"/>
      <c r="T1069" s="43"/>
      <c r="V1069" s="43"/>
      <c r="X1069" s="43"/>
      <c r="Z1069" s="43"/>
      <c r="AB1069" s="43"/>
      <c r="AD1069" s="43"/>
      <c r="AF1069" s="43"/>
      <c r="AH1069" s="43"/>
      <c r="AJ1069" s="43"/>
      <c r="AL1069" s="43"/>
      <c r="AO1069" s="43"/>
      <c r="AP1069" s="1"/>
      <c r="AQ1069" s="43"/>
      <c r="AR1069" s="123"/>
      <c r="AS1069" s="1"/>
      <c r="AT1069" s="1"/>
    </row>
    <row r="1070">
      <c r="A1070" s="43"/>
      <c r="B1070" s="59"/>
      <c r="C1070" s="51"/>
      <c r="D1070" s="43"/>
      <c r="E1070" s="85"/>
      <c r="F1070" s="43"/>
      <c r="G1070" s="85"/>
      <c r="H1070" s="43"/>
      <c r="I1070" s="85"/>
      <c r="J1070" s="43"/>
      <c r="L1070" s="43"/>
      <c r="N1070" s="43"/>
      <c r="P1070" s="43"/>
      <c r="R1070" s="43"/>
      <c r="T1070" s="43"/>
      <c r="V1070" s="43"/>
      <c r="X1070" s="43"/>
      <c r="Z1070" s="43"/>
      <c r="AB1070" s="43"/>
      <c r="AD1070" s="43"/>
      <c r="AF1070" s="43"/>
      <c r="AH1070" s="43"/>
      <c r="AJ1070" s="43"/>
      <c r="AL1070" s="43"/>
      <c r="AO1070" s="43"/>
      <c r="AP1070" s="1"/>
      <c r="AQ1070" s="43"/>
      <c r="AR1070" s="123"/>
      <c r="AS1070" s="1"/>
      <c r="AT1070" s="1"/>
    </row>
    <row r="1071">
      <c r="A1071" s="43"/>
      <c r="B1071" s="59"/>
      <c r="C1071" s="51"/>
      <c r="D1071" s="43"/>
      <c r="E1071" s="85"/>
      <c r="F1071" s="43"/>
      <c r="G1071" s="85"/>
      <c r="H1071" s="43"/>
      <c r="I1071" s="85"/>
      <c r="J1071" s="43"/>
      <c r="L1071" s="43"/>
      <c r="N1071" s="43"/>
      <c r="P1071" s="43"/>
      <c r="R1071" s="43"/>
      <c r="T1071" s="43"/>
      <c r="V1071" s="43"/>
      <c r="X1071" s="43"/>
      <c r="Z1071" s="43"/>
      <c r="AB1071" s="43"/>
      <c r="AD1071" s="43"/>
      <c r="AF1071" s="43"/>
      <c r="AH1071" s="43"/>
      <c r="AJ1071" s="43"/>
      <c r="AL1071" s="43"/>
      <c r="AO1071" s="43"/>
      <c r="AP1071" s="1"/>
      <c r="AQ1071" s="43"/>
      <c r="AR1071" s="123"/>
      <c r="AS1071" s="1"/>
      <c r="AT1071" s="1"/>
    </row>
    <row r="1072">
      <c r="A1072" s="43"/>
      <c r="B1072" s="59"/>
      <c r="C1072" s="51"/>
      <c r="D1072" s="43"/>
      <c r="E1072" s="85"/>
      <c r="F1072" s="43"/>
      <c r="G1072" s="85"/>
      <c r="H1072" s="43"/>
      <c r="I1072" s="85"/>
      <c r="J1072" s="43"/>
      <c r="L1072" s="43"/>
      <c r="N1072" s="43"/>
      <c r="P1072" s="43"/>
      <c r="R1072" s="43"/>
      <c r="T1072" s="43"/>
      <c r="V1072" s="43"/>
      <c r="X1072" s="43"/>
      <c r="Z1072" s="43"/>
      <c r="AB1072" s="43"/>
      <c r="AD1072" s="43"/>
      <c r="AF1072" s="43"/>
      <c r="AH1072" s="43"/>
      <c r="AJ1072" s="43"/>
      <c r="AL1072" s="43"/>
      <c r="AO1072" s="43"/>
      <c r="AP1072" s="1"/>
      <c r="AQ1072" s="43"/>
      <c r="AR1072" s="123"/>
      <c r="AS1072" s="1"/>
      <c r="AT1072" s="1"/>
    </row>
    <row r="1073">
      <c r="A1073" s="43"/>
      <c r="B1073" s="59"/>
      <c r="C1073" s="51"/>
      <c r="D1073" s="43"/>
      <c r="E1073" s="85"/>
      <c r="F1073" s="43"/>
      <c r="G1073" s="85"/>
      <c r="H1073" s="43"/>
      <c r="I1073" s="85"/>
      <c r="J1073" s="43"/>
      <c r="L1073" s="43"/>
      <c r="N1073" s="43"/>
      <c r="P1073" s="43"/>
      <c r="R1073" s="43"/>
      <c r="T1073" s="43"/>
      <c r="V1073" s="43"/>
      <c r="X1073" s="43"/>
      <c r="Z1073" s="43"/>
      <c r="AB1073" s="43"/>
      <c r="AD1073" s="43"/>
      <c r="AF1073" s="43"/>
      <c r="AH1073" s="43"/>
      <c r="AJ1073" s="43"/>
      <c r="AL1073" s="43"/>
      <c r="AO1073" s="43"/>
      <c r="AP1073" s="1"/>
      <c r="AQ1073" s="43"/>
      <c r="AR1073" s="123"/>
      <c r="AS1073" s="1"/>
      <c r="AT1073" s="1"/>
    </row>
    <row r="1074">
      <c r="A1074" s="43"/>
      <c r="B1074" s="59"/>
      <c r="C1074" s="51"/>
      <c r="D1074" s="43"/>
      <c r="E1074" s="85"/>
      <c r="F1074" s="43"/>
      <c r="G1074" s="85"/>
      <c r="H1074" s="43"/>
      <c r="I1074" s="85"/>
      <c r="J1074" s="43"/>
      <c r="L1074" s="43"/>
      <c r="N1074" s="43"/>
      <c r="P1074" s="43"/>
      <c r="R1074" s="43"/>
      <c r="T1074" s="43"/>
      <c r="V1074" s="43"/>
      <c r="X1074" s="43"/>
      <c r="Z1074" s="43"/>
      <c r="AB1074" s="43"/>
      <c r="AD1074" s="43"/>
      <c r="AF1074" s="43"/>
      <c r="AH1074" s="43"/>
      <c r="AJ1074" s="43"/>
      <c r="AL1074" s="43"/>
      <c r="AO1074" s="43"/>
      <c r="AP1074" s="1"/>
      <c r="AQ1074" s="43"/>
      <c r="AR1074" s="123"/>
      <c r="AS1074" s="1"/>
      <c r="AT1074" s="1"/>
    </row>
    <row r="1075">
      <c r="A1075" s="43"/>
      <c r="B1075" s="59"/>
      <c r="C1075" s="51"/>
      <c r="D1075" s="43"/>
      <c r="E1075" s="85"/>
      <c r="F1075" s="43"/>
      <c r="G1075" s="85"/>
      <c r="H1075" s="43"/>
      <c r="I1075" s="85"/>
      <c r="J1075" s="43"/>
      <c r="L1075" s="43"/>
      <c r="N1075" s="43"/>
      <c r="P1075" s="43"/>
      <c r="R1075" s="43"/>
      <c r="T1075" s="43"/>
      <c r="V1075" s="43"/>
      <c r="X1075" s="43"/>
      <c r="Z1075" s="43"/>
      <c r="AB1075" s="43"/>
      <c r="AD1075" s="43"/>
      <c r="AF1075" s="43"/>
      <c r="AH1075" s="43"/>
      <c r="AJ1075" s="43"/>
      <c r="AL1075" s="43"/>
      <c r="AO1075" s="43"/>
      <c r="AP1075" s="1"/>
      <c r="AQ1075" s="43"/>
      <c r="AR1075" s="123"/>
      <c r="AS1075" s="1"/>
      <c r="AT1075" s="1"/>
    </row>
    <row r="1076">
      <c r="A1076" s="43"/>
      <c r="B1076" s="59"/>
      <c r="C1076" s="51"/>
      <c r="D1076" s="43"/>
      <c r="E1076" s="85"/>
      <c r="F1076" s="43"/>
      <c r="G1076" s="85"/>
      <c r="H1076" s="43"/>
      <c r="I1076" s="85"/>
      <c r="J1076" s="43"/>
      <c r="L1076" s="43"/>
      <c r="N1076" s="43"/>
      <c r="P1076" s="43"/>
      <c r="R1076" s="43"/>
      <c r="T1076" s="43"/>
      <c r="V1076" s="43"/>
      <c r="X1076" s="43"/>
      <c r="Z1076" s="43"/>
      <c r="AB1076" s="43"/>
      <c r="AD1076" s="43"/>
      <c r="AF1076" s="43"/>
      <c r="AH1076" s="43"/>
      <c r="AJ1076" s="43"/>
      <c r="AL1076" s="43"/>
      <c r="AO1076" s="43"/>
      <c r="AP1076" s="1"/>
      <c r="AQ1076" s="43"/>
      <c r="AR1076" s="123"/>
      <c r="AS1076" s="1"/>
      <c r="AT1076" s="1"/>
    </row>
    <row r="1077">
      <c r="A1077" s="43"/>
      <c r="B1077" s="59"/>
      <c r="C1077" s="51"/>
      <c r="D1077" s="43"/>
      <c r="E1077" s="85"/>
      <c r="F1077" s="43"/>
      <c r="G1077" s="85"/>
      <c r="H1077" s="43"/>
      <c r="I1077" s="85"/>
      <c r="J1077" s="43"/>
      <c r="L1077" s="43"/>
      <c r="N1077" s="43"/>
      <c r="P1077" s="43"/>
      <c r="R1077" s="43"/>
      <c r="T1077" s="43"/>
      <c r="V1077" s="43"/>
      <c r="X1077" s="43"/>
      <c r="Z1077" s="43"/>
      <c r="AB1077" s="43"/>
      <c r="AD1077" s="43"/>
      <c r="AF1077" s="43"/>
      <c r="AH1077" s="43"/>
      <c r="AJ1077" s="43"/>
      <c r="AL1077" s="43"/>
      <c r="AO1077" s="43"/>
      <c r="AP1077" s="1"/>
      <c r="AQ1077" s="43"/>
      <c r="AR1077" s="123"/>
      <c r="AS1077" s="1"/>
      <c r="AT1077" s="1"/>
    </row>
    <row r="1078">
      <c r="A1078" s="43"/>
      <c r="B1078" s="59"/>
      <c r="C1078" s="51"/>
      <c r="D1078" s="43"/>
      <c r="E1078" s="85"/>
      <c r="F1078" s="43"/>
      <c r="G1078" s="85"/>
      <c r="H1078" s="43"/>
      <c r="I1078" s="85"/>
      <c r="J1078" s="43"/>
      <c r="L1078" s="43"/>
      <c r="N1078" s="43"/>
      <c r="P1078" s="43"/>
      <c r="R1078" s="43"/>
      <c r="T1078" s="43"/>
      <c r="V1078" s="43"/>
      <c r="X1078" s="43"/>
      <c r="Z1078" s="43"/>
      <c r="AB1078" s="43"/>
      <c r="AD1078" s="43"/>
      <c r="AF1078" s="43"/>
      <c r="AH1078" s="43"/>
      <c r="AJ1078" s="43"/>
      <c r="AL1078" s="43"/>
      <c r="AO1078" s="43"/>
      <c r="AP1078" s="1"/>
      <c r="AQ1078" s="43"/>
      <c r="AR1078" s="123"/>
      <c r="AS1078" s="1"/>
      <c r="AT1078" s="1"/>
    </row>
    <row r="1079">
      <c r="A1079" s="43"/>
      <c r="B1079" s="59"/>
      <c r="C1079" s="51"/>
      <c r="D1079" s="43"/>
      <c r="E1079" s="85"/>
      <c r="F1079" s="43"/>
      <c r="G1079" s="85"/>
      <c r="H1079" s="43"/>
      <c r="I1079" s="85"/>
      <c r="J1079" s="43"/>
      <c r="L1079" s="43"/>
      <c r="N1079" s="43"/>
      <c r="P1079" s="43"/>
      <c r="R1079" s="43"/>
      <c r="T1079" s="43"/>
      <c r="V1079" s="43"/>
      <c r="X1079" s="43"/>
      <c r="Z1079" s="43"/>
      <c r="AB1079" s="43"/>
      <c r="AD1079" s="43"/>
      <c r="AF1079" s="43"/>
      <c r="AH1079" s="43"/>
      <c r="AJ1079" s="43"/>
      <c r="AL1079" s="43"/>
      <c r="AO1079" s="43"/>
      <c r="AP1079" s="1"/>
      <c r="AQ1079" s="43"/>
      <c r="AR1079" s="123"/>
      <c r="AS1079" s="1"/>
      <c r="AT1079" s="1"/>
    </row>
    <row r="1080">
      <c r="A1080" s="43"/>
      <c r="B1080" s="59"/>
      <c r="C1080" s="51"/>
      <c r="D1080" s="43"/>
      <c r="E1080" s="85"/>
      <c r="F1080" s="43"/>
      <c r="G1080" s="85"/>
      <c r="H1080" s="43"/>
      <c r="I1080" s="85"/>
      <c r="J1080" s="43"/>
      <c r="L1080" s="43"/>
      <c r="N1080" s="43"/>
      <c r="P1080" s="43"/>
      <c r="R1080" s="43"/>
      <c r="T1080" s="43"/>
      <c r="V1080" s="43"/>
      <c r="X1080" s="43"/>
      <c r="Z1080" s="43"/>
      <c r="AB1080" s="43"/>
      <c r="AD1080" s="43"/>
      <c r="AF1080" s="43"/>
      <c r="AH1080" s="43"/>
      <c r="AJ1080" s="43"/>
      <c r="AL1080" s="43"/>
      <c r="AO1080" s="43"/>
      <c r="AP1080" s="1"/>
      <c r="AQ1080" s="43"/>
      <c r="AR1080" s="123"/>
      <c r="AS1080" s="1"/>
      <c r="AT1080" s="1"/>
    </row>
    <row r="1081">
      <c r="A1081" s="43"/>
      <c r="B1081" s="59"/>
      <c r="C1081" s="51"/>
      <c r="D1081" s="43"/>
      <c r="E1081" s="85"/>
      <c r="F1081" s="43"/>
      <c r="G1081" s="85"/>
      <c r="H1081" s="43"/>
      <c r="I1081" s="85"/>
      <c r="J1081" s="43"/>
      <c r="L1081" s="43"/>
      <c r="N1081" s="43"/>
      <c r="P1081" s="43"/>
      <c r="R1081" s="43"/>
      <c r="T1081" s="43"/>
      <c r="V1081" s="43"/>
      <c r="X1081" s="43"/>
      <c r="Z1081" s="43"/>
      <c r="AB1081" s="43"/>
      <c r="AD1081" s="43"/>
      <c r="AF1081" s="43"/>
      <c r="AH1081" s="43"/>
      <c r="AJ1081" s="43"/>
      <c r="AL1081" s="43"/>
      <c r="AO1081" s="43"/>
      <c r="AP1081" s="1"/>
      <c r="AQ1081" s="43"/>
      <c r="AR1081" s="123"/>
      <c r="AS1081" s="1"/>
      <c r="AT1081" s="1"/>
    </row>
    <row r="1082">
      <c r="A1082" s="43"/>
      <c r="B1082" s="59"/>
      <c r="C1082" s="51"/>
      <c r="D1082" s="43"/>
      <c r="E1082" s="85"/>
      <c r="F1082" s="43"/>
      <c r="G1082" s="85"/>
      <c r="H1082" s="43"/>
      <c r="I1082" s="85"/>
      <c r="J1082" s="43"/>
      <c r="L1082" s="43"/>
      <c r="N1082" s="43"/>
      <c r="P1082" s="43"/>
      <c r="R1082" s="43"/>
      <c r="T1082" s="43"/>
      <c r="V1082" s="43"/>
      <c r="X1082" s="43"/>
      <c r="Z1082" s="43"/>
      <c r="AB1082" s="43"/>
      <c r="AD1082" s="43"/>
      <c r="AF1082" s="43"/>
      <c r="AH1082" s="43"/>
      <c r="AJ1082" s="43"/>
      <c r="AL1082" s="43"/>
      <c r="AO1082" s="43"/>
      <c r="AP1082" s="1"/>
      <c r="AQ1082" s="43"/>
      <c r="AR1082" s="123"/>
      <c r="AS1082" s="1"/>
      <c r="AT1082" s="1"/>
    </row>
    <row r="1083">
      <c r="A1083" s="43"/>
      <c r="B1083" s="59"/>
      <c r="C1083" s="51"/>
      <c r="D1083" s="43"/>
      <c r="E1083" s="85"/>
      <c r="F1083" s="43"/>
      <c r="G1083" s="85"/>
      <c r="H1083" s="43"/>
      <c r="I1083" s="85"/>
      <c r="J1083" s="43"/>
      <c r="L1083" s="43"/>
      <c r="N1083" s="43"/>
      <c r="P1083" s="43"/>
      <c r="R1083" s="43"/>
      <c r="T1083" s="43"/>
      <c r="V1083" s="43"/>
      <c r="X1083" s="43"/>
      <c r="Z1083" s="43"/>
      <c r="AB1083" s="43"/>
      <c r="AD1083" s="43"/>
      <c r="AF1083" s="43"/>
      <c r="AH1083" s="43"/>
      <c r="AJ1083" s="43"/>
      <c r="AL1083" s="43"/>
      <c r="AO1083" s="43"/>
      <c r="AP1083" s="1"/>
      <c r="AQ1083" s="43"/>
      <c r="AR1083" s="123"/>
      <c r="AS1083" s="1"/>
      <c r="AT1083" s="1"/>
    </row>
    <row r="1084">
      <c r="A1084" s="43"/>
      <c r="B1084" s="59"/>
      <c r="C1084" s="51"/>
      <c r="D1084" s="43"/>
      <c r="E1084" s="85"/>
      <c r="F1084" s="43"/>
      <c r="G1084" s="85"/>
      <c r="H1084" s="43"/>
      <c r="I1084" s="85"/>
      <c r="J1084" s="43"/>
      <c r="L1084" s="43"/>
      <c r="N1084" s="43"/>
      <c r="P1084" s="43"/>
      <c r="R1084" s="43"/>
      <c r="T1084" s="43"/>
      <c r="V1084" s="43"/>
      <c r="X1084" s="43"/>
      <c r="Z1084" s="43"/>
      <c r="AB1084" s="43"/>
      <c r="AD1084" s="43"/>
      <c r="AF1084" s="43"/>
      <c r="AH1084" s="43"/>
      <c r="AJ1084" s="43"/>
      <c r="AL1084" s="43"/>
      <c r="AO1084" s="43"/>
      <c r="AP1084" s="1"/>
      <c r="AQ1084" s="43"/>
      <c r="AR1084" s="123"/>
      <c r="AS1084" s="1"/>
      <c r="AT1084" s="1"/>
    </row>
    <row r="1085">
      <c r="A1085" s="43"/>
      <c r="B1085" s="59"/>
      <c r="C1085" s="51"/>
      <c r="D1085" s="43"/>
      <c r="E1085" s="85"/>
      <c r="F1085" s="43"/>
      <c r="G1085" s="85"/>
      <c r="H1085" s="43"/>
      <c r="I1085" s="85"/>
      <c r="J1085" s="43"/>
      <c r="L1085" s="43"/>
      <c r="N1085" s="43"/>
      <c r="P1085" s="43"/>
      <c r="R1085" s="43"/>
      <c r="T1085" s="43"/>
      <c r="V1085" s="43"/>
      <c r="X1085" s="43"/>
      <c r="Z1085" s="43"/>
      <c r="AB1085" s="43"/>
      <c r="AD1085" s="43"/>
      <c r="AF1085" s="43"/>
      <c r="AH1085" s="43"/>
      <c r="AJ1085" s="43"/>
      <c r="AL1085" s="43"/>
      <c r="AO1085" s="43"/>
      <c r="AP1085" s="1"/>
      <c r="AQ1085" s="43"/>
      <c r="AR1085" s="123"/>
      <c r="AS1085" s="1"/>
      <c r="AT1085" s="1"/>
    </row>
    <row r="1086">
      <c r="A1086" s="43"/>
      <c r="B1086" s="59"/>
      <c r="C1086" s="51"/>
      <c r="D1086" s="43"/>
      <c r="E1086" s="85"/>
      <c r="F1086" s="43"/>
      <c r="G1086" s="85"/>
      <c r="H1086" s="43"/>
      <c r="I1086" s="85"/>
      <c r="J1086" s="43"/>
      <c r="L1086" s="43"/>
      <c r="N1086" s="43"/>
      <c r="P1086" s="43"/>
      <c r="R1086" s="43"/>
      <c r="T1086" s="43"/>
      <c r="V1086" s="43"/>
      <c r="X1086" s="43"/>
      <c r="Z1086" s="43"/>
      <c r="AB1086" s="43"/>
      <c r="AD1086" s="43"/>
      <c r="AF1086" s="43"/>
      <c r="AH1086" s="43"/>
      <c r="AJ1086" s="43"/>
      <c r="AL1086" s="43"/>
      <c r="AO1086" s="43"/>
      <c r="AP1086" s="1"/>
      <c r="AQ1086" s="43"/>
      <c r="AR1086" s="123"/>
      <c r="AS1086" s="1"/>
      <c r="AT1086" s="1"/>
    </row>
    <row r="1087">
      <c r="A1087" s="43"/>
      <c r="B1087" s="59"/>
      <c r="C1087" s="51"/>
      <c r="D1087" s="43"/>
      <c r="E1087" s="85"/>
      <c r="F1087" s="43"/>
      <c r="G1087" s="85"/>
      <c r="H1087" s="43"/>
      <c r="I1087" s="85"/>
      <c r="J1087" s="43"/>
      <c r="L1087" s="43"/>
      <c r="N1087" s="43"/>
      <c r="P1087" s="43"/>
      <c r="R1087" s="43"/>
      <c r="T1087" s="43"/>
      <c r="V1087" s="43"/>
      <c r="X1087" s="43"/>
      <c r="Z1087" s="43"/>
      <c r="AB1087" s="43"/>
      <c r="AD1087" s="43"/>
      <c r="AF1087" s="43"/>
      <c r="AH1087" s="43"/>
      <c r="AJ1087" s="43"/>
      <c r="AL1087" s="43"/>
      <c r="AO1087" s="43"/>
      <c r="AP1087" s="1"/>
      <c r="AQ1087" s="43"/>
      <c r="AR1087" s="123"/>
      <c r="AS1087" s="1"/>
      <c r="AT1087" s="1"/>
    </row>
    <row r="1088">
      <c r="A1088" s="43"/>
      <c r="B1088" s="59"/>
      <c r="C1088" s="51"/>
      <c r="D1088" s="43"/>
      <c r="E1088" s="85"/>
      <c r="F1088" s="43"/>
      <c r="G1088" s="85"/>
      <c r="H1088" s="43"/>
      <c r="I1088" s="85"/>
      <c r="J1088" s="43"/>
      <c r="L1088" s="43"/>
      <c r="N1088" s="43"/>
      <c r="P1088" s="43"/>
      <c r="R1088" s="43"/>
      <c r="T1088" s="43"/>
      <c r="V1088" s="43"/>
      <c r="X1088" s="43"/>
      <c r="Z1088" s="43"/>
      <c r="AB1088" s="43"/>
      <c r="AD1088" s="43"/>
      <c r="AF1088" s="43"/>
      <c r="AH1088" s="43"/>
      <c r="AJ1088" s="43"/>
      <c r="AL1088" s="43"/>
      <c r="AO1088" s="43"/>
      <c r="AP1088" s="1"/>
      <c r="AQ1088" s="43"/>
      <c r="AR1088" s="123"/>
      <c r="AS1088" s="1"/>
      <c r="AT1088" s="1"/>
    </row>
    <row r="1089">
      <c r="A1089" s="43"/>
      <c r="B1089" s="59"/>
      <c r="C1089" s="51"/>
      <c r="D1089" s="43"/>
      <c r="E1089" s="85"/>
      <c r="F1089" s="43"/>
      <c r="G1089" s="85"/>
      <c r="H1089" s="43"/>
      <c r="I1089" s="85"/>
      <c r="J1089" s="43"/>
      <c r="L1089" s="43"/>
      <c r="N1089" s="43"/>
      <c r="P1089" s="43"/>
      <c r="R1089" s="43"/>
      <c r="T1089" s="43"/>
      <c r="V1089" s="43"/>
      <c r="X1089" s="43"/>
      <c r="Z1089" s="43"/>
      <c r="AB1089" s="43"/>
      <c r="AD1089" s="43"/>
      <c r="AF1089" s="43"/>
      <c r="AH1089" s="43"/>
      <c r="AJ1089" s="43"/>
      <c r="AL1089" s="43"/>
      <c r="AO1089" s="43"/>
      <c r="AP1089" s="1"/>
      <c r="AQ1089" s="43"/>
      <c r="AR1089" s="123"/>
      <c r="AS1089" s="1"/>
      <c r="AT1089" s="1"/>
    </row>
    <row r="1090">
      <c r="A1090" s="43"/>
      <c r="B1090" s="59"/>
      <c r="C1090" s="51"/>
      <c r="D1090" s="43"/>
      <c r="E1090" s="85"/>
      <c r="F1090" s="43"/>
      <c r="G1090" s="85"/>
      <c r="H1090" s="43"/>
      <c r="I1090" s="85"/>
      <c r="J1090" s="43"/>
      <c r="L1090" s="43"/>
      <c r="N1090" s="43"/>
      <c r="P1090" s="43"/>
      <c r="R1090" s="43"/>
      <c r="T1090" s="43"/>
      <c r="V1090" s="43"/>
      <c r="X1090" s="43"/>
      <c r="Z1090" s="43"/>
      <c r="AB1090" s="43"/>
      <c r="AD1090" s="43"/>
      <c r="AF1090" s="43"/>
      <c r="AH1090" s="43"/>
      <c r="AJ1090" s="43"/>
      <c r="AL1090" s="43"/>
      <c r="AO1090" s="43"/>
      <c r="AP1090" s="1"/>
      <c r="AQ1090" s="43"/>
      <c r="AR1090" s="123"/>
      <c r="AS1090" s="1"/>
      <c r="AT1090" s="1"/>
    </row>
    <row r="1091">
      <c r="A1091" s="43"/>
      <c r="B1091" s="59"/>
      <c r="C1091" s="51"/>
      <c r="D1091" s="43"/>
      <c r="E1091" s="85"/>
      <c r="F1091" s="43"/>
      <c r="G1091" s="85"/>
      <c r="H1091" s="43"/>
      <c r="I1091" s="85"/>
      <c r="J1091" s="43"/>
      <c r="L1091" s="43"/>
      <c r="N1091" s="43"/>
      <c r="P1091" s="43"/>
      <c r="R1091" s="43"/>
      <c r="T1091" s="43"/>
      <c r="V1091" s="43"/>
      <c r="X1091" s="43"/>
      <c r="Z1091" s="43"/>
      <c r="AB1091" s="43"/>
      <c r="AD1091" s="43"/>
      <c r="AF1091" s="43"/>
      <c r="AH1091" s="43"/>
      <c r="AJ1091" s="43"/>
      <c r="AL1091" s="43"/>
      <c r="AO1091" s="43"/>
      <c r="AP1091" s="1"/>
      <c r="AQ1091" s="43"/>
      <c r="AR1091" s="123"/>
      <c r="AS1091" s="1"/>
      <c r="AT1091" s="1"/>
    </row>
    <row r="1092">
      <c r="A1092" s="43"/>
      <c r="B1092" s="59"/>
      <c r="C1092" s="51"/>
      <c r="D1092" s="43"/>
      <c r="E1092" s="85"/>
      <c r="F1092" s="43"/>
      <c r="G1092" s="85"/>
      <c r="H1092" s="43"/>
      <c r="I1092" s="85"/>
      <c r="J1092" s="43"/>
      <c r="L1092" s="43"/>
      <c r="N1092" s="43"/>
      <c r="P1092" s="43"/>
      <c r="R1092" s="43"/>
      <c r="T1092" s="43"/>
      <c r="V1092" s="43"/>
      <c r="X1092" s="43"/>
      <c r="Z1092" s="43"/>
      <c r="AB1092" s="43"/>
      <c r="AD1092" s="43"/>
      <c r="AF1092" s="43"/>
      <c r="AH1092" s="43"/>
      <c r="AJ1092" s="43"/>
      <c r="AL1092" s="43"/>
      <c r="AO1092" s="43"/>
      <c r="AP1092" s="1"/>
      <c r="AQ1092" s="43"/>
      <c r="AR1092" s="123"/>
      <c r="AS1092" s="1"/>
      <c r="AT1092" s="1"/>
    </row>
    <row r="1093">
      <c r="A1093" s="43"/>
      <c r="B1093" s="59"/>
      <c r="C1093" s="51"/>
      <c r="D1093" s="43"/>
      <c r="E1093" s="85"/>
      <c r="F1093" s="43"/>
      <c r="G1093" s="85"/>
      <c r="H1093" s="43"/>
      <c r="I1093" s="85"/>
      <c r="J1093" s="43"/>
      <c r="L1093" s="43"/>
      <c r="N1093" s="43"/>
      <c r="P1093" s="43"/>
      <c r="R1093" s="43"/>
      <c r="T1093" s="43"/>
      <c r="V1093" s="43"/>
      <c r="X1093" s="43"/>
      <c r="Z1093" s="43"/>
      <c r="AB1093" s="43"/>
      <c r="AD1093" s="43"/>
      <c r="AF1093" s="43"/>
      <c r="AH1093" s="43"/>
      <c r="AJ1093" s="43"/>
      <c r="AL1093" s="43"/>
      <c r="AO1093" s="43"/>
      <c r="AP1093" s="1"/>
      <c r="AQ1093" s="43"/>
      <c r="AR1093" s="123"/>
      <c r="AS1093" s="1"/>
      <c r="AT1093" s="1"/>
    </row>
    <row r="1094">
      <c r="A1094" s="43"/>
      <c r="B1094" s="59"/>
      <c r="C1094" s="51"/>
      <c r="D1094" s="43"/>
      <c r="E1094" s="85"/>
      <c r="F1094" s="43"/>
      <c r="G1094" s="85"/>
      <c r="H1094" s="43"/>
      <c r="I1094" s="85"/>
      <c r="J1094" s="43"/>
      <c r="L1094" s="43"/>
      <c r="N1094" s="43"/>
      <c r="P1094" s="43"/>
      <c r="R1094" s="43"/>
      <c r="T1094" s="43"/>
      <c r="V1094" s="43"/>
      <c r="X1094" s="43"/>
      <c r="Z1094" s="43"/>
      <c r="AB1094" s="43"/>
      <c r="AD1094" s="43"/>
      <c r="AF1094" s="43"/>
      <c r="AH1094" s="43"/>
      <c r="AJ1094" s="43"/>
      <c r="AL1094" s="43"/>
      <c r="AO1094" s="43"/>
      <c r="AP1094" s="1"/>
      <c r="AQ1094" s="43"/>
      <c r="AR1094" s="123"/>
      <c r="AS1094" s="1"/>
      <c r="AT1094" s="1"/>
    </row>
    <row r="1095">
      <c r="A1095" s="43"/>
      <c r="B1095" s="59"/>
      <c r="C1095" s="51"/>
      <c r="D1095" s="43"/>
      <c r="E1095" s="85"/>
      <c r="F1095" s="43"/>
      <c r="G1095" s="85"/>
      <c r="H1095" s="43"/>
      <c r="I1095" s="85"/>
      <c r="J1095" s="43"/>
      <c r="L1095" s="43"/>
      <c r="N1095" s="43"/>
      <c r="P1095" s="43"/>
      <c r="R1095" s="43"/>
      <c r="T1095" s="43"/>
      <c r="V1095" s="43"/>
      <c r="X1095" s="43"/>
      <c r="Z1095" s="43"/>
      <c r="AB1095" s="43"/>
      <c r="AD1095" s="43"/>
      <c r="AF1095" s="43"/>
      <c r="AH1095" s="43"/>
      <c r="AJ1095" s="43"/>
      <c r="AL1095" s="43"/>
      <c r="AO1095" s="43"/>
      <c r="AP1095" s="1"/>
      <c r="AQ1095" s="43"/>
      <c r="AR1095" s="123"/>
      <c r="AS1095" s="1"/>
      <c r="AT1095" s="1"/>
    </row>
    <row r="1096">
      <c r="A1096" s="43"/>
      <c r="B1096" s="59"/>
      <c r="C1096" s="51"/>
      <c r="D1096" s="43"/>
      <c r="E1096" s="85"/>
      <c r="F1096" s="43"/>
      <c r="G1096" s="85"/>
      <c r="H1096" s="43"/>
      <c r="I1096" s="85"/>
      <c r="J1096" s="43"/>
      <c r="L1096" s="43"/>
      <c r="N1096" s="43"/>
      <c r="P1096" s="43"/>
      <c r="R1096" s="43"/>
      <c r="T1096" s="43"/>
      <c r="V1096" s="43"/>
      <c r="X1096" s="43"/>
      <c r="Z1096" s="43"/>
      <c r="AB1096" s="43"/>
      <c r="AD1096" s="43"/>
      <c r="AF1096" s="43"/>
      <c r="AH1096" s="43"/>
      <c r="AJ1096" s="43"/>
      <c r="AL1096" s="43"/>
      <c r="AO1096" s="43"/>
      <c r="AP1096" s="1"/>
      <c r="AQ1096" s="43"/>
      <c r="AR1096" s="123"/>
      <c r="AS1096" s="1"/>
      <c r="AT1096" s="1"/>
    </row>
    <row r="1097">
      <c r="A1097" s="43"/>
      <c r="B1097" s="59"/>
      <c r="C1097" s="51"/>
      <c r="D1097" s="43"/>
      <c r="E1097" s="85"/>
      <c r="F1097" s="43"/>
      <c r="G1097" s="85"/>
      <c r="H1097" s="43"/>
      <c r="I1097" s="85"/>
      <c r="J1097" s="43"/>
      <c r="L1097" s="43"/>
      <c r="N1097" s="43"/>
      <c r="P1097" s="43"/>
      <c r="R1097" s="43"/>
      <c r="T1097" s="43"/>
      <c r="V1097" s="43"/>
      <c r="X1097" s="43"/>
      <c r="Z1097" s="43"/>
      <c r="AB1097" s="43"/>
      <c r="AD1097" s="43"/>
      <c r="AF1097" s="43"/>
      <c r="AH1097" s="43"/>
      <c r="AJ1097" s="43"/>
      <c r="AL1097" s="43"/>
      <c r="AO1097" s="43"/>
      <c r="AP1097" s="1"/>
      <c r="AQ1097" s="43"/>
      <c r="AR1097" s="123"/>
      <c r="AS1097" s="1"/>
      <c r="AT1097" s="1"/>
    </row>
    <row r="1098">
      <c r="A1098" s="43"/>
      <c r="B1098" s="59"/>
      <c r="C1098" s="51"/>
      <c r="D1098" s="43"/>
      <c r="E1098" s="85"/>
      <c r="F1098" s="43"/>
      <c r="G1098" s="85"/>
      <c r="H1098" s="43"/>
      <c r="I1098" s="85"/>
      <c r="J1098" s="43"/>
      <c r="L1098" s="43"/>
      <c r="N1098" s="43"/>
      <c r="P1098" s="43"/>
      <c r="R1098" s="43"/>
      <c r="T1098" s="43"/>
      <c r="V1098" s="43"/>
      <c r="X1098" s="43"/>
      <c r="Z1098" s="43"/>
      <c r="AB1098" s="43"/>
      <c r="AD1098" s="43"/>
      <c r="AF1098" s="43"/>
      <c r="AH1098" s="43"/>
      <c r="AJ1098" s="43"/>
      <c r="AL1098" s="43"/>
      <c r="AO1098" s="43"/>
      <c r="AP1098" s="1"/>
      <c r="AQ1098" s="43"/>
      <c r="AR1098" s="123"/>
      <c r="AS1098" s="1"/>
      <c r="AT1098" s="1"/>
    </row>
    <row r="1099">
      <c r="A1099" s="43"/>
      <c r="B1099" s="59"/>
      <c r="C1099" s="51"/>
      <c r="D1099" s="43"/>
      <c r="E1099" s="85"/>
      <c r="F1099" s="43"/>
      <c r="G1099" s="85"/>
      <c r="H1099" s="43"/>
      <c r="I1099" s="85"/>
      <c r="J1099" s="43"/>
      <c r="L1099" s="43"/>
      <c r="N1099" s="43"/>
      <c r="P1099" s="43"/>
      <c r="R1099" s="43"/>
      <c r="T1099" s="43"/>
      <c r="V1099" s="43"/>
      <c r="X1099" s="43"/>
      <c r="Z1099" s="43"/>
      <c r="AB1099" s="43"/>
      <c r="AD1099" s="43"/>
      <c r="AF1099" s="43"/>
      <c r="AH1099" s="43"/>
      <c r="AJ1099" s="43"/>
      <c r="AL1099" s="43"/>
      <c r="AO1099" s="43"/>
      <c r="AP1099" s="1"/>
      <c r="AQ1099" s="43"/>
      <c r="AR1099" s="123"/>
      <c r="AS1099" s="1"/>
      <c r="AT1099" s="1"/>
    </row>
    <row r="1100">
      <c r="A1100" s="43"/>
      <c r="B1100" s="59"/>
      <c r="C1100" s="51"/>
      <c r="D1100" s="43"/>
      <c r="E1100" s="85"/>
      <c r="F1100" s="43"/>
      <c r="G1100" s="85"/>
      <c r="H1100" s="43"/>
      <c r="I1100" s="85"/>
      <c r="J1100" s="43"/>
      <c r="L1100" s="43"/>
      <c r="N1100" s="43"/>
      <c r="P1100" s="43"/>
      <c r="R1100" s="43"/>
      <c r="T1100" s="43"/>
      <c r="V1100" s="43"/>
      <c r="X1100" s="43"/>
      <c r="Z1100" s="43"/>
      <c r="AB1100" s="43"/>
      <c r="AD1100" s="43"/>
      <c r="AF1100" s="43"/>
      <c r="AH1100" s="43"/>
      <c r="AJ1100" s="43"/>
      <c r="AL1100" s="43"/>
      <c r="AO1100" s="43"/>
      <c r="AP1100" s="1"/>
      <c r="AQ1100" s="43"/>
      <c r="AR1100" s="123"/>
      <c r="AS1100" s="1"/>
      <c r="AT1100" s="1"/>
    </row>
    <row r="1101">
      <c r="A1101" s="43"/>
      <c r="B1101" s="59"/>
      <c r="C1101" s="51"/>
      <c r="D1101" s="43"/>
      <c r="E1101" s="85"/>
      <c r="F1101" s="43"/>
      <c r="G1101" s="85"/>
      <c r="H1101" s="43"/>
      <c r="I1101" s="85"/>
      <c r="J1101" s="43"/>
      <c r="L1101" s="43"/>
      <c r="N1101" s="43"/>
      <c r="P1101" s="43"/>
      <c r="R1101" s="43"/>
      <c r="T1101" s="43"/>
      <c r="V1101" s="43"/>
      <c r="X1101" s="43"/>
      <c r="Z1101" s="43"/>
      <c r="AB1101" s="43"/>
      <c r="AD1101" s="43"/>
      <c r="AF1101" s="43"/>
      <c r="AH1101" s="43"/>
      <c r="AJ1101" s="43"/>
      <c r="AL1101" s="43"/>
      <c r="AO1101" s="43"/>
      <c r="AP1101" s="1"/>
      <c r="AQ1101" s="43"/>
      <c r="AR1101" s="123"/>
      <c r="AS1101" s="1"/>
      <c r="AT1101" s="1"/>
    </row>
    <row r="1102">
      <c r="A1102" s="43"/>
      <c r="B1102" s="59"/>
      <c r="C1102" s="51"/>
      <c r="D1102" s="43"/>
      <c r="E1102" s="85"/>
      <c r="F1102" s="43"/>
      <c r="G1102" s="85"/>
      <c r="H1102" s="43"/>
      <c r="I1102" s="85"/>
      <c r="J1102" s="43"/>
      <c r="L1102" s="43"/>
      <c r="N1102" s="43"/>
      <c r="P1102" s="43"/>
      <c r="R1102" s="43"/>
      <c r="T1102" s="43"/>
      <c r="V1102" s="43"/>
      <c r="X1102" s="43"/>
      <c r="Z1102" s="43"/>
      <c r="AB1102" s="43"/>
      <c r="AD1102" s="43"/>
      <c r="AF1102" s="43"/>
      <c r="AH1102" s="43"/>
      <c r="AJ1102" s="43"/>
      <c r="AL1102" s="43"/>
      <c r="AO1102" s="43"/>
      <c r="AP1102" s="1"/>
      <c r="AQ1102" s="43"/>
      <c r="AR1102" s="123"/>
      <c r="AS1102" s="1"/>
      <c r="AT1102" s="1"/>
    </row>
    <row r="1103">
      <c r="A1103" s="43"/>
      <c r="B1103" s="59"/>
      <c r="C1103" s="51"/>
      <c r="D1103" s="43"/>
      <c r="E1103" s="85"/>
      <c r="F1103" s="43"/>
      <c r="G1103" s="85"/>
      <c r="H1103" s="43"/>
      <c r="I1103" s="85"/>
      <c r="J1103" s="43"/>
      <c r="L1103" s="43"/>
      <c r="N1103" s="43"/>
      <c r="P1103" s="43"/>
      <c r="R1103" s="43"/>
      <c r="T1103" s="43"/>
      <c r="V1103" s="43"/>
      <c r="X1103" s="43"/>
      <c r="Z1103" s="43"/>
      <c r="AB1103" s="43"/>
      <c r="AD1103" s="43"/>
      <c r="AF1103" s="43"/>
      <c r="AH1103" s="43"/>
      <c r="AJ1103" s="43"/>
      <c r="AL1103" s="43"/>
      <c r="AO1103" s="43"/>
      <c r="AP1103" s="1"/>
      <c r="AQ1103" s="43"/>
      <c r="AR1103" s="123"/>
      <c r="AS1103" s="1"/>
      <c r="AT1103" s="1"/>
    </row>
    <row r="1104">
      <c r="A1104" s="43"/>
      <c r="B1104" s="59"/>
      <c r="C1104" s="51"/>
      <c r="D1104" s="43"/>
      <c r="E1104" s="85"/>
      <c r="F1104" s="43"/>
      <c r="G1104" s="85"/>
      <c r="H1104" s="43"/>
      <c r="I1104" s="85"/>
      <c r="J1104" s="43"/>
      <c r="L1104" s="43"/>
      <c r="N1104" s="43"/>
      <c r="P1104" s="43"/>
      <c r="R1104" s="43"/>
      <c r="T1104" s="43"/>
      <c r="V1104" s="43"/>
      <c r="X1104" s="43"/>
      <c r="Z1104" s="43"/>
      <c r="AB1104" s="43"/>
      <c r="AD1104" s="43"/>
      <c r="AF1104" s="43"/>
      <c r="AH1104" s="43"/>
      <c r="AJ1104" s="43"/>
      <c r="AL1104" s="43"/>
      <c r="AO1104" s="43"/>
      <c r="AP1104" s="1"/>
      <c r="AQ1104" s="43"/>
      <c r="AR1104" s="123"/>
      <c r="AS1104" s="1"/>
      <c r="AT1104" s="1"/>
    </row>
    <row r="1105">
      <c r="A1105" s="43"/>
      <c r="B1105" s="59"/>
      <c r="C1105" s="51"/>
      <c r="D1105" s="43"/>
      <c r="E1105" s="85"/>
      <c r="F1105" s="43"/>
      <c r="G1105" s="85"/>
      <c r="H1105" s="43"/>
      <c r="I1105" s="85"/>
      <c r="J1105" s="43"/>
      <c r="L1105" s="43"/>
      <c r="N1105" s="43"/>
      <c r="P1105" s="43"/>
      <c r="R1105" s="43"/>
      <c r="T1105" s="43"/>
      <c r="V1105" s="43"/>
      <c r="X1105" s="43"/>
      <c r="Z1105" s="43"/>
      <c r="AB1105" s="43"/>
      <c r="AD1105" s="43"/>
      <c r="AF1105" s="43"/>
      <c r="AH1105" s="43"/>
      <c r="AJ1105" s="43"/>
      <c r="AL1105" s="43"/>
      <c r="AO1105" s="43"/>
      <c r="AP1105" s="1"/>
      <c r="AQ1105" s="43"/>
      <c r="AR1105" s="123"/>
      <c r="AS1105" s="1"/>
      <c r="AT1105" s="1"/>
    </row>
    <row r="1106">
      <c r="A1106" s="43"/>
      <c r="B1106" s="59"/>
      <c r="C1106" s="51"/>
      <c r="D1106" s="43"/>
      <c r="E1106" s="85"/>
      <c r="F1106" s="43"/>
      <c r="G1106" s="85"/>
      <c r="H1106" s="43"/>
      <c r="I1106" s="85"/>
      <c r="J1106" s="43"/>
      <c r="L1106" s="43"/>
      <c r="N1106" s="43"/>
      <c r="P1106" s="43"/>
      <c r="R1106" s="43"/>
      <c r="T1106" s="43"/>
      <c r="V1106" s="43"/>
      <c r="X1106" s="43"/>
      <c r="Z1106" s="43"/>
      <c r="AB1106" s="43"/>
      <c r="AD1106" s="43"/>
      <c r="AF1106" s="43"/>
      <c r="AH1106" s="43"/>
      <c r="AJ1106" s="43"/>
      <c r="AL1106" s="43"/>
      <c r="AO1106" s="43"/>
      <c r="AP1106" s="1"/>
      <c r="AQ1106" s="43"/>
      <c r="AR1106" s="123"/>
      <c r="AS1106" s="1"/>
      <c r="AT1106" s="1"/>
    </row>
    <row r="1107">
      <c r="A1107" s="43"/>
      <c r="B1107" s="59"/>
      <c r="C1107" s="51"/>
      <c r="D1107" s="43"/>
      <c r="E1107" s="85"/>
      <c r="F1107" s="43"/>
      <c r="G1107" s="85"/>
      <c r="H1107" s="43"/>
      <c r="I1107" s="85"/>
      <c r="J1107" s="43"/>
      <c r="L1107" s="43"/>
      <c r="N1107" s="43"/>
      <c r="P1107" s="43"/>
      <c r="R1107" s="43"/>
      <c r="T1107" s="43"/>
      <c r="V1107" s="43"/>
      <c r="X1107" s="43"/>
      <c r="Z1107" s="43"/>
      <c r="AB1107" s="43"/>
      <c r="AD1107" s="43"/>
      <c r="AF1107" s="43"/>
      <c r="AH1107" s="43"/>
      <c r="AJ1107" s="43"/>
      <c r="AL1107" s="43"/>
      <c r="AO1107" s="43"/>
      <c r="AP1107" s="1"/>
      <c r="AQ1107" s="43"/>
      <c r="AR1107" s="123"/>
      <c r="AS1107" s="1"/>
      <c r="AT1107" s="1"/>
    </row>
    <row r="1108">
      <c r="A1108" s="43"/>
      <c r="B1108" s="59"/>
      <c r="C1108" s="51"/>
      <c r="D1108" s="43"/>
      <c r="E1108" s="85"/>
      <c r="F1108" s="43"/>
      <c r="G1108" s="85"/>
      <c r="H1108" s="43"/>
      <c r="I1108" s="85"/>
      <c r="J1108" s="43"/>
      <c r="L1108" s="43"/>
      <c r="N1108" s="43"/>
      <c r="P1108" s="43"/>
      <c r="R1108" s="43"/>
      <c r="T1108" s="43"/>
      <c r="V1108" s="43"/>
      <c r="X1108" s="43"/>
      <c r="Z1108" s="43"/>
      <c r="AB1108" s="43"/>
      <c r="AD1108" s="43"/>
      <c r="AF1108" s="43"/>
      <c r="AH1108" s="43"/>
      <c r="AJ1108" s="43"/>
      <c r="AL1108" s="43"/>
      <c r="AO1108" s="43"/>
      <c r="AP1108" s="1"/>
      <c r="AQ1108" s="43"/>
      <c r="AR1108" s="123"/>
      <c r="AS1108" s="1"/>
      <c r="AT1108" s="1"/>
    </row>
    <row r="1109">
      <c r="A1109" s="43"/>
      <c r="B1109" s="59"/>
      <c r="C1109" s="51"/>
      <c r="D1109" s="43"/>
      <c r="E1109" s="85"/>
      <c r="F1109" s="43"/>
      <c r="G1109" s="85"/>
      <c r="H1109" s="43"/>
      <c r="I1109" s="85"/>
      <c r="J1109" s="43"/>
      <c r="L1109" s="43"/>
      <c r="N1109" s="43"/>
      <c r="P1109" s="43"/>
      <c r="R1109" s="43"/>
      <c r="T1109" s="43"/>
      <c r="V1109" s="43"/>
      <c r="X1109" s="43"/>
      <c r="Z1109" s="43"/>
      <c r="AB1109" s="43"/>
      <c r="AD1109" s="43"/>
      <c r="AF1109" s="43"/>
      <c r="AH1109" s="43"/>
      <c r="AJ1109" s="43"/>
      <c r="AL1109" s="43"/>
      <c r="AO1109" s="43"/>
      <c r="AP1109" s="1"/>
      <c r="AQ1109" s="43"/>
      <c r="AR1109" s="123"/>
      <c r="AS1109" s="1"/>
      <c r="AT1109" s="1"/>
    </row>
    <row r="1110">
      <c r="A1110" s="43"/>
      <c r="B1110" s="59"/>
      <c r="C1110" s="51"/>
      <c r="D1110" s="43"/>
      <c r="E1110" s="85"/>
      <c r="F1110" s="43"/>
      <c r="G1110" s="85"/>
      <c r="H1110" s="43"/>
      <c r="I1110" s="85"/>
      <c r="J1110" s="43"/>
      <c r="L1110" s="43"/>
      <c r="N1110" s="43"/>
      <c r="P1110" s="43"/>
      <c r="R1110" s="43"/>
      <c r="T1110" s="43"/>
      <c r="V1110" s="43"/>
      <c r="X1110" s="43"/>
      <c r="Z1110" s="43"/>
      <c r="AB1110" s="43"/>
      <c r="AD1110" s="43"/>
      <c r="AF1110" s="43"/>
      <c r="AH1110" s="43"/>
      <c r="AJ1110" s="43"/>
      <c r="AL1110" s="43"/>
      <c r="AO1110" s="43"/>
      <c r="AP1110" s="1"/>
      <c r="AQ1110" s="43"/>
      <c r="AR1110" s="123"/>
      <c r="AS1110" s="1"/>
      <c r="AT1110" s="1"/>
    </row>
    <row r="1111">
      <c r="A1111" s="43"/>
      <c r="B1111" s="59"/>
      <c r="C1111" s="51"/>
      <c r="D1111" s="43"/>
      <c r="E1111" s="85"/>
      <c r="F1111" s="43"/>
      <c r="G1111" s="85"/>
      <c r="H1111" s="43"/>
      <c r="I1111" s="85"/>
      <c r="J1111" s="43"/>
      <c r="L1111" s="43"/>
      <c r="N1111" s="43"/>
      <c r="P1111" s="43"/>
      <c r="R1111" s="43"/>
      <c r="T1111" s="43"/>
      <c r="V1111" s="43"/>
      <c r="X1111" s="43"/>
      <c r="Z1111" s="43"/>
      <c r="AB1111" s="43"/>
      <c r="AD1111" s="43"/>
      <c r="AF1111" s="43"/>
      <c r="AH1111" s="43"/>
      <c r="AJ1111" s="43"/>
      <c r="AL1111" s="43"/>
      <c r="AO1111" s="43"/>
      <c r="AP1111" s="1"/>
      <c r="AQ1111" s="43"/>
      <c r="AR1111" s="123"/>
      <c r="AS1111" s="1"/>
      <c r="AT1111" s="1"/>
    </row>
    <row r="1112">
      <c r="A1112" s="43"/>
      <c r="B1112" s="59"/>
      <c r="C1112" s="51"/>
      <c r="D1112" s="43"/>
      <c r="E1112" s="85"/>
      <c r="F1112" s="43"/>
      <c r="G1112" s="85"/>
      <c r="H1112" s="43"/>
      <c r="I1112" s="85"/>
      <c r="J1112" s="43"/>
      <c r="L1112" s="43"/>
      <c r="N1112" s="43"/>
      <c r="P1112" s="43"/>
      <c r="R1112" s="43"/>
      <c r="T1112" s="43"/>
      <c r="V1112" s="43"/>
      <c r="X1112" s="43"/>
      <c r="Z1112" s="43"/>
      <c r="AB1112" s="43"/>
      <c r="AD1112" s="43"/>
      <c r="AF1112" s="43"/>
      <c r="AH1112" s="43"/>
      <c r="AJ1112" s="43"/>
      <c r="AL1112" s="43"/>
      <c r="AO1112" s="43"/>
      <c r="AP1112" s="1"/>
      <c r="AQ1112" s="43"/>
      <c r="AR1112" s="123"/>
      <c r="AS1112" s="1"/>
      <c r="AT1112" s="1"/>
    </row>
    <row r="1113">
      <c r="A1113" s="43"/>
      <c r="B1113" s="59"/>
      <c r="C1113" s="51"/>
      <c r="D1113" s="43"/>
      <c r="E1113" s="85"/>
      <c r="F1113" s="43"/>
      <c r="G1113" s="85"/>
      <c r="H1113" s="43"/>
      <c r="I1113" s="85"/>
      <c r="J1113" s="43"/>
      <c r="L1113" s="43"/>
      <c r="N1113" s="43"/>
      <c r="P1113" s="43"/>
      <c r="R1113" s="43"/>
      <c r="T1113" s="43"/>
      <c r="V1113" s="43"/>
      <c r="X1113" s="43"/>
      <c r="Z1113" s="43"/>
      <c r="AB1113" s="43"/>
      <c r="AD1113" s="43"/>
      <c r="AF1113" s="43"/>
      <c r="AH1113" s="43"/>
      <c r="AJ1113" s="43"/>
      <c r="AL1113" s="43"/>
      <c r="AO1113" s="43"/>
      <c r="AP1113" s="1"/>
      <c r="AQ1113" s="43"/>
      <c r="AR1113" s="123"/>
      <c r="AS1113" s="1"/>
      <c r="AT1113" s="1"/>
    </row>
    <row r="1114">
      <c r="A1114" s="43"/>
      <c r="B1114" s="59"/>
      <c r="C1114" s="51"/>
      <c r="D1114" s="43"/>
      <c r="E1114" s="85"/>
      <c r="F1114" s="43"/>
      <c r="G1114" s="85"/>
      <c r="H1114" s="43"/>
      <c r="I1114" s="85"/>
      <c r="J1114" s="43"/>
      <c r="L1114" s="43"/>
      <c r="N1114" s="43"/>
      <c r="P1114" s="43"/>
      <c r="R1114" s="43"/>
      <c r="T1114" s="43"/>
      <c r="V1114" s="43"/>
      <c r="X1114" s="43"/>
      <c r="Z1114" s="43"/>
      <c r="AB1114" s="43"/>
      <c r="AD1114" s="43"/>
      <c r="AF1114" s="43"/>
      <c r="AH1114" s="43"/>
      <c r="AJ1114" s="43"/>
      <c r="AL1114" s="43"/>
      <c r="AO1114" s="43"/>
      <c r="AP1114" s="1"/>
      <c r="AQ1114" s="43"/>
      <c r="AR1114" s="123"/>
      <c r="AS1114" s="1"/>
      <c r="AT1114" s="1"/>
    </row>
    <row r="1115">
      <c r="A1115" s="43"/>
      <c r="B1115" s="59"/>
      <c r="C1115" s="51"/>
      <c r="D1115" s="43"/>
      <c r="E1115" s="85"/>
      <c r="F1115" s="43"/>
      <c r="G1115" s="85"/>
      <c r="H1115" s="43"/>
      <c r="I1115" s="85"/>
      <c r="J1115" s="43"/>
      <c r="L1115" s="43"/>
      <c r="N1115" s="43"/>
      <c r="P1115" s="43"/>
      <c r="R1115" s="43"/>
      <c r="T1115" s="43"/>
      <c r="V1115" s="43"/>
      <c r="X1115" s="43"/>
      <c r="Z1115" s="43"/>
      <c r="AB1115" s="43"/>
      <c r="AD1115" s="43"/>
      <c r="AF1115" s="43"/>
      <c r="AH1115" s="43"/>
      <c r="AJ1115" s="43"/>
      <c r="AL1115" s="43"/>
      <c r="AO1115" s="43"/>
      <c r="AP1115" s="1"/>
      <c r="AQ1115" s="43"/>
      <c r="AR1115" s="123"/>
      <c r="AS1115" s="1"/>
      <c r="AT1115" s="1"/>
    </row>
    <row r="1116">
      <c r="A1116" s="43"/>
      <c r="B1116" s="59"/>
      <c r="C1116" s="51"/>
      <c r="D1116" s="43"/>
      <c r="E1116" s="85"/>
      <c r="F1116" s="43"/>
      <c r="G1116" s="85"/>
      <c r="H1116" s="43"/>
      <c r="I1116" s="85"/>
      <c r="J1116" s="43"/>
      <c r="L1116" s="43"/>
      <c r="N1116" s="43"/>
      <c r="P1116" s="43"/>
      <c r="R1116" s="43"/>
      <c r="T1116" s="43"/>
      <c r="V1116" s="43"/>
      <c r="X1116" s="43"/>
      <c r="Z1116" s="43"/>
      <c r="AB1116" s="43"/>
      <c r="AD1116" s="43"/>
      <c r="AF1116" s="43"/>
      <c r="AH1116" s="43"/>
      <c r="AJ1116" s="43"/>
      <c r="AL1116" s="43"/>
      <c r="AO1116" s="43"/>
      <c r="AP1116" s="1"/>
      <c r="AQ1116" s="43"/>
      <c r="AR1116" s="123"/>
      <c r="AS1116" s="1"/>
      <c r="AT1116" s="1"/>
    </row>
    <row r="1117">
      <c r="A1117" s="43"/>
      <c r="B1117" s="59"/>
      <c r="C1117" s="51"/>
      <c r="D1117" s="43"/>
      <c r="E1117" s="85"/>
      <c r="F1117" s="43"/>
      <c r="G1117" s="85"/>
      <c r="H1117" s="43"/>
      <c r="I1117" s="85"/>
      <c r="J1117" s="43"/>
      <c r="L1117" s="43"/>
      <c r="N1117" s="43"/>
      <c r="P1117" s="43"/>
      <c r="R1117" s="43"/>
      <c r="T1117" s="43"/>
      <c r="V1117" s="43"/>
      <c r="X1117" s="43"/>
      <c r="Z1117" s="43"/>
      <c r="AB1117" s="43"/>
      <c r="AD1117" s="43"/>
      <c r="AF1117" s="43"/>
      <c r="AH1117" s="43"/>
      <c r="AJ1117" s="43"/>
      <c r="AL1117" s="43"/>
      <c r="AO1117" s="43"/>
      <c r="AP1117" s="1"/>
      <c r="AQ1117" s="43"/>
      <c r="AR1117" s="123"/>
      <c r="AS1117" s="1"/>
      <c r="AT1117" s="1"/>
    </row>
    <row r="1118">
      <c r="A1118" s="43"/>
      <c r="B1118" s="59"/>
      <c r="C1118" s="51"/>
      <c r="D1118" s="43"/>
      <c r="E1118" s="85"/>
      <c r="F1118" s="43"/>
      <c r="G1118" s="85"/>
      <c r="H1118" s="43"/>
      <c r="I1118" s="85"/>
      <c r="J1118" s="43"/>
      <c r="L1118" s="43"/>
      <c r="N1118" s="43"/>
      <c r="P1118" s="43"/>
      <c r="R1118" s="43"/>
      <c r="T1118" s="43"/>
      <c r="V1118" s="43"/>
      <c r="X1118" s="43"/>
      <c r="Z1118" s="43"/>
      <c r="AB1118" s="43"/>
      <c r="AD1118" s="43"/>
      <c r="AF1118" s="43"/>
      <c r="AH1118" s="43"/>
      <c r="AJ1118" s="43"/>
      <c r="AL1118" s="43"/>
      <c r="AO1118" s="43"/>
      <c r="AP1118" s="1"/>
      <c r="AQ1118" s="43"/>
      <c r="AR1118" s="123"/>
      <c r="AS1118" s="1"/>
      <c r="AT1118" s="1"/>
    </row>
    <row r="1119">
      <c r="A1119" s="43"/>
      <c r="B1119" s="59"/>
      <c r="C1119" s="51"/>
      <c r="D1119" s="43"/>
      <c r="E1119" s="85"/>
      <c r="F1119" s="43"/>
      <c r="G1119" s="85"/>
      <c r="H1119" s="43"/>
      <c r="I1119" s="85"/>
      <c r="J1119" s="43"/>
      <c r="L1119" s="43"/>
      <c r="N1119" s="43"/>
      <c r="P1119" s="43"/>
      <c r="R1119" s="43"/>
      <c r="T1119" s="43"/>
      <c r="V1119" s="43"/>
      <c r="X1119" s="43"/>
      <c r="Z1119" s="43"/>
      <c r="AB1119" s="43"/>
      <c r="AD1119" s="43"/>
      <c r="AF1119" s="43"/>
      <c r="AH1119" s="43"/>
      <c r="AJ1119" s="43"/>
      <c r="AL1119" s="43"/>
      <c r="AO1119" s="43"/>
      <c r="AP1119" s="1"/>
      <c r="AQ1119" s="43"/>
      <c r="AR1119" s="123"/>
      <c r="AS1119" s="1"/>
      <c r="AT1119" s="1"/>
    </row>
    <row r="1120">
      <c r="A1120" s="43"/>
      <c r="B1120" s="59"/>
      <c r="C1120" s="51"/>
      <c r="D1120" s="43"/>
      <c r="E1120" s="85"/>
      <c r="F1120" s="43"/>
      <c r="G1120" s="85"/>
      <c r="H1120" s="43"/>
      <c r="I1120" s="85"/>
      <c r="J1120" s="43"/>
      <c r="L1120" s="43"/>
      <c r="N1120" s="43"/>
      <c r="P1120" s="43"/>
      <c r="R1120" s="43"/>
      <c r="T1120" s="43"/>
      <c r="V1120" s="43"/>
      <c r="X1120" s="43"/>
      <c r="Z1120" s="43"/>
      <c r="AB1120" s="43"/>
      <c r="AD1120" s="43"/>
      <c r="AF1120" s="43"/>
      <c r="AH1120" s="43"/>
      <c r="AJ1120" s="43"/>
      <c r="AL1120" s="43"/>
      <c r="AO1120" s="43"/>
      <c r="AP1120" s="1"/>
      <c r="AQ1120" s="43"/>
      <c r="AR1120" s="123"/>
      <c r="AS1120" s="1"/>
      <c r="AT1120" s="1"/>
    </row>
    <row r="1121">
      <c r="A1121" s="43"/>
      <c r="B1121" s="59"/>
      <c r="C1121" s="51"/>
      <c r="D1121" s="43"/>
      <c r="E1121" s="85"/>
      <c r="F1121" s="43"/>
      <c r="G1121" s="85"/>
      <c r="H1121" s="43"/>
      <c r="I1121" s="85"/>
      <c r="J1121" s="43"/>
      <c r="L1121" s="43"/>
      <c r="N1121" s="43"/>
      <c r="P1121" s="43"/>
      <c r="R1121" s="43"/>
      <c r="T1121" s="43"/>
      <c r="V1121" s="43"/>
      <c r="X1121" s="43"/>
      <c r="Z1121" s="43"/>
      <c r="AB1121" s="43"/>
      <c r="AD1121" s="43"/>
      <c r="AF1121" s="43"/>
      <c r="AH1121" s="43"/>
      <c r="AJ1121" s="43"/>
      <c r="AL1121" s="43"/>
      <c r="AO1121" s="43"/>
      <c r="AP1121" s="1"/>
      <c r="AQ1121" s="43"/>
      <c r="AR1121" s="123"/>
      <c r="AS1121" s="1"/>
      <c r="AT1121" s="1"/>
    </row>
    <row r="1122">
      <c r="A1122" s="43"/>
      <c r="B1122" s="59"/>
      <c r="C1122" s="51"/>
      <c r="D1122" s="43"/>
      <c r="E1122" s="85"/>
      <c r="F1122" s="43"/>
      <c r="G1122" s="85"/>
      <c r="H1122" s="43"/>
      <c r="I1122" s="85"/>
      <c r="J1122" s="43"/>
      <c r="L1122" s="43"/>
      <c r="N1122" s="43"/>
      <c r="P1122" s="43"/>
      <c r="R1122" s="43"/>
      <c r="T1122" s="43"/>
      <c r="V1122" s="43"/>
      <c r="X1122" s="43"/>
      <c r="Z1122" s="43"/>
      <c r="AB1122" s="43"/>
      <c r="AD1122" s="43"/>
      <c r="AF1122" s="43"/>
      <c r="AH1122" s="43"/>
      <c r="AJ1122" s="43"/>
      <c r="AL1122" s="43"/>
      <c r="AO1122" s="43"/>
      <c r="AP1122" s="1"/>
      <c r="AQ1122" s="43"/>
      <c r="AR1122" s="123"/>
      <c r="AS1122" s="1"/>
      <c r="AT1122" s="1"/>
    </row>
    <row r="1123">
      <c r="A1123" s="43"/>
      <c r="B1123" s="59"/>
      <c r="C1123" s="51"/>
      <c r="D1123" s="43"/>
      <c r="E1123" s="85"/>
      <c r="F1123" s="43"/>
      <c r="G1123" s="85"/>
      <c r="H1123" s="43"/>
      <c r="I1123" s="85"/>
      <c r="J1123" s="43"/>
      <c r="L1123" s="43"/>
      <c r="N1123" s="43"/>
      <c r="P1123" s="43"/>
      <c r="R1123" s="43"/>
      <c r="T1123" s="43"/>
      <c r="V1123" s="43"/>
      <c r="X1123" s="43"/>
      <c r="Z1123" s="43"/>
      <c r="AB1123" s="43"/>
      <c r="AD1123" s="43"/>
      <c r="AF1123" s="43"/>
      <c r="AH1123" s="43"/>
      <c r="AJ1123" s="43"/>
      <c r="AL1123" s="43"/>
      <c r="AO1123" s="43"/>
      <c r="AP1123" s="1"/>
      <c r="AQ1123" s="43"/>
      <c r="AR1123" s="123"/>
      <c r="AS1123" s="1"/>
      <c r="AT1123" s="1"/>
    </row>
    <row r="1124">
      <c r="A1124" s="43"/>
      <c r="B1124" s="59"/>
      <c r="C1124" s="51"/>
      <c r="D1124" s="43"/>
      <c r="E1124" s="85"/>
      <c r="F1124" s="43"/>
      <c r="G1124" s="85"/>
      <c r="H1124" s="43"/>
      <c r="I1124" s="85"/>
      <c r="J1124" s="43"/>
      <c r="L1124" s="43"/>
      <c r="N1124" s="43"/>
      <c r="P1124" s="43"/>
      <c r="R1124" s="43"/>
      <c r="T1124" s="43"/>
      <c r="V1124" s="43"/>
      <c r="X1124" s="43"/>
      <c r="Z1124" s="43"/>
      <c r="AB1124" s="43"/>
      <c r="AD1124" s="43"/>
      <c r="AF1124" s="43"/>
      <c r="AH1124" s="43"/>
      <c r="AJ1124" s="43"/>
      <c r="AL1124" s="43"/>
      <c r="AO1124" s="43"/>
      <c r="AP1124" s="1"/>
      <c r="AQ1124" s="43"/>
      <c r="AR1124" s="123"/>
      <c r="AS1124" s="1"/>
      <c r="AT1124" s="1"/>
    </row>
    <row r="1125">
      <c r="A1125" s="43"/>
      <c r="B1125" s="59"/>
      <c r="C1125" s="51"/>
      <c r="D1125" s="43"/>
      <c r="E1125" s="85"/>
      <c r="F1125" s="43"/>
      <c r="G1125" s="85"/>
      <c r="H1125" s="43"/>
      <c r="I1125" s="85"/>
      <c r="J1125" s="43"/>
      <c r="L1125" s="43"/>
      <c r="N1125" s="43"/>
      <c r="P1125" s="43"/>
      <c r="R1125" s="43"/>
      <c r="T1125" s="43"/>
      <c r="V1125" s="43"/>
      <c r="X1125" s="43"/>
      <c r="Z1125" s="43"/>
      <c r="AB1125" s="43"/>
      <c r="AD1125" s="43"/>
      <c r="AF1125" s="43"/>
      <c r="AH1125" s="43"/>
      <c r="AJ1125" s="43"/>
      <c r="AL1125" s="43"/>
      <c r="AO1125" s="43"/>
      <c r="AP1125" s="1"/>
      <c r="AQ1125" s="43"/>
      <c r="AR1125" s="123"/>
      <c r="AS1125" s="1"/>
      <c r="AT1125" s="1"/>
    </row>
    <row r="1126">
      <c r="A1126" s="43"/>
      <c r="B1126" s="59"/>
      <c r="C1126" s="51"/>
      <c r="D1126" s="43"/>
      <c r="E1126" s="85"/>
      <c r="F1126" s="43"/>
      <c r="G1126" s="85"/>
      <c r="H1126" s="43"/>
      <c r="I1126" s="85"/>
      <c r="J1126" s="43"/>
      <c r="L1126" s="43"/>
      <c r="N1126" s="43"/>
      <c r="P1126" s="43"/>
      <c r="R1126" s="43"/>
      <c r="T1126" s="43"/>
      <c r="V1126" s="43"/>
      <c r="X1126" s="43"/>
      <c r="Z1126" s="43"/>
      <c r="AB1126" s="43"/>
      <c r="AD1126" s="43"/>
      <c r="AF1126" s="43"/>
      <c r="AH1126" s="43"/>
      <c r="AJ1126" s="43"/>
      <c r="AL1126" s="43"/>
      <c r="AO1126" s="43"/>
      <c r="AP1126" s="1"/>
      <c r="AQ1126" s="43"/>
      <c r="AR1126" s="123"/>
      <c r="AS1126" s="1"/>
      <c r="AT1126" s="1"/>
    </row>
    <row r="1127">
      <c r="A1127" s="43"/>
      <c r="B1127" s="59"/>
      <c r="C1127" s="51"/>
      <c r="D1127" s="43"/>
      <c r="E1127" s="85"/>
      <c r="F1127" s="43"/>
      <c r="G1127" s="85"/>
      <c r="H1127" s="43"/>
      <c r="I1127" s="85"/>
      <c r="J1127" s="43"/>
      <c r="L1127" s="43"/>
      <c r="N1127" s="43"/>
      <c r="P1127" s="43"/>
      <c r="R1127" s="43"/>
      <c r="T1127" s="43"/>
      <c r="V1127" s="43"/>
      <c r="X1127" s="43"/>
      <c r="Z1127" s="43"/>
      <c r="AB1127" s="43"/>
      <c r="AD1127" s="43"/>
      <c r="AF1127" s="43"/>
      <c r="AH1127" s="43"/>
      <c r="AJ1127" s="43"/>
      <c r="AL1127" s="43"/>
      <c r="AO1127" s="43"/>
      <c r="AP1127" s="1"/>
      <c r="AQ1127" s="43"/>
      <c r="AR1127" s="123"/>
      <c r="AS1127" s="1"/>
      <c r="AT1127" s="1"/>
    </row>
    <row r="1128">
      <c r="A1128" s="43"/>
      <c r="B1128" s="59"/>
      <c r="C1128" s="51"/>
      <c r="D1128" s="43"/>
      <c r="E1128" s="85"/>
      <c r="F1128" s="43"/>
      <c r="G1128" s="85"/>
      <c r="H1128" s="43"/>
      <c r="I1128" s="85"/>
      <c r="J1128" s="43"/>
      <c r="L1128" s="43"/>
      <c r="N1128" s="43"/>
      <c r="P1128" s="43"/>
      <c r="R1128" s="43"/>
      <c r="T1128" s="43"/>
      <c r="V1128" s="43"/>
      <c r="X1128" s="43"/>
      <c r="Z1128" s="43"/>
      <c r="AB1128" s="43"/>
      <c r="AD1128" s="43"/>
      <c r="AF1128" s="43"/>
      <c r="AH1128" s="43"/>
      <c r="AJ1128" s="43"/>
      <c r="AL1128" s="43"/>
      <c r="AO1128" s="43"/>
      <c r="AP1128" s="1"/>
      <c r="AQ1128" s="43"/>
      <c r="AR1128" s="123"/>
      <c r="AS1128" s="1"/>
      <c r="AT1128" s="1"/>
    </row>
    <row r="1129">
      <c r="A1129" s="43"/>
      <c r="B1129" s="59"/>
      <c r="C1129" s="51"/>
      <c r="D1129" s="43"/>
      <c r="E1129" s="85"/>
      <c r="F1129" s="43"/>
      <c r="G1129" s="85"/>
      <c r="H1129" s="43"/>
      <c r="I1129" s="85"/>
      <c r="J1129" s="43"/>
      <c r="L1129" s="43"/>
      <c r="N1129" s="43"/>
      <c r="P1129" s="43"/>
      <c r="R1129" s="43"/>
      <c r="T1129" s="43"/>
      <c r="V1129" s="43"/>
      <c r="X1129" s="43"/>
      <c r="Z1129" s="43"/>
      <c r="AB1129" s="43"/>
      <c r="AD1129" s="43"/>
      <c r="AF1129" s="43"/>
      <c r="AH1129" s="43"/>
      <c r="AJ1129" s="43"/>
      <c r="AL1129" s="43"/>
      <c r="AO1129" s="43"/>
      <c r="AP1129" s="1"/>
      <c r="AQ1129" s="43"/>
      <c r="AR1129" s="123"/>
      <c r="AS1129" s="1"/>
      <c r="AT1129" s="1"/>
    </row>
    <row r="1130">
      <c r="A1130" s="43"/>
      <c r="B1130" s="59"/>
      <c r="C1130" s="51"/>
      <c r="D1130" s="43"/>
      <c r="E1130" s="85"/>
      <c r="F1130" s="43"/>
      <c r="G1130" s="85"/>
      <c r="H1130" s="43"/>
      <c r="I1130" s="85"/>
      <c r="J1130" s="43"/>
      <c r="L1130" s="43"/>
      <c r="N1130" s="43"/>
      <c r="P1130" s="43"/>
      <c r="R1130" s="43"/>
      <c r="T1130" s="43"/>
      <c r="V1130" s="43"/>
      <c r="X1130" s="43"/>
      <c r="Z1130" s="43"/>
      <c r="AB1130" s="43"/>
      <c r="AD1130" s="43"/>
      <c r="AF1130" s="43"/>
      <c r="AH1130" s="43"/>
      <c r="AJ1130" s="43"/>
      <c r="AL1130" s="43"/>
      <c r="AO1130" s="43"/>
      <c r="AP1130" s="1"/>
      <c r="AQ1130" s="43"/>
      <c r="AR1130" s="123"/>
      <c r="AS1130" s="1"/>
      <c r="AT1130" s="1"/>
    </row>
    <row r="1131">
      <c r="A1131" s="43"/>
      <c r="B1131" s="59"/>
      <c r="C1131" s="51"/>
      <c r="D1131" s="43"/>
      <c r="E1131" s="85"/>
      <c r="F1131" s="43"/>
      <c r="G1131" s="85"/>
      <c r="H1131" s="43"/>
      <c r="I1131" s="85"/>
      <c r="J1131" s="43"/>
      <c r="L1131" s="43"/>
      <c r="N1131" s="43"/>
      <c r="P1131" s="43"/>
      <c r="R1131" s="43"/>
      <c r="T1131" s="43"/>
      <c r="V1131" s="43"/>
      <c r="X1131" s="43"/>
      <c r="Z1131" s="43"/>
      <c r="AB1131" s="43"/>
      <c r="AD1131" s="43"/>
      <c r="AF1131" s="43"/>
      <c r="AH1131" s="43"/>
      <c r="AJ1131" s="43"/>
      <c r="AL1131" s="43"/>
      <c r="AO1131" s="43"/>
      <c r="AP1131" s="1"/>
      <c r="AQ1131" s="43"/>
      <c r="AR1131" s="123"/>
      <c r="AS1131" s="1"/>
      <c r="AT1131" s="1"/>
    </row>
    <row r="1132">
      <c r="A1132" s="43"/>
      <c r="B1132" s="59"/>
      <c r="C1132" s="51"/>
      <c r="D1132" s="43"/>
      <c r="E1132" s="85"/>
      <c r="F1132" s="43"/>
      <c r="G1132" s="85"/>
      <c r="H1132" s="43"/>
      <c r="I1132" s="85"/>
      <c r="J1132" s="43"/>
      <c r="L1132" s="43"/>
      <c r="N1132" s="43"/>
      <c r="P1132" s="43"/>
      <c r="R1132" s="43"/>
      <c r="T1132" s="43"/>
      <c r="V1132" s="43"/>
      <c r="X1132" s="43"/>
      <c r="Z1132" s="43"/>
      <c r="AB1132" s="43"/>
      <c r="AD1132" s="43"/>
      <c r="AF1132" s="43"/>
      <c r="AH1132" s="43"/>
      <c r="AJ1132" s="43"/>
      <c r="AL1132" s="43"/>
      <c r="AO1132" s="43"/>
      <c r="AP1132" s="1"/>
      <c r="AQ1132" s="43"/>
      <c r="AR1132" s="123"/>
      <c r="AS1132" s="1"/>
      <c r="AT1132" s="1"/>
    </row>
    <row r="1133">
      <c r="A1133" s="43"/>
      <c r="B1133" s="59"/>
      <c r="C1133" s="51"/>
      <c r="D1133" s="43"/>
      <c r="E1133" s="85"/>
      <c r="F1133" s="43"/>
      <c r="G1133" s="85"/>
      <c r="H1133" s="43"/>
      <c r="I1133" s="85"/>
      <c r="J1133" s="43"/>
      <c r="L1133" s="43"/>
      <c r="N1133" s="43"/>
      <c r="P1133" s="43"/>
      <c r="R1133" s="43"/>
      <c r="T1133" s="43"/>
      <c r="V1133" s="43"/>
      <c r="X1133" s="43"/>
      <c r="Z1133" s="43"/>
      <c r="AB1133" s="43"/>
      <c r="AD1133" s="43"/>
      <c r="AF1133" s="43"/>
      <c r="AH1133" s="43"/>
      <c r="AJ1133" s="43"/>
      <c r="AL1133" s="43"/>
      <c r="AO1133" s="43"/>
      <c r="AP1133" s="1"/>
      <c r="AQ1133" s="43"/>
      <c r="AR1133" s="123"/>
      <c r="AS1133" s="1"/>
      <c r="AT1133" s="1"/>
    </row>
    <row r="1134">
      <c r="A1134" s="43"/>
      <c r="B1134" s="59"/>
      <c r="C1134" s="51"/>
      <c r="D1134" s="43"/>
      <c r="E1134" s="85"/>
      <c r="F1134" s="43"/>
      <c r="G1134" s="85"/>
      <c r="H1134" s="43"/>
      <c r="I1134" s="85"/>
      <c r="J1134" s="43"/>
      <c r="L1134" s="43"/>
      <c r="N1134" s="43"/>
      <c r="P1134" s="43"/>
      <c r="R1134" s="43"/>
      <c r="T1134" s="43"/>
      <c r="V1134" s="43"/>
      <c r="X1134" s="43"/>
      <c r="Z1134" s="43"/>
      <c r="AB1134" s="43"/>
      <c r="AD1134" s="43"/>
      <c r="AF1134" s="43"/>
      <c r="AH1134" s="43"/>
      <c r="AJ1134" s="43"/>
      <c r="AL1134" s="43"/>
      <c r="AO1134" s="43"/>
      <c r="AP1134" s="1"/>
      <c r="AQ1134" s="43"/>
      <c r="AR1134" s="123"/>
      <c r="AS1134" s="1"/>
      <c r="AT1134" s="1"/>
    </row>
    <row r="1135">
      <c r="A1135" s="43"/>
      <c r="B1135" s="59"/>
      <c r="C1135" s="51"/>
      <c r="D1135" s="43"/>
      <c r="E1135" s="85"/>
      <c r="F1135" s="43"/>
      <c r="G1135" s="85"/>
      <c r="H1135" s="43"/>
      <c r="I1135" s="85"/>
      <c r="J1135" s="43"/>
      <c r="L1135" s="43"/>
      <c r="N1135" s="43"/>
      <c r="P1135" s="43"/>
      <c r="R1135" s="43"/>
      <c r="T1135" s="43"/>
      <c r="V1135" s="43"/>
      <c r="X1135" s="43"/>
      <c r="Z1135" s="43"/>
      <c r="AB1135" s="43"/>
      <c r="AD1135" s="43"/>
      <c r="AF1135" s="43"/>
      <c r="AH1135" s="43"/>
      <c r="AJ1135" s="43"/>
      <c r="AL1135" s="43"/>
      <c r="AO1135" s="43"/>
      <c r="AP1135" s="1"/>
      <c r="AQ1135" s="43"/>
      <c r="AR1135" s="123"/>
      <c r="AS1135" s="1"/>
      <c r="AT1135" s="1"/>
    </row>
    <row r="1136">
      <c r="A1136" s="43"/>
      <c r="B1136" s="59"/>
      <c r="C1136" s="51"/>
      <c r="D1136" s="43"/>
      <c r="E1136" s="85"/>
      <c r="F1136" s="43"/>
      <c r="G1136" s="85"/>
      <c r="H1136" s="43"/>
      <c r="I1136" s="85"/>
      <c r="J1136" s="43"/>
      <c r="L1136" s="43"/>
      <c r="N1136" s="43"/>
      <c r="P1136" s="43"/>
      <c r="R1136" s="43"/>
      <c r="T1136" s="43"/>
      <c r="V1136" s="43"/>
      <c r="X1136" s="43"/>
      <c r="Z1136" s="43"/>
      <c r="AB1136" s="43"/>
      <c r="AD1136" s="43"/>
      <c r="AF1136" s="43"/>
      <c r="AH1136" s="43"/>
      <c r="AJ1136" s="43"/>
      <c r="AL1136" s="43"/>
      <c r="AO1136" s="43"/>
      <c r="AP1136" s="1"/>
      <c r="AQ1136" s="43"/>
      <c r="AR1136" s="123"/>
      <c r="AS1136" s="1"/>
      <c r="AT1136" s="1"/>
    </row>
    <row r="1137">
      <c r="A1137" s="43"/>
      <c r="B1137" s="59"/>
      <c r="C1137" s="51"/>
      <c r="D1137" s="43"/>
      <c r="E1137" s="85"/>
      <c r="F1137" s="43"/>
      <c r="G1137" s="85"/>
      <c r="H1137" s="43"/>
      <c r="I1137" s="85"/>
      <c r="J1137" s="43"/>
      <c r="L1137" s="43"/>
      <c r="N1137" s="43"/>
      <c r="P1137" s="43"/>
      <c r="R1137" s="43"/>
      <c r="T1137" s="43"/>
      <c r="V1137" s="43"/>
      <c r="X1137" s="43"/>
      <c r="Z1137" s="43"/>
      <c r="AB1137" s="43"/>
      <c r="AD1137" s="43"/>
      <c r="AF1137" s="43"/>
      <c r="AH1137" s="43"/>
      <c r="AJ1137" s="43"/>
      <c r="AL1137" s="43"/>
      <c r="AO1137" s="43"/>
      <c r="AP1137" s="1"/>
      <c r="AQ1137" s="43"/>
      <c r="AR1137" s="123"/>
      <c r="AS1137" s="1"/>
      <c r="AT1137" s="1"/>
    </row>
    <row r="1138">
      <c r="A1138" s="43"/>
      <c r="B1138" s="59"/>
      <c r="C1138" s="51"/>
      <c r="D1138" s="43"/>
      <c r="E1138" s="85"/>
      <c r="F1138" s="43"/>
      <c r="G1138" s="85"/>
      <c r="H1138" s="43"/>
      <c r="I1138" s="85"/>
      <c r="J1138" s="43"/>
      <c r="L1138" s="43"/>
      <c r="N1138" s="43"/>
      <c r="P1138" s="43"/>
      <c r="R1138" s="43"/>
      <c r="T1138" s="43"/>
      <c r="V1138" s="43"/>
      <c r="X1138" s="43"/>
      <c r="Z1138" s="43"/>
      <c r="AB1138" s="43"/>
      <c r="AD1138" s="43"/>
      <c r="AF1138" s="43"/>
      <c r="AH1138" s="43"/>
      <c r="AJ1138" s="43"/>
      <c r="AL1138" s="43"/>
      <c r="AO1138" s="43"/>
      <c r="AP1138" s="1"/>
      <c r="AQ1138" s="43"/>
      <c r="AR1138" s="123"/>
      <c r="AS1138" s="1"/>
      <c r="AT1138" s="1"/>
    </row>
    <row r="1139">
      <c r="A1139" s="43"/>
      <c r="B1139" s="59"/>
      <c r="C1139" s="51"/>
      <c r="D1139" s="43"/>
      <c r="E1139" s="85"/>
      <c r="F1139" s="43"/>
      <c r="G1139" s="85"/>
      <c r="H1139" s="43"/>
      <c r="I1139" s="85"/>
      <c r="J1139" s="43"/>
      <c r="L1139" s="43"/>
      <c r="N1139" s="43"/>
      <c r="P1139" s="43"/>
      <c r="R1139" s="43"/>
      <c r="T1139" s="43"/>
      <c r="V1139" s="43"/>
      <c r="X1139" s="43"/>
      <c r="Z1139" s="43"/>
      <c r="AB1139" s="43"/>
      <c r="AD1139" s="43"/>
      <c r="AF1139" s="43"/>
      <c r="AH1139" s="43"/>
      <c r="AJ1139" s="43"/>
      <c r="AL1139" s="43"/>
      <c r="AO1139" s="43"/>
      <c r="AP1139" s="1"/>
      <c r="AQ1139" s="43"/>
      <c r="AR1139" s="123"/>
      <c r="AS1139" s="1"/>
      <c r="AT1139" s="1"/>
    </row>
    <row r="1140">
      <c r="A1140" s="43"/>
      <c r="B1140" s="59"/>
      <c r="C1140" s="51"/>
      <c r="D1140" s="43"/>
      <c r="E1140" s="85"/>
      <c r="F1140" s="43"/>
      <c r="G1140" s="85"/>
      <c r="H1140" s="43"/>
      <c r="I1140" s="85"/>
      <c r="J1140" s="43"/>
      <c r="L1140" s="43"/>
      <c r="N1140" s="43"/>
      <c r="P1140" s="43"/>
      <c r="R1140" s="43"/>
      <c r="T1140" s="43"/>
      <c r="V1140" s="43"/>
      <c r="X1140" s="43"/>
      <c r="Z1140" s="43"/>
      <c r="AB1140" s="43"/>
      <c r="AD1140" s="43"/>
      <c r="AF1140" s="43"/>
      <c r="AH1140" s="43"/>
      <c r="AJ1140" s="43"/>
      <c r="AL1140" s="43"/>
      <c r="AO1140" s="43"/>
      <c r="AP1140" s="1"/>
      <c r="AQ1140" s="43"/>
      <c r="AR1140" s="123"/>
      <c r="AS1140" s="1"/>
      <c r="AT1140" s="1"/>
    </row>
    <row r="1141">
      <c r="A1141" s="43"/>
      <c r="B1141" s="59"/>
      <c r="C1141" s="51"/>
      <c r="D1141" s="43"/>
      <c r="E1141" s="85"/>
      <c r="F1141" s="43"/>
      <c r="G1141" s="85"/>
      <c r="H1141" s="43"/>
      <c r="I1141" s="85"/>
      <c r="J1141" s="43"/>
      <c r="L1141" s="43"/>
      <c r="N1141" s="43"/>
      <c r="P1141" s="43"/>
      <c r="R1141" s="43"/>
      <c r="T1141" s="43"/>
      <c r="V1141" s="43"/>
      <c r="X1141" s="43"/>
      <c r="Z1141" s="43"/>
      <c r="AB1141" s="43"/>
      <c r="AD1141" s="43"/>
      <c r="AF1141" s="43"/>
      <c r="AH1141" s="43"/>
      <c r="AJ1141" s="43"/>
      <c r="AL1141" s="43"/>
      <c r="AO1141" s="43"/>
      <c r="AP1141" s="1"/>
      <c r="AQ1141" s="43"/>
      <c r="AR1141" s="123"/>
      <c r="AS1141" s="1"/>
      <c r="AT1141" s="1"/>
    </row>
    <row r="1142">
      <c r="A1142" s="43"/>
      <c r="B1142" s="59"/>
      <c r="C1142" s="51"/>
      <c r="D1142" s="43"/>
      <c r="E1142" s="85"/>
      <c r="F1142" s="43"/>
      <c r="G1142" s="85"/>
      <c r="H1142" s="43"/>
      <c r="I1142" s="85"/>
      <c r="J1142" s="43"/>
      <c r="L1142" s="43"/>
      <c r="N1142" s="43"/>
      <c r="P1142" s="43"/>
      <c r="R1142" s="43"/>
      <c r="T1142" s="43"/>
      <c r="V1142" s="43"/>
      <c r="X1142" s="43"/>
      <c r="Z1142" s="43"/>
      <c r="AB1142" s="43"/>
      <c r="AD1142" s="43"/>
      <c r="AF1142" s="43"/>
      <c r="AH1142" s="43"/>
      <c r="AJ1142" s="43"/>
      <c r="AL1142" s="43"/>
      <c r="AO1142" s="43"/>
      <c r="AP1142" s="1"/>
      <c r="AQ1142" s="43"/>
      <c r="AR1142" s="123"/>
      <c r="AS1142" s="1"/>
      <c r="AT1142" s="1"/>
    </row>
    <row r="1143">
      <c r="A1143" s="43"/>
      <c r="B1143" s="59"/>
      <c r="C1143" s="51"/>
      <c r="D1143" s="43"/>
      <c r="E1143" s="85"/>
      <c r="F1143" s="43"/>
      <c r="G1143" s="85"/>
      <c r="H1143" s="43"/>
      <c r="I1143" s="85"/>
      <c r="J1143" s="43"/>
      <c r="L1143" s="43"/>
      <c r="N1143" s="43"/>
      <c r="P1143" s="43"/>
      <c r="R1143" s="43"/>
      <c r="T1143" s="43"/>
      <c r="V1143" s="43"/>
      <c r="X1143" s="43"/>
      <c r="Z1143" s="43"/>
      <c r="AB1143" s="43"/>
      <c r="AD1143" s="43"/>
      <c r="AF1143" s="43"/>
      <c r="AH1143" s="43"/>
      <c r="AJ1143" s="43"/>
      <c r="AL1143" s="43"/>
      <c r="AO1143" s="43"/>
      <c r="AP1143" s="1"/>
      <c r="AQ1143" s="43"/>
      <c r="AR1143" s="123"/>
      <c r="AS1143" s="1"/>
      <c r="AT1143" s="1"/>
    </row>
    <row r="1144">
      <c r="A1144" s="43"/>
      <c r="B1144" s="59"/>
      <c r="C1144" s="51"/>
      <c r="D1144" s="43"/>
      <c r="E1144" s="85"/>
      <c r="F1144" s="43"/>
      <c r="G1144" s="85"/>
      <c r="H1144" s="43"/>
      <c r="I1144" s="85"/>
      <c r="J1144" s="43"/>
      <c r="L1144" s="43"/>
      <c r="N1144" s="43"/>
      <c r="P1144" s="43"/>
      <c r="R1144" s="43"/>
      <c r="T1144" s="43"/>
      <c r="V1144" s="43"/>
      <c r="X1144" s="43"/>
      <c r="Z1144" s="43"/>
      <c r="AB1144" s="43"/>
      <c r="AD1144" s="43"/>
      <c r="AF1144" s="43"/>
      <c r="AH1144" s="43"/>
      <c r="AJ1144" s="43"/>
      <c r="AL1144" s="43"/>
      <c r="AO1144" s="43"/>
      <c r="AP1144" s="1"/>
      <c r="AQ1144" s="43"/>
      <c r="AR1144" s="123"/>
      <c r="AS1144" s="1"/>
      <c r="AT1144" s="1"/>
    </row>
    <row r="1145">
      <c r="A1145" s="43"/>
      <c r="B1145" s="59"/>
      <c r="C1145" s="51"/>
      <c r="D1145" s="43"/>
      <c r="E1145" s="85"/>
      <c r="F1145" s="43"/>
      <c r="G1145" s="85"/>
      <c r="H1145" s="43"/>
      <c r="I1145" s="85"/>
      <c r="J1145" s="43"/>
      <c r="L1145" s="43"/>
      <c r="N1145" s="43"/>
      <c r="P1145" s="43"/>
      <c r="R1145" s="43"/>
      <c r="T1145" s="43"/>
      <c r="V1145" s="43"/>
      <c r="X1145" s="43"/>
      <c r="Z1145" s="43"/>
      <c r="AB1145" s="43"/>
      <c r="AD1145" s="43"/>
      <c r="AF1145" s="43"/>
      <c r="AH1145" s="43"/>
      <c r="AJ1145" s="43"/>
      <c r="AL1145" s="43"/>
      <c r="AO1145" s="43"/>
      <c r="AP1145" s="1"/>
      <c r="AQ1145" s="43"/>
      <c r="AR1145" s="123"/>
      <c r="AS1145" s="1"/>
      <c r="AT1145" s="1"/>
    </row>
    <row r="1146">
      <c r="A1146" s="43"/>
      <c r="B1146" s="59"/>
      <c r="C1146" s="51"/>
      <c r="D1146" s="43"/>
      <c r="E1146" s="85"/>
      <c r="F1146" s="43"/>
      <c r="G1146" s="85"/>
      <c r="H1146" s="43"/>
      <c r="I1146" s="85"/>
      <c r="J1146" s="43"/>
      <c r="L1146" s="43"/>
      <c r="N1146" s="43"/>
      <c r="P1146" s="43"/>
      <c r="R1146" s="43"/>
      <c r="T1146" s="43"/>
      <c r="V1146" s="43"/>
      <c r="X1146" s="43"/>
      <c r="Z1146" s="43"/>
      <c r="AB1146" s="43"/>
      <c r="AD1146" s="43"/>
      <c r="AF1146" s="43"/>
      <c r="AH1146" s="43"/>
      <c r="AJ1146" s="43"/>
      <c r="AL1146" s="43"/>
      <c r="AO1146" s="43"/>
      <c r="AP1146" s="1"/>
      <c r="AQ1146" s="43"/>
      <c r="AR1146" s="123"/>
      <c r="AS1146" s="1"/>
      <c r="AT1146" s="1"/>
    </row>
    <row r="1147">
      <c r="A1147" s="43"/>
      <c r="B1147" s="59"/>
      <c r="C1147" s="51"/>
      <c r="D1147" s="43"/>
      <c r="E1147" s="85"/>
      <c r="F1147" s="43"/>
      <c r="G1147" s="85"/>
      <c r="H1147" s="43"/>
      <c r="I1147" s="85"/>
      <c r="J1147" s="43"/>
      <c r="L1147" s="43"/>
      <c r="N1147" s="43"/>
      <c r="P1147" s="43"/>
      <c r="R1147" s="43"/>
      <c r="T1147" s="43"/>
      <c r="V1147" s="43"/>
      <c r="X1147" s="43"/>
      <c r="Z1147" s="43"/>
      <c r="AB1147" s="43"/>
      <c r="AD1147" s="43"/>
      <c r="AF1147" s="43"/>
      <c r="AH1147" s="43"/>
      <c r="AJ1147" s="43"/>
      <c r="AL1147" s="43"/>
      <c r="AO1147" s="43"/>
      <c r="AP1147" s="1"/>
      <c r="AQ1147" s="43"/>
      <c r="AR1147" s="123"/>
      <c r="AS1147" s="1"/>
      <c r="AT1147" s="1"/>
    </row>
    <row r="1148">
      <c r="A1148" s="43"/>
      <c r="B1148" s="59"/>
      <c r="C1148" s="51"/>
      <c r="D1148" s="43"/>
      <c r="E1148" s="85"/>
      <c r="F1148" s="43"/>
      <c r="G1148" s="85"/>
      <c r="H1148" s="43"/>
      <c r="I1148" s="85"/>
      <c r="J1148" s="43"/>
      <c r="L1148" s="43"/>
      <c r="N1148" s="43"/>
      <c r="P1148" s="43"/>
      <c r="R1148" s="43"/>
      <c r="T1148" s="43"/>
      <c r="V1148" s="43"/>
      <c r="X1148" s="43"/>
      <c r="Z1148" s="43"/>
      <c r="AB1148" s="43"/>
      <c r="AD1148" s="43"/>
      <c r="AF1148" s="43"/>
      <c r="AH1148" s="43"/>
      <c r="AJ1148" s="43"/>
      <c r="AL1148" s="43"/>
      <c r="AO1148" s="43"/>
      <c r="AP1148" s="1"/>
      <c r="AQ1148" s="43"/>
      <c r="AR1148" s="123"/>
      <c r="AS1148" s="1"/>
      <c r="AT1148" s="1"/>
    </row>
    <row r="1149">
      <c r="A1149" s="43"/>
      <c r="B1149" s="59"/>
      <c r="C1149" s="51"/>
      <c r="D1149" s="43"/>
      <c r="E1149" s="85"/>
      <c r="F1149" s="43"/>
      <c r="G1149" s="85"/>
      <c r="H1149" s="43"/>
      <c r="I1149" s="85"/>
      <c r="J1149" s="43"/>
      <c r="L1149" s="43"/>
      <c r="N1149" s="43"/>
      <c r="P1149" s="43"/>
      <c r="R1149" s="43"/>
      <c r="T1149" s="43"/>
      <c r="V1149" s="43"/>
      <c r="X1149" s="43"/>
      <c r="Z1149" s="43"/>
      <c r="AB1149" s="43"/>
      <c r="AD1149" s="43"/>
      <c r="AF1149" s="43"/>
      <c r="AH1149" s="43"/>
      <c r="AJ1149" s="43"/>
      <c r="AL1149" s="43"/>
      <c r="AO1149" s="43"/>
      <c r="AP1149" s="1"/>
      <c r="AQ1149" s="43"/>
      <c r="AR1149" s="123"/>
      <c r="AS1149" s="1"/>
      <c r="AT1149" s="1"/>
    </row>
    <row r="1150">
      <c r="A1150" s="43"/>
      <c r="B1150" s="59"/>
      <c r="C1150" s="51"/>
      <c r="D1150" s="43"/>
      <c r="E1150" s="85"/>
      <c r="F1150" s="43"/>
      <c r="G1150" s="85"/>
      <c r="H1150" s="43"/>
      <c r="I1150" s="85"/>
      <c r="J1150" s="43"/>
      <c r="L1150" s="43"/>
      <c r="N1150" s="43"/>
      <c r="P1150" s="43"/>
      <c r="R1150" s="43"/>
      <c r="T1150" s="43"/>
      <c r="V1150" s="43"/>
      <c r="X1150" s="43"/>
      <c r="Z1150" s="43"/>
      <c r="AB1150" s="43"/>
      <c r="AD1150" s="43"/>
      <c r="AF1150" s="43"/>
      <c r="AH1150" s="43"/>
      <c r="AJ1150" s="43"/>
      <c r="AL1150" s="43"/>
      <c r="AO1150" s="43"/>
      <c r="AP1150" s="1"/>
      <c r="AQ1150" s="43"/>
      <c r="AR1150" s="123"/>
      <c r="AS1150" s="1"/>
      <c r="AT1150" s="1"/>
    </row>
    <row r="1151">
      <c r="A1151" s="43"/>
      <c r="B1151" s="59"/>
      <c r="C1151" s="51"/>
      <c r="D1151" s="43"/>
      <c r="E1151" s="85"/>
      <c r="F1151" s="43"/>
      <c r="G1151" s="85"/>
      <c r="H1151" s="43"/>
      <c r="I1151" s="85"/>
      <c r="J1151" s="43"/>
      <c r="L1151" s="43"/>
      <c r="N1151" s="43"/>
      <c r="P1151" s="43"/>
      <c r="R1151" s="43"/>
      <c r="T1151" s="43"/>
      <c r="V1151" s="43"/>
      <c r="X1151" s="43"/>
      <c r="Z1151" s="43"/>
      <c r="AB1151" s="43"/>
      <c r="AD1151" s="43"/>
      <c r="AF1151" s="43"/>
      <c r="AH1151" s="43"/>
      <c r="AJ1151" s="43"/>
      <c r="AL1151" s="43"/>
      <c r="AO1151" s="43"/>
      <c r="AP1151" s="1"/>
      <c r="AQ1151" s="43"/>
      <c r="AR1151" s="123"/>
      <c r="AS1151" s="1"/>
      <c r="AT1151" s="1"/>
    </row>
    <row r="1152">
      <c r="A1152" s="43"/>
      <c r="B1152" s="59"/>
      <c r="C1152" s="51"/>
      <c r="D1152" s="43"/>
      <c r="E1152" s="85"/>
      <c r="F1152" s="43"/>
      <c r="G1152" s="85"/>
      <c r="H1152" s="43"/>
      <c r="I1152" s="85"/>
      <c r="J1152" s="43"/>
      <c r="L1152" s="43"/>
      <c r="N1152" s="43"/>
      <c r="P1152" s="43"/>
      <c r="R1152" s="43"/>
      <c r="T1152" s="43"/>
      <c r="V1152" s="43"/>
      <c r="X1152" s="43"/>
      <c r="Z1152" s="43"/>
      <c r="AB1152" s="43"/>
      <c r="AD1152" s="43"/>
      <c r="AF1152" s="43"/>
      <c r="AH1152" s="43"/>
      <c r="AJ1152" s="43"/>
      <c r="AL1152" s="43"/>
      <c r="AO1152" s="43"/>
      <c r="AP1152" s="1"/>
      <c r="AQ1152" s="43"/>
      <c r="AR1152" s="123"/>
      <c r="AS1152" s="1"/>
      <c r="AT1152" s="1"/>
    </row>
    <row r="1153">
      <c r="A1153" s="43"/>
      <c r="B1153" s="59"/>
      <c r="C1153" s="51"/>
      <c r="D1153" s="43"/>
      <c r="E1153" s="85"/>
      <c r="F1153" s="43"/>
      <c r="G1153" s="85"/>
      <c r="H1153" s="43"/>
      <c r="I1153" s="85"/>
      <c r="J1153" s="43"/>
      <c r="L1153" s="43"/>
      <c r="N1153" s="43"/>
      <c r="P1153" s="43"/>
      <c r="R1153" s="43"/>
      <c r="T1153" s="43"/>
      <c r="V1153" s="43"/>
      <c r="X1153" s="43"/>
      <c r="Z1153" s="43"/>
      <c r="AB1153" s="43"/>
      <c r="AD1153" s="43"/>
      <c r="AF1153" s="43"/>
      <c r="AH1153" s="43"/>
      <c r="AJ1153" s="43"/>
      <c r="AL1153" s="43"/>
      <c r="AO1153" s="43"/>
      <c r="AP1153" s="1"/>
      <c r="AQ1153" s="43"/>
      <c r="AR1153" s="123"/>
      <c r="AS1153" s="1"/>
      <c r="AT1153" s="1"/>
    </row>
    <row r="1154">
      <c r="A1154" s="43"/>
      <c r="B1154" s="59"/>
      <c r="C1154" s="51"/>
      <c r="D1154" s="43"/>
      <c r="E1154" s="85"/>
      <c r="F1154" s="43"/>
      <c r="G1154" s="85"/>
      <c r="H1154" s="43"/>
      <c r="I1154" s="85"/>
      <c r="J1154" s="43"/>
      <c r="L1154" s="43"/>
      <c r="N1154" s="43"/>
      <c r="P1154" s="43"/>
      <c r="R1154" s="43"/>
      <c r="T1154" s="43"/>
      <c r="V1154" s="43"/>
      <c r="X1154" s="43"/>
      <c r="Z1154" s="43"/>
      <c r="AB1154" s="43"/>
      <c r="AD1154" s="43"/>
      <c r="AF1154" s="43"/>
      <c r="AH1154" s="43"/>
      <c r="AJ1154" s="43"/>
      <c r="AL1154" s="43"/>
      <c r="AO1154" s="43"/>
      <c r="AP1154" s="1"/>
      <c r="AQ1154" s="43"/>
      <c r="AR1154" s="123"/>
      <c r="AS1154" s="1"/>
      <c r="AT1154" s="1"/>
    </row>
    <row r="1155">
      <c r="A1155" s="43"/>
      <c r="B1155" s="59"/>
      <c r="C1155" s="51"/>
      <c r="D1155" s="43"/>
      <c r="E1155" s="85"/>
      <c r="F1155" s="43"/>
      <c r="G1155" s="85"/>
      <c r="H1155" s="43"/>
      <c r="I1155" s="85"/>
      <c r="J1155" s="43"/>
      <c r="L1155" s="43"/>
      <c r="N1155" s="43"/>
      <c r="P1155" s="43"/>
      <c r="R1155" s="43"/>
      <c r="T1155" s="43"/>
      <c r="V1155" s="43"/>
      <c r="X1155" s="43"/>
      <c r="Z1155" s="43"/>
      <c r="AB1155" s="43"/>
      <c r="AD1155" s="43"/>
      <c r="AF1155" s="43"/>
      <c r="AH1155" s="43"/>
      <c r="AJ1155" s="43"/>
      <c r="AL1155" s="43"/>
      <c r="AO1155" s="43"/>
      <c r="AP1155" s="1"/>
      <c r="AQ1155" s="43"/>
      <c r="AR1155" s="123"/>
      <c r="AS1155" s="1"/>
      <c r="AT1155" s="1"/>
    </row>
    <row r="1156">
      <c r="A1156" s="43"/>
      <c r="B1156" s="59"/>
      <c r="C1156" s="51"/>
      <c r="D1156" s="43"/>
      <c r="E1156" s="85"/>
      <c r="F1156" s="43"/>
      <c r="G1156" s="85"/>
      <c r="H1156" s="43"/>
      <c r="I1156" s="85"/>
      <c r="J1156" s="43"/>
      <c r="L1156" s="43"/>
      <c r="N1156" s="43"/>
      <c r="P1156" s="43"/>
      <c r="R1156" s="43"/>
      <c r="T1156" s="43"/>
      <c r="V1156" s="43"/>
      <c r="X1156" s="43"/>
      <c r="Z1156" s="43"/>
      <c r="AB1156" s="43"/>
      <c r="AD1156" s="43"/>
      <c r="AF1156" s="43"/>
      <c r="AH1156" s="43"/>
      <c r="AJ1156" s="43"/>
      <c r="AL1156" s="43"/>
      <c r="AO1156" s="43"/>
      <c r="AP1156" s="1"/>
      <c r="AQ1156" s="43"/>
      <c r="AR1156" s="123"/>
      <c r="AS1156" s="1"/>
      <c r="AT1156" s="1"/>
    </row>
    <row r="1157">
      <c r="A1157" s="43"/>
      <c r="B1157" s="59"/>
      <c r="C1157" s="51"/>
      <c r="D1157" s="43"/>
      <c r="E1157" s="85"/>
      <c r="F1157" s="43"/>
      <c r="G1157" s="85"/>
      <c r="H1157" s="43"/>
      <c r="I1157" s="85"/>
      <c r="J1157" s="43"/>
      <c r="L1157" s="43"/>
      <c r="N1157" s="43"/>
      <c r="P1157" s="43"/>
      <c r="R1157" s="43"/>
      <c r="T1157" s="43"/>
      <c r="V1157" s="43"/>
      <c r="X1157" s="43"/>
      <c r="Z1157" s="43"/>
      <c r="AB1157" s="43"/>
      <c r="AD1157" s="43"/>
      <c r="AF1157" s="43"/>
      <c r="AH1157" s="43"/>
      <c r="AJ1157" s="43"/>
      <c r="AL1157" s="43"/>
      <c r="AO1157" s="43"/>
      <c r="AP1157" s="1"/>
      <c r="AQ1157" s="43"/>
      <c r="AR1157" s="123"/>
      <c r="AS1157" s="1"/>
      <c r="AT1157" s="1"/>
    </row>
    <row r="1158">
      <c r="A1158" s="43"/>
      <c r="B1158" s="59"/>
      <c r="C1158" s="51"/>
      <c r="D1158" s="43"/>
      <c r="E1158" s="85"/>
      <c r="F1158" s="43"/>
      <c r="G1158" s="85"/>
      <c r="H1158" s="43"/>
      <c r="I1158" s="85"/>
      <c r="J1158" s="43"/>
      <c r="L1158" s="43"/>
      <c r="N1158" s="43"/>
      <c r="P1158" s="43"/>
      <c r="R1158" s="43"/>
      <c r="T1158" s="43"/>
      <c r="V1158" s="43"/>
      <c r="X1158" s="43"/>
      <c r="Z1158" s="43"/>
      <c r="AB1158" s="43"/>
      <c r="AD1158" s="43"/>
      <c r="AF1158" s="43"/>
      <c r="AH1158" s="43"/>
      <c r="AJ1158" s="43"/>
      <c r="AL1158" s="43"/>
      <c r="AO1158" s="43"/>
      <c r="AP1158" s="1"/>
      <c r="AQ1158" s="43"/>
      <c r="AR1158" s="123"/>
      <c r="AS1158" s="1"/>
      <c r="AT1158" s="1"/>
    </row>
    <row r="1159">
      <c r="A1159" s="43"/>
      <c r="B1159" s="59"/>
      <c r="C1159" s="51"/>
      <c r="D1159" s="43"/>
      <c r="E1159" s="85"/>
      <c r="F1159" s="43"/>
      <c r="G1159" s="85"/>
      <c r="H1159" s="43"/>
      <c r="I1159" s="85"/>
      <c r="J1159" s="43"/>
      <c r="L1159" s="43"/>
      <c r="N1159" s="43"/>
      <c r="P1159" s="43"/>
      <c r="R1159" s="43"/>
      <c r="T1159" s="43"/>
      <c r="V1159" s="43"/>
      <c r="X1159" s="43"/>
      <c r="Z1159" s="43"/>
      <c r="AB1159" s="43"/>
      <c r="AD1159" s="43"/>
      <c r="AF1159" s="43"/>
      <c r="AH1159" s="43"/>
      <c r="AJ1159" s="43"/>
      <c r="AL1159" s="43"/>
      <c r="AO1159" s="43"/>
      <c r="AP1159" s="1"/>
      <c r="AQ1159" s="43"/>
      <c r="AR1159" s="123"/>
      <c r="AS1159" s="1"/>
      <c r="AT1159" s="1"/>
    </row>
    <row r="1160">
      <c r="A1160" s="43"/>
      <c r="B1160" s="59"/>
      <c r="C1160" s="51"/>
      <c r="D1160" s="43"/>
      <c r="E1160" s="85"/>
      <c r="F1160" s="43"/>
      <c r="G1160" s="85"/>
      <c r="H1160" s="43"/>
      <c r="I1160" s="85"/>
      <c r="J1160" s="43"/>
      <c r="L1160" s="43"/>
      <c r="N1160" s="43"/>
      <c r="P1160" s="43"/>
      <c r="R1160" s="43"/>
      <c r="T1160" s="43"/>
      <c r="V1160" s="43"/>
      <c r="X1160" s="43"/>
      <c r="Z1160" s="43"/>
      <c r="AB1160" s="43"/>
      <c r="AD1160" s="43"/>
      <c r="AF1160" s="43"/>
      <c r="AH1160" s="43"/>
      <c r="AJ1160" s="43"/>
      <c r="AL1160" s="43"/>
      <c r="AO1160" s="43"/>
      <c r="AP1160" s="1"/>
      <c r="AQ1160" s="43"/>
      <c r="AR1160" s="123"/>
      <c r="AS1160" s="1"/>
      <c r="AT1160" s="1"/>
    </row>
    <row r="1161">
      <c r="A1161" s="43"/>
      <c r="B1161" s="59"/>
      <c r="C1161" s="51"/>
      <c r="D1161" s="43"/>
      <c r="E1161" s="85"/>
      <c r="F1161" s="43"/>
      <c r="G1161" s="85"/>
      <c r="H1161" s="43"/>
      <c r="I1161" s="85"/>
      <c r="J1161" s="43"/>
      <c r="L1161" s="43"/>
      <c r="N1161" s="43"/>
      <c r="P1161" s="43"/>
      <c r="R1161" s="43"/>
      <c r="T1161" s="43"/>
      <c r="V1161" s="43"/>
      <c r="X1161" s="43"/>
      <c r="Z1161" s="43"/>
      <c r="AB1161" s="43"/>
      <c r="AD1161" s="43"/>
      <c r="AF1161" s="43"/>
      <c r="AH1161" s="43"/>
      <c r="AJ1161" s="43"/>
      <c r="AL1161" s="43"/>
      <c r="AO1161" s="43"/>
      <c r="AP1161" s="1"/>
      <c r="AQ1161" s="43"/>
      <c r="AR1161" s="123"/>
      <c r="AS1161" s="1"/>
      <c r="AT1161" s="1"/>
    </row>
    <row r="1162">
      <c r="A1162" s="43"/>
      <c r="B1162" s="59"/>
      <c r="C1162" s="51"/>
      <c r="D1162" s="43"/>
      <c r="E1162" s="85"/>
      <c r="F1162" s="43"/>
      <c r="G1162" s="85"/>
      <c r="H1162" s="43"/>
      <c r="I1162" s="85"/>
      <c r="J1162" s="43"/>
      <c r="L1162" s="43"/>
      <c r="N1162" s="43"/>
      <c r="P1162" s="43"/>
      <c r="R1162" s="43"/>
      <c r="T1162" s="43"/>
      <c r="V1162" s="43"/>
      <c r="X1162" s="43"/>
      <c r="Z1162" s="43"/>
      <c r="AB1162" s="43"/>
      <c r="AD1162" s="43"/>
      <c r="AF1162" s="43"/>
      <c r="AH1162" s="43"/>
      <c r="AJ1162" s="43"/>
      <c r="AL1162" s="43"/>
      <c r="AO1162" s="43"/>
      <c r="AP1162" s="1"/>
      <c r="AQ1162" s="43"/>
      <c r="AR1162" s="123"/>
      <c r="AS1162" s="1"/>
      <c r="AT1162" s="1"/>
    </row>
    <row r="1163">
      <c r="A1163" s="43"/>
      <c r="B1163" s="59"/>
      <c r="C1163" s="51"/>
      <c r="D1163" s="43"/>
      <c r="E1163" s="85"/>
      <c r="F1163" s="43"/>
      <c r="G1163" s="85"/>
      <c r="H1163" s="43"/>
      <c r="I1163" s="85"/>
      <c r="J1163" s="43"/>
      <c r="L1163" s="43"/>
      <c r="N1163" s="43"/>
      <c r="P1163" s="43"/>
      <c r="R1163" s="43"/>
      <c r="T1163" s="43"/>
      <c r="V1163" s="43"/>
      <c r="X1163" s="43"/>
      <c r="Z1163" s="43"/>
      <c r="AB1163" s="43"/>
      <c r="AD1163" s="43"/>
      <c r="AF1163" s="43"/>
      <c r="AH1163" s="43"/>
      <c r="AJ1163" s="43"/>
      <c r="AL1163" s="43"/>
      <c r="AO1163" s="43"/>
      <c r="AP1163" s="1"/>
      <c r="AQ1163" s="43"/>
      <c r="AR1163" s="123"/>
      <c r="AS1163" s="1"/>
      <c r="AT1163" s="1"/>
    </row>
    <row r="1164">
      <c r="A1164" s="43"/>
      <c r="B1164" s="59"/>
      <c r="C1164" s="51"/>
      <c r="D1164" s="43"/>
      <c r="E1164" s="85"/>
      <c r="F1164" s="43"/>
      <c r="G1164" s="85"/>
      <c r="H1164" s="43"/>
      <c r="I1164" s="85"/>
      <c r="J1164" s="43"/>
      <c r="L1164" s="43"/>
      <c r="N1164" s="43"/>
      <c r="P1164" s="43"/>
      <c r="R1164" s="43"/>
      <c r="T1164" s="43"/>
      <c r="V1164" s="43"/>
      <c r="X1164" s="43"/>
      <c r="Z1164" s="43"/>
      <c r="AB1164" s="43"/>
      <c r="AD1164" s="43"/>
      <c r="AF1164" s="43"/>
      <c r="AH1164" s="43"/>
      <c r="AJ1164" s="43"/>
      <c r="AL1164" s="43"/>
      <c r="AO1164" s="43"/>
      <c r="AP1164" s="1"/>
      <c r="AQ1164" s="43"/>
      <c r="AR1164" s="123"/>
      <c r="AS1164" s="1"/>
      <c r="AT1164" s="1"/>
    </row>
    <row r="1165">
      <c r="A1165" s="43"/>
      <c r="B1165" s="59"/>
      <c r="C1165" s="51"/>
      <c r="D1165" s="43"/>
      <c r="E1165" s="85"/>
      <c r="F1165" s="43"/>
      <c r="G1165" s="85"/>
      <c r="H1165" s="43"/>
      <c r="I1165" s="85"/>
      <c r="J1165" s="43"/>
      <c r="L1165" s="43"/>
      <c r="N1165" s="43"/>
      <c r="P1165" s="43"/>
      <c r="R1165" s="43"/>
      <c r="T1165" s="43"/>
      <c r="V1165" s="43"/>
      <c r="X1165" s="43"/>
      <c r="Z1165" s="43"/>
      <c r="AB1165" s="43"/>
      <c r="AD1165" s="43"/>
      <c r="AF1165" s="43"/>
      <c r="AH1165" s="43"/>
      <c r="AJ1165" s="43"/>
      <c r="AL1165" s="43"/>
      <c r="AO1165" s="43"/>
      <c r="AP1165" s="1"/>
      <c r="AQ1165" s="43"/>
      <c r="AR1165" s="123"/>
      <c r="AS1165" s="1"/>
      <c r="AT1165" s="1"/>
    </row>
    <row r="1166">
      <c r="A1166" s="43"/>
      <c r="B1166" s="59"/>
      <c r="C1166" s="51"/>
      <c r="D1166" s="43"/>
      <c r="E1166" s="85"/>
      <c r="F1166" s="43"/>
      <c r="G1166" s="85"/>
      <c r="H1166" s="43"/>
      <c r="I1166" s="85"/>
      <c r="J1166" s="43"/>
      <c r="L1166" s="43"/>
      <c r="N1166" s="43"/>
      <c r="P1166" s="43"/>
      <c r="R1166" s="43"/>
      <c r="T1166" s="43"/>
      <c r="V1166" s="43"/>
      <c r="X1166" s="43"/>
      <c r="Z1166" s="43"/>
      <c r="AB1166" s="43"/>
      <c r="AD1166" s="43"/>
      <c r="AF1166" s="43"/>
      <c r="AH1166" s="43"/>
      <c r="AJ1166" s="43"/>
      <c r="AL1166" s="43"/>
      <c r="AO1166" s="43"/>
      <c r="AP1166" s="1"/>
      <c r="AQ1166" s="43"/>
      <c r="AR1166" s="123"/>
      <c r="AS1166" s="1"/>
      <c r="AT1166" s="1"/>
    </row>
    <row r="1167">
      <c r="A1167" s="43"/>
      <c r="B1167" s="59"/>
      <c r="C1167" s="51"/>
      <c r="D1167" s="43"/>
      <c r="E1167" s="85"/>
      <c r="F1167" s="43"/>
      <c r="G1167" s="85"/>
      <c r="H1167" s="43"/>
      <c r="I1167" s="85"/>
      <c r="J1167" s="43"/>
      <c r="L1167" s="43"/>
      <c r="N1167" s="43"/>
      <c r="P1167" s="43"/>
      <c r="R1167" s="43"/>
      <c r="T1167" s="43"/>
      <c r="V1167" s="43"/>
      <c r="X1167" s="43"/>
      <c r="Z1167" s="43"/>
      <c r="AB1167" s="43"/>
      <c r="AD1167" s="43"/>
      <c r="AF1167" s="43"/>
      <c r="AH1167" s="43"/>
      <c r="AJ1167" s="43"/>
      <c r="AL1167" s="43"/>
      <c r="AO1167" s="43"/>
      <c r="AP1167" s="1"/>
      <c r="AQ1167" s="43"/>
      <c r="AR1167" s="123"/>
      <c r="AS1167" s="1"/>
      <c r="AT1167" s="1"/>
    </row>
    <row r="1168">
      <c r="A1168" s="43"/>
      <c r="B1168" s="59"/>
      <c r="C1168" s="51"/>
      <c r="D1168" s="43"/>
      <c r="E1168" s="85"/>
      <c r="F1168" s="43"/>
      <c r="G1168" s="85"/>
      <c r="H1168" s="43"/>
      <c r="I1168" s="85"/>
      <c r="J1168" s="43"/>
      <c r="L1168" s="43"/>
      <c r="N1168" s="43"/>
      <c r="P1168" s="43"/>
      <c r="R1168" s="43"/>
      <c r="T1168" s="43"/>
      <c r="V1168" s="43"/>
      <c r="X1168" s="43"/>
      <c r="Z1168" s="43"/>
      <c r="AB1168" s="43"/>
      <c r="AD1168" s="43"/>
      <c r="AF1168" s="43"/>
      <c r="AH1168" s="43"/>
      <c r="AJ1168" s="43"/>
      <c r="AL1168" s="43"/>
      <c r="AO1168" s="43"/>
      <c r="AP1168" s="1"/>
      <c r="AQ1168" s="43"/>
      <c r="AR1168" s="123"/>
      <c r="AS1168" s="1"/>
      <c r="AT1168" s="1"/>
    </row>
    <row r="1169">
      <c r="A1169" s="43"/>
      <c r="B1169" s="59"/>
      <c r="C1169" s="51"/>
      <c r="D1169" s="43"/>
      <c r="E1169" s="85"/>
      <c r="F1169" s="43"/>
      <c r="G1169" s="85"/>
      <c r="H1169" s="43"/>
      <c r="I1169" s="85"/>
      <c r="J1169" s="43"/>
      <c r="L1169" s="43"/>
      <c r="N1169" s="43"/>
      <c r="P1169" s="43"/>
      <c r="R1169" s="43"/>
      <c r="T1169" s="43"/>
      <c r="V1169" s="43"/>
      <c r="X1169" s="43"/>
      <c r="Z1169" s="43"/>
      <c r="AB1169" s="43"/>
      <c r="AD1169" s="43"/>
      <c r="AF1169" s="43"/>
      <c r="AH1169" s="43"/>
      <c r="AJ1169" s="43"/>
      <c r="AL1169" s="43"/>
      <c r="AO1169" s="43"/>
      <c r="AP1169" s="1"/>
      <c r="AQ1169" s="43"/>
      <c r="AR1169" s="123"/>
      <c r="AS1169" s="1"/>
      <c r="AT1169" s="1"/>
    </row>
    <row r="1170">
      <c r="A1170" s="43"/>
      <c r="B1170" s="59"/>
      <c r="C1170" s="51"/>
      <c r="D1170" s="43"/>
      <c r="E1170" s="85"/>
      <c r="F1170" s="43"/>
      <c r="G1170" s="85"/>
      <c r="H1170" s="43"/>
      <c r="I1170" s="85"/>
      <c r="J1170" s="43"/>
      <c r="L1170" s="43"/>
      <c r="N1170" s="43"/>
      <c r="P1170" s="43"/>
      <c r="R1170" s="43"/>
      <c r="T1170" s="43"/>
      <c r="V1170" s="43"/>
      <c r="X1170" s="43"/>
      <c r="Z1170" s="43"/>
      <c r="AB1170" s="43"/>
      <c r="AD1170" s="43"/>
      <c r="AF1170" s="43"/>
      <c r="AH1170" s="43"/>
      <c r="AJ1170" s="43"/>
      <c r="AL1170" s="43"/>
      <c r="AO1170" s="43"/>
      <c r="AP1170" s="1"/>
      <c r="AQ1170" s="43"/>
      <c r="AR1170" s="123"/>
      <c r="AS1170" s="1"/>
      <c r="AT1170" s="1"/>
    </row>
    <row r="1171">
      <c r="A1171" s="43"/>
      <c r="B1171" s="59"/>
      <c r="C1171" s="51"/>
      <c r="D1171" s="43"/>
      <c r="E1171" s="85"/>
      <c r="F1171" s="43"/>
      <c r="G1171" s="85"/>
      <c r="H1171" s="43"/>
      <c r="I1171" s="85"/>
      <c r="J1171" s="43"/>
      <c r="L1171" s="43"/>
      <c r="N1171" s="43"/>
      <c r="P1171" s="43"/>
      <c r="R1171" s="43"/>
      <c r="T1171" s="43"/>
      <c r="V1171" s="43"/>
      <c r="X1171" s="43"/>
      <c r="Z1171" s="43"/>
      <c r="AB1171" s="43"/>
      <c r="AD1171" s="43"/>
      <c r="AF1171" s="43"/>
      <c r="AH1171" s="43"/>
      <c r="AJ1171" s="43"/>
      <c r="AL1171" s="43"/>
      <c r="AO1171" s="43"/>
      <c r="AP1171" s="1"/>
      <c r="AQ1171" s="43"/>
      <c r="AR1171" s="123"/>
      <c r="AS1171" s="1"/>
      <c r="AT1171" s="1"/>
    </row>
    <row r="1172">
      <c r="A1172" s="43"/>
      <c r="B1172" s="59"/>
      <c r="C1172" s="51"/>
      <c r="D1172" s="43"/>
      <c r="E1172" s="85"/>
      <c r="F1172" s="43"/>
      <c r="G1172" s="85"/>
      <c r="H1172" s="43"/>
      <c r="I1172" s="85"/>
      <c r="J1172" s="43"/>
      <c r="L1172" s="43"/>
      <c r="N1172" s="43"/>
      <c r="P1172" s="43"/>
      <c r="R1172" s="43"/>
      <c r="T1172" s="43"/>
      <c r="V1172" s="43"/>
      <c r="X1172" s="43"/>
      <c r="Z1172" s="43"/>
      <c r="AB1172" s="43"/>
      <c r="AD1172" s="43"/>
      <c r="AF1172" s="43"/>
      <c r="AH1172" s="43"/>
      <c r="AJ1172" s="43"/>
      <c r="AL1172" s="43"/>
      <c r="AO1172" s="43"/>
      <c r="AP1172" s="1"/>
      <c r="AQ1172" s="43"/>
      <c r="AR1172" s="123"/>
      <c r="AS1172" s="1"/>
      <c r="AT1172" s="1"/>
    </row>
    <row r="1173">
      <c r="A1173" s="43"/>
      <c r="B1173" s="59"/>
      <c r="C1173" s="51"/>
      <c r="D1173" s="43"/>
      <c r="E1173" s="85"/>
      <c r="F1173" s="43"/>
      <c r="G1173" s="85"/>
      <c r="H1173" s="43"/>
      <c r="I1173" s="85"/>
      <c r="J1173" s="43"/>
      <c r="L1173" s="43"/>
      <c r="N1173" s="43"/>
      <c r="P1173" s="43"/>
      <c r="R1173" s="43"/>
      <c r="T1173" s="43"/>
      <c r="V1173" s="43"/>
      <c r="X1173" s="43"/>
      <c r="Z1173" s="43"/>
      <c r="AB1173" s="43"/>
      <c r="AD1173" s="43"/>
      <c r="AF1173" s="43"/>
      <c r="AH1173" s="43"/>
      <c r="AJ1173" s="43"/>
      <c r="AL1173" s="43"/>
      <c r="AO1173" s="43"/>
      <c r="AP1173" s="1"/>
      <c r="AQ1173" s="43"/>
      <c r="AR1173" s="123"/>
      <c r="AS1173" s="1"/>
      <c r="AT1173" s="1"/>
    </row>
    <row r="1174">
      <c r="A1174" s="43"/>
      <c r="B1174" s="59"/>
      <c r="C1174" s="51"/>
      <c r="D1174" s="43"/>
      <c r="E1174" s="85"/>
      <c r="F1174" s="43"/>
      <c r="G1174" s="85"/>
      <c r="H1174" s="43"/>
      <c r="I1174" s="85"/>
      <c r="J1174" s="43"/>
      <c r="L1174" s="43"/>
      <c r="N1174" s="43"/>
      <c r="P1174" s="43"/>
      <c r="R1174" s="43"/>
      <c r="T1174" s="43"/>
      <c r="V1174" s="43"/>
      <c r="X1174" s="43"/>
      <c r="Z1174" s="43"/>
      <c r="AB1174" s="43"/>
      <c r="AD1174" s="43"/>
      <c r="AF1174" s="43"/>
      <c r="AH1174" s="43"/>
      <c r="AJ1174" s="43"/>
      <c r="AL1174" s="43"/>
      <c r="AO1174" s="43"/>
      <c r="AP1174" s="1"/>
      <c r="AQ1174" s="43"/>
      <c r="AR1174" s="123"/>
      <c r="AS1174" s="1"/>
      <c r="AT1174" s="1"/>
    </row>
    <row r="1175">
      <c r="A1175" s="43"/>
      <c r="B1175" s="59"/>
      <c r="C1175" s="51"/>
      <c r="D1175" s="43"/>
      <c r="E1175" s="85"/>
      <c r="F1175" s="43"/>
      <c r="G1175" s="85"/>
      <c r="H1175" s="43"/>
      <c r="I1175" s="85"/>
      <c r="J1175" s="43"/>
      <c r="L1175" s="43"/>
      <c r="N1175" s="43"/>
      <c r="P1175" s="43"/>
      <c r="R1175" s="43"/>
      <c r="T1175" s="43"/>
      <c r="V1175" s="43"/>
      <c r="X1175" s="43"/>
      <c r="Z1175" s="43"/>
      <c r="AB1175" s="43"/>
      <c r="AD1175" s="43"/>
      <c r="AF1175" s="43"/>
      <c r="AH1175" s="43"/>
      <c r="AJ1175" s="43"/>
      <c r="AL1175" s="43"/>
      <c r="AO1175" s="43"/>
      <c r="AP1175" s="1"/>
      <c r="AQ1175" s="43"/>
      <c r="AR1175" s="123"/>
      <c r="AS1175" s="1"/>
      <c r="AT1175" s="1"/>
    </row>
    <row r="1176">
      <c r="A1176" s="43"/>
      <c r="B1176" s="59"/>
      <c r="C1176" s="51"/>
      <c r="D1176" s="43"/>
      <c r="E1176" s="85"/>
      <c r="F1176" s="43"/>
      <c r="G1176" s="85"/>
      <c r="H1176" s="43"/>
      <c r="I1176" s="85"/>
      <c r="J1176" s="43"/>
      <c r="L1176" s="43"/>
      <c r="N1176" s="43"/>
      <c r="P1176" s="43"/>
      <c r="R1176" s="43"/>
      <c r="T1176" s="43"/>
      <c r="V1176" s="43"/>
      <c r="X1176" s="43"/>
      <c r="Z1176" s="43"/>
      <c r="AB1176" s="43"/>
      <c r="AD1176" s="43"/>
      <c r="AF1176" s="43"/>
      <c r="AH1176" s="43"/>
      <c r="AJ1176" s="43"/>
      <c r="AL1176" s="43"/>
      <c r="AO1176" s="43"/>
      <c r="AP1176" s="1"/>
      <c r="AQ1176" s="43"/>
      <c r="AR1176" s="123"/>
      <c r="AS1176" s="1"/>
      <c r="AT1176" s="1"/>
    </row>
    <row r="1177">
      <c r="A1177" s="43"/>
      <c r="B1177" s="59"/>
      <c r="C1177" s="51"/>
      <c r="D1177" s="43"/>
      <c r="E1177" s="85"/>
      <c r="F1177" s="43"/>
      <c r="G1177" s="85"/>
      <c r="H1177" s="43"/>
      <c r="I1177" s="85"/>
      <c r="J1177" s="43"/>
      <c r="L1177" s="43"/>
      <c r="N1177" s="43"/>
      <c r="P1177" s="43"/>
      <c r="R1177" s="43"/>
      <c r="T1177" s="43"/>
      <c r="V1177" s="43"/>
      <c r="X1177" s="43"/>
      <c r="Z1177" s="43"/>
      <c r="AB1177" s="43"/>
      <c r="AD1177" s="43"/>
      <c r="AF1177" s="43"/>
      <c r="AH1177" s="43"/>
      <c r="AJ1177" s="43"/>
      <c r="AL1177" s="43"/>
      <c r="AO1177" s="43"/>
      <c r="AP1177" s="1"/>
      <c r="AQ1177" s="43"/>
      <c r="AR1177" s="123"/>
      <c r="AS1177" s="1"/>
      <c r="AT1177" s="1"/>
    </row>
    <row r="1178">
      <c r="A1178" s="43"/>
      <c r="B1178" s="59"/>
      <c r="C1178" s="51"/>
      <c r="D1178" s="43"/>
      <c r="E1178" s="85"/>
      <c r="F1178" s="43"/>
      <c r="G1178" s="85"/>
      <c r="H1178" s="43"/>
      <c r="I1178" s="85"/>
      <c r="J1178" s="43"/>
      <c r="L1178" s="43"/>
      <c r="N1178" s="43"/>
      <c r="P1178" s="43"/>
      <c r="R1178" s="43"/>
      <c r="T1178" s="43"/>
      <c r="V1178" s="43"/>
      <c r="X1178" s="43"/>
      <c r="Z1178" s="43"/>
      <c r="AB1178" s="43"/>
      <c r="AD1178" s="43"/>
      <c r="AF1178" s="43"/>
      <c r="AH1178" s="43"/>
      <c r="AJ1178" s="43"/>
      <c r="AL1178" s="43"/>
      <c r="AO1178" s="43"/>
      <c r="AP1178" s="1"/>
      <c r="AQ1178" s="43"/>
      <c r="AR1178" s="123"/>
      <c r="AS1178" s="1"/>
      <c r="AT1178" s="1"/>
    </row>
    <row r="1179">
      <c r="A1179" s="43"/>
      <c r="B1179" s="59"/>
      <c r="C1179" s="51"/>
      <c r="D1179" s="43"/>
      <c r="E1179" s="85"/>
      <c r="F1179" s="43"/>
      <c r="G1179" s="85"/>
      <c r="H1179" s="43"/>
      <c r="I1179" s="85"/>
      <c r="J1179" s="43"/>
      <c r="L1179" s="43"/>
      <c r="N1179" s="43"/>
      <c r="P1179" s="43"/>
      <c r="R1179" s="43"/>
      <c r="T1179" s="43"/>
      <c r="V1179" s="43"/>
      <c r="X1179" s="43"/>
      <c r="Z1179" s="43"/>
      <c r="AB1179" s="43"/>
      <c r="AD1179" s="43"/>
      <c r="AF1179" s="43"/>
      <c r="AH1179" s="43"/>
      <c r="AJ1179" s="43"/>
      <c r="AL1179" s="43"/>
      <c r="AO1179" s="43"/>
      <c r="AP1179" s="1"/>
      <c r="AQ1179" s="43"/>
      <c r="AR1179" s="123"/>
      <c r="AS1179" s="1"/>
      <c r="AT1179" s="1"/>
    </row>
    <row r="1180">
      <c r="A1180" s="43"/>
      <c r="B1180" s="59"/>
      <c r="C1180" s="51"/>
      <c r="D1180" s="43"/>
      <c r="E1180" s="85"/>
      <c r="F1180" s="43"/>
      <c r="G1180" s="85"/>
      <c r="H1180" s="43"/>
      <c r="I1180" s="85"/>
      <c r="J1180" s="43"/>
      <c r="L1180" s="43"/>
      <c r="N1180" s="43"/>
      <c r="P1180" s="43"/>
      <c r="R1180" s="43"/>
      <c r="T1180" s="43"/>
      <c r="V1180" s="43"/>
      <c r="X1180" s="43"/>
      <c r="Z1180" s="43"/>
      <c r="AB1180" s="43"/>
      <c r="AD1180" s="43"/>
      <c r="AF1180" s="43"/>
      <c r="AH1180" s="43"/>
      <c r="AJ1180" s="43"/>
      <c r="AL1180" s="43"/>
      <c r="AO1180" s="43"/>
      <c r="AP1180" s="1"/>
      <c r="AQ1180" s="43"/>
      <c r="AR1180" s="123"/>
      <c r="AS1180" s="1"/>
      <c r="AT1180" s="1"/>
    </row>
    <row r="1181">
      <c r="A1181" s="43"/>
      <c r="B1181" s="59"/>
      <c r="C1181" s="51"/>
      <c r="D1181" s="43"/>
      <c r="E1181" s="85"/>
      <c r="F1181" s="43"/>
      <c r="G1181" s="85"/>
      <c r="H1181" s="43"/>
      <c r="I1181" s="85"/>
      <c r="J1181" s="43"/>
      <c r="L1181" s="43"/>
      <c r="N1181" s="43"/>
      <c r="P1181" s="43"/>
      <c r="R1181" s="43"/>
      <c r="T1181" s="43"/>
      <c r="V1181" s="43"/>
      <c r="X1181" s="43"/>
      <c r="Z1181" s="43"/>
      <c r="AB1181" s="43"/>
      <c r="AD1181" s="43"/>
      <c r="AF1181" s="43"/>
      <c r="AH1181" s="43"/>
      <c r="AJ1181" s="43"/>
      <c r="AL1181" s="43"/>
      <c r="AO1181" s="43"/>
      <c r="AP1181" s="1"/>
      <c r="AQ1181" s="43"/>
      <c r="AR1181" s="123"/>
      <c r="AS1181" s="1"/>
      <c r="AT1181" s="1"/>
    </row>
    <row r="1182">
      <c r="A1182" s="43"/>
      <c r="B1182" s="59"/>
      <c r="C1182" s="51"/>
      <c r="D1182" s="43"/>
      <c r="E1182" s="85"/>
      <c r="F1182" s="43"/>
      <c r="G1182" s="85"/>
      <c r="H1182" s="43"/>
      <c r="I1182" s="85"/>
      <c r="J1182" s="43"/>
      <c r="L1182" s="43"/>
      <c r="N1182" s="43"/>
      <c r="P1182" s="43"/>
      <c r="R1182" s="43"/>
      <c r="T1182" s="43"/>
      <c r="V1182" s="43"/>
      <c r="X1182" s="43"/>
      <c r="Z1182" s="43"/>
      <c r="AB1182" s="43"/>
      <c r="AD1182" s="43"/>
      <c r="AF1182" s="43"/>
      <c r="AH1182" s="43"/>
      <c r="AJ1182" s="43"/>
      <c r="AL1182" s="43"/>
      <c r="AO1182" s="43"/>
      <c r="AP1182" s="1"/>
      <c r="AQ1182" s="43"/>
      <c r="AR1182" s="123"/>
      <c r="AS1182" s="1"/>
      <c r="AT1182" s="1"/>
    </row>
    <row r="1183">
      <c r="A1183" s="43"/>
      <c r="B1183" s="59"/>
      <c r="C1183" s="51"/>
      <c r="D1183" s="43"/>
      <c r="E1183" s="85"/>
      <c r="F1183" s="43"/>
      <c r="G1183" s="85"/>
      <c r="H1183" s="43"/>
      <c r="I1183" s="85"/>
      <c r="J1183" s="43"/>
      <c r="L1183" s="43"/>
      <c r="N1183" s="43"/>
      <c r="P1183" s="43"/>
      <c r="R1183" s="43"/>
      <c r="T1183" s="43"/>
      <c r="V1183" s="43"/>
      <c r="X1183" s="43"/>
      <c r="Z1183" s="43"/>
      <c r="AB1183" s="43"/>
      <c r="AD1183" s="43"/>
      <c r="AF1183" s="43"/>
      <c r="AH1183" s="43"/>
      <c r="AJ1183" s="43"/>
      <c r="AL1183" s="43"/>
      <c r="AO1183" s="43"/>
      <c r="AP1183" s="1"/>
      <c r="AQ1183" s="43"/>
      <c r="AR1183" s="123"/>
      <c r="AS1183" s="1"/>
      <c r="AT1183" s="1"/>
    </row>
    <row r="1184">
      <c r="A1184" s="43"/>
      <c r="B1184" s="59"/>
      <c r="C1184" s="51"/>
      <c r="D1184" s="43"/>
      <c r="E1184" s="85"/>
      <c r="F1184" s="43"/>
      <c r="G1184" s="85"/>
      <c r="H1184" s="43"/>
      <c r="I1184" s="85"/>
      <c r="J1184" s="43"/>
      <c r="L1184" s="43"/>
      <c r="N1184" s="43"/>
      <c r="P1184" s="43"/>
      <c r="R1184" s="43"/>
      <c r="T1184" s="43"/>
      <c r="V1184" s="43"/>
      <c r="X1184" s="43"/>
      <c r="Z1184" s="43"/>
      <c r="AB1184" s="43"/>
      <c r="AD1184" s="43"/>
      <c r="AF1184" s="43"/>
      <c r="AH1184" s="43"/>
      <c r="AJ1184" s="43"/>
      <c r="AL1184" s="43"/>
      <c r="AO1184" s="43"/>
      <c r="AP1184" s="1"/>
      <c r="AQ1184" s="43"/>
      <c r="AR1184" s="123"/>
      <c r="AS1184" s="1"/>
      <c r="AT1184" s="1"/>
    </row>
    <row r="1185">
      <c r="A1185" s="43"/>
      <c r="B1185" s="59"/>
      <c r="C1185" s="51"/>
      <c r="D1185" s="43"/>
      <c r="E1185" s="85"/>
      <c r="F1185" s="43"/>
      <c r="G1185" s="85"/>
      <c r="H1185" s="43"/>
      <c r="I1185" s="85"/>
      <c r="J1185" s="43"/>
      <c r="L1185" s="43"/>
      <c r="N1185" s="43"/>
      <c r="P1185" s="43"/>
      <c r="R1185" s="43"/>
      <c r="T1185" s="43"/>
      <c r="V1185" s="43"/>
      <c r="X1185" s="43"/>
      <c r="Z1185" s="43"/>
      <c r="AB1185" s="43"/>
      <c r="AD1185" s="43"/>
      <c r="AF1185" s="43"/>
      <c r="AH1185" s="43"/>
      <c r="AJ1185" s="43"/>
      <c r="AL1185" s="43"/>
      <c r="AO1185" s="43"/>
      <c r="AP1185" s="1"/>
      <c r="AQ1185" s="43"/>
      <c r="AR1185" s="123"/>
      <c r="AS1185" s="1"/>
      <c r="AT1185" s="1"/>
    </row>
    <row r="1186">
      <c r="A1186" s="43"/>
      <c r="B1186" s="59"/>
      <c r="C1186" s="51"/>
      <c r="D1186" s="43"/>
      <c r="E1186" s="85"/>
      <c r="F1186" s="43"/>
      <c r="G1186" s="85"/>
      <c r="H1186" s="43"/>
      <c r="I1186" s="85"/>
      <c r="J1186" s="43"/>
      <c r="L1186" s="43"/>
      <c r="N1186" s="43"/>
      <c r="P1186" s="43"/>
      <c r="R1186" s="43"/>
      <c r="T1186" s="43"/>
      <c r="V1186" s="43"/>
      <c r="X1186" s="43"/>
      <c r="Z1186" s="43"/>
      <c r="AB1186" s="43"/>
      <c r="AD1186" s="43"/>
      <c r="AF1186" s="43"/>
      <c r="AH1186" s="43"/>
      <c r="AJ1186" s="43"/>
      <c r="AL1186" s="43"/>
      <c r="AO1186" s="43"/>
      <c r="AP1186" s="1"/>
      <c r="AQ1186" s="43"/>
      <c r="AR1186" s="123"/>
      <c r="AS1186" s="1"/>
      <c r="AT1186" s="1"/>
    </row>
    <row r="1187">
      <c r="A1187" s="43"/>
      <c r="B1187" s="59"/>
      <c r="C1187" s="51"/>
      <c r="D1187" s="43"/>
      <c r="E1187" s="85"/>
      <c r="F1187" s="43"/>
      <c r="G1187" s="85"/>
      <c r="H1187" s="43"/>
      <c r="I1187" s="85"/>
      <c r="J1187" s="43"/>
      <c r="L1187" s="43"/>
      <c r="N1187" s="43"/>
      <c r="P1187" s="43"/>
      <c r="R1187" s="43"/>
      <c r="T1187" s="43"/>
      <c r="V1187" s="43"/>
      <c r="X1187" s="43"/>
      <c r="Z1187" s="43"/>
      <c r="AB1187" s="43"/>
      <c r="AD1187" s="43"/>
      <c r="AF1187" s="43"/>
      <c r="AH1187" s="43"/>
      <c r="AJ1187" s="43"/>
      <c r="AL1187" s="43"/>
      <c r="AO1187" s="43"/>
      <c r="AP1187" s="1"/>
      <c r="AQ1187" s="43"/>
      <c r="AR1187" s="123"/>
      <c r="AS1187" s="1"/>
      <c r="AT1187" s="1"/>
    </row>
    <row r="1188">
      <c r="A1188" s="43"/>
      <c r="B1188" s="59"/>
      <c r="C1188" s="51"/>
      <c r="D1188" s="43"/>
      <c r="E1188" s="85"/>
      <c r="F1188" s="43"/>
      <c r="G1188" s="85"/>
      <c r="H1188" s="43"/>
      <c r="I1188" s="85"/>
      <c r="J1188" s="43"/>
      <c r="L1188" s="43"/>
      <c r="N1188" s="43"/>
      <c r="P1188" s="43"/>
      <c r="R1188" s="43"/>
      <c r="T1188" s="43"/>
      <c r="V1188" s="43"/>
      <c r="X1188" s="43"/>
      <c r="Z1188" s="43"/>
      <c r="AB1188" s="43"/>
      <c r="AD1188" s="43"/>
      <c r="AF1188" s="43"/>
      <c r="AH1188" s="43"/>
      <c r="AJ1188" s="43"/>
      <c r="AL1188" s="43"/>
      <c r="AO1188" s="43"/>
      <c r="AP1188" s="1"/>
      <c r="AQ1188" s="43"/>
      <c r="AR1188" s="123"/>
      <c r="AS1188" s="1"/>
      <c r="AT1188" s="1"/>
    </row>
    <row r="1189">
      <c r="A1189" s="43"/>
      <c r="B1189" s="59"/>
      <c r="C1189" s="51"/>
      <c r="D1189" s="43"/>
      <c r="E1189" s="85"/>
      <c r="F1189" s="43"/>
      <c r="G1189" s="85"/>
      <c r="H1189" s="43"/>
      <c r="I1189" s="85"/>
      <c r="J1189" s="43"/>
      <c r="L1189" s="43"/>
      <c r="N1189" s="43"/>
      <c r="P1189" s="43"/>
      <c r="R1189" s="43"/>
      <c r="T1189" s="43"/>
      <c r="V1189" s="43"/>
      <c r="X1189" s="43"/>
      <c r="Z1189" s="43"/>
      <c r="AB1189" s="43"/>
      <c r="AD1189" s="43"/>
      <c r="AF1189" s="43"/>
      <c r="AH1189" s="43"/>
      <c r="AJ1189" s="43"/>
      <c r="AL1189" s="43"/>
      <c r="AO1189" s="43"/>
      <c r="AP1189" s="1"/>
      <c r="AQ1189" s="43"/>
      <c r="AR1189" s="123"/>
      <c r="AS1189" s="1"/>
      <c r="AT1189" s="1"/>
    </row>
    <row r="1190">
      <c r="A1190" s="43"/>
      <c r="B1190" s="59"/>
      <c r="C1190" s="51"/>
      <c r="D1190" s="43"/>
      <c r="E1190" s="85"/>
      <c r="F1190" s="43"/>
      <c r="G1190" s="85"/>
      <c r="H1190" s="43"/>
      <c r="I1190" s="85"/>
      <c r="J1190" s="43"/>
      <c r="L1190" s="43"/>
      <c r="N1190" s="43"/>
      <c r="P1190" s="43"/>
      <c r="R1190" s="43"/>
      <c r="T1190" s="43"/>
      <c r="V1190" s="43"/>
      <c r="X1190" s="43"/>
      <c r="Z1190" s="43"/>
      <c r="AB1190" s="43"/>
      <c r="AD1190" s="43"/>
      <c r="AF1190" s="43"/>
      <c r="AH1190" s="43"/>
      <c r="AJ1190" s="43"/>
      <c r="AL1190" s="43"/>
      <c r="AO1190" s="43"/>
      <c r="AP1190" s="1"/>
      <c r="AQ1190" s="43"/>
      <c r="AR1190" s="123"/>
      <c r="AS1190" s="1"/>
      <c r="AT1190" s="1"/>
    </row>
    <row r="1191">
      <c r="A1191" s="43"/>
      <c r="B1191" s="59"/>
      <c r="C1191" s="51"/>
      <c r="D1191" s="43"/>
      <c r="E1191" s="85"/>
      <c r="F1191" s="43"/>
      <c r="G1191" s="85"/>
      <c r="H1191" s="43"/>
      <c r="I1191" s="85"/>
      <c r="J1191" s="43"/>
      <c r="L1191" s="43"/>
      <c r="N1191" s="43"/>
      <c r="P1191" s="43"/>
      <c r="R1191" s="43"/>
      <c r="T1191" s="43"/>
      <c r="V1191" s="43"/>
      <c r="X1191" s="43"/>
      <c r="Z1191" s="43"/>
      <c r="AB1191" s="43"/>
      <c r="AD1191" s="43"/>
      <c r="AF1191" s="43"/>
      <c r="AH1191" s="43"/>
      <c r="AJ1191" s="43"/>
      <c r="AL1191" s="43"/>
      <c r="AO1191" s="43"/>
      <c r="AP1191" s="1"/>
      <c r="AQ1191" s="43"/>
      <c r="AR1191" s="123"/>
      <c r="AS1191" s="1"/>
      <c r="AT1191" s="1"/>
    </row>
    <row r="1192">
      <c r="A1192" s="43"/>
      <c r="B1192" s="59"/>
      <c r="C1192" s="51"/>
      <c r="D1192" s="43"/>
      <c r="E1192" s="85"/>
      <c r="F1192" s="43"/>
      <c r="G1192" s="85"/>
      <c r="H1192" s="43"/>
      <c r="I1192" s="85"/>
      <c r="J1192" s="43"/>
      <c r="L1192" s="43"/>
      <c r="N1192" s="43"/>
      <c r="P1192" s="43"/>
      <c r="R1192" s="43"/>
      <c r="T1192" s="43"/>
      <c r="V1192" s="43"/>
      <c r="X1192" s="43"/>
      <c r="Z1192" s="43"/>
      <c r="AB1192" s="43"/>
      <c r="AD1192" s="43"/>
      <c r="AF1192" s="43"/>
      <c r="AH1192" s="43"/>
      <c r="AJ1192" s="43"/>
      <c r="AL1192" s="43"/>
      <c r="AO1192" s="43"/>
      <c r="AP1192" s="1"/>
      <c r="AQ1192" s="43"/>
      <c r="AR1192" s="123"/>
      <c r="AS1192" s="1"/>
      <c r="AT1192" s="1"/>
    </row>
    <row r="1193">
      <c r="A1193" s="43"/>
      <c r="B1193" s="59"/>
      <c r="C1193" s="51"/>
      <c r="D1193" s="43"/>
      <c r="E1193" s="85"/>
      <c r="F1193" s="43"/>
      <c r="G1193" s="85"/>
      <c r="H1193" s="43"/>
      <c r="I1193" s="85"/>
      <c r="J1193" s="43"/>
      <c r="L1193" s="43"/>
      <c r="N1193" s="43"/>
      <c r="P1193" s="43"/>
      <c r="R1193" s="43"/>
      <c r="T1193" s="43"/>
      <c r="V1193" s="43"/>
      <c r="X1193" s="43"/>
      <c r="Z1193" s="43"/>
      <c r="AB1193" s="43"/>
      <c r="AD1193" s="43"/>
      <c r="AF1193" s="43"/>
      <c r="AH1193" s="43"/>
      <c r="AJ1193" s="43"/>
      <c r="AL1193" s="43"/>
      <c r="AO1193" s="43"/>
      <c r="AP1193" s="1"/>
      <c r="AQ1193" s="43"/>
      <c r="AR1193" s="123"/>
      <c r="AS1193" s="1"/>
      <c r="AT1193" s="1"/>
    </row>
    <row r="1194">
      <c r="A1194" s="43"/>
      <c r="B1194" s="59"/>
      <c r="C1194" s="51"/>
      <c r="D1194" s="43"/>
      <c r="E1194" s="85"/>
      <c r="F1194" s="43"/>
      <c r="G1194" s="85"/>
      <c r="H1194" s="43"/>
      <c r="I1194" s="85"/>
      <c r="J1194" s="43"/>
      <c r="L1194" s="43"/>
      <c r="N1194" s="43"/>
      <c r="P1194" s="43"/>
      <c r="R1194" s="43"/>
      <c r="T1194" s="43"/>
      <c r="V1194" s="43"/>
      <c r="X1194" s="43"/>
      <c r="Z1194" s="43"/>
      <c r="AB1194" s="43"/>
      <c r="AD1194" s="43"/>
      <c r="AF1194" s="43"/>
      <c r="AH1194" s="43"/>
      <c r="AJ1194" s="43"/>
      <c r="AL1194" s="43"/>
      <c r="AO1194" s="43"/>
      <c r="AP1194" s="1"/>
      <c r="AQ1194" s="43"/>
      <c r="AR1194" s="123"/>
      <c r="AS1194" s="1"/>
      <c r="AT1194" s="1"/>
    </row>
    <row r="1195">
      <c r="A1195" s="43"/>
      <c r="B1195" s="59"/>
      <c r="C1195" s="51"/>
      <c r="D1195" s="43"/>
      <c r="E1195" s="85"/>
      <c r="F1195" s="43"/>
      <c r="G1195" s="85"/>
      <c r="H1195" s="43"/>
      <c r="I1195" s="85"/>
      <c r="J1195" s="43"/>
      <c r="L1195" s="43"/>
      <c r="N1195" s="43"/>
      <c r="P1195" s="43"/>
      <c r="R1195" s="43"/>
      <c r="T1195" s="43"/>
      <c r="V1195" s="43"/>
      <c r="X1195" s="43"/>
      <c r="Z1195" s="43"/>
      <c r="AB1195" s="43"/>
      <c r="AD1195" s="43"/>
      <c r="AF1195" s="43"/>
      <c r="AH1195" s="43"/>
      <c r="AJ1195" s="43"/>
      <c r="AL1195" s="43"/>
      <c r="AO1195" s="43"/>
      <c r="AP1195" s="1"/>
      <c r="AQ1195" s="43"/>
      <c r="AR1195" s="123"/>
      <c r="AS1195" s="1"/>
      <c r="AT1195" s="1"/>
    </row>
    <row r="1196">
      <c r="A1196" s="43"/>
      <c r="B1196" s="59"/>
      <c r="C1196" s="51"/>
      <c r="D1196" s="43"/>
      <c r="E1196" s="85"/>
      <c r="F1196" s="43"/>
      <c r="G1196" s="85"/>
      <c r="H1196" s="43"/>
      <c r="I1196" s="85"/>
      <c r="J1196" s="43"/>
      <c r="L1196" s="43"/>
      <c r="N1196" s="43"/>
      <c r="P1196" s="43"/>
      <c r="R1196" s="43"/>
      <c r="T1196" s="43"/>
      <c r="V1196" s="43"/>
      <c r="X1196" s="43"/>
      <c r="Z1196" s="43"/>
      <c r="AB1196" s="43"/>
      <c r="AD1196" s="43"/>
      <c r="AF1196" s="43"/>
      <c r="AH1196" s="43"/>
      <c r="AJ1196" s="43"/>
      <c r="AL1196" s="43"/>
      <c r="AO1196" s="43"/>
      <c r="AP1196" s="1"/>
      <c r="AQ1196" s="43"/>
      <c r="AR1196" s="123"/>
      <c r="AS1196" s="1"/>
      <c r="AT1196" s="1"/>
    </row>
    <row r="1197">
      <c r="A1197" s="43"/>
      <c r="B1197" s="59"/>
      <c r="C1197" s="51"/>
      <c r="D1197" s="43"/>
      <c r="E1197" s="85"/>
      <c r="F1197" s="43"/>
      <c r="G1197" s="85"/>
      <c r="H1197" s="43"/>
      <c r="I1197" s="85"/>
      <c r="J1197" s="43"/>
      <c r="L1197" s="43"/>
      <c r="N1197" s="43"/>
      <c r="P1197" s="43"/>
      <c r="R1197" s="43"/>
      <c r="T1197" s="43"/>
      <c r="V1197" s="43"/>
      <c r="X1197" s="43"/>
      <c r="Z1197" s="43"/>
      <c r="AB1197" s="43"/>
      <c r="AD1197" s="43"/>
      <c r="AF1197" s="43"/>
      <c r="AH1197" s="43"/>
      <c r="AJ1197" s="43"/>
      <c r="AL1197" s="43"/>
      <c r="AO1197" s="43"/>
      <c r="AP1197" s="1"/>
      <c r="AQ1197" s="43"/>
      <c r="AR1197" s="123"/>
      <c r="AS1197" s="1"/>
      <c r="AT1197" s="1"/>
    </row>
    <row r="1198">
      <c r="A1198" s="43"/>
      <c r="B1198" s="59"/>
      <c r="C1198" s="51"/>
      <c r="D1198" s="43"/>
      <c r="E1198" s="85"/>
      <c r="F1198" s="43"/>
      <c r="G1198" s="85"/>
      <c r="H1198" s="43"/>
      <c r="I1198" s="85"/>
      <c r="J1198" s="43"/>
      <c r="L1198" s="43"/>
      <c r="N1198" s="43"/>
      <c r="P1198" s="43"/>
      <c r="R1198" s="43"/>
      <c r="T1198" s="43"/>
      <c r="V1198" s="43"/>
      <c r="X1198" s="43"/>
      <c r="Z1198" s="43"/>
      <c r="AB1198" s="43"/>
      <c r="AD1198" s="43"/>
      <c r="AF1198" s="43"/>
      <c r="AH1198" s="43"/>
      <c r="AJ1198" s="43"/>
      <c r="AL1198" s="43"/>
      <c r="AO1198" s="43"/>
      <c r="AP1198" s="1"/>
      <c r="AQ1198" s="43"/>
      <c r="AR1198" s="123"/>
      <c r="AS1198" s="1"/>
      <c r="AT1198" s="1"/>
    </row>
    <row r="1199">
      <c r="A1199" s="43"/>
      <c r="B1199" s="59"/>
      <c r="C1199" s="51"/>
      <c r="D1199" s="43"/>
      <c r="E1199" s="85"/>
      <c r="F1199" s="43"/>
      <c r="G1199" s="85"/>
      <c r="H1199" s="43"/>
      <c r="I1199" s="85"/>
      <c r="J1199" s="43"/>
      <c r="L1199" s="43"/>
      <c r="N1199" s="43"/>
      <c r="P1199" s="43"/>
      <c r="R1199" s="43"/>
      <c r="T1199" s="43"/>
      <c r="V1199" s="43"/>
      <c r="X1199" s="43"/>
      <c r="Z1199" s="43"/>
      <c r="AB1199" s="43"/>
      <c r="AD1199" s="43"/>
      <c r="AF1199" s="43"/>
      <c r="AH1199" s="43"/>
      <c r="AJ1199" s="43"/>
      <c r="AL1199" s="43"/>
      <c r="AO1199" s="43"/>
      <c r="AP1199" s="1"/>
      <c r="AQ1199" s="43"/>
      <c r="AR1199" s="123"/>
      <c r="AS1199" s="1"/>
      <c r="AT1199" s="1"/>
    </row>
    <row r="1200">
      <c r="A1200" s="43"/>
      <c r="B1200" s="59"/>
      <c r="C1200" s="51"/>
      <c r="D1200" s="43"/>
      <c r="E1200" s="85"/>
      <c r="F1200" s="43"/>
      <c r="G1200" s="85"/>
      <c r="H1200" s="43"/>
      <c r="I1200" s="85"/>
      <c r="J1200" s="43"/>
      <c r="L1200" s="43"/>
      <c r="N1200" s="43"/>
      <c r="P1200" s="43"/>
      <c r="R1200" s="43"/>
      <c r="T1200" s="43"/>
      <c r="V1200" s="43"/>
      <c r="X1200" s="43"/>
      <c r="Z1200" s="43"/>
      <c r="AB1200" s="43"/>
      <c r="AD1200" s="43"/>
      <c r="AF1200" s="43"/>
      <c r="AH1200" s="43"/>
      <c r="AJ1200" s="43"/>
      <c r="AL1200" s="43"/>
      <c r="AO1200" s="43"/>
      <c r="AP1200" s="1"/>
      <c r="AQ1200" s="43"/>
      <c r="AR1200" s="123"/>
      <c r="AS1200" s="1"/>
      <c r="AT1200" s="1"/>
    </row>
    <row r="1201">
      <c r="A1201" s="43"/>
      <c r="B1201" s="59"/>
      <c r="C1201" s="51"/>
      <c r="D1201" s="43"/>
      <c r="E1201" s="85"/>
      <c r="F1201" s="43"/>
      <c r="G1201" s="85"/>
      <c r="H1201" s="43"/>
      <c r="I1201" s="85"/>
      <c r="J1201" s="43"/>
      <c r="L1201" s="43"/>
      <c r="N1201" s="43"/>
      <c r="P1201" s="43"/>
      <c r="R1201" s="43"/>
      <c r="T1201" s="43"/>
      <c r="V1201" s="43"/>
      <c r="X1201" s="43"/>
      <c r="Z1201" s="43"/>
      <c r="AB1201" s="43"/>
      <c r="AD1201" s="43"/>
      <c r="AF1201" s="43"/>
      <c r="AH1201" s="43"/>
      <c r="AJ1201" s="43"/>
      <c r="AL1201" s="43"/>
      <c r="AO1201" s="43"/>
      <c r="AP1201" s="1"/>
      <c r="AQ1201" s="43"/>
      <c r="AR1201" s="123"/>
      <c r="AS1201" s="1"/>
      <c r="AT1201" s="1"/>
    </row>
    <row r="1202">
      <c r="A1202" s="43"/>
      <c r="B1202" s="59"/>
      <c r="C1202" s="51"/>
      <c r="D1202" s="43"/>
      <c r="E1202" s="85"/>
      <c r="F1202" s="43"/>
      <c r="G1202" s="85"/>
      <c r="H1202" s="43"/>
      <c r="I1202" s="85"/>
      <c r="J1202" s="43"/>
      <c r="L1202" s="43"/>
      <c r="N1202" s="43"/>
      <c r="P1202" s="43"/>
      <c r="R1202" s="43"/>
      <c r="T1202" s="43"/>
      <c r="V1202" s="43"/>
      <c r="X1202" s="43"/>
      <c r="Z1202" s="43"/>
      <c r="AB1202" s="43"/>
      <c r="AD1202" s="43"/>
      <c r="AF1202" s="43"/>
      <c r="AH1202" s="43"/>
      <c r="AJ1202" s="43"/>
      <c r="AL1202" s="43"/>
      <c r="AO1202" s="43"/>
      <c r="AP1202" s="1"/>
      <c r="AQ1202" s="43"/>
      <c r="AR1202" s="123"/>
      <c r="AS1202" s="1"/>
      <c r="AT1202" s="1"/>
    </row>
    <row r="1203">
      <c r="A1203" s="43"/>
      <c r="B1203" s="59"/>
      <c r="C1203" s="51"/>
      <c r="D1203" s="43"/>
      <c r="E1203" s="85"/>
      <c r="F1203" s="43"/>
      <c r="G1203" s="85"/>
      <c r="H1203" s="43"/>
      <c r="I1203" s="85"/>
      <c r="J1203" s="43"/>
      <c r="L1203" s="43"/>
      <c r="N1203" s="43"/>
      <c r="P1203" s="43"/>
      <c r="R1203" s="43"/>
      <c r="T1203" s="43"/>
      <c r="V1203" s="43"/>
      <c r="X1203" s="43"/>
      <c r="Z1203" s="43"/>
      <c r="AB1203" s="43"/>
      <c r="AD1203" s="43"/>
      <c r="AF1203" s="43"/>
      <c r="AH1203" s="43"/>
      <c r="AJ1203" s="43"/>
      <c r="AL1203" s="43"/>
      <c r="AO1203" s="43"/>
      <c r="AP1203" s="1"/>
      <c r="AQ1203" s="43"/>
      <c r="AR1203" s="123"/>
      <c r="AS1203" s="1"/>
      <c r="AT1203" s="1"/>
    </row>
    <row r="1204">
      <c r="A1204" s="43"/>
      <c r="B1204" s="59"/>
      <c r="C1204" s="51"/>
      <c r="D1204" s="43"/>
      <c r="E1204" s="85"/>
      <c r="F1204" s="43"/>
      <c r="G1204" s="85"/>
      <c r="H1204" s="43"/>
      <c r="I1204" s="85"/>
      <c r="J1204" s="43"/>
      <c r="L1204" s="43"/>
      <c r="N1204" s="43"/>
      <c r="P1204" s="43"/>
      <c r="R1204" s="43"/>
      <c r="T1204" s="43"/>
      <c r="V1204" s="43"/>
      <c r="X1204" s="43"/>
      <c r="Z1204" s="43"/>
      <c r="AB1204" s="43"/>
      <c r="AD1204" s="43"/>
      <c r="AF1204" s="43"/>
      <c r="AH1204" s="43"/>
      <c r="AJ1204" s="43"/>
      <c r="AL1204" s="43"/>
      <c r="AO1204" s="43"/>
      <c r="AP1204" s="1"/>
      <c r="AQ1204" s="43"/>
      <c r="AR1204" s="123"/>
      <c r="AS1204" s="1"/>
      <c r="AT1204" s="1"/>
    </row>
    <row r="1205">
      <c r="A1205" s="43"/>
      <c r="B1205" s="59"/>
      <c r="C1205" s="51"/>
      <c r="D1205" s="43"/>
      <c r="E1205" s="85"/>
      <c r="F1205" s="43"/>
      <c r="G1205" s="85"/>
      <c r="H1205" s="43"/>
      <c r="I1205" s="85"/>
      <c r="J1205" s="43"/>
      <c r="L1205" s="43"/>
      <c r="N1205" s="43"/>
      <c r="P1205" s="43"/>
      <c r="R1205" s="43"/>
      <c r="T1205" s="43"/>
      <c r="V1205" s="43"/>
      <c r="X1205" s="43"/>
      <c r="Z1205" s="43"/>
      <c r="AB1205" s="43"/>
      <c r="AD1205" s="43"/>
      <c r="AF1205" s="43"/>
      <c r="AH1205" s="43"/>
      <c r="AJ1205" s="43"/>
      <c r="AL1205" s="43"/>
      <c r="AO1205" s="43"/>
      <c r="AP1205" s="1"/>
      <c r="AQ1205" s="43"/>
      <c r="AR1205" s="123"/>
      <c r="AS1205" s="1"/>
      <c r="AT1205" s="1"/>
    </row>
    <row r="1206">
      <c r="A1206" s="43"/>
      <c r="B1206" s="59"/>
      <c r="C1206" s="51"/>
      <c r="D1206" s="43"/>
      <c r="E1206" s="85"/>
      <c r="F1206" s="43"/>
      <c r="G1206" s="85"/>
      <c r="H1206" s="43"/>
      <c r="I1206" s="85"/>
      <c r="J1206" s="43"/>
      <c r="L1206" s="43"/>
      <c r="N1206" s="43"/>
      <c r="P1206" s="43"/>
      <c r="R1206" s="43"/>
      <c r="T1206" s="43"/>
      <c r="V1206" s="43"/>
      <c r="X1206" s="43"/>
      <c r="Z1206" s="43"/>
      <c r="AB1206" s="43"/>
      <c r="AD1206" s="43"/>
      <c r="AF1206" s="43"/>
      <c r="AH1206" s="43"/>
      <c r="AJ1206" s="43"/>
      <c r="AL1206" s="43"/>
      <c r="AO1206" s="43"/>
      <c r="AP1206" s="1"/>
      <c r="AQ1206" s="43"/>
      <c r="AR1206" s="123"/>
      <c r="AS1206" s="1"/>
      <c r="AT1206" s="1"/>
    </row>
    <row r="1207">
      <c r="A1207" s="43"/>
      <c r="B1207" s="59"/>
      <c r="C1207" s="51"/>
      <c r="D1207" s="43"/>
      <c r="E1207" s="85"/>
      <c r="F1207" s="43"/>
      <c r="G1207" s="85"/>
      <c r="H1207" s="43"/>
      <c r="I1207" s="85"/>
      <c r="J1207" s="43"/>
      <c r="L1207" s="43"/>
      <c r="N1207" s="43"/>
      <c r="P1207" s="43"/>
      <c r="R1207" s="43"/>
      <c r="T1207" s="43"/>
      <c r="V1207" s="43"/>
      <c r="X1207" s="43"/>
      <c r="Z1207" s="43"/>
      <c r="AB1207" s="43"/>
      <c r="AD1207" s="43"/>
      <c r="AF1207" s="43"/>
      <c r="AH1207" s="43"/>
      <c r="AJ1207" s="43"/>
      <c r="AL1207" s="43"/>
      <c r="AO1207" s="43"/>
      <c r="AP1207" s="1"/>
      <c r="AQ1207" s="43"/>
      <c r="AR1207" s="123"/>
      <c r="AS1207" s="1"/>
      <c r="AT1207" s="1"/>
    </row>
    <row r="1208">
      <c r="A1208" s="43"/>
      <c r="B1208" s="59"/>
      <c r="C1208" s="51"/>
      <c r="D1208" s="43"/>
      <c r="E1208" s="85"/>
      <c r="F1208" s="43"/>
      <c r="G1208" s="85"/>
      <c r="H1208" s="43"/>
      <c r="I1208" s="85"/>
      <c r="J1208" s="43"/>
      <c r="L1208" s="43"/>
      <c r="N1208" s="43"/>
      <c r="P1208" s="43"/>
      <c r="R1208" s="43"/>
      <c r="T1208" s="43"/>
      <c r="V1208" s="43"/>
      <c r="X1208" s="43"/>
      <c r="Z1208" s="43"/>
      <c r="AB1208" s="43"/>
      <c r="AD1208" s="43"/>
      <c r="AF1208" s="43"/>
      <c r="AH1208" s="43"/>
      <c r="AJ1208" s="43"/>
      <c r="AL1208" s="43"/>
      <c r="AO1208" s="43"/>
      <c r="AP1208" s="1"/>
      <c r="AQ1208" s="43"/>
      <c r="AR1208" s="123"/>
      <c r="AS1208" s="1"/>
      <c r="AT1208" s="1"/>
    </row>
    <row r="1209">
      <c r="A1209" s="43"/>
      <c r="B1209" s="59"/>
      <c r="C1209" s="51"/>
      <c r="D1209" s="43"/>
      <c r="E1209" s="85"/>
      <c r="F1209" s="43"/>
      <c r="G1209" s="85"/>
      <c r="H1209" s="43"/>
      <c r="I1209" s="85"/>
      <c r="J1209" s="43"/>
      <c r="L1209" s="43"/>
      <c r="N1209" s="43"/>
      <c r="P1209" s="43"/>
      <c r="R1209" s="43"/>
      <c r="T1209" s="43"/>
      <c r="V1209" s="43"/>
      <c r="X1209" s="43"/>
      <c r="Z1209" s="43"/>
      <c r="AB1209" s="43"/>
      <c r="AD1209" s="43"/>
      <c r="AF1209" s="43"/>
      <c r="AH1209" s="43"/>
      <c r="AJ1209" s="43"/>
      <c r="AL1209" s="43"/>
      <c r="AO1209" s="43"/>
      <c r="AP1209" s="1"/>
      <c r="AQ1209" s="43"/>
      <c r="AR1209" s="123"/>
      <c r="AS1209" s="1"/>
      <c r="AT1209" s="1"/>
    </row>
    <row r="1210">
      <c r="A1210" s="43"/>
      <c r="B1210" s="59"/>
      <c r="C1210" s="51"/>
      <c r="D1210" s="43"/>
      <c r="E1210" s="85"/>
      <c r="F1210" s="43"/>
      <c r="G1210" s="85"/>
      <c r="H1210" s="43"/>
      <c r="I1210" s="85"/>
      <c r="J1210" s="43"/>
      <c r="L1210" s="43"/>
      <c r="N1210" s="43"/>
      <c r="P1210" s="43"/>
      <c r="R1210" s="43"/>
      <c r="T1210" s="43"/>
      <c r="V1210" s="43"/>
      <c r="X1210" s="43"/>
      <c r="Z1210" s="43"/>
      <c r="AB1210" s="43"/>
      <c r="AD1210" s="43"/>
      <c r="AF1210" s="43"/>
      <c r="AH1210" s="43"/>
      <c r="AJ1210" s="43"/>
      <c r="AL1210" s="43"/>
      <c r="AO1210" s="43"/>
      <c r="AP1210" s="1"/>
      <c r="AQ1210" s="43"/>
      <c r="AR1210" s="123"/>
      <c r="AS1210" s="1"/>
      <c r="AT1210" s="1"/>
    </row>
    <row r="1211">
      <c r="A1211" s="43"/>
      <c r="B1211" s="59"/>
      <c r="C1211" s="51"/>
      <c r="D1211" s="43"/>
      <c r="E1211" s="85"/>
      <c r="F1211" s="43"/>
      <c r="G1211" s="85"/>
      <c r="H1211" s="43"/>
      <c r="I1211" s="85"/>
      <c r="J1211" s="43"/>
      <c r="L1211" s="43"/>
      <c r="N1211" s="43"/>
      <c r="P1211" s="43"/>
      <c r="R1211" s="43"/>
      <c r="T1211" s="43"/>
      <c r="V1211" s="43"/>
      <c r="X1211" s="43"/>
      <c r="Z1211" s="43"/>
      <c r="AB1211" s="43"/>
      <c r="AD1211" s="43"/>
      <c r="AF1211" s="43"/>
      <c r="AH1211" s="43"/>
      <c r="AJ1211" s="43"/>
      <c r="AL1211" s="43"/>
      <c r="AO1211" s="43"/>
      <c r="AP1211" s="1"/>
      <c r="AQ1211" s="43"/>
      <c r="AR1211" s="123"/>
      <c r="AS1211" s="1"/>
      <c r="AT1211" s="1"/>
    </row>
    <row r="1212">
      <c r="A1212" s="43"/>
      <c r="B1212" s="59"/>
      <c r="C1212" s="51"/>
      <c r="D1212" s="43"/>
      <c r="E1212" s="85"/>
      <c r="F1212" s="43"/>
      <c r="G1212" s="85"/>
      <c r="H1212" s="43"/>
      <c r="I1212" s="85"/>
      <c r="J1212" s="43"/>
      <c r="L1212" s="43"/>
      <c r="N1212" s="43"/>
      <c r="P1212" s="43"/>
      <c r="R1212" s="43"/>
      <c r="T1212" s="43"/>
      <c r="V1212" s="43"/>
      <c r="X1212" s="43"/>
      <c r="Z1212" s="43"/>
      <c r="AB1212" s="43"/>
      <c r="AD1212" s="43"/>
      <c r="AF1212" s="43"/>
      <c r="AH1212" s="43"/>
      <c r="AJ1212" s="43"/>
      <c r="AL1212" s="43"/>
      <c r="AO1212" s="43"/>
      <c r="AP1212" s="1"/>
      <c r="AQ1212" s="43"/>
      <c r="AR1212" s="123"/>
      <c r="AS1212" s="1"/>
      <c r="AT1212" s="1"/>
    </row>
    <row r="1213">
      <c r="A1213" s="43"/>
      <c r="B1213" s="59"/>
      <c r="C1213" s="51"/>
      <c r="D1213" s="43"/>
      <c r="E1213" s="85"/>
      <c r="F1213" s="43"/>
      <c r="G1213" s="85"/>
      <c r="H1213" s="43"/>
      <c r="I1213" s="85"/>
      <c r="J1213" s="43"/>
      <c r="L1213" s="43"/>
      <c r="N1213" s="43"/>
      <c r="P1213" s="43"/>
      <c r="R1213" s="43"/>
      <c r="T1213" s="43"/>
      <c r="V1213" s="43"/>
      <c r="X1213" s="43"/>
      <c r="Z1213" s="43"/>
      <c r="AB1213" s="43"/>
      <c r="AD1213" s="43"/>
      <c r="AF1213" s="43"/>
      <c r="AH1213" s="43"/>
      <c r="AJ1213" s="43"/>
      <c r="AL1213" s="43"/>
      <c r="AO1213" s="43"/>
      <c r="AP1213" s="1"/>
      <c r="AQ1213" s="43"/>
      <c r="AR1213" s="123"/>
      <c r="AS1213" s="1"/>
      <c r="AT1213" s="1"/>
    </row>
    <row r="1214">
      <c r="A1214" s="43"/>
      <c r="B1214" s="59"/>
      <c r="C1214" s="51"/>
      <c r="D1214" s="43"/>
      <c r="E1214" s="85"/>
      <c r="F1214" s="43"/>
      <c r="G1214" s="85"/>
      <c r="H1214" s="43"/>
      <c r="I1214" s="85"/>
      <c r="J1214" s="43"/>
      <c r="L1214" s="43"/>
      <c r="N1214" s="43"/>
      <c r="P1214" s="43"/>
      <c r="R1214" s="43"/>
      <c r="T1214" s="43"/>
      <c r="V1214" s="43"/>
      <c r="X1214" s="43"/>
      <c r="Z1214" s="43"/>
      <c r="AB1214" s="43"/>
      <c r="AD1214" s="43"/>
      <c r="AF1214" s="43"/>
      <c r="AH1214" s="43"/>
      <c r="AJ1214" s="43"/>
      <c r="AL1214" s="43"/>
      <c r="AO1214" s="43"/>
      <c r="AP1214" s="1"/>
      <c r="AQ1214" s="43"/>
      <c r="AR1214" s="123"/>
      <c r="AS1214" s="1"/>
      <c r="AT1214" s="1"/>
    </row>
    <row r="1215">
      <c r="A1215" s="43"/>
      <c r="B1215" s="59"/>
      <c r="C1215" s="51"/>
      <c r="D1215" s="43"/>
      <c r="E1215" s="85"/>
      <c r="F1215" s="43"/>
      <c r="G1215" s="85"/>
      <c r="H1215" s="43"/>
      <c r="I1215" s="85"/>
      <c r="J1215" s="43"/>
      <c r="L1215" s="43"/>
      <c r="N1215" s="43"/>
      <c r="P1215" s="43"/>
      <c r="R1215" s="43"/>
      <c r="T1215" s="43"/>
      <c r="V1215" s="43"/>
      <c r="X1215" s="43"/>
      <c r="Z1215" s="43"/>
      <c r="AB1215" s="43"/>
      <c r="AD1215" s="43"/>
      <c r="AF1215" s="43"/>
      <c r="AH1215" s="43"/>
      <c r="AJ1215" s="43"/>
      <c r="AL1215" s="43"/>
      <c r="AO1215" s="43"/>
      <c r="AP1215" s="1"/>
      <c r="AQ1215" s="43"/>
      <c r="AR1215" s="123"/>
      <c r="AS1215" s="1"/>
      <c r="AT1215" s="1"/>
    </row>
    <row r="1216">
      <c r="A1216" s="43"/>
      <c r="B1216" s="59"/>
      <c r="C1216" s="51"/>
      <c r="D1216" s="43"/>
      <c r="E1216" s="85"/>
      <c r="F1216" s="43"/>
      <c r="G1216" s="85"/>
      <c r="H1216" s="43"/>
      <c r="I1216" s="85"/>
      <c r="J1216" s="43"/>
      <c r="L1216" s="43"/>
      <c r="N1216" s="43"/>
      <c r="P1216" s="43"/>
      <c r="R1216" s="43"/>
      <c r="T1216" s="43"/>
      <c r="V1216" s="43"/>
      <c r="X1216" s="43"/>
      <c r="Z1216" s="43"/>
      <c r="AB1216" s="43"/>
      <c r="AD1216" s="43"/>
      <c r="AF1216" s="43"/>
      <c r="AH1216" s="43"/>
      <c r="AJ1216" s="43"/>
      <c r="AL1216" s="43"/>
      <c r="AO1216" s="43"/>
      <c r="AP1216" s="1"/>
      <c r="AQ1216" s="43"/>
      <c r="AR1216" s="123"/>
      <c r="AS1216" s="1"/>
      <c r="AT1216" s="1"/>
    </row>
    <row r="1217">
      <c r="A1217" s="43"/>
      <c r="B1217" s="59"/>
      <c r="C1217" s="51"/>
      <c r="D1217" s="43"/>
      <c r="E1217" s="85"/>
      <c r="F1217" s="43"/>
      <c r="G1217" s="85"/>
      <c r="H1217" s="43"/>
      <c r="I1217" s="85"/>
      <c r="J1217" s="43"/>
      <c r="L1217" s="43"/>
      <c r="N1217" s="43"/>
      <c r="P1217" s="43"/>
      <c r="R1217" s="43"/>
      <c r="T1217" s="43"/>
      <c r="V1217" s="43"/>
      <c r="X1217" s="43"/>
      <c r="Z1217" s="43"/>
      <c r="AB1217" s="43"/>
      <c r="AD1217" s="43"/>
      <c r="AF1217" s="43"/>
      <c r="AH1217" s="43"/>
      <c r="AJ1217" s="43"/>
      <c r="AL1217" s="43"/>
      <c r="AO1217" s="43"/>
      <c r="AP1217" s="1"/>
      <c r="AQ1217" s="43"/>
      <c r="AR1217" s="123"/>
      <c r="AS1217" s="1"/>
      <c r="AT1217" s="1"/>
    </row>
    <row r="1218">
      <c r="A1218" s="43"/>
      <c r="B1218" s="59"/>
      <c r="C1218" s="51"/>
      <c r="D1218" s="43"/>
      <c r="E1218" s="85"/>
      <c r="F1218" s="43"/>
      <c r="G1218" s="85"/>
      <c r="H1218" s="43"/>
      <c r="I1218" s="85"/>
      <c r="J1218" s="43"/>
      <c r="L1218" s="43"/>
      <c r="N1218" s="43"/>
      <c r="P1218" s="43"/>
      <c r="R1218" s="43"/>
      <c r="T1218" s="43"/>
      <c r="V1218" s="43"/>
      <c r="X1218" s="43"/>
      <c r="Z1218" s="43"/>
      <c r="AB1218" s="43"/>
      <c r="AD1218" s="43"/>
      <c r="AF1218" s="43"/>
      <c r="AH1218" s="43"/>
      <c r="AJ1218" s="43"/>
      <c r="AL1218" s="43"/>
      <c r="AO1218" s="43"/>
      <c r="AP1218" s="1"/>
      <c r="AQ1218" s="43"/>
      <c r="AR1218" s="123"/>
      <c r="AS1218" s="1"/>
      <c r="AT1218" s="1"/>
    </row>
    <row r="1219">
      <c r="A1219" s="43"/>
      <c r="B1219" s="59"/>
      <c r="C1219" s="51"/>
      <c r="D1219" s="43"/>
      <c r="E1219" s="85"/>
      <c r="F1219" s="43"/>
      <c r="G1219" s="85"/>
      <c r="H1219" s="43"/>
      <c r="I1219" s="85"/>
      <c r="J1219" s="43"/>
      <c r="L1219" s="43"/>
      <c r="N1219" s="43"/>
      <c r="P1219" s="43"/>
      <c r="R1219" s="43"/>
      <c r="T1219" s="43"/>
      <c r="V1219" s="43"/>
      <c r="X1219" s="43"/>
      <c r="Z1219" s="43"/>
      <c r="AB1219" s="43"/>
      <c r="AD1219" s="43"/>
      <c r="AF1219" s="43"/>
      <c r="AH1219" s="43"/>
      <c r="AJ1219" s="43"/>
      <c r="AL1219" s="43"/>
      <c r="AO1219" s="43"/>
      <c r="AP1219" s="1"/>
      <c r="AQ1219" s="43"/>
      <c r="AR1219" s="123"/>
      <c r="AS1219" s="1"/>
      <c r="AT1219" s="1"/>
    </row>
    <row r="1220">
      <c r="A1220" s="43"/>
      <c r="B1220" s="59"/>
      <c r="C1220" s="51"/>
      <c r="D1220" s="43"/>
      <c r="E1220" s="85"/>
      <c r="F1220" s="43"/>
      <c r="G1220" s="85"/>
      <c r="H1220" s="43"/>
      <c r="I1220" s="85"/>
      <c r="J1220" s="43"/>
      <c r="L1220" s="43"/>
      <c r="N1220" s="43"/>
      <c r="P1220" s="43"/>
      <c r="R1220" s="43"/>
      <c r="T1220" s="43"/>
      <c r="V1220" s="43"/>
      <c r="X1220" s="43"/>
      <c r="Z1220" s="43"/>
      <c r="AB1220" s="43"/>
      <c r="AD1220" s="43"/>
      <c r="AF1220" s="43"/>
      <c r="AH1220" s="43"/>
      <c r="AJ1220" s="43"/>
      <c r="AL1220" s="43"/>
      <c r="AO1220" s="43"/>
      <c r="AP1220" s="1"/>
      <c r="AQ1220" s="43"/>
      <c r="AR1220" s="123"/>
      <c r="AS1220" s="1"/>
      <c r="AT1220" s="1"/>
    </row>
    <row r="1221">
      <c r="A1221" s="43"/>
      <c r="B1221" s="59"/>
      <c r="C1221" s="51"/>
      <c r="D1221" s="43"/>
      <c r="E1221" s="85"/>
      <c r="F1221" s="43"/>
      <c r="G1221" s="85"/>
      <c r="H1221" s="43"/>
      <c r="I1221" s="85"/>
      <c r="J1221" s="43"/>
      <c r="L1221" s="43"/>
      <c r="N1221" s="43"/>
      <c r="P1221" s="43"/>
      <c r="R1221" s="43"/>
      <c r="T1221" s="43"/>
      <c r="V1221" s="43"/>
      <c r="X1221" s="43"/>
      <c r="Z1221" s="43"/>
      <c r="AB1221" s="43"/>
      <c r="AD1221" s="43"/>
      <c r="AF1221" s="43"/>
      <c r="AH1221" s="43"/>
      <c r="AJ1221" s="43"/>
      <c r="AL1221" s="43"/>
      <c r="AO1221" s="43"/>
      <c r="AP1221" s="1"/>
      <c r="AQ1221" s="43"/>
      <c r="AR1221" s="123"/>
      <c r="AS1221" s="1"/>
      <c r="AT1221" s="1"/>
    </row>
    <row r="1222">
      <c r="A1222" s="43"/>
      <c r="B1222" s="59"/>
      <c r="C1222" s="51"/>
      <c r="D1222" s="43"/>
      <c r="E1222" s="85"/>
      <c r="F1222" s="43"/>
      <c r="G1222" s="85"/>
      <c r="H1222" s="43"/>
      <c r="I1222" s="85"/>
      <c r="J1222" s="43"/>
      <c r="L1222" s="43"/>
      <c r="N1222" s="43"/>
      <c r="P1222" s="43"/>
      <c r="R1222" s="43"/>
      <c r="T1222" s="43"/>
      <c r="V1222" s="43"/>
      <c r="X1222" s="43"/>
      <c r="Z1222" s="43"/>
      <c r="AB1222" s="43"/>
      <c r="AD1222" s="43"/>
      <c r="AF1222" s="43"/>
      <c r="AH1222" s="43"/>
      <c r="AJ1222" s="43"/>
      <c r="AL1222" s="43"/>
      <c r="AO1222" s="43"/>
      <c r="AP1222" s="1"/>
      <c r="AQ1222" s="43"/>
      <c r="AR1222" s="123"/>
      <c r="AS1222" s="1"/>
      <c r="AT1222" s="1"/>
    </row>
    <row r="1223">
      <c r="A1223" s="43"/>
      <c r="B1223" s="59"/>
      <c r="C1223" s="51"/>
      <c r="D1223" s="43"/>
      <c r="E1223" s="85"/>
      <c r="F1223" s="43"/>
      <c r="G1223" s="85"/>
      <c r="H1223" s="43"/>
      <c r="I1223" s="85"/>
      <c r="J1223" s="43"/>
      <c r="L1223" s="43"/>
      <c r="N1223" s="43"/>
      <c r="P1223" s="43"/>
      <c r="R1223" s="43"/>
      <c r="T1223" s="43"/>
      <c r="V1223" s="43"/>
      <c r="X1223" s="43"/>
      <c r="Z1223" s="43"/>
      <c r="AB1223" s="43"/>
      <c r="AD1223" s="43"/>
      <c r="AF1223" s="43"/>
      <c r="AH1223" s="43"/>
      <c r="AJ1223" s="43"/>
      <c r="AL1223" s="43"/>
      <c r="AO1223" s="43"/>
      <c r="AP1223" s="1"/>
      <c r="AQ1223" s="43"/>
      <c r="AR1223" s="123"/>
      <c r="AS1223" s="1"/>
      <c r="AT1223" s="1"/>
    </row>
    <row r="1224">
      <c r="A1224" s="43"/>
      <c r="B1224" s="59"/>
      <c r="C1224" s="51"/>
      <c r="D1224" s="43"/>
      <c r="E1224" s="85"/>
      <c r="F1224" s="43"/>
      <c r="G1224" s="85"/>
      <c r="H1224" s="43"/>
      <c r="I1224" s="85"/>
      <c r="J1224" s="43"/>
      <c r="L1224" s="43"/>
      <c r="N1224" s="43"/>
      <c r="P1224" s="43"/>
      <c r="R1224" s="43"/>
      <c r="T1224" s="43"/>
      <c r="V1224" s="43"/>
      <c r="X1224" s="43"/>
      <c r="Z1224" s="43"/>
      <c r="AB1224" s="43"/>
      <c r="AD1224" s="43"/>
      <c r="AF1224" s="43"/>
      <c r="AH1224" s="43"/>
      <c r="AJ1224" s="43"/>
      <c r="AL1224" s="43"/>
      <c r="AO1224" s="43"/>
      <c r="AP1224" s="1"/>
      <c r="AQ1224" s="43"/>
      <c r="AR1224" s="123"/>
      <c r="AS1224" s="1"/>
      <c r="AT1224" s="1"/>
    </row>
    <row r="1225">
      <c r="A1225" s="43"/>
      <c r="B1225" s="59"/>
      <c r="C1225" s="51"/>
      <c r="D1225" s="43"/>
      <c r="E1225" s="85"/>
      <c r="F1225" s="43"/>
      <c r="G1225" s="85"/>
      <c r="H1225" s="43"/>
      <c r="I1225" s="85"/>
      <c r="J1225" s="43"/>
      <c r="L1225" s="43"/>
      <c r="N1225" s="43"/>
      <c r="P1225" s="43"/>
      <c r="R1225" s="43"/>
      <c r="T1225" s="43"/>
      <c r="V1225" s="43"/>
      <c r="X1225" s="43"/>
      <c r="Z1225" s="43"/>
      <c r="AB1225" s="43"/>
      <c r="AD1225" s="43"/>
      <c r="AF1225" s="43"/>
      <c r="AH1225" s="43"/>
      <c r="AJ1225" s="43"/>
      <c r="AL1225" s="43"/>
      <c r="AO1225" s="43"/>
      <c r="AP1225" s="1"/>
      <c r="AQ1225" s="43"/>
      <c r="AR1225" s="123"/>
      <c r="AS1225" s="1"/>
      <c r="AT1225" s="1"/>
    </row>
    <row r="1226">
      <c r="A1226" s="43"/>
      <c r="B1226" s="59"/>
      <c r="C1226" s="51"/>
      <c r="D1226" s="43"/>
      <c r="E1226" s="85"/>
      <c r="F1226" s="43"/>
      <c r="G1226" s="85"/>
      <c r="H1226" s="43"/>
      <c r="I1226" s="85"/>
      <c r="J1226" s="43"/>
      <c r="L1226" s="43"/>
      <c r="N1226" s="43"/>
      <c r="P1226" s="43"/>
      <c r="R1226" s="43"/>
      <c r="T1226" s="43"/>
      <c r="V1226" s="43"/>
      <c r="X1226" s="43"/>
      <c r="Z1226" s="43"/>
      <c r="AB1226" s="43"/>
      <c r="AD1226" s="43"/>
      <c r="AF1226" s="43"/>
      <c r="AH1226" s="43"/>
      <c r="AJ1226" s="43"/>
      <c r="AL1226" s="43"/>
      <c r="AO1226" s="43"/>
      <c r="AP1226" s="1"/>
      <c r="AQ1226" s="43"/>
      <c r="AR1226" s="123"/>
      <c r="AS1226" s="1"/>
      <c r="AT1226" s="1"/>
    </row>
    <row r="1227">
      <c r="A1227" s="43"/>
      <c r="B1227" s="59"/>
      <c r="C1227" s="51"/>
      <c r="D1227" s="43"/>
      <c r="E1227" s="85"/>
      <c r="F1227" s="43"/>
      <c r="G1227" s="85"/>
      <c r="H1227" s="43"/>
      <c r="I1227" s="85"/>
      <c r="J1227" s="43"/>
      <c r="L1227" s="43"/>
      <c r="N1227" s="43"/>
      <c r="P1227" s="43"/>
      <c r="R1227" s="43"/>
      <c r="T1227" s="43"/>
      <c r="V1227" s="43"/>
      <c r="X1227" s="43"/>
      <c r="Z1227" s="43"/>
      <c r="AB1227" s="43"/>
      <c r="AD1227" s="43"/>
      <c r="AF1227" s="43"/>
      <c r="AH1227" s="43"/>
      <c r="AJ1227" s="43"/>
      <c r="AL1227" s="43"/>
      <c r="AO1227" s="43"/>
      <c r="AP1227" s="1"/>
      <c r="AQ1227" s="43"/>
      <c r="AR1227" s="123"/>
      <c r="AS1227" s="1"/>
      <c r="AT1227" s="1"/>
    </row>
    <row r="1228">
      <c r="A1228" s="43"/>
      <c r="B1228" s="59"/>
      <c r="C1228" s="51"/>
      <c r="D1228" s="43"/>
      <c r="E1228" s="85"/>
      <c r="F1228" s="43"/>
      <c r="G1228" s="85"/>
      <c r="H1228" s="43"/>
      <c r="I1228" s="85"/>
      <c r="J1228" s="43"/>
      <c r="L1228" s="43"/>
      <c r="N1228" s="43"/>
      <c r="P1228" s="43"/>
      <c r="R1228" s="43"/>
      <c r="T1228" s="43"/>
      <c r="V1228" s="43"/>
      <c r="X1228" s="43"/>
      <c r="Z1228" s="43"/>
      <c r="AB1228" s="43"/>
      <c r="AD1228" s="43"/>
      <c r="AF1228" s="43"/>
      <c r="AH1228" s="43"/>
      <c r="AJ1228" s="43"/>
      <c r="AL1228" s="43"/>
      <c r="AO1228" s="43"/>
      <c r="AP1228" s="1"/>
      <c r="AQ1228" s="43"/>
      <c r="AR1228" s="123"/>
      <c r="AS1228" s="1"/>
      <c r="AT1228" s="1"/>
    </row>
    <row r="1229">
      <c r="A1229" s="43"/>
      <c r="B1229" s="59"/>
      <c r="C1229" s="51"/>
      <c r="D1229" s="43"/>
      <c r="E1229" s="85"/>
      <c r="F1229" s="43"/>
      <c r="G1229" s="85"/>
      <c r="H1229" s="43"/>
      <c r="I1229" s="85"/>
      <c r="J1229" s="43"/>
      <c r="L1229" s="43"/>
      <c r="N1229" s="43"/>
      <c r="P1229" s="43"/>
      <c r="R1229" s="43"/>
      <c r="T1229" s="43"/>
      <c r="V1229" s="43"/>
      <c r="X1229" s="43"/>
      <c r="Z1229" s="43"/>
      <c r="AB1229" s="43"/>
      <c r="AD1229" s="43"/>
      <c r="AF1229" s="43"/>
      <c r="AH1229" s="43"/>
      <c r="AJ1229" s="43"/>
      <c r="AL1229" s="43"/>
      <c r="AO1229" s="43"/>
      <c r="AP1229" s="1"/>
      <c r="AQ1229" s="43"/>
      <c r="AR1229" s="123"/>
      <c r="AS1229" s="1"/>
      <c r="AT1229" s="1"/>
    </row>
    <row r="1230">
      <c r="A1230" s="43"/>
      <c r="B1230" s="59"/>
      <c r="C1230" s="51"/>
      <c r="D1230" s="43"/>
      <c r="E1230" s="85"/>
      <c r="F1230" s="43"/>
      <c r="G1230" s="85"/>
      <c r="H1230" s="43"/>
      <c r="I1230" s="85"/>
      <c r="J1230" s="43"/>
      <c r="L1230" s="43"/>
      <c r="N1230" s="43"/>
      <c r="P1230" s="43"/>
      <c r="R1230" s="43"/>
      <c r="T1230" s="43"/>
      <c r="V1230" s="43"/>
      <c r="X1230" s="43"/>
      <c r="Z1230" s="43"/>
      <c r="AB1230" s="43"/>
      <c r="AD1230" s="43"/>
      <c r="AF1230" s="43"/>
      <c r="AH1230" s="43"/>
      <c r="AJ1230" s="43"/>
      <c r="AL1230" s="43"/>
      <c r="AO1230" s="43"/>
      <c r="AP1230" s="1"/>
      <c r="AQ1230" s="43"/>
      <c r="AR1230" s="123"/>
      <c r="AS1230" s="1"/>
      <c r="AT1230" s="1"/>
    </row>
    <row r="1231">
      <c r="A1231" s="43"/>
      <c r="B1231" s="59"/>
      <c r="C1231" s="51"/>
      <c r="D1231" s="43"/>
      <c r="E1231" s="85"/>
      <c r="F1231" s="43"/>
      <c r="G1231" s="85"/>
      <c r="H1231" s="43"/>
      <c r="I1231" s="85"/>
      <c r="J1231" s="43"/>
      <c r="L1231" s="43"/>
      <c r="N1231" s="43"/>
      <c r="P1231" s="43"/>
      <c r="R1231" s="43"/>
      <c r="T1231" s="43"/>
      <c r="V1231" s="43"/>
      <c r="X1231" s="43"/>
      <c r="Z1231" s="43"/>
      <c r="AB1231" s="43"/>
      <c r="AD1231" s="43"/>
      <c r="AF1231" s="43"/>
      <c r="AH1231" s="43"/>
      <c r="AJ1231" s="43"/>
      <c r="AL1231" s="43"/>
      <c r="AO1231" s="43"/>
      <c r="AP1231" s="1"/>
      <c r="AQ1231" s="43"/>
      <c r="AR1231" s="123"/>
      <c r="AS1231" s="1"/>
      <c r="AT1231" s="1"/>
    </row>
    <row r="1232">
      <c r="A1232" s="43"/>
      <c r="B1232" s="59"/>
      <c r="C1232" s="51"/>
      <c r="D1232" s="43"/>
      <c r="E1232" s="85"/>
      <c r="F1232" s="43"/>
      <c r="G1232" s="85"/>
      <c r="H1232" s="43"/>
      <c r="I1232" s="85"/>
      <c r="J1232" s="43"/>
      <c r="L1232" s="43"/>
      <c r="N1232" s="43"/>
      <c r="P1232" s="43"/>
      <c r="R1232" s="43"/>
      <c r="T1232" s="43"/>
      <c r="V1232" s="43"/>
      <c r="X1232" s="43"/>
      <c r="Z1232" s="43"/>
      <c r="AB1232" s="43"/>
      <c r="AD1232" s="43"/>
      <c r="AF1232" s="43"/>
      <c r="AH1232" s="43"/>
      <c r="AJ1232" s="43"/>
      <c r="AL1232" s="43"/>
      <c r="AO1232" s="43"/>
      <c r="AP1232" s="1"/>
      <c r="AQ1232" s="43"/>
      <c r="AR1232" s="123"/>
      <c r="AS1232" s="1"/>
      <c r="AT1232" s="1"/>
    </row>
    <row r="1233">
      <c r="A1233" s="43"/>
      <c r="B1233" s="59"/>
      <c r="C1233" s="51"/>
      <c r="D1233" s="43"/>
      <c r="E1233" s="85"/>
      <c r="F1233" s="43"/>
      <c r="G1233" s="85"/>
      <c r="H1233" s="43"/>
      <c r="I1233" s="85"/>
      <c r="J1233" s="43"/>
      <c r="L1233" s="43"/>
      <c r="N1233" s="43"/>
      <c r="P1233" s="43"/>
      <c r="R1233" s="43"/>
      <c r="T1233" s="43"/>
      <c r="V1233" s="43"/>
      <c r="X1233" s="43"/>
      <c r="Z1233" s="43"/>
      <c r="AB1233" s="43"/>
      <c r="AD1233" s="43"/>
      <c r="AF1233" s="43"/>
      <c r="AH1233" s="43"/>
      <c r="AJ1233" s="43"/>
      <c r="AL1233" s="43"/>
      <c r="AO1233" s="43"/>
      <c r="AP1233" s="1"/>
      <c r="AQ1233" s="43"/>
      <c r="AR1233" s="123"/>
      <c r="AS1233" s="1"/>
      <c r="AT1233" s="1"/>
    </row>
    <row r="1234">
      <c r="A1234" s="43"/>
      <c r="B1234" s="59"/>
      <c r="C1234" s="51"/>
      <c r="D1234" s="43"/>
      <c r="E1234" s="85"/>
      <c r="F1234" s="43"/>
      <c r="G1234" s="85"/>
      <c r="H1234" s="43"/>
      <c r="I1234" s="85"/>
      <c r="J1234" s="43"/>
      <c r="L1234" s="43"/>
      <c r="N1234" s="43"/>
      <c r="P1234" s="43"/>
      <c r="R1234" s="43"/>
      <c r="T1234" s="43"/>
      <c r="V1234" s="43"/>
      <c r="X1234" s="43"/>
      <c r="Z1234" s="43"/>
      <c r="AB1234" s="43"/>
      <c r="AD1234" s="43"/>
      <c r="AF1234" s="43"/>
      <c r="AH1234" s="43"/>
      <c r="AJ1234" s="43"/>
      <c r="AL1234" s="43"/>
      <c r="AO1234" s="43"/>
      <c r="AP1234" s="1"/>
      <c r="AQ1234" s="43"/>
      <c r="AR1234" s="123"/>
      <c r="AS1234" s="1"/>
      <c r="AT1234" s="1"/>
    </row>
    <row r="1235">
      <c r="A1235" s="43"/>
      <c r="B1235" s="59"/>
      <c r="C1235" s="51"/>
      <c r="D1235" s="43"/>
      <c r="E1235" s="85"/>
      <c r="F1235" s="43"/>
      <c r="G1235" s="85"/>
      <c r="H1235" s="43"/>
      <c r="I1235" s="85"/>
      <c r="J1235" s="43"/>
      <c r="L1235" s="43"/>
      <c r="N1235" s="43"/>
      <c r="P1235" s="43"/>
      <c r="R1235" s="43"/>
      <c r="T1235" s="43"/>
      <c r="V1235" s="43"/>
      <c r="X1235" s="43"/>
      <c r="Z1235" s="43"/>
      <c r="AB1235" s="43"/>
      <c r="AD1235" s="43"/>
      <c r="AF1235" s="43"/>
      <c r="AH1235" s="43"/>
      <c r="AJ1235" s="43"/>
      <c r="AL1235" s="43"/>
      <c r="AO1235" s="43"/>
      <c r="AP1235" s="1"/>
      <c r="AQ1235" s="43"/>
      <c r="AR1235" s="123"/>
      <c r="AS1235" s="1"/>
      <c r="AT1235" s="1"/>
    </row>
    <row r="1236">
      <c r="A1236" s="43"/>
      <c r="B1236" s="59"/>
      <c r="C1236" s="51"/>
      <c r="D1236" s="43"/>
      <c r="E1236" s="85"/>
      <c r="F1236" s="43"/>
      <c r="G1236" s="85"/>
      <c r="H1236" s="43"/>
      <c r="I1236" s="85"/>
      <c r="J1236" s="43"/>
      <c r="L1236" s="43"/>
      <c r="N1236" s="43"/>
      <c r="P1236" s="43"/>
      <c r="R1236" s="43"/>
      <c r="T1236" s="43"/>
      <c r="V1236" s="43"/>
      <c r="X1236" s="43"/>
      <c r="Z1236" s="43"/>
      <c r="AB1236" s="43"/>
      <c r="AD1236" s="43"/>
      <c r="AF1236" s="43"/>
      <c r="AH1236" s="43"/>
      <c r="AJ1236" s="43"/>
      <c r="AL1236" s="43"/>
      <c r="AO1236" s="43"/>
      <c r="AP1236" s="1"/>
      <c r="AQ1236" s="43"/>
      <c r="AR1236" s="123"/>
      <c r="AS1236" s="1"/>
      <c r="AT1236" s="1"/>
    </row>
    <row r="1237">
      <c r="A1237" s="43"/>
      <c r="B1237" s="59"/>
      <c r="C1237" s="51"/>
      <c r="D1237" s="43"/>
      <c r="E1237" s="85"/>
      <c r="F1237" s="43"/>
      <c r="G1237" s="85"/>
      <c r="H1237" s="43"/>
      <c r="I1237" s="85"/>
      <c r="J1237" s="43"/>
      <c r="L1237" s="43"/>
      <c r="N1237" s="43"/>
      <c r="P1237" s="43"/>
      <c r="R1237" s="43"/>
      <c r="T1237" s="43"/>
      <c r="V1237" s="43"/>
      <c r="X1237" s="43"/>
      <c r="Z1237" s="43"/>
      <c r="AB1237" s="43"/>
      <c r="AD1237" s="43"/>
      <c r="AF1237" s="43"/>
      <c r="AH1237" s="43"/>
      <c r="AJ1237" s="43"/>
      <c r="AL1237" s="43"/>
      <c r="AO1237" s="43"/>
      <c r="AP1237" s="1"/>
      <c r="AQ1237" s="43"/>
      <c r="AR1237" s="123"/>
      <c r="AS1237" s="1"/>
      <c r="AT1237" s="1"/>
    </row>
    <row r="1238">
      <c r="A1238" s="43"/>
      <c r="B1238" s="59"/>
      <c r="C1238" s="51"/>
      <c r="D1238" s="43"/>
      <c r="E1238" s="85"/>
      <c r="F1238" s="43"/>
      <c r="G1238" s="85"/>
      <c r="H1238" s="43"/>
      <c r="I1238" s="85"/>
      <c r="J1238" s="43"/>
      <c r="L1238" s="43"/>
      <c r="N1238" s="43"/>
      <c r="P1238" s="43"/>
      <c r="R1238" s="43"/>
      <c r="T1238" s="43"/>
      <c r="V1238" s="43"/>
      <c r="X1238" s="43"/>
      <c r="Z1238" s="43"/>
      <c r="AB1238" s="43"/>
      <c r="AD1238" s="43"/>
      <c r="AF1238" s="43"/>
      <c r="AH1238" s="43"/>
      <c r="AJ1238" s="43"/>
      <c r="AL1238" s="43"/>
      <c r="AO1238" s="43"/>
      <c r="AP1238" s="1"/>
      <c r="AQ1238" s="43"/>
      <c r="AR1238" s="123"/>
      <c r="AS1238" s="1"/>
      <c r="AT1238" s="1"/>
    </row>
    <row r="1239">
      <c r="A1239" s="43"/>
      <c r="B1239" s="59"/>
      <c r="C1239" s="51"/>
      <c r="D1239" s="43"/>
      <c r="E1239" s="85"/>
      <c r="F1239" s="43"/>
      <c r="G1239" s="85"/>
      <c r="H1239" s="43"/>
      <c r="I1239" s="85"/>
      <c r="J1239" s="43"/>
      <c r="L1239" s="43"/>
      <c r="N1239" s="43"/>
      <c r="P1239" s="43"/>
      <c r="R1239" s="43"/>
      <c r="T1239" s="43"/>
      <c r="V1239" s="43"/>
      <c r="X1239" s="43"/>
      <c r="Z1239" s="43"/>
      <c r="AB1239" s="43"/>
      <c r="AD1239" s="43"/>
      <c r="AF1239" s="43"/>
      <c r="AH1239" s="43"/>
      <c r="AJ1239" s="43"/>
      <c r="AL1239" s="43"/>
      <c r="AO1239" s="43"/>
      <c r="AP1239" s="1"/>
      <c r="AQ1239" s="43"/>
      <c r="AR1239" s="123"/>
      <c r="AS1239" s="1"/>
      <c r="AT1239" s="1"/>
    </row>
    <row r="1240">
      <c r="A1240" s="43"/>
      <c r="B1240" s="59"/>
      <c r="C1240" s="51"/>
      <c r="D1240" s="43"/>
      <c r="E1240" s="85"/>
      <c r="F1240" s="43"/>
      <c r="G1240" s="85"/>
      <c r="H1240" s="43"/>
      <c r="I1240" s="85"/>
      <c r="J1240" s="43"/>
      <c r="L1240" s="43"/>
      <c r="N1240" s="43"/>
      <c r="P1240" s="43"/>
      <c r="R1240" s="43"/>
      <c r="T1240" s="43"/>
      <c r="V1240" s="43"/>
      <c r="X1240" s="43"/>
      <c r="Z1240" s="43"/>
      <c r="AB1240" s="43"/>
      <c r="AD1240" s="43"/>
      <c r="AF1240" s="43"/>
      <c r="AH1240" s="43"/>
      <c r="AJ1240" s="43"/>
      <c r="AL1240" s="43"/>
      <c r="AO1240" s="43"/>
      <c r="AP1240" s="1"/>
      <c r="AQ1240" s="43"/>
      <c r="AR1240" s="123"/>
      <c r="AS1240" s="1"/>
      <c r="AT1240" s="1"/>
    </row>
    <row r="1241">
      <c r="A1241" s="43"/>
      <c r="B1241" s="59"/>
      <c r="C1241" s="51"/>
      <c r="D1241" s="43"/>
      <c r="E1241" s="85"/>
      <c r="F1241" s="43"/>
      <c r="G1241" s="85"/>
      <c r="H1241" s="43"/>
      <c r="I1241" s="85"/>
      <c r="J1241" s="43"/>
      <c r="L1241" s="43"/>
      <c r="N1241" s="43"/>
      <c r="P1241" s="43"/>
      <c r="R1241" s="43"/>
      <c r="T1241" s="43"/>
      <c r="V1241" s="43"/>
      <c r="X1241" s="43"/>
      <c r="Z1241" s="43"/>
      <c r="AB1241" s="43"/>
      <c r="AD1241" s="43"/>
      <c r="AF1241" s="43"/>
      <c r="AH1241" s="43"/>
      <c r="AJ1241" s="43"/>
      <c r="AL1241" s="43"/>
      <c r="AO1241" s="43"/>
      <c r="AP1241" s="1"/>
      <c r="AQ1241" s="43"/>
      <c r="AR1241" s="123"/>
      <c r="AS1241" s="1"/>
      <c r="AT1241" s="1"/>
    </row>
    <row r="1242">
      <c r="A1242" s="43"/>
      <c r="B1242" s="59"/>
      <c r="C1242" s="51"/>
      <c r="D1242" s="43"/>
      <c r="E1242" s="85"/>
      <c r="F1242" s="43"/>
      <c r="G1242" s="85"/>
      <c r="H1242" s="43"/>
      <c r="I1242" s="85"/>
      <c r="J1242" s="43"/>
      <c r="L1242" s="43"/>
      <c r="N1242" s="43"/>
      <c r="P1242" s="43"/>
      <c r="R1242" s="43"/>
      <c r="T1242" s="43"/>
      <c r="V1242" s="43"/>
      <c r="X1242" s="43"/>
      <c r="Z1242" s="43"/>
      <c r="AB1242" s="43"/>
      <c r="AD1242" s="43"/>
      <c r="AF1242" s="43"/>
      <c r="AH1242" s="43"/>
      <c r="AJ1242" s="43"/>
      <c r="AL1242" s="43"/>
      <c r="AO1242" s="43"/>
      <c r="AP1242" s="1"/>
      <c r="AQ1242" s="43"/>
      <c r="AR1242" s="123"/>
      <c r="AS1242" s="1"/>
      <c r="AT1242" s="1"/>
    </row>
    <row r="1243">
      <c r="A1243" s="43"/>
      <c r="B1243" s="59"/>
      <c r="C1243" s="51"/>
      <c r="D1243" s="43"/>
      <c r="E1243" s="85"/>
      <c r="F1243" s="43"/>
      <c r="G1243" s="85"/>
      <c r="H1243" s="43"/>
      <c r="I1243" s="85"/>
      <c r="J1243" s="43"/>
      <c r="L1243" s="43"/>
      <c r="N1243" s="43"/>
      <c r="P1243" s="43"/>
      <c r="R1243" s="43"/>
      <c r="T1243" s="43"/>
      <c r="V1243" s="43"/>
      <c r="X1243" s="43"/>
      <c r="Z1243" s="43"/>
      <c r="AB1243" s="43"/>
      <c r="AD1243" s="43"/>
      <c r="AF1243" s="43"/>
      <c r="AH1243" s="43"/>
      <c r="AJ1243" s="43"/>
      <c r="AL1243" s="43"/>
      <c r="AO1243" s="43"/>
      <c r="AP1243" s="1"/>
      <c r="AQ1243" s="43"/>
      <c r="AR1243" s="123"/>
      <c r="AS1243" s="1"/>
      <c r="AT1243" s="1"/>
    </row>
    <row r="1244">
      <c r="A1244" s="43"/>
      <c r="B1244" s="59"/>
      <c r="C1244" s="51"/>
      <c r="D1244" s="43"/>
      <c r="E1244" s="85"/>
      <c r="F1244" s="43"/>
      <c r="G1244" s="85"/>
      <c r="H1244" s="43"/>
      <c r="I1244" s="85"/>
      <c r="J1244" s="43"/>
      <c r="L1244" s="43"/>
      <c r="N1244" s="43"/>
      <c r="P1244" s="43"/>
      <c r="R1244" s="43"/>
      <c r="T1244" s="43"/>
      <c r="V1244" s="43"/>
      <c r="X1244" s="43"/>
      <c r="Z1244" s="43"/>
      <c r="AB1244" s="43"/>
      <c r="AD1244" s="43"/>
      <c r="AF1244" s="43"/>
      <c r="AH1244" s="43"/>
      <c r="AJ1244" s="43"/>
      <c r="AL1244" s="43"/>
      <c r="AO1244" s="43"/>
      <c r="AP1244" s="1"/>
      <c r="AQ1244" s="43"/>
      <c r="AR1244" s="123"/>
      <c r="AS1244" s="1"/>
      <c r="AT1244" s="1"/>
    </row>
    <row r="1245">
      <c r="A1245" s="43"/>
      <c r="B1245" s="59"/>
      <c r="C1245" s="51"/>
      <c r="D1245" s="43"/>
      <c r="E1245" s="85"/>
      <c r="F1245" s="43"/>
      <c r="G1245" s="85"/>
      <c r="H1245" s="43"/>
      <c r="I1245" s="85"/>
      <c r="J1245" s="43"/>
      <c r="L1245" s="43"/>
      <c r="N1245" s="43"/>
      <c r="P1245" s="43"/>
      <c r="R1245" s="43"/>
      <c r="T1245" s="43"/>
      <c r="V1245" s="43"/>
      <c r="X1245" s="43"/>
      <c r="Z1245" s="43"/>
      <c r="AB1245" s="43"/>
      <c r="AD1245" s="43"/>
      <c r="AF1245" s="43"/>
      <c r="AH1245" s="43"/>
      <c r="AJ1245" s="43"/>
      <c r="AL1245" s="43"/>
      <c r="AO1245" s="43"/>
      <c r="AP1245" s="1"/>
      <c r="AQ1245" s="43"/>
      <c r="AR1245" s="123"/>
      <c r="AS1245" s="1"/>
      <c r="AT1245" s="1"/>
    </row>
    <row r="1246">
      <c r="A1246" s="43"/>
      <c r="B1246" s="59"/>
      <c r="C1246" s="51"/>
      <c r="D1246" s="43"/>
      <c r="E1246" s="85"/>
      <c r="F1246" s="43"/>
      <c r="G1246" s="85"/>
      <c r="H1246" s="43"/>
      <c r="I1246" s="85"/>
      <c r="J1246" s="43"/>
      <c r="L1246" s="43"/>
      <c r="N1246" s="43"/>
      <c r="P1246" s="43"/>
      <c r="R1246" s="43"/>
      <c r="T1246" s="43"/>
      <c r="V1246" s="43"/>
      <c r="X1246" s="43"/>
      <c r="Z1246" s="43"/>
      <c r="AB1246" s="43"/>
      <c r="AD1246" s="43"/>
      <c r="AF1246" s="43"/>
      <c r="AH1246" s="43"/>
      <c r="AJ1246" s="43"/>
      <c r="AL1246" s="43"/>
      <c r="AO1246" s="43"/>
      <c r="AP1246" s="1"/>
      <c r="AQ1246" s="43"/>
      <c r="AR1246" s="123"/>
      <c r="AS1246" s="1"/>
      <c r="AT1246" s="1"/>
    </row>
    <row r="1247">
      <c r="A1247" s="43"/>
      <c r="B1247" s="59"/>
      <c r="C1247" s="51"/>
      <c r="D1247" s="43"/>
      <c r="E1247" s="85"/>
      <c r="F1247" s="43"/>
      <c r="G1247" s="85"/>
      <c r="H1247" s="43"/>
      <c r="I1247" s="85"/>
      <c r="J1247" s="43"/>
      <c r="L1247" s="43"/>
      <c r="N1247" s="43"/>
      <c r="P1247" s="43"/>
      <c r="R1247" s="43"/>
      <c r="T1247" s="43"/>
      <c r="V1247" s="43"/>
      <c r="X1247" s="43"/>
      <c r="Z1247" s="43"/>
      <c r="AB1247" s="43"/>
      <c r="AD1247" s="43"/>
      <c r="AF1247" s="43"/>
      <c r="AH1247" s="43"/>
      <c r="AJ1247" s="43"/>
      <c r="AL1247" s="43"/>
      <c r="AO1247" s="43"/>
      <c r="AP1247" s="1"/>
      <c r="AQ1247" s="43"/>
      <c r="AR1247" s="123"/>
      <c r="AS1247" s="1"/>
      <c r="AT1247" s="1"/>
    </row>
    <row r="1248">
      <c r="A1248" s="43"/>
      <c r="B1248" s="59"/>
      <c r="C1248" s="51"/>
      <c r="D1248" s="43"/>
      <c r="E1248" s="85"/>
      <c r="F1248" s="43"/>
      <c r="G1248" s="85"/>
      <c r="H1248" s="43"/>
      <c r="I1248" s="85"/>
      <c r="J1248" s="43"/>
      <c r="L1248" s="43"/>
      <c r="N1248" s="43"/>
      <c r="P1248" s="43"/>
      <c r="R1248" s="43"/>
      <c r="T1248" s="43"/>
      <c r="V1248" s="43"/>
      <c r="X1248" s="43"/>
      <c r="Z1248" s="43"/>
      <c r="AB1248" s="43"/>
      <c r="AD1248" s="43"/>
      <c r="AF1248" s="43"/>
      <c r="AH1248" s="43"/>
      <c r="AJ1248" s="43"/>
      <c r="AL1248" s="43"/>
      <c r="AO1248" s="43"/>
      <c r="AP1248" s="1"/>
      <c r="AQ1248" s="43"/>
      <c r="AR1248" s="123"/>
      <c r="AS1248" s="1"/>
      <c r="AT1248" s="1"/>
    </row>
    <row r="1249">
      <c r="A1249" s="43"/>
      <c r="B1249" s="59"/>
      <c r="C1249" s="51"/>
      <c r="D1249" s="43"/>
      <c r="E1249" s="85"/>
      <c r="F1249" s="43"/>
      <c r="G1249" s="85"/>
      <c r="H1249" s="43"/>
      <c r="I1249" s="85"/>
      <c r="J1249" s="43"/>
      <c r="L1249" s="43"/>
      <c r="N1249" s="43"/>
      <c r="P1249" s="43"/>
      <c r="R1249" s="43"/>
      <c r="T1249" s="43"/>
      <c r="V1249" s="43"/>
      <c r="X1249" s="43"/>
      <c r="Z1249" s="43"/>
      <c r="AB1249" s="43"/>
      <c r="AD1249" s="43"/>
      <c r="AF1249" s="43"/>
      <c r="AH1249" s="43"/>
      <c r="AJ1249" s="43"/>
      <c r="AL1249" s="43"/>
      <c r="AO1249" s="43"/>
      <c r="AP1249" s="1"/>
      <c r="AQ1249" s="43"/>
      <c r="AR1249" s="123"/>
      <c r="AS1249" s="1"/>
      <c r="AT1249" s="1"/>
    </row>
    <row r="1250">
      <c r="A1250" s="43"/>
      <c r="B1250" s="59"/>
      <c r="C1250" s="51"/>
      <c r="D1250" s="43"/>
      <c r="E1250" s="85"/>
      <c r="F1250" s="43"/>
      <c r="G1250" s="85"/>
      <c r="H1250" s="43"/>
      <c r="I1250" s="85"/>
      <c r="J1250" s="43"/>
      <c r="L1250" s="43"/>
      <c r="N1250" s="43"/>
      <c r="P1250" s="43"/>
      <c r="R1250" s="43"/>
      <c r="T1250" s="43"/>
      <c r="V1250" s="43"/>
      <c r="X1250" s="43"/>
      <c r="Z1250" s="43"/>
      <c r="AB1250" s="43"/>
      <c r="AD1250" s="43"/>
      <c r="AF1250" s="43"/>
      <c r="AH1250" s="43"/>
      <c r="AJ1250" s="43"/>
      <c r="AL1250" s="43"/>
      <c r="AO1250" s="43"/>
      <c r="AP1250" s="1"/>
      <c r="AQ1250" s="43"/>
      <c r="AR1250" s="123"/>
      <c r="AS1250" s="1"/>
      <c r="AT1250" s="1"/>
    </row>
    <row r="1251">
      <c r="A1251" s="43"/>
      <c r="B1251" s="59"/>
      <c r="C1251" s="51"/>
      <c r="D1251" s="43"/>
      <c r="E1251" s="85"/>
      <c r="F1251" s="43"/>
      <c r="G1251" s="85"/>
      <c r="H1251" s="43"/>
      <c r="I1251" s="85"/>
      <c r="J1251" s="43"/>
      <c r="L1251" s="43"/>
      <c r="N1251" s="43"/>
      <c r="P1251" s="43"/>
      <c r="R1251" s="43"/>
      <c r="T1251" s="43"/>
      <c r="V1251" s="43"/>
      <c r="X1251" s="43"/>
      <c r="Z1251" s="43"/>
      <c r="AB1251" s="43"/>
      <c r="AD1251" s="43"/>
      <c r="AF1251" s="43"/>
      <c r="AH1251" s="43"/>
      <c r="AJ1251" s="43"/>
      <c r="AL1251" s="43"/>
      <c r="AO1251" s="43"/>
      <c r="AP1251" s="1"/>
      <c r="AQ1251" s="43"/>
      <c r="AR1251" s="123"/>
      <c r="AS1251" s="1"/>
      <c r="AT1251" s="1"/>
    </row>
    <row r="1252">
      <c r="A1252" s="43"/>
      <c r="B1252" s="59"/>
      <c r="C1252" s="51"/>
      <c r="D1252" s="43"/>
      <c r="E1252" s="85"/>
      <c r="F1252" s="43"/>
      <c r="G1252" s="85"/>
      <c r="H1252" s="43"/>
      <c r="I1252" s="85"/>
      <c r="J1252" s="43"/>
      <c r="L1252" s="43"/>
      <c r="N1252" s="43"/>
      <c r="P1252" s="43"/>
      <c r="R1252" s="43"/>
      <c r="T1252" s="43"/>
      <c r="V1252" s="43"/>
      <c r="X1252" s="43"/>
      <c r="Z1252" s="43"/>
      <c r="AB1252" s="43"/>
      <c r="AD1252" s="43"/>
      <c r="AF1252" s="43"/>
      <c r="AH1252" s="43"/>
      <c r="AJ1252" s="43"/>
      <c r="AL1252" s="43"/>
      <c r="AO1252" s="43"/>
      <c r="AP1252" s="1"/>
      <c r="AQ1252" s="43"/>
      <c r="AR1252" s="123"/>
      <c r="AS1252" s="1"/>
      <c r="AT1252" s="1"/>
    </row>
    <row r="1253">
      <c r="A1253" s="43"/>
      <c r="B1253" s="59"/>
      <c r="C1253" s="51"/>
      <c r="D1253" s="43"/>
      <c r="E1253" s="85"/>
      <c r="F1253" s="43"/>
      <c r="G1253" s="85"/>
      <c r="H1253" s="43"/>
      <c r="I1253" s="85"/>
      <c r="J1253" s="43"/>
      <c r="L1253" s="43"/>
      <c r="N1253" s="43"/>
      <c r="P1253" s="43"/>
      <c r="R1253" s="43"/>
      <c r="T1253" s="43"/>
      <c r="V1253" s="43"/>
      <c r="X1253" s="43"/>
      <c r="Z1253" s="43"/>
      <c r="AB1253" s="43"/>
      <c r="AD1253" s="43"/>
      <c r="AF1253" s="43"/>
      <c r="AH1253" s="43"/>
      <c r="AJ1253" s="43"/>
      <c r="AL1253" s="43"/>
      <c r="AO1253" s="43"/>
      <c r="AP1253" s="1"/>
      <c r="AQ1253" s="43"/>
      <c r="AR1253" s="123"/>
      <c r="AS1253" s="1"/>
      <c r="AT1253" s="1"/>
    </row>
    <row r="1254">
      <c r="A1254" s="43"/>
      <c r="B1254" s="59"/>
      <c r="C1254" s="51"/>
      <c r="D1254" s="43"/>
      <c r="E1254" s="85"/>
      <c r="F1254" s="43"/>
      <c r="G1254" s="85"/>
      <c r="H1254" s="43"/>
      <c r="I1254" s="85"/>
      <c r="J1254" s="43"/>
      <c r="L1254" s="43"/>
      <c r="N1254" s="43"/>
      <c r="P1254" s="43"/>
      <c r="R1254" s="43"/>
      <c r="T1254" s="43"/>
      <c r="V1254" s="43"/>
      <c r="X1254" s="43"/>
      <c r="Z1254" s="43"/>
      <c r="AB1254" s="43"/>
      <c r="AD1254" s="43"/>
      <c r="AF1254" s="43"/>
      <c r="AH1254" s="43"/>
      <c r="AJ1254" s="43"/>
      <c r="AL1254" s="43"/>
      <c r="AO1254" s="43"/>
      <c r="AP1254" s="1"/>
      <c r="AQ1254" s="43"/>
      <c r="AR1254" s="123"/>
      <c r="AS1254" s="1"/>
      <c r="AT1254" s="1"/>
    </row>
    <row r="1255">
      <c r="A1255" s="43"/>
      <c r="B1255" s="59"/>
      <c r="C1255" s="51"/>
      <c r="D1255" s="43"/>
      <c r="E1255" s="85"/>
      <c r="F1255" s="43"/>
      <c r="G1255" s="85"/>
      <c r="H1255" s="43"/>
      <c r="I1255" s="85"/>
      <c r="J1255" s="43"/>
      <c r="L1255" s="43"/>
      <c r="N1255" s="43"/>
      <c r="P1255" s="43"/>
      <c r="R1255" s="43"/>
      <c r="T1255" s="43"/>
      <c r="V1255" s="43"/>
      <c r="X1255" s="43"/>
      <c r="Z1255" s="43"/>
      <c r="AB1255" s="43"/>
      <c r="AD1255" s="43"/>
      <c r="AF1255" s="43"/>
      <c r="AH1255" s="43"/>
      <c r="AJ1255" s="43"/>
      <c r="AL1255" s="43"/>
      <c r="AO1255" s="43"/>
      <c r="AP1255" s="1"/>
      <c r="AQ1255" s="43"/>
      <c r="AR1255" s="123"/>
      <c r="AS1255" s="1"/>
      <c r="AT1255" s="1"/>
    </row>
    <row r="1256">
      <c r="A1256" s="43"/>
      <c r="B1256" s="59"/>
      <c r="C1256" s="51"/>
      <c r="D1256" s="43"/>
      <c r="E1256" s="85"/>
      <c r="F1256" s="43"/>
      <c r="G1256" s="85"/>
      <c r="H1256" s="43"/>
      <c r="I1256" s="85"/>
      <c r="J1256" s="43"/>
      <c r="L1256" s="43"/>
      <c r="N1256" s="43"/>
      <c r="P1256" s="43"/>
      <c r="R1256" s="43"/>
      <c r="T1256" s="43"/>
      <c r="V1256" s="43"/>
      <c r="X1256" s="43"/>
      <c r="Z1256" s="43"/>
      <c r="AB1256" s="43"/>
      <c r="AD1256" s="43"/>
      <c r="AF1256" s="43"/>
      <c r="AH1256" s="43"/>
      <c r="AJ1256" s="43"/>
      <c r="AL1256" s="43"/>
      <c r="AO1256" s="43"/>
      <c r="AP1256" s="1"/>
      <c r="AQ1256" s="43"/>
      <c r="AR1256" s="123"/>
      <c r="AS1256" s="1"/>
      <c r="AT1256" s="1"/>
    </row>
    <row r="1257">
      <c r="A1257" s="43"/>
      <c r="B1257" s="59"/>
      <c r="C1257" s="51"/>
      <c r="D1257" s="43"/>
      <c r="E1257" s="85"/>
      <c r="F1257" s="43"/>
      <c r="G1257" s="85"/>
      <c r="H1257" s="43"/>
      <c r="I1257" s="85"/>
      <c r="J1257" s="43"/>
      <c r="L1257" s="43"/>
      <c r="N1257" s="43"/>
      <c r="P1257" s="43"/>
      <c r="R1257" s="43"/>
      <c r="T1257" s="43"/>
      <c r="V1257" s="43"/>
      <c r="X1257" s="43"/>
      <c r="Z1257" s="43"/>
      <c r="AB1257" s="43"/>
      <c r="AD1257" s="43"/>
      <c r="AF1257" s="43"/>
      <c r="AH1257" s="43"/>
      <c r="AJ1257" s="43"/>
      <c r="AL1257" s="43"/>
      <c r="AO1257" s="43"/>
      <c r="AP1257" s="1"/>
      <c r="AQ1257" s="43"/>
      <c r="AR1257" s="123"/>
      <c r="AS1257" s="1"/>
      <c r="AT1257" s="1"/>
    </row>
    <row r="1258">
      <c r="A1258" s="43"/>
      <c r="B1258" s="59"/>
      <c r="C1258" s="51"/>
      <c r="D1258" s="43"/>
      <c r="E1258" s="85"/>
      <c r="F1258" s="43"/>
      <c r="G1258" s="85"/>
      <c r="H1258" s="43"/>
      <c r="I1258" s="85"/>
      <c r="J1258" s="43"/>
      <c r="L1258" s="43"/>
      <c r="N1258" s="43"/>
      <c r="P1258" s="43"/>
      <c r="R1258" s="43"/>
      <c r="T1258" s="43"/>
      <c r="V1258" s="43"/>
      <c r="X1258" s="43"/>
      <c r="Z1258" s="43"/>
      <c r="AB1258" s="43"/>
      <c r="AD1258" s="43"/>
      <c r="AF1258" s="43"/>
      <c r="AH1258" s="43"/>
      <c r="AJ1258" s="43"/>
      <c r="AL1258" s="43"/>
      <c r="AO1258" s="43"/>
      <c r="AP1258" s="1"/>
      <c r="AQ1258" s="43"/>
      <c r="AR1258" s="123"/>
      <c r="AS1258" s="1"/>
      <c r="AT1258" s="1"/>
    </row>
    <row r="1259">
      <c r="A1259" s="43"/>
      <c r="B1259" s="59"/>
      <c r="C1259" s="51"/>
      <c r="D1259" s="43"/>
      <c r="E1259" s="85"/>
      <c r="F1259" s="43"/>
      <c r="G1259" s="85"/>
      <c r="H1259" s="43"/>
      <c r="I1259" s="85"/>
      <c r="J1259" s="43"/>
      <c r="L1259" s="43"/>
      <c r="N1259" s="43"/>
      <c r="P1259" s="43"/>
      <c r="R1259" s="43"/>
      <c r="T1259" s="43"/>
      <c r="V1259" s="43"/>
      <c r="X1259" s="43"/>
      <c r="Z1259" s="43"/>
      <c r="AB1259" s="43"/>
      <c r="AD1259" s="43"/>
      <c r="AF1259" s="43"/>
      <c r="AH1259" s="43"/>
      <c r="AJ1259" s="43"/>
      <c r="AL1259" s="43"/>
      <c r="AO1259" s="43"/>
      <c r="AP1259" s="1"/>
      <c r="AQ1259" s="43"/>
      <c r="AR1259" s="123"/>
      <c r="AS1259" s="1"/>
      <c r="AT1259" s="1"/>
    </row>
    <row r="1260">
      <c r="A1260" s="43"/>
      <c r="B1260" s="59"/>
      <c r="C1260" s="51"/>
      <c r="D1260" s="43"/>
      <c r="E1260" s="85"/>
      <c r="F1260" s="43"/>
      <c r="G1260" s="85"/>
      <c r="H1260" s="43"/>
      <c r="I1260" s="85"/>
      <c r="J1260" s="43"/>
      <c r="L1260" s="43"/>
      <c r="N1260" s="43"/>
      <c r="P1260" s="43"/>
      <c r="R1260" s="43"/>
      <c r="T1260" s="43"/>
      <c r="V1260" s="43"/>
      <c r="X1260" s="43"/>
      <c r="Z1260" s="43"/>
      <c r="AB1260" s="43"/>
      <c r="AD1260" s="43"/>
      <c r="AF1260" s="43"/>
      <c r="AH1260" s="43"/>
      <c r="AJ1260" s="43"/>
      <c r="AL1260" s="43"/>
      <c r="AO1260" s="43"/>
      <c r="AP1260" s="1"/>
      <c r="AQ1260" s="43"/>
      <c r="AR1260" s="123"/>
      <c r="AS1260" s="1"/>
      <c r="AT1260" s="1"/>
    </row>
    <row r="1261">
      <c r="A1261" s="43"/>
      <c r="B1261" s="59"/>
      <c r="C1261" s="51"/>
      <c r="D1261" s="43"/>
      <c r="E1261" s="85"/>
      <c r="F1261" s="43"/>
      <c r="G1261" s="85"/>
      <c r="H1261" s="43"/>
      <c r="I1261" s="85"/>
      <c r="J1261" s="43"/>
      <c r="L1261" s="43"/>
      <c r="N1261" s="43"/>
      <c r="P1261" s="43"/>
      <c r="R1261" s="43"/>
      <c r="T1261" s="43"/>
      <c r="V1261" s="43"/>
      <c r="X1261" s="43"/>
      <c r="Z1261" s="43"/>
      <c r="AB1261" s="43"/>
      <c r="AD1261" s="43"/>
      <c r="AF1261" s="43"/>
      <c r="AH1261" s="43"/>
      <c r="AJ1261" s="43"/>
      <c r="AL1261" s="43"/>
      <c r="AO1261" s="43"/>
      <c r="AP1261" s="1"/>
      <c r="AQ1261" s="43"/>
      <c r="AR1261" s="123"/>
      <c r="AS1261" s="1"/>
      <c r="AT1261" s="1"/>
    </row>
    <row r="1262">
      <c r="A1262" s="43"/>
      <c r="B1262" s="59"/>
      <c r="C1262" s="51"/>
      <c r="D1262" s="43"/>
      <c r="E1262" s="85"/>
      <c r="F1262" s="43"/>
      <c r="G1262" s="85"/>
      <c r="H1262" s="43"/>
      <c r="I1262" s="85"/>
      <c r="J1262" s="43"/>
      <c r="L1262" s="43"/>
      <c r="N1262" s="43"/>
      <c r="P1262" s="43"/>
      <c r="R1262" s="43"/>
      <c r="T1262" s="43"/>
      <c r="V1262" s="43"/>
      <c r="X1262" s="43"/>
      <c r="Z1262" s="43"/>
      <c r="AB1262" s="43"/>
      <c r="AD1262" s="43"/>
      <c r="AF1262" s="43"/>
      <c r="AH1262" s="43"/>
      <c r="AJ1262" s="43"/>
      <c r="AL1262" s="43"/>
      <c r="AO1262" s="43"/>
      <c r="AP1262" s="1"/>
      <c r="AQ1262" s="43"/>
      <c r="AR1262" s="123"/>
      <c r="AS1262" s="1"/>
      <c r="AT1262" s="1"/>
    </row>
    <row r="1263">
      <c r="A1263" s="43"/>
      <c r="B1263" s="59"/>
      <c r="C1263" s="51"/>
      <c r="D1263" s="43"/>
      <c r="E1263" s="85"/>
      <c r="F1263" s="43"/>
      <c r="G1263" s="85"/>
      <c r="H1263" s="43"/>
      <c r="I1263" s="85"/>
      <c r="J1263" s="43"/>
      <c r="L1263" s="43"/>
      <c r="N1263" s="43"/>
      <c r="P1263" s="43"/>
      <c r="R1263" s="43"/>
      <c r="T1263" s="43"/>
      <c r="V1263" s="43"/>
      <c r="X1263" s="43"/>
      <c r="Z1263" s="43"/>
      <c r="AB1263" s="43"/>
      <c r="AD1263" s="43"/>
      <c r="AF1263" s="43"/>
      <c r="AH1263" s="43"/>
      <c r="AJ1263" s="43"/>
      <c r="AL1263" s="43"/>
      <c r="AO1263" s="43"/>
      <c r="AP1263" s="1"/>
      <c r="AQ1263" s="43"/>
      <c r="AR1263" s="123"/>
      <c r="AS1263" s="1"/>
      <c r="AT1263" s="1"/>
    </row>
    <row r="1264">
      <c r="A1264" s="43"/>
      <c r="B1264" s="59"/>
      <c r="C1264" s="51"/>
      <c r="D1264" s="43"/>
      <c r="E1264" s="85"/>
      <c r="F1264" s="43"/>
      <c r="G1264" s="85"/>
      <c r="H1264" s="43"/>
      <c r="I1264" s="85"/>
      <c r="J1264" s="43"/>
      <c r="L1264" s="43"/>
      <c r="N1264" s="43"/>
      <c r="P1264" s="43"/>
      <c r="R1264" s="43"/>
      <c r="T1264" s="43"/>
      <c r="V1264" s="43"/>
      <c r="X1264" s="43"/>
      <c r="Z1264" s="43"/>
      <c r="AB1264" s="43"/>
      <c r="AD1264" s="43"/>
      <c r="AF1264" s="43"/>
      <c r="AH1264" s="43"/>
      <c r="AJ1264" s="43"/>
      <c r="AL1264" s="43"/>
      <c r="AO1264" s="43"/>
      <c r="AP1264" s="1"/>
      <c r="AQ1264" s="43"/>
      <c r="AR1264" s="123"/>
      <c r="AS1264" s="1"/>
      <c r="AT1264" s="1"/>
    </row>
    <row r="1265">
      <c r="A1265" s="43"/>
      <c r="B1265" s="59"/>
      <c r="C1265" s="51"/>
      <c r="D1265" s="43"/>
      <c r="E1265" s="85"/>
      <c r="F1265" s="43"/>
      <c r="G1265" s="85"/>
      <c r="H1265" s="43"/>
      <c r="I1265" s="85"/>
      <c r="J1265" s="43"/>
      <c r="L1265" s="43"/>
      <c r="N1265" s="43"/>
      <c r="P1265" s="43"/>
      <c r="R1265" s="43"/>
      <c r="T1265" s="43"/>
      <c r="V1265" s="43"/>
      <c r="X1265" s="43"/>
      <c r="Z1265" s="43"/>
      <c r="AB1265" s="43"/>
      <c r="AD1265" s="43"/>
      <c r="AF1265" s="43"/>
      <c r="AH1265" s="43"/>
      <c r="AJ1265" s="43"/>
      <c r="AL1265" s="43"/>
      <c r="AO1265" s="43"/>
      <c r="AP1265" s="1"/>
      <c r="AQ1265" s="43"/>
      <c r="AR1265" s="123"/>
      <c r="AS1265" s="1"/>
      <c r="AT1265" s="1"/>
    </row>
    <row r="1266">
      <c r="A1266" s="43"/>
      <c r="B1266" s="59"/>
      <c r="C1266" s="51"/>
      <c r="D1266" s="43"/>
      <c r="E1266" s="85"/>
      <c r="F1266" s="43"/>
      <c r="G1266" s="85"/>
      <c r="H1266" s="43"/>
      <c r="I1266" s="85"/>
      <c r="J1266" s="43"/>
      <c r="L1266" s="43"/>
      <c r="N1266" s="43"/>
      <c r="P1266" s="43"/>
      <c r="R1266" s="43"/>
      <c r="T1266" s="43"/>
      <c r="V1266" s="43"/>
      <c r="X1266" s="43"/>
      <c r="Z1266" s="43"/>
      <c r="AB1266" s="43"/>
      <c r="AD1266" s="43"/>
      <c r="AF1266" s="43"/>
      <c r="AH1266" s="43"/>
      <c r="AJ1266" s="43"/>
      <c r="AL1266" s="43"/>
      <c r="AO1266" s="43"/>
      <c r="AP1266" s="1"/>
      <c r="AQ1266" s="43"/>
      <c r="AR1266" s="123"/>
      <c r="AS1266" s="1"/>
      <c r="AT1266" s="1"/>
    </row>
    <row r="1267">
      <c r="A1267" s="43"/>
      <c r="B1267" s="59"/>
      <c r="C1267" s="51"/>
      <c r="D1267" s="43"/>
      <c r="E1267" s="85"/>
      <c r="F1267" s="43"/>
      <c r="G1267" s="85"/>
      <c r="H1267" s="43"/>
      <c r="I1267" s="85"/>
      <c r="J1267" s="43"/>
      <c r="L1267" s="43"/>
      <c r="N1267" s="43"/>
      <c r="P1267" s="43"/>
      <c r="R1267" s="43"/>
      <c r="T1267" s="43"/>
      <c r="V1267" s="43"/>
      <c r="X1267" s="43"/>
      <c r="Z1267" s="43"/>
      <c r="AB1267" s="43"/>
      <c r="AD1267" s="43"/>
      <c r="AF1267" s="43"/>
      <c r="AH1267" s="43"/>
      <c r="AJ1267" s="43"/>
      <c r="AL1267" s="43"/>
      <c r="AO1267" s="43"/>
      <c r="AP1267" s="1"/>
      <c r="AQ1267" s="43"/>
      <c r="AR1267" s="123"/>
      <c r="AS1267" s="1"/>
      <c r="AT1267" s="1"/>
    </row>
    <row r="1268">
      <c r="A1268" s="43"/>
      <c r="B1268" s="59"/>
      <c r="C1268" s="51"/>
      <c r="D1268" s="43"/>
      <c r="E1268" s="85"/>
      <c r="F1268" s="43"/>
      <c r="G1268" s="85"/>
      <c r="H1268" s="43"/>
      <c r="I1268" s="85"/>
      <c r="J1268" s="43"/>
      <c r="L1268" s="43"/>
      <c r="N1268" s="43"/>
      <c r="P1268" s="43"/>
      <c r="R1268" s="43"/>
      <c r="T1268" s="43"/>
      <c r="V1268" s="43"/>
      <c r="X1268" s="43"/>
      <c r="Z1268" s="43"/>
      <c r="AB1268" s="43"/>
      <c r="AD1268" s="43"/>
      <c r="AF1268" s="43"/>
      <c r="AH1268" s="43"/>
      <c r="AJ1268" s="43"/>
      <c r="AL1268" s="43"/>
      <c r="AO1268" s="43"/>
      <c r="AP1268" s="1"/>
      <c r="AQ1268" s="43"/>
      <c r="AR1268" s="123"/>
      <c r="AS1268" s="1"/>
      <c r="AT1268" s="1"/>
    </row>
    <row r="1269">
      <c r="A1269" s="43"/>
      <c r="B1269" s="59"/>
      <c r="C1269" s="51"/>
      <c r="D1269" s="43"/>
      <c r="E1269" s="85"/>
      <c r="F1269" s="43"/>
      <c r="G1269" s="85"/>
      <c r="H1269" s="43"/>
      <c r="I1269" s="85"/>
      <c r="J1269" s="43"/>
      <c r="L1269" s="43"/>
      <c r="N1269" s="43"/>
      <c r="P1269" s="43"/>
      <c r="R1269" s="43"/>
      <c r="T1269" s="43"/>
      <c r="V1269" s="43"/>
      <c r="X1269" s="43"/>
      <c r="Z1269" s="43"/>
      <c r="AB1269" s="43"/>
      <c r="AD1269" s="43"/>
      <c r="AF1269" s="43"/>
      <c r="AH1269" s="43"/>
      <c r="AJ1269" s="43"/>
      <c r="AL1269" s="43"/>
      <c r="AO1269" s="43"/>
      <c r="AP1269" s="1"/>
      <c r="AQ1269" s="43"/>
      <c r="AR1269" s="123"/>
      <c r="AS1269" s="1"/>
      <c r="AT1269" s="1"/>
    </row>
    <row r="1270">
      <c r="A1270" s="43"/>
      <c r="B1270" s="59"/>
      <c r="C1270" s="51"/>
      <c r="D1270" s="43"/>
      <c r="E1270" s="85"/>
      <c r="F1270" s="43"/>
      <c r="G1270" s="85"/>
      <c r="H1270" s="43"/>
      <c r="I1270" s="85"/>
      <c r="J1270" s="43"/>
      <c r="L1270" s="43"/>
      <c r="N1270" s="43"/>
      <c r="P1270" s="43"/>
      <c r="R1270" s="43"/>
      <c r="T1270" s="43"/>
      <c r="V1270" s="43"/>
      <c r="X1270" s="43"/>
      <c r="Z1270" s="43"/>
      <c r="AB1270" s="43"/>
      <c r="AD1270" s="43"/>
      <c r="AF1270" s="43"/>
      <c r="AH1270" s="43"/>
      <c r="AJ1270" s="43"/>
      <c r="AL1270" s="43"/>
      <c r="AO1270" s="43"/>
      <c r="AP1270" s="1"/>
      <c r="AQ1270" s="43"/>
      <c r="AR1270" s="123"/>
      <c r="AS1270" s="1"/>
      <c r="AT1270" s="1"/>
    </row>
    <row r="1271">
      <c r="A1271" s="43"/>
      <c r="B1271" s="59"/>
      <c r="C1271" s="51"/>
      <c r="D1271" s="43"/>
      <c r="E1271" s="85"/>
      <c r="F1271" s="43"/>
      <c r="G1271" s="85"/>
      <c r="H1271" s="43"/>
      <c r="I1271" s="85"/>
      <c r="J1271" s="43"/>
      <c r="L1271" s="43"/>
      <c r="N1271" s="43"/>
      <c r="P1271" s="43"/>
      <c r="R1271" s="43"/>
      <c r="T1271" s="43"/>
      <c r="V1271" s="43"/>
      <c r="X1271" s="43"/>
      <c r="Z1271" s="43"/>
      <c r="AB1271" s="43"/>
      <c r="AD1271" s="43"/>
      <c r="AF1271" s="43"/>
      <c r="AH1271" s="43"/>
      <c r="AJ1271" s="43"/>
      <c r="AL1271" s="43"/>
      <c r="AO1271" s="43"/>
      <c r="AP1271" s="1"/>
      <c r="AQ1271" s="43"/>
      <c r="AR1271" s="123"/>
      <c r="AS1271" s="1"/>
      <c r="AT1271" s="1"/>
    </row>
    <row r="1272">
      <c r="A1272" s="43"/>
      <c r="B1272" s="59"/>
      <c r="C1272" s="51"/>
      <c r="D1272" s="43"/>
      <c r="E1272" s="85"/>
      <c r="F1272" s="43"/>
      <c r="G1272" s="85"/>
      <c r="H1272" s="43"/>
      <c r="I1272" s="85"/>
      <c r="J1272" s="43"/>
      <c r="L1272" s="43"/>
      <c r="N1272" s="43"/>
      <c r="P1272" s="43"/>
      <c r="R1272" s="43"/>
      <c r="T1272" s="43"/>
      <c r="V1272" s="43"/>
      <c r="X1272" s="43"/>
      <c r="Z1272" s="43"/>
      <c r="AB1272" s="43"/>
      <c r="AD1272" s="43"/>
      <c r="AF1272" s="43"/>
      <c r="AH1272" s="43"/>
      <c r="AJ1272" s="43"/>
      <c r="AL1272" s="43"/>
      <c r="AO1272" s="43"/>
      <c r="AP1272" s="1"/>
      <c r="AQ1272" s="43"/>
      <c r="AR1272" s="123"/>
      <c r="AS1272" s="1"/>
      <c r="AT1272" s="1"/>
    </row>
    <row r="1273">
      <c r="A1273" s="43"/>
      <c r="B1273" s="59"/>
      <c r="C1273" s="51"/>
      <c r="D1273" s="43"/>
      <c r="E1273" s="85"/>
      <c r="F1273" s="43"/>
      <c r="G1273" s="85"/>
      <c r="H1273" s="43"/>
      <c r="I1273" s="85"/>
      <c r="J1273" s="43"/>
      <c r="L1273" s="43"/>
      <c r="N1273" s="43"/>
      <c r="P1273" s="43"/>
      <c r="R1273" s="43"/>
      <c r="T1273" s="43"/>
      <c r="V1273" s="43"/>
      <c r="X1273" s="43"/>
      <c r="Z1273" s="43"/>
      <c r="AB1273" s="43"/>
      <c r="AD1273" s="43"/>
      <c r="AF1273" s="43"/>
      <c r="AH1273" s="43"/>
      <c r="AJ1273" s="43"/>
      <c r="AL1273" s="43"/>
      <c r="AO1273" s="43"/>
      <c r="AP1273" s="1"/>
      <c r="AQ1273" s="43"/>
      <c r="AR1273" s="123"/>
      <c r="AS1273" s="1"/>
      <c r="AT1273" s="1"/>
    </row>
    <row r="1274">
      <c r="A1274" s="43"/>
      <c r="B1274" s="59"/>
      <c r="C1274" s="51"/>
      <c r="D1274" s="43"/>
      <c r="E1274" s="85"/>
      <c r="F1274" s="43"/>
      <c r="G1274" s="85"/>
      <c r="H1274" s="43"/>
      <c r="I1274" s="85"/>
      <c r="J1274" s="43"/>
      <c r="L1274" s="43"/>
      <c r="N1274" s="43"/>
      <c r="P1274" s="43"/>
      <c r="R1274" s="43"/>
      <c r="T1274" s="43"/>
      <c r="V1274" s="43"/>
      <c r="X1274" s="43"/>
      <c r="Z1274" s="43"/>
      <c r="AB1274" s="43"/>
      <c r="AD1274" s="43"/>
      <c r="AF1274" s="43"/>
      <c r="AH1274" s="43"/>
      <c r="AJ1274" s="43"/>
      <c r="AL1274" s="43"/>
      <c r="AO1274" s="43"/>
      <c r="AP1274" s="1"/>
      <c r="AQ1274" s="43"/>
      <c r="AR1274" s="123"/>
      <c r="AS1274" s="1"/>
      <c r="AT1274" s="1"/>
    </row>
    <row r="1275">
      <c r="A1275" s="43"/>
      <c r="B1275" s="59"/>
      <c r="C1275" s="51"/>
      <c r="D1275" s="43"/>
      <c r="E1275" s="85"/>
      <c r="F1275" s="43"/>
      <c r="G1275" s="85"/>
      <c r="H1275" s="43"/>
      <c r="I1275" s="85"/>
      <c r="J1275" s="43"/>
      <c r="L1275" s="43"/>
      <c r="N1275" s="43"/>
      <c r="P1275" s="43"/>
      <c r="R1275" s="43"/>
      <c r="T1275" s="43"/>
      <c r="V1275" s="43"/>
      <c r="X1275" s="43"/>
      <c r="Z1275" s="43"/>
      <c r="AB1275" s="43"/>
      <c r="AD1275" s="43"/>
      <c r="AF1275" s="43"/>
      <c r="AH1275" s="43"/>
      <c r="AJ1275" s="43"/>
      <c r="AL1275" s="43"/>
      <c r="AO1275" s="43"/>
      <c r="AP1275" s="1"/>
      <c r="AQ1275" s="43"/>
      <c r="AR1275" s="123"/>
      <c r="AS1275" s="1"/>
      <c r="AT1275" s="1"/>
    </row>
    <row r="1276">
      <c r="A1276" s="43"/>
      <c r="B1276" s="59"/>
      <c r="C1276" s="51"/>
      <c r="D1276" s="43"/>
      <c r="E1276" s="85"/>
      <c r="F1276" s="43"/>
      <c r="G1276" s="85"/>
      <c r="H1276" s="43"/>
      <c r="I1276" s="85"/>
      <c r="J1276" s="43"/>
      <c r="L1276" s="43"/>
      <c r="N1276" s="43"/>
      <c r="P1276" s="43"/>
      <c r="R1276" s="43"/>
      <c r="T1276" s="43"/>
      <c r="V1276" s="43"/>
      <c r="X1276" s="43"/>
      <c r="Z1276" s="43"/>
      <c r="AB1276" s="43"/>
      <c r="AD1276" s="43"/>
      <c r="AF1276" s="43"/>
      <c r="AH1276" s="43"/>
      <c r="AJ1276" s="43"/>
      <c r="AL1276" s="43"/>
      <c r="AO1276" s="43"/>
      <c r="AP1276" s="1"/>
      <c r="AQ1276" s="43"/>
      <c r="AR1276" s="123"/>
      <c r="AS1276" s="1"/>
      <c r="AT1276" s="1"/>
    </row>
    <row r="1277">
      <c r="A1277" s="43"/>
      <c r="B1277" s="59"/>
      <c r="C1277" s="51"/>
      <c r="D1277" s="43"/>
      <c r="E1277" s="85"/>
      <c r="F1277" s="43"/>
      <c r="G1277" s="85"/>
      <c r="H1277" s="43"/>
      <c r="I1277" s="85"/>
      <c r="J1277" s="43"/>
      <c r="L1277" s="43"/>
      <c r="N1277" s="43"/>
      <c r="P1277" s="43"/>
      <c r="R1277" s="43"/>
      <c r="T1277" s="43"/>
      <c r="V1277" s="43"/>
      <c r="X1277" s="43"/>
      <c r="Z1277" s="43"/>
      <c r="AB1277" s="43"/>
      <c r="AD1277" s="43"/>
      <c r="AF1277" s="43"/>
      <c r="AH1277" s="43"/>
      <c r="AJ1277" s="43"/>
      <c r="AL1277" s="43"/>
      <c r="AO1277" s="43"/>
      <c r="AP1277" s="1"/>
      <c r="AQ1277" s="43"/>
      <c r="AR1277" s="123"/>
      <c r="AS1277" s="1"/>
      <c r="AT1277" s="1"/>
    </row>
    <row r="1278">
      <c r="A1278" s="43"/>
      <c r="B1278" s="59"/>
      <c r="C1278" s="51"/>
      <c r="D1278" s="43"/>
      <c r="E1278" s="85"/>
      <c r="F1278" s="43"/>
      <c r="G1278" s="85"/>
      <c r="H1278" s="43"/>
      <c r="I1278" s="85"/>
      <c r="J1278" s="43"/>
      <c r="L1278" s="43"/>
      <c r="N1278" s="43"/>
      <c r="P1278" s="43"/>
      <c r="R1278" s="43"/>
      <c r="T1278" s="43"/>
      <c r="V1278" s="43"/>
      <c r="X1278" s="43"/>
      <c r="Z1278" s="43"/>
      <c r="AB1278" s="43"/>
      <c r="AD1278" s="43"/>
      <c r="AF1278" s="43"/>
      <c r="AH1278" s="43"/>
      <c r="AJ1278" s="43"/>
      <c r="AL1278" s="43"/>
      <c r="AO1278" s="43"/>
      <c r="AP1278" s="1"/>
      <c r="AQ1278" s="43"/>
      <c r="AR1278" s="123"/>
      <c r="AS1278" s="1"/>
      <c r="AT1278" s="1"/>
    </row>
    <row r="1279">
      <c r="A1279" s="43"/>
      <c r="B1279" s="59"/>
      <c r="C1279" s="51"/>
      <c r="D1279" s="43"/>
      <c r="E1279" s="85"/>
      <c r="F1279" s="43"/>
      <c r="G1279" s="85"/>
      <c r="H1279" s="43"/>
      <c r="I1279" s="85"/>
      <c r="J1279" s="43"/>
      <c r="L1279" s="43"/>
      <c r="N1279" s="43"/>
      <c r="P1279" s="43"/>
      <c r="R1279" s="43"/>
      <c r="T1279" s="43"/>
      <c r="V1279" s="43"/>
      <c r="X1279" s="43"/>
      <c r="Z1279" s="43"/>
      <c r="AB1279" s="43"/>
      <c r="AD1279" s="43"/>
      <c r="AF1279" s="43"/>
      <c r="AH1279" s="43"/>
      <c r="AJ1279" s="43"/>
      <c r="AL1279" s="43"/>
      <c r="AO1279" s="43"/>
      <c r="AP1279" s="1"/>
      <c r="AQ1279" s="43"/>
      <c r="AR1279" s="123"/>
      <c r="AS1279" s="1"/>
      <c r="AT1279" s="1"/>
    </row>
    <row r="1280">
      <c r="A1280" s="43"/>
      <c r="B1280" s="59"/>
      <c r="C1280" s="51"/>
      <c r="D1280" s="43"/>
      <c r="E1280" s="85"/>
      <c r="F1280" s="43"/>
      <c r="G1280" s="85"/>
      <c r="H1280" s="43"/>
      <c r="I1280" s="85"/>
      <c r="J1280" s="43"/>
      <c r="L1280" s="43"/>
      <c r="N1280" s="43"/>
      <c r="P1280" s="43"/>
      <c r="R1280" s="43"/>
      <c r="T1280" s="43"/>
      <c r="V1280" s="43"/>
      <c r="X1280" s="43"/>
      <c r="Z1280" s="43"/>
      <c r="AB1280" s="43"/>
      <c r="AD1280" s="43"/>
      <c r="AF1280" s="43"/>
      <c r="AH1280" s="43"/>
      <c r="AJ1280" s="43"/>
      <c r="AL1280" s="43"/>
      <c r="AO1280" s="43"/>
      <c r="AP1280" s="1"/>
      <c r="AQ1280" s="43"/>
      <c r="AR1280" s="123"/>
      <c r="AS1280" s="1"/>
      <c r="AT1280" s="1"/>
    </row>
    <row r="1281">
      <c r="A1281" s="43"/>
      <c r="B1281" s="59"/>
      <c r="C1281" s="51"/>
      <c r="D1281" s="43"/>
      <c r="E1281" s="85"/>
      <c r="F1281" s="43"/>
      <c r="G1281" s="85"/>
      <c r="H1281" s="43"/>
      <c r="I1281" s="85"/>
      <c r="J1281" s="43"/>
      <c r="L1281" s="43"/>
      <c r="N1281" s="43"/>
      <c r="P1281" s="43"/>
      <c r="R1281" s="43"/>
      <c r="T1281" s="43"/>
      <c r="V1281" s="43"/>
      <c r="X1281" s="43"/>
      <c r="Z1281" s="43"/>
      <c r="AB1281" s="43"/>
      <c r="AD1281" s="43"/>
      <c r="AF1281" s="43"/>
      <c r="AH1281" s="43"/>
      <c r="AJ1281" s="43"/>
      <c r="AL1281" s="43"/>
      <c r="AO1281" s="43"/>
      <c r="AP1281" s="1"/>
      <c r="AQ1281" s="43"/>
      <c r="AR1281" s="123"/>
      <c r="AS1281" s="1"/>
      <c r="AT1281" s="1"/>
    </row>
    <row r="1282">
      <c r="A1282" s="43"/>
      <c r="B1282" s="59"/>
      <c r="C1282" s="51"/>
      <c r="D1282" s="43"/>
      <c r="E1282" s="85"/>
      <c r="F1282" s="43"/>
      <c r="G1282" s="85"/>
      <c r="H1282" s="43"/>
      <c r="I1282" s="85"/>
      <c r="J1282" s="43"/>
      <c r="L1282" s="43"/>
      <c r="N1282" s="43"/>
      <c r="P1282" s="43"/>
      <c r="R1282" s="43"/>
      <c r="T1282" s="43"/>
      <c r="V1282" s="43"/>
      <c r="X1282" s="43"/>
      <c r="Z1282" s="43"/>
      <c r="AB1282" s="43"/>
      <c r="AD1282" s="43"/>
      <c r="AF1282" s="43"/>
      <c r="AH1282" s="43"/>
      <c r="AJ1282" s="43"/>
      <c r="AL1282" s="43"/>
      <c r="AO1282" s="43"/>
      <c r="AP1282" s="1"/>
      <c r="AQ1282" s="43"/>
      <c r="AR1282" s="123"/>
      <c r="AS1282" s="1"/>
      <c r="AT1282" s="1"/>
    </row>
    <row r="1283">
      <c r="A1283" s="43"/>
      <c r="B1283" s="59"/>
      <c r="C1283" s="51"/>
      <c r="D1283" s="43"/>
      <c r="E1283" s="85"/>
      <c r="F1283" s="43"/>
      <c r="G1283" s="85"/>
      <c r="H1283" s="43"/>
      <c r="I1283" s="85"/>
      <c r="J1283" s="43"/>
      <c r="L1283" s="43"/>
      <c r="N1283" s="43"/>
      <c r="P1283" s="43"/>
      <c r="R1283" s="43"/>
      <c r="T1283" s="43"/>
      <c r="V1283" s="43"/>
      <c r="X1283" s="43"/>
      <c r="Z1283" s="43"/>
      <c r="AB1283" s="43"/>
      <c r="AD1283" s="43"/>
      <c r="AF1283" s="43"/>
      <c r="AH1283" s="43"/>
      <c r="AJ1283" s="43"/>
      <c r="AL1283" s="43"/>
      <c r="AO1283" s="43"/>
      <c r="AP1283" s="1"/>
      <c r="AQ1283" s="43"/>
      <c r="AR1283" s="123"/>
      <c r="AS1283" s="1"/>
      <c r="AT1283" s="1"/>
    </row>
    <row r="1284">
      <c r="A1284" s="43"/>
      <c r="B1284" s="59"/>
      <c r="C1284" s="51"/>
      <c r="D1284" s="43"/>
      <c r="E1284" s="85"/>
      <c r="F1284" s="43"/>
      <c r="G1284" s="85"/>
      <c r="H1284" s="43"/>
      <c r="I1284" s="85"/>
      <c r="J1284" s="43"/>
      <c r="L1284" s="43"/>
      <c r="N1284" s="43"/>
      <c r="P1284" s="43"/>
      <c r="R1284" s="43"/>
      <c r="T1284" s="43"/>
      <c r="V1284" s="43"/>
      <c r="X1284" s="43"/>
      <c r="Z1284" s="43"/>
      <c r="AB1284" s="43"/>
      <c r="AD1284" s="43"/>
      <c r="AF1284" s="43"/>
      <c r="AH1284" s="43"/>
      <c r="AJ1284" s="43"/>
      <c r="AL1284" s="43"/>
      <c r="AO1284" s="43"/>
      <c r="AP1284" s="1"/>
      <c r="AQ1284" s="43"/>
      <c r="AR1284" s="123"/>
      <c r="AS1284" s="1"/>
      <c r="AT1284" s="1"/>
    </row>
    <row r="1285">
      <c r="A1285" s="43"/>
      <c r="B1285" s="59"/>
      <c r="C1285" s="51"/>
      <c r="D1285" s="43"/>
      <c r="E1285" s="85"/>
      <c r="F1285" s="43"/>
      <c r="G1285" s="85"/>
      <c r="H1285" s="43"/>
      <c r="I1285" s="85"/>
      <c r="J1285" s="43"/>
      <c r="L1285" s="43"/>
      <c r="N1285" s="43"/>
      <c r="P1285" s="43"/>
      <c r="R1285" s="43"/>
      <c r="T1285" s="43"/>
      <c r="V1285" s="43"/>
      <c r="X1285" s="43"/>
      <c r="Z1285" s="43"/>
      <c r="AB1285" s="43"/>
      <c r="AD1285" s="43"/>
      <c r="AF1285" s="43"/>
      <c r="AH1285" s="43"/>
      <c r="AJ1285" s="43"/>
      <c r="AL1285" s="43"/>
      <c r="AO1285" s="43"/>
      <c r="AP1285" s="1"/>
      <c r="AQ1285" s="43"/>
      <c r="AR1285" s="123"/>
      <c r="AS1285" s="1"/>
      <c r="AT1285" s="1"/>
    </row>
    <row r="1286">
      <c r="A1286" s="43"/>
      <c r="B1286" s="59"/>
      <c r="C1286" s="51"/>
      <c r="D1286" s="43"/>
      <c r="E1286" s="85"/>
      <c r="F1286" s="43"/>
      <c r="G1286" s="85"/>
      <c r="H1286" s="43"/>
      <c r="I1286" s="85"/>
      <c r="J1286" s="43"/>
      <c r="L1286" s="43"/>
      <c r="N1286" s="43"/>
      <c r="P1286" s="43"/>
      <c r="R1286" s="43"/>
      <c r="T1286" s="43"/>
      <c r="V1286" s="43"/>
      <c r="X1286" s="43"/>
      <c r="Z1286" s="43"/>
      <c r="AB1286" s="43"/>
      <c r="AD1286" s="43"/>
      <c r="AF1286" s="43"/>
      <c r="AH1286" s="43"/>
      <c r="AJ1286" s="43"/>
      <c r="AL1286" s="43"/>
      <c r="AO1286" s="43"/>
      <c r="AP1286" s="1"/>
      <c r="AQ1286" s="43"/>
      <c r="AR1286" s="123"/>
      <c r="AS1286" s="1"/>
      <c r="AT1286" s="1"/>
    </row>
    <row r="1287">
      <c r="A1287" s="43"/>
      <c r="B1287" s="59"/>
      <c r="C1287" s="51"/>
      <c r="D1287" s="43"/>
      <c r="E1287" s="85"/>
      <c r="F1287" s="43"/>
      <c r="G1287" s="85"/>
      <c r="H1287" s="43"/>
      <c r="I1287" s="85"/>
      <c r="J1287" s="43"/>
      <c r="L1287" s="43"/>
      <c r="N1287" s="43"/>
      <c r="P1287" s="43"/>
      <c r="R1287" s="43"/>
      <c r="T1287" s="43"/>
      <c r="V1287" s="43"/>
      <c r="X1287" s="43"/>
      <c r="Z1287" s="43"/>
      <c r="AB1287" s="43"/>
      <c r="AD1287" s="43"/>
      <c r="AF1287" s="43"/>
      <c r="AH1287" s="43"/>
      <c r="AJ1287" s="43"/>
      <c r="AL1287" s="43"/>
      <c r="AO1287" s="43"/>
      <c r="AP1287" s="1"/>
      <c r="AQ1287" s="43"/>
      <c r="AR1287" s="123"/>
      <c r="AS1287" s="1"/>
      <c r="AT1287" s="1"/>
    </row>
    <row r="1288">
      <c r="A1288" s="43"/>
      <c r="B1288" s="59"/>
      <c r="C1288" s="51"/>
      <c r="D1288" s="43"/>
      <c r="E1288" s="85"/>
      <c r="F1288" s="43"/>
      <c r="G1288" s="85"/>
      <c r="H1288" s="43"/>
      <c r="I1288" s="85"/>
      <c r="J1288" s="43"/>
      <c r="L1288" s="43"/>
      <c r="N1288" s="43"/>
      <c r="P1288" s="43"/>
      <c r="R1288" s="43"/>
      <c r="T1288" s="43"/>
      <c r="V1288" s="43"/>
      <c r="X1288" s="43"/>
      <c r="Z1288" s="43"/>
      <c r="AB1288" s="43"/>
      <c r="AD1288" s="43"/>
      <c r="AF1288" s="43"/>
      <c r="AH1288" s="43"/>
      <c r="AJ1288" s="43"/>
      <c r="AL1288" s="43"/>
      <c r="AO1288" s="43"/>
      <c r="AP1288" s="1"/>
      <c r="AQ1288" s="43"/>
      <c r="AR1288" s="123"/>
      <c r="AS1288" s="1"/>
      <c r="AT1288" s="1"/>
    </row>
    <row r="1289">
      <c r="A1289" s="43"/>
      <c r="B1289" s="59"/>
      <c r="C1289" s="51"/>
      <c r="D1289" s="43"/>
      <c r="E1289" s="85"/>
      <c r="F1289" s="43"/>
      <c r="G1289" s="85"/>
      <c r="H1289" s="43"/>
      <c r="I1289" s="85"/>
      <c r="J1289" s="43"/>
      <c r="L1289" s="43"/>
      <c r="N1289" s="43"/>
      <c r="P1289" s="43"/>
      <c r="R1289" s="43"/>
      <c r="T1289" s="43"/>
      <c r="V1289" s="43"/>
      <c r="X1289" s="43"/>
      <c r="Z1289" s="43"/>
      <c r="AB1289" s="43"/>
      <c r="AD1289" s="43"/>
      <c r="AF1289" s="43"/>
      <c r="AH1289" s="43"/>
      <c r="AJ1289" s="43"/>
      <c r="AL1289" s="43"/>
      <c r="AO1289" s="43"/>
      <c r="AP1289" s="1"/>
      <c r="AQ1289" s="43"/>
      <c r="AR1289" s="123"/>
      <c r="AS1289" s="1"/>
      <c r="AT1289" s="1"/>
    </row>
    <row r="1290">
      <c r="A1290" s="43"/>
      <c r="B1290" s="59"/>
      <c r="C1290" s="51"/>
      <c r="D1290" s="43"/>
      <c r="E1290" s="85"/>
      <c r="F1290" s="43"/>
      <c r="G1290" s="85"/>
      <c r="H1290" s="43"/>
      <c r="I1290" s="85"/>
      <c r="J1290" s="43"/>
      <c r="L1290" s="43"/>
      <c r="N1290" s="43"/>
      <c r="P1290" s="43"/>
      <c r="R1290" s="43"/>
      <c r="T1290" s="43"/>
      <c r="V1290" s="43"/>
      <c r="X1290" s="43"/>
      <c r="Z1290" s="43"/>
      <c r="AB1290" s="43"/>
      <c r="AD1290" s="43"/>
      <c r="AF1290" s="43"/>
      <c r="AH1290" s="43"/>
      <c r="AJ1290" s="43"/>
      <c r="AL1290" s="43"/>
      <c r="AO1290" s="43"/>
      <c r="AP1290" s="1"/>
      <c r="AQ1290" s="43"/>
      <c r="AR1290" s="123"/>
      <c r="AS1290" s="1"/>
      <c r="AT1290" s="1"/>
    </row>
    <row r="1291">
      <c r="A1291" s="43"/>
      <c r="B1291" s="59"/>
      <c r="C1291" s="51"/>
      <c r="D1291" s="43"/>
      <c r="E1291" s="85"/>
      <c r="F1291" s="43"/>
      <c r="G1291" s="85"/>
      <c r="H1291" s="43"/>
      <c r="I1291" s="85"/>
      <c r="J1291" s="43"/>
      <c r="L1291" s="43"/>
      <c r="N1291" s="43"/>
      <c r="P1291" s="43"/>
      <c r="R1291" s="43"/>
      <c r="T1291" s="43"/>
      <c r="V1291" s="43"/>
      <c r="X1291" s="43"/>
      <c r="Z1291" s="43"/>
      <c r="AB1291" s="43"/>
      <c r="AD1291" s="43"/>
      <c r="AF1291" s="43"/>
      <c r="AH1291" s="43"/>
      <c r="AJ1291" s="43"/>
      <c r="AL1291" s="43"/>
      <c r="AO1291" s="43"/>
      <c r="AP1291" s="1"/>
      <c r="AQ1291" s="43"/>
      <c r="AR1291" s="123"/>
      <c r="AS1291" s="1"/>
      <c r="AT1291" s="1"/>
    </row>
    <row r="1292">
      <c r="A1292" s="43"/>
      <c r="B1292" s="59"/>
      <c r="C1292" s="51"/>
      <c r="D1292" s="43"/>
      <c r="E1292" s="85"/>
      <c r="F1292" s="43"/>
      <c r="G1292" s="85"/>
      <c r="H1292" s="43"/>
      <c r="I1292" s="85"/>
      <c r="J1292" s="43"/>
      <c r="L1292" s="43"/>
      <c r="N1292" s="43"/>
      <c r="P1292" s="43"/>
      <c r="R1292" s="43"/>
      <c r="T1292" s="43"/>
      <c r="V1292" s="43"/>
      <c r="X1292" s="43"/>
      <c r="Z1292" s="43"/>
      <c r="AB1292" s="43"/>
      <c r="AD1292" s="43"/>
      <c r="AF1292" s="43"/>
      <c r="AH1292" s="43"/>
      <c r="AJ1292" s="43"/>
      <c r="AL1292" s="43"/>
      <c r="AO1292" s="43"/>
      <c r="AP1292" s="1"/>
      <c r="AQ1292" s="43"/>
      <c r="AR1292" s="123"/>
      <c r="AS1292" s="1"/>
      <c r="AT1292" s="1"/>
    </row>
    <row r="1293">
      <c r="A1293" s="43"/>
      <c r="B1293" s="59"/>
      <c r="C1293" s="51"/>
      <c r="D1293" s="43"/>
      <c r="E1293" s="85"/>
      <c r="F1293" s="43"/>
      <c r="G1293" s="85"/>
      <c r="H1293" s="43"/>
      <c r="I1293" s="85"/>
      <c r="J1293" s="43"/>
      <c r="L1293" s="43"/>
      <c r="N1293" s="43"/>
      <c r="P1293" s="43"/>
      <c r="R1293" s="43"/>
      <c r="T1293" s="43"/>
      <c r="V1293" s="43"/>
      <c r="X1293" s="43"/>
      <c r="Z1293" s="43"/>
      <c r="AB1293" s="43"/>
      <c r="AD1293" s="43"/>
      <c r="AF1293" s="43"/>
      <c r="AH1293" s="43"/>
      <c r="AJ1293" s="43"/>
      <c r="AL1293" s="43"/>
      <c r="AO1293" s="43"/>
      <c r="AP1293" s="1"/>
      <c r="AQ1293" s="43"/>
      <c r="AR1293" s="123"/>
      <c r="AS1293" s="1"/>
      <c r="AT1293" s="1"/>
    </row>
    <row r="1294">
      <c r="A1294" s="43"/>
      <c r="B1294" s="59"/>
      <c r="C1294" s="51"/>
      <c r="D1294" s="43"/>
      <c r="E1294" s="85"/>
      <c r="F1294" s="43"/>
      <c r="G1294" s="85"/>
      <c r="H1294" s="43"/>
      <c r="I1294" s="85"/>
      <c r="J1294" s="43"/>
      <c r="L1294" s="43"/>
      <c r="N1294" s="43"/>
      <c r="P1294" s="43"/>
      <c r="R1294" s="43"/>
      <c r="T1294" s="43"/>
      <c r="V1294" s="43"/>
      <c r="X1294" s="43"/>
      <c r="Z1294" s="43"/>
      <c r="AB1294" s="43"/>
      <c r="AD1294" s="43"/>
      <c r="AF1294" s="43"/>
      <c r="AH1294" s="43"/>
      <c r="AJ1294" s="43"/>
      <c r="AL1294" s="43"/>
      <c r="AO1294" s="43"/>
      <c r="AP1294" s="1"/>
      <c r="AQ1294" s="43"/>
      <c r="AR1294" s="123"/>
      <c r="AS1294" s="1"/>
      <c r="AT1294" s="1"/>
    </row>
    <row r="1295">
      <c r="A1295" s="43"/>
      <c r="B1295" s="59"/>
      <c r="C1295" s="51"/>
      <c r="D1295" s="43"/>
      <c r="E1295" s="85"/>
      <c r="F1295" s="43"/>
      <c r="G1295" s="85"/>
      <c r="H1295" s="43"/>
      <c r="I1295" s="85"/>
      <c r="J1295" s="43"/>
      <c r="L1295" s="43"/>
      <c r="N1295" s="43"/>
      <c r="P1295" s="43"/>
      <c r="R1295" s="43"/>
      <c r="T1295" s="43"/>
      <c r="V1295" s="43"/>
      <c r="X1295" s="43"/>
      <c r="Z1295" s="43"/>
      <c r="AB1295" s="43"/>
      <c r="AD1295" s="43"/>
      <c r="AF1295" s="43"/>
      <c r="AH1295" s="43"/>
      <c r="AJ1295" s="43"/>
      <c r="AL1295" s="43"/>
      <c r="AO1295" s="43"/>
      <c r="AP1295" s="1"/>
      <c r="AQ1295" s="43"/>
      <c r="AR1295" s="123"/>
      <c r="AS1295" s="1"/>
      <c r="AT1295" s="1"/>
    </row>
    <row r="1296">
      <c r="A1296" s="43"/>
      <c r="B1296" s="59"/>
      <c r="C1296" s="51"/>
      <c r="D1296" s="43"/>
      <c r="E1296" s="85"/>
      <c r="F1296" s="43"/>
      <c r="G1296" s="85"/>
      <c r="H1296" s="43"/>
      <c r="I1296" s="85"/>
      <c r="J1296" s="43"/>
      <c r="L1296" s="43"/>
      <c r="N1296" s="43"/>
      <c r="P1296" s="43"/>
      <c r="R1296" s="43"/>
      <c r="T1296" s="43"/>
      <c r="V1296" s="43"/>
      <c r="X1296" s="43"/>
      <c r="Z1296" s="43"/>
      <c r="AB1296" s="43"/>
      <c r="AD1296" s="43"/>
      <c r="AF1296" s="43"/>
      <c r="AH1296" s="43"/>
      <c r="AJ1296" s="43"/>
      <c r="AL1296" s="43"/>
      <c r="AO1296" s="43"/>
      <c r="AP1296" s="1"/>
      <c r="AQ1296" s="43"/>
      <c r="AR1296" s="123"/>
      <c r="AS1296" s="1"/>
      <c r="AT1296" s="1"/>
    </row>
    <row r="1297">
      <c r="A1297" s="43"/>
      <c r="B1297" s="59"/>
      <c r="C1297" s="51"/>
      <c r="D1297" s="43"/>
      <c r="E1297" s="85"/>
      <c r="F1297" s="43"/>
      <c r="G1297" s="85"/>
      <c r="H1297" s="43"/>
      <c r="I1297" s="85"/>
      <c r="J1297" s="43"/>
      <c r="L1297" s="43"/>
      <c r="N1297" s="43"/>
      <c r="P1297" s="43"/>
      <c r="R1297" s="43"/>
      <c r="T1297" s="43"/>
      <c r="V1297" s="43"/>
      <c r="X1297" s="43"/>
      <c r="Z1297" s="43"/>
      <c r="AB1297" s="43"/>
      <c r="AD1297" s="43"/>
      <c r="AF1297" s="43"/>
      <c r="AH1297" s="43"/>
      <c r="AJ1297" s="43"/>
      <c r="AL1297" s="43"/>
      <c r="AO1297" s="43"/>
      <c r="AP1297" s="1"/>
      <c r="AQ1297" s="43"/>
      <c r="AR1297" s="123"/>
      <c r="AS1297" s="1"/>
      <c r="AT1297" s="1"/>
    </row>
    <row r="1298">
      <c r="A1298" s="43"/>
      <c r="B1298" s="59"/>
      <c r="C1298" s="51"/>
      <c r="D1298" s="43"/>
      <c r="E1298" s="85"/>
      <c r="F1298" s="43"/>
      <c r="G1298" s="85"/>
      <c r="H1298" s="43"/>
      <c r="I1298" s="85"/>
      <c r="J1298" s="43"/>
      <c r="L1298" s="43"/>
      <c r="N1298" s="43"/>
      <c r="P1298" s="43"/>
      <c r="R1298" s="43"/>
      <c r="T1298" s="43"/>
      <c r="V1298" s="43"/>
      <c r="X1298" s="43"/>
      <c r="Z1298" s="43"/>
      <c r="AB1298" s="43"/>
      <c r="AD1298" s="43"/>
      <c r="AF1298" s="43"/>
      <c r="AH1298" s="43"/>
      <c r="AJ1298" s="43"/>
      <c r="AL1298" s="43"/>
      <c r="AO1298" s="43"/>
      <c r="AP1298" s="1"/>
      <c r="AQ1298" s="43"/>
      <c r="AR1298" s="123"/>
      <c r="AS1298" s="1"/>
      <c r="AT1298" s="1"/>
    </row>
    <row r="1299">
      <c r="A1299" s="43"/>
      <c r="B1299" s="59"/>
      <c r="C1299" s="51"/>
      <c r="D1299" s="43"/>
      <c r="E1299" s="85"/>
      <c r="F1299" s="43"/>
      <c r="G1299" s="85"/>
      <c r="H1299" s="43"/>
      <c r="I1299" s="85"/>
      <c r="J1299" s="43"/>
      <c r="L1299" s="43"/>
      <c r="N1299" s="43"/>
      <c r="P1299" s="43"/>
      <c r="R1299" s="43"/>
      <c r="T1299" s="43"/>
      <c r="V1299" s="43"/>
      <c r="X1299" s="43"/>
      <c r="Z1299" s="43"/>
      <c r="AB1299" s="43"/>
      <c r="AD1299" s="43"/>
      <c r="AF1299" s="43"/>
      <c r="AH1299" s="43"/>
      <c r="AJ1299" s="43"/>
      <c r="AL1299" s="43"/>
      <c r="AO1299" s="43"/>
      <c r="AP1299" s="1"/>
      <c r="AQ1299" s="43"/>
      <c r="AR1299" s="123"/>
      <c r="AS1299" s="1"/>
      <c r="AT1299" s="1"/>
    </row>
    <row r="1300">
      <c r="A1300" s="43"/>
      <c r="B1300" s="59"/>
      <c r="C1300" s="51"/>
      <c r="D1300" s="43"/>
      <c r="E1300" s="85"/>
      <c r="F1300" s="43"/>
      <c r="G1300" s="85"/>
      <c r="H1300" s="43"/>
      <c r="I1300" s="85"/>
      <c r="J1300" s="43"/>
      <c r="L1300" s="43"/>
      <c r="N1300" s="43"/>
      <c r="P1300" s="43"/>
      <c r="R1300" s="43"/>
      <c r="T1300" s="43"/>
      <c r="V1300" s="43"/>
      <c r="X1300" s="43"/>
      <c r="Z1300" s="43"/>
      <c r="AB1300" s="43"/>
      <c r="AD1300" s="43"/>
      <c r="AF1300" s="43"/>
      <c r="AH1300" s="43"/>
      <c r="AJ1300" s="43"/>
      <c r="AL1300" s="43"/>
      <c r="AO1300" s="43"/>
      <c r="AP1300" s="1"/>
      <c r="AQ1300" s="43"/>
      <c r="AR1300" s="123"/>
      <c r="AS1300" s="1"/>
      <c r="AT1300" s="1"/>
    </row>
    <row r="1301">
      <c r="A1301" s="43"/>
      <c r="B1301" s="59"/>
      <c r="C1301" s="51"/>
      <c r="D1301" s="43"/>
      <c r="E1301" s="85"/>
      <c r="F1301" s="43"/>
      <c r="G1301" s="85"/>
      <c r="H1301" s="43"/>
      <c r="I1301" s="85"/>
      <c r="J1301" s="43"/>
      <c r="L1301" s="43"/>
      <c r="N1301" s="43"/>
      <c r="P1301" s="43"/>
      <c r="R1301" s="43"/>
      <c r="T1301" s="43"/>
      <c r="V1301" s="43"/>
      <c r="X1301" s="43"/>
      <c r="Z1301" s="43"/>
      <c r="AB1301" s="43"/>
      <c r="AD1301" s="43"/>
      <c r="AF1301" s="43"/>
      <c r="AH1301" s="43"/>
      <c r="AJ1301" s="43"/>
      <c r="AL1301" s="43"/>
      <c r="AO1301" s="43"/>
      <c r="AP1301" s="1"/>
      <c r="AQ1301" s="43"/>
      <c r="AR1301" s="123"/>
      <c r="AS1301" s="1"/>
      <c r="AT1301" s="1"/>
    </row>
    <row r="1302">
      <c r="A1302" s="43"/>
      <c r="B1302" s="59"/>
      <c r="C1302" s="51"/>
      <c r="D1302" s="43"/>
      <c r="E1302" s="85"/>
      <c r="F1302" s="43"/>
      <c r="G1302" s="85"/>
      <c r="H1302" s="43"/>
      <c r="I1302" s="85"/>
      <c r="J1302" s="43"/>
      <c r="L1302" s="43"/>
      <c r="N1302" s="43"/>
      <c r="P1302" s="43"/>
      <c r="R1302" s="43"/>
      <c r="T1302" s="43"/>
      <c r="V1302" s="43"/>
      <c r="X1302" s="43"/>
      <c r="Z1302" s="43"/>
      <c r="AB1302" s="43"/>
      <c r="AD1302" s="43"/>
      <c r="AF1302" s="43"/>
      <c r="AH1302" s="43"/>
      <c r="AJ1302" s="43"/>
      <c r="AL1302" s="43"/>
      <c r="AO1302" s="43"/>
      <c r="AP1302" s="1"/>
      <c r="AQ1302" s="43"/>
      <c r="AR1302" s="123"/>
      <c r="AS1302" s="1"/>
      <c r="AT1302" s="1"/>
    </row>
    <row r="1303">
      <c r="A1303" s="43"/>
      <c r="B1303" s="59"/>
      <c r="C1303" s="51"/>
      <c r="D1303" s="43"/>
      <c r="E1303" s="85"/>
      <c r="F1303" s="43"/>
      <c r="G1303" s="85"/>
      <c r="H1303" s="43"/>
      <c r="I1303" s="85"/>
      <c r="J1303" s="43"/>
      <c r="L1303" s="43"/>
      <c r="N1303" s="43"/>
      <c r="P1303" s="43"/>
      <c r="R1303" s="43"/>
      <c r="T1303" s="43"/>
      <c r="V1303" s="43"/>
      <c r="X1303" s="43"/>
      <c r="Z1303" s="43"/>
      <c r="AB1303" s="43"/>
      <c r="AD1303" s="43"/>
      <c r="AF1303" s="43"/>
      <c r="AH1303" s="43"/>
      <c r="AJ1303" s="43"/>
      <c r="AL1303" s="43"/>
      <c r="AO1303" s="43"/>
      <c r="AP1303" s="1"/>
      <c r="AQ1303" s="43"/>
      <c r="AR1303" s="123"/>
      <c r="AS1303" s="1"/>
      <c r="AT1303" s="1"/>
    </row>
    <row r="1304">
      <c r="A1304" s="43"/>
      <c r="B1304" s="59"/>
      <c r="C1304" s="51"/>
      <c r="D1304" s="43"/>
      <c r="E1304" s="85"/>
      <c r="F1304" s="43"/>
      <c r="G1304" s="85"/>
      <c r="H1304" s="43"/>
      <c r="I1304" s="85"/>
      <c r="J1304" s="43"/>
      <c r="L1304" s="43"/>
      <c r="N1304" s="43"/>
      <c r="P1304" s="43"/>
      <c r="R1304" s="43"/>
      <c r="T1304" s="43"/>
      <c r="V1304" s="43"/>
      <c r="X1304" s="43"/>
      <c r="Z1304" s="43"/>
      <c r="AB1304" s="43"/>
      <c r="AD1304" s="43"/>
      <c r="AF1304" s="43"/>
      <c r="AH1304" s="43"/>
      <c r="AJ1304" s="43"/>
      <c r="AL1304" s="43"/>
      <c r="AO1304" s="43"/>
      <c r="AP1304" s="1"/>
      <c r="AQ1304" s="43"/>
      <c r="AR1304" s="123"/>
      <c r="AS1304" s="1"/>
      <c r="AT1304" s="1"/>
    </row>
    <row r="1305">
      <c r="A1305" s="43"/>
      <c r="B1305" s="59"/>
      <c r="C1305" s="51"/>
      <c r="D1305" s="43"/>
      <c r="E1305" s="85"/>
      <c r="F1305" s="43"/>
      <c r="G1305" s="85"/>
      <c r="H1305" s="43"/>
      <c r="I1305" s="85"/>
      <c r="J1305" s="43"/>
      <c r="L1305" s="43"/>
      <c r="N1305" s="43"/>
      <c r="P1305" s="43"/>
      <c r="R1305" s="43"/>
      <c r="T1305" s="43"/>
      <c r="V1305" s="43"/>
      <c r="X1305" s="43"/>
      <c r="Z1305" s="43"/>
      <c r="AB1305" s="43"/>
      <c r="AD1305" s="43"/>
      <c r="AF1305" s="43"/>
      <c r="AH1305" s="43"/>
      <c r="AJ1305" s="43"/>
      <c r="AL1305" s="43"/>
      <c r="AO1305" s="43"/>
      <c r="AP1305" s="1"/>
      <c r="AQ1305" s="43"/>
      <c r="AR1305" s="123"/>
      <c r="AS1305" s="1"/>
      <c r="AT1305" s="1"/>
    </row>
    <row r="1306">
      <c r="A1306" s="43"/>
      <c r="B1306" s="59"/>
      <c r="C1306" s="51"/>
      <c r="D1306" s="43"/>
      <c r="E1306" s="85"/>
      <c r="F1306" s="43"/>
      <c r="G1306" s="85"/>
      <c r="H1306" s="43"/>
      <c r="I1306" s="85"/>
      <c r="J1306" s="43"/>
      <c r="L1306" s="43"/>
      <c r="N1306" s="43"/>
      <c r="P1306" s="43"/>
      <c r="R1306" s="43"/>
      <c r="T1306" s="43"/>
      <c r="V1306" s="43"/>
      <c r="X1306" s="43"/>
      <c r="Z1306" s="43"/>
      <c r="AB1306" s="43"/>
      <c r="AD1306" s="43"/>
      <c r="AF1306" s="43"/>
      <c r="AH1306" s="43"/>
      <c r="AJ1306" s="43"/>
      <c r="AL1306" s="43"/>
      <c r="AO1306" s="43"/>
      <c r="AP1306" s="1"/>
      <c r="AQ1306" s="43"/>
      <c r="AR1306" s="123"/>
      <c r="AS1306" s="1"/>
      <c r="AT1306" s="1"/>
    </row>
    <row r="1307">
      <c r="A1307" s="43"/>
      <c r="B1307" s="59"/>
      <c r="C1307" s="51"/>
      <c r="D1307" s="43"/>
      <c r="E1307" s="85"/>
      <c r="F1307" s="43"/>
      <c r="G1307" s="85"/>
      <c r="H1307" s="43"/>
      <c r="I1307" s="85"/>
      <c r="J1307" s="43"/>
      <c r="L1307" s="43"/>
      <c r="N1307" s="43"/>
      <c r="P1307" s="43"/>
      <c r="R1307" s="43"/>
      <c r="T1307" s="43"/>
      <c r="V1307" s="43"/>
      <c r="X1307" s="43"/>
      <c r="Z1307" s="43"/>
      <c r="AB1307" s="43"/>
      <c r="AD1307" s="43"/>
      <c r="AF1307" s="43"/>
      <c r="AH1307" s="43"/>
      <c r="AJ1307" s="43"/>
      <c r="AL1307" s="43"/>
      <c r="AO1307" s="43"/>
      <c r="AP1307" s="1"/>
      <c r="AQ1307" s="43"/>
      <c r="AR1307" s="123"/>
      <c r="AS1307" s="1"/>
      <c r="AT1307" s="1"/>
    </row>
    <row r="1308">
      <c r="A1308" s="43"/>
      <c r="B1308" s="59"/>
      <c r="C1308" s="51"/>
      <c r="D1308" s="43"/>
      <c r="E1308" s="85"/>
      <c r="F1308" s="43"/>
      <c r="G1308" s="85"/>
      <c r="H1308" s="43"/>
      <c r="I1308" s="85"/>
      <c r="J1308" s="43"/>
      <c r="L1308" s="43"/>
      <c r="N1308" s="43"/>
      <c r="P1308" s="43"/>
      <c r="R1308" s="43"/>
      <c r="T1308" s="43"/>
      <c r="V1308" s="43"/>
      <c r="X1308" s="43"/>
      <c r="Z1308" s="43"/>
      <c r="AB1308" s="43"/>
      <c r="AD1308" s="43"/>
      <c r="AF1308" s="43"/>
      <c r="AH1308" s="43"/>
      <c r="AJ1308" s="43"/>
      <c r="AL1308" s="43"/>
      <c r="AO1308" s="43"/>
      <c r="AP1308" s="1"/>
      <c r="AQ1308" s="43"/>
      <c r="AR1308" s="123"/>
      <c r="AS1308" s="1"/>
      <c r="AT1308" s="1"/>
    </row>
    <row r="1309">
      <c r="A1309" s="43"/>
      <c r="B1309" s="59"/>
      <c r="C1309" s="51"/>
      <c r="D1309" s="43"/>
      <c r="E1309" s="85"/>
      <c r="F1309" s="43"/>
      <c r="G1309" s="85"/>
      <c r="H1309" s="43"/>
      <c r="I1309" s="85"/>
      <c r="J1309" s="43"/>
      <c r="L1309" s="43"/>
      <c r="N1309" s="43"/>
      <c r="P1309" s="43"/>
      <c r="R1309" s="43"/>
      <c r="T1309" s="43"/>
      <c r="V1309" s="43"/>
      <c r="X1309" s="43"/>
      <c r="Z1309" s="43"/>
      <c r="AB1309" s="43"/>
      <c r="AD1309" s="43"/>
      <c r="AF1309" s="43"/>
      <c r="AH1309" s="43"/>
      <c r="AJ1309" s="43"/>
      <c r="AL1309" s="43"/>
      <c r="AO1309" s="43"/>
      <c r="AP1309" s="1"/>
      <c r="AQ1309" s="43"/>
      <c r="AR1309" s="123"/>
      <c r="AS1309" s="1"/>
      <c r="AT1309" s="1"/>
    </row>
    <row r="1310">
      <c r="A1310" s="43"/>
      <c r="B1310" s="59"/>
      <c r="C1310" s="51"/>
      <c r="D1310" s="43"/>
      <c r="E1310" s="85"/>
      <c r="F1310" s="43"/>
      <c r="G1310" s="85"/>
      <c r="H1310" s="43"/>
      <c r="I1310" s="85"/>
      <c r="J1310" s="43"/>
      <c r="L1310" s="43"/>
      <c r="N1310" s="43"/>
      <c r="P1310" s="43"/>
      <c r="R1310" s="43"/>
      <c r="T1310" s="43"/>
      <c r="V1310" s="43"/>
      <c r="X1310" s="43"/>
      <c r="Z1310" s="43"/>
      <c r="AB1310" s="43"/>
      <c r="AD1310" s="43"/>
      <c r="AF1310" s="43"/>
      <c r="AH1310" s="43"/>
      <c r="AJ1310" s="43"/>
      <c r="AL1310" s="43"/>
      <c r="AO1310" s="43"/>
      <c r="AP1310" s="1"/>
      <c r="AQ1310" s="43"/>
      <c r="AR1310" s="123"/>
      <c r="AS1310" s="1"/>
      <c r="AT1310" s="1"/>
    </row>
    <row r="1311">
      <c r="A1311" s="43"/>
      <c r="B1311" s="59"/>
      <c r="C1311" s="51"/>
      <c r="D1311" s="43"/>
      <c r="E1311" s="85"/>
      <c r="F1311" s="43"/>
      <c r="G1311" s="85"/>
      <c r="H1311" s="43"/>
      <c r="I1311" s="85"/>
      <c r="J1311" s="43"/>
      <c r="L1311" s="43"/>
      <c r="N1311" s="43"/>
      <c r="P1311" s="43"/>
      <c r="R1311" s="43"/>
      <c r="T1311" s="43"/>
      <c r="V1311" s="43"/>
      <c r="X1311" s="43"/>
      <c r="Z1311" s="43"/>
      <c r="AB1311" s="43"/>
      <c r="AD1311" s="43"/>
      <c r="AF1311" s="43"/>
      <c r="AH1311" s="43"/>
      <c r="AJ1311" s="43"/>
      <c r="AL1311" s="43"/>
      <c r="AO1311" s="43"/>
      <c r="AP1311" s="1"/>
      <c r="AQ1311" s="43"/>
      <c r="AR1311" s="123"/>
      <c r="AS1311" s="1"/>
      <c r="AT1311" s="1"/>
    </row>
    <row r="1312">
      <c r="A1312" s="43"/>
      <c r="B1312" s="59"/>
      <c r="C1312" s="51"/>
      <c r="D1312" s="43"/>
      <c r="E1312" s="85"/>
      <c r="F1312" s="43"/>
      <c r="G1312" s="85"/>
      <c r="H1312" s="43"/>
      <c r="I1312" s="85"/>
      <c r="J1312" s="43"/>
      <c r="L1312" s="43"/>
      <c r="N1312" s="43"/>
      <c r="P1312" s="43"/>
      <c r="R1312" s="43"/>
      <c r="T1312" s="43"/>
      <c r="V1312" s="43"/>
      <c r="X1312" s="43"/>
      <c r="Z1312" s="43"/>
      <c r="AB1312" s="43"/>
      <c r="AD1312" s="43"/>
      <c r="AF1312" s="43"/>
      <c r="AH1312" s="43"/>
      <c r="AJ1312" s="43"/>
      <c r="AL1312" s="43"/>
      <c r="AO1312" s="43"/>
      <c r="AP1312" s="1"/>
      <c r="AQ1312" s="43"/>
      <c r="AR1312" s="123"/>
      <c r="AS1312" s="1"/>
      <c r="AT1312" s="1"/>
    </row>
    <row r="1313">
      <c r="A1313" s="43"/>
      <c r="B1313" s="59"/>
      <c r="C1313" s="51"/>
      <c r="D1313" s="43"/>
      <c r="E1313" s="85"/>
      <c r="F1313" s="43"/>
      <c r="G1313" s="85"/>
      <c r="H1313" s="43"/>
      <c r="I1313" s="85"/>
      <c r="J1313" s="43"/>
      <c r="L1313" s="43"/>
      <c r="N1313" s="43"/>
      <c r="P1313" s="43"/>
      <c r="R1313" s="43"/>
      <c r="T1313" s="43"/>
      <c r="V1313" s="43"/>
      <c r="X1313" s="43"/>
      <c r="Z1313" s="43"/>
      <c r="AB1313" s="43"/>
      <c r="AD1313" s="43"/>
      <c r="AF1313" s="43"/>
      <c r="AH1313" s="43"/>
      <c r="AJ1313" s="43"/>
      <c r="AL1313" s="43"/>
      <c r="AO1313" s="43"/>
      <c r="AP1313" s="1"/>
      <c r="AQ1313" s="43"/>
      <c r="AR1313" s="123"/>
      <c r="AS1313" s="1"/>
      <c r="AT1313" s="1"/>
    </row>
    <row r="1314">
      <c r="A1314" s="43"/>
      <c r="B1314" s="59"/>
      <c r="C1314" s="51"/>
      <c r="D1314" s="43"/>
      <c r="E1314" s="85"/>
      <c r="F1314" s="43"/>
      <c r="G1314" s="85"/>
      <c r="H1314" s="43"/>
      <c r="I1314" s="85"/>
      <c r="J1314" s="43"/>
      <c r="L1314" s="43"/>
      <c r="N1314" s="43"/>
      <c r="P1314" s="43"/>
      <c r="R1314" s="43"/>
      <c r="T1314" s="43"/>
      <c r="V1314" s="43"/>
      <c r="X1314" s="43"/>
      <c r="Z1314" s="43"/>
      <c r="AB1314" s="43"/>
      <c r="AD1314" s="43"/>
      <c r="AF1314" s="43"/>
      <c r="AH1314" s="43"/>
      <c r="AJ1314" s="43"/>
      <c r="AL1314" s="43"/>
      <c r="AO1314" s="43"/>
      <c r="AP1314" s="1"/>
      <c r="AQ1314" s="43"/>
      <c r="AR1314" s="123"/>
      <c r="AS1314" s="1"/>
      <c r="AT1314" s="1"/>
    </row>
    <row r="1315">
      <c r="A1315" s="43"/>
      <c r="B1315" s="59"/>
      <c r="C1315" s="51"/>
      <c r="D1315" s="43"/>
      <c r="E1315" s="85"/>
      <c r="F1315" s="43"/>
      <c r="G1315" s="85"/>
      <c r="H1315" s="43"/>
      <c r="I1315" s="85"/>
      <c r="J1315" s="43"/>
      <c r="L1315" s="43"/>
      <c r="N1315" s="43"/>
      <c r="P1315" s="43"/>
      <c r="R1315" s="43"/>
      <c r="T1315" s="43"/>
      <c r="V1315" s="43"/>
      <c r="X1315" s="43"/>
      <c r="Z1315" s="43"/>
      <c r="AB1315" s="43"/>
      <c r="AD1315" s="43"/>
      <c r="AF1315" s="43"/>
      <c r="AH1315" s="43"/>
      <c r="AJ1315" s="43"/>
      <c r="AL1315" s="43"/>
      <c r="AO1315" s="43"/>
      <c r="AP1315" s="1"/>
      <c r="AQ1315" s="43"/>
      <c r="AR1315" s="123"/>
      <c r="AS1315" s="1"/>
      <c r="AT1315" s="1"/>
    </row>
    <row r="1316">
      <c r="A1316" s="43"/>
      <c r="B1316" s="59"/>
      <c r="C1316" s="51"/>
      <c r="D1316" s="43"/>
      <c r="E1316" s="85"/>
      <c r="F1316" s="43"/>
      <c r="G1316" s="85"/>
      <c r="H1316" s="43"/>
      <c r="I1316" s="85"/>
      <c r="J1316" s="43"/>
      <c r="L1316" s="43"/>
      <c r="N1316" s="43"/>
      <c r="P1316" s="43"/>
      <c r="R1316" s="43"/>
      <c r="T1316" s="43"/>
      <c r="V1316" s="43"/>
      <c r="X1316" s="43"/>
      <c r="Z1316" s="43"/>
      <c r="AB1316" s="43"/>
      <c r="AD1316" s="43"/>
      <c r="AF1316" s="43"/>
      <c r="AH1316" s="43"/>
      <c r="AJ1316" s="43"/>
      <c r="AL1316" s="43"/>
      <c r="AO1316" s="43"/>
      <c r="AP1316" s="1"/>
      <c r="AQ1316" s="43"/>
      <c r="AR1316" s="123"/>
      <c r="AS1316" s="1"/>
      <c r="AT1316" s="1"/>
    </row>
    <row r="1317">
      <c r="A1317" s="43"/>
      <c r="B1317" s="59"/>
      <c r="C1317" s="51"/>
      <c r="D1317" s="43"/>
      <c r="E1317" s="85"/>
      <c r="F1317" s="43"/>
      <c r="G1317" s="85"/>
      <c r="H1317" s="43"/>
      <c r="I1317" s="85"/>
      <c r="J1317" s="43"/>
      <c r="L1317" s="43"/>
      <c r="N1317" s="43"/>
      <c r="P1317" s="43"/>
      <c r="R1317" s="43"/>
      <c r="T1317" s="43"/>
      <c r="V1317" s="43"/>
      <c r="X1317" s="43"/>
      <c r="Z1317" s="43"/>
      <c r="AB1317" s="43"/>
      <c r="AD1317" s="43"/>
      <c r="AF1317" s="43"/>
      <c r="AH1317" s="43"/>
      <c r="AJ1317" s="43"/>
      <c r="AL1317" s="43"/>
      <c r="AO1317" s="43"/>
      <c r="AP1317" s="1"/>
      <c r="AQ1317" s="43"/>
      <c r="AR1317" s="123"/>
      <c r="AS1317" s="1"/>
      <c r="AT1317" s="1"/>
    </row>
    <row r="1318">
      <c r="A1318" s="43"/>
      <c r="B1318" s="59"/>
      <c r="C1318" s="51"/>
      <c r="D1318" s="43"/>
      <c r="E1318" s="85"/>
      <c r="F1318" s="43"/>
      <c r="G1318" s="85"/>
      <c r="H1318" s="43"/>
      <c r="I1318" s="85"/>
      <c r="J1318" s="43"/>
      <c r="L1318" s="43"/>
      <c r="N1318" s="43"/>
      <c r="P1318" s="43"/>
      <c r="R1318" s="43"/>
      <c r="T1318" s="43"/>
      <c r="V1318" s="43"/>
      <c r="X1318" s="43"/>
      <c r="Z1318" s="43"/>
      <c r="AB1318" s="43"/>
      <c r="AD1318" s="43"/>
      <c r="AF1318" s="43"/>
      <c r="AH1318" s="43"/>
      <c r="AJ1318" s="43"/>
      <c r="AL1318" s="43"/>
      <c r="AO1318" s="43"/>
      <c r="AP1318" s="1"/>
      <c r="AQ1318" s="43"/>
      <c r="AR1318" s="123"/>
      <c r="AS1318" s="1"/>
      <c r="AT1318" s="1"/>
    </row>
    <row r="1319">
      <c r="A1319" s="43"/>
      <c r="B1319" s="59"/>
      <c r="C1319" s="51"/>
      <c r="D1319" s="43"/>
      <c r="E1319" s="85"/>
      <c r="F1319" s="43"/>
      <c r="G1319" s="85"/>
      <c r="H1319" s="43"/>
      <c r="I1319" s="85"/>
      <c r="J1319" s="43"/>
      <c r="L1319" s="43"/>
      <c r="N1319" s="43"/>
      <c r="P1319" s="43"/>
      <c r="R1319" s="43"/>
      <c r="T1319" s="43"/>
      <c r="V1319" s="43"/>
      <c r="X1319" s="43"/>
      <c r="Z1319" s="43"/>
      <c r="AB1319" s="43"/>
      <c r="AD1319" s="43"/>
      <c r="AF1319" s="43"/>
      <c r="AH1319" s="43"/>
      <c r="AJ1319" s="43"/>
      <c r="AL1319" s="43"/>
      <c r="AO1319" s="43"/>
      <c r="AP1319" s="1"/>
      <c r="AQ1319" s="43"/>
      <c r="AR1319" s="123"/>
      <c r="AS1319" s="1"/>
      <c r="AT1319" s="1"/>
    </row>
    <row r="1320">
      <c r="A1320" s="43"/>
      <c r="B1320" s="59"/>
      <c r="C1320" s="51"/>
      <c r="D1320" s="43"/>
      <c r="E1320" s="85"/>
      <c r="F1320" s="43"/>
      <c r="G1320" s="85"/>
      <c r="H1320" s="43"/>
      <c r="I1320" s="85"/>
      <c r="J1320" s="43"/>
      <c r="L1320" s="43"/>
      <c r="N1320" s="43"/>
      <c r="P1320" s="43"/>
      <c r="R1320" s="43"/>
      <c r="T1320" s="43"/>
      <c r="V1320" s="43"/>
      <c r="X1320" s="43"/>
      <c r="Z1320" s="43"/>
      <c r="AB1320" s="43"/>
      <c r="AD1320" s="43"/>
      <c r="AF1320" s="43"/>
      <c r="AH1320" s="43"/>
      <c r="AJ1320" s="43"/>
      <c r="AL1320" s="43"/>
      <c r="AO1320" s="43"/>
      <c r="AP1320" s="1"/>
      <c r="AQ1320" s="43"/>
      <c r="AR1320" s="123"/>
      <c r="AS1320" s="1"/>
      <c r="AT1320" s="1"/>
    </row>
    <row r="1321">
      <c r="A1321" s="43"/>
      <c r="B1321" s="59"/>
      <c r="C1321" s="51"/>
      <c r="D1321" s="43"/>
      <c r="E1321" s="85"/>
      <c r="F1321" s="43"/>
      <c r="G1321" s="85"/>
      <c r="H1321" s="43"/>
      <c r="I1321" s="85"/>
      <c r="J1321" s="43"/>
      <c r="L1321" s="43"/>
      <c r="N1321" s="43"/>
      <c r="P1321" s="43"/>
      <c r="R1321" s="43"/>
      <c r="T1321" s="43"/>
      <c r="V1321" s="43"/>
      <c r="X1321" s="43"/>
      <c r="Z1321" s="43"/>
      <c r="AB1321" s="43"/>
      <c r="AD1321" s="43"/>
      <c r="AF1321" s="43"/>
      <c r="AH1321" s="43"/>
      <c r="AJ1321" s="43"/>
      <c r="AL1321" s="43"/>
      <c r="AO1321" s="43"/>
      <c r="AP1321" s="1"/>
      <c r="AQ1321" s="43"/>
      <c r="AR1321" s="123"/>
      <c r="AS1321" s="1"/>
      <c r="AT1321" s="1"/>
    </row>
    <row r="1322">
      <c r="A1322" s="43"/>
      <c r="B1322" s="59"/>
      <c r="C1322" s="51"/>
      <c r="D1322" s="43"/>
      <c r="E1322" s="85"/>
      <c r="F1322" s="43"/>
      <c r="G1322" s="85"/>
      <c r="H1322" s="43"/>
      <c r="I1322" s="85"/>
      <c r="J1322" s="43"/>
      <c r="L1322" s="43"/>
      <c r="N1322" s="43"/>
      <c r="P1322" s="43"/>
      <c r="R1322" s="43"/>
      <c r="T1322" s="43"/>
      <c r="V1322" s="43"/>
      <c r="X1322" s="43"/>
      <c r="Z1322" s="43"/>
      <c r="AB1322" s="43"/>
      <c r="AD1322" s="43"/>
      <c r="AF1322" s="43"/>
      <c r="AH1322" s="43"/>
      <c r="AJ1322" s="43"/>
      <c r="AL1322" s="43"/>
      <c r="AO1322" s="43"/>
      <c r="AP1322" s="1"/>
      <c r="AQ1322" s="43"/>
      <c r="AR1322" s="123"/>
      <c r="AS1322" s="1"/>
      <c r="AT1322" s="1"/>
    </row>
    <row r="1323">
      <c r="A1323" s="43"/>
      <c r="B1323" s="59"/>
      <c r="C1323" s="51"/>
      <c r="D1323" s="43"/>
      <c r="E1323" s="85"/>
      <c r="F1323" s="43"/>
      <c r="G1323" s="85"/>
      <c r="H1323" s="43"/>
      <c r="I1323" s="85"/>
      <c r="J1323" s="43"/>
      <c r="L1323" s="43"/>
      <c r="N1323" s="43"/>
      <c r="P1323" s="43"/>
      <c r="R1323" s="43"/>
      <c r="T1323" s="43"/>
      <c r="V1323" s="43"/>
      <c r="X1323" s="43"/>
      <c r="Z1323" s="43"/>
      <c r="AB1323" s="43"/>
      <c r="AD1323" s="43"/>
      <c r="AF1323" s="43"/>
      <c r="AH1323" s="43"/>
      <c r="AJ1323" s="43"/>
      <c r="AL1323" s="43"/>
      <c r="AO1323" s="43"/>
      <c r="AP1323" s="1"/>
      <c r="AQ1323" s="43"/>
      <c r="AR1323" s="123"/>
      <c r="AS1323" s="1"/>
      <c r="AT1323" s="1"/>
    </row>
    <row r="1324">
      <c r="A1324" s="43"/>
      <c r="B1324" s="59"/>
      <c r="C1324" s="51"/>
      <c r="D1324" s="43"/>
      <c r="E1324" s="85"/>
      <c r="F1324" s="43"/>
      <c r="G1324" s="85"/>
      <c r="H1324" s="43"/>
      <c r="I1324" s="85"/>
      <c r="J1324" s="43"/>
      <c r="L1324" s="43"/>
      <c r="N1324" s="43"/>
      <c r="P1324" s="43"/>
      <c r="R1324" s="43"/>
      <c r="T1324" s="43"/>
      <c r="V1324" s="43"/>
      <c r="X1324" s="43"/>
      <c r="Z1324" s="43"/>
      <c r="AB1324" s="43"/>
      <c r="AD1324" s="43"/>
      <c r="AF1324" s="43"/>
      <c r="AH1324" s="43"/>
      <c r="AJ1324" s="43"/>
      <c r="AL1324" s="43"/>
      <c r="AO1324" s="43"/>
      <c r="AP1324" s="1"/>
      <c r="AQ1324" s="43"/>
      <c r="AR1324" s="123"/>
      <c r="AS1324" s="1"/>
      <c r="AT1324" s="1"/>
    </row>
    <row r="1325">
      <c r="A1325" s="43"/>
      <c r="B1325" s="59"/>
      <c r="C1325" s="51"/>
      <c r="D1325" s="43"/>
      <c r="E1325" s="85"/>
      <c r="F1325" s="43"/>
      <c r="G1325" s="85"/>
      <c r="H1325" s="43"/>
      <c r="I1325" s="85"/>
      <c r="J1325" s="43"/>
      <c r="L1325" s="43"/>
      <c r="N1325" s="43"/>
      <c r="P1325" s="43"/>
      <c r="R1325" s="43"/>
      <c r="T1325" s="43"/>
      <c r="V1325" s="43"/>
      <c r="X1325" s="43"/>
      <c r="Z1325" s="43"/>
      <c r="AB1325" s="43"/>
      <c r="AD1325" s="43"/>
      <c r="AF1325" s="43"/>
      <c r="AH1325" s="43"/>
      <c r="AJ1325" s="43"/>
      <c r="AL1325" s="43"/>
      <c r="AO1325" s="43"/>
      <c r="AP1325" s="1"/>
      <c r="AQ1325" s="43"/>
      <c r="AR1325" s="123"/>
      <c r="AS1325" s="1"/>
      <c r="AT1325" s="1"/>
    </row>
    <row r="1326">
      <c r="A1326" s="43"/>
      <c r="B1326" s="59"/>
      <c r="C1326" s="51"/>
      <c r="D1326" s="43"/>
      <c r="E1326" s="85"/>
      <c r="F1326" s="43"/>
      <c r="G1326" s="85"/>
      <c r="H1326" s="43"/>
      <c r="I1326" s="85"/>
      <c r="J1326" s="43"/>
      <c r="L1326" s="43"/>
      <c r="N1326" s="43"/>
      <c r="P1326" s="43"/>
      <c r="R1326" s="43"/>
      <c r="T1326" s="43"/>
      <c r="V1326" s="43"/>
      <c r="X1326" s="43"/>
      <c r="Z1326" s="43"/>
      <c r="AB1326" s="43"/>
      <c r="AD1326" s="43"/>
      <c r="AF1326" s="43"/>
      <c r="AH1326" s="43"/>
      <c r="AJ1326" s="43"/>
      <c r="AL1326" s="43"/>
      <c r="AO1326" s="43"/>
      <c r="AP1326" s="1"/>
      <c r="AQ1326" s="43"/>
      <c r="AR1326" s="123"/>
      <c r="AS1326" s="1"/>
      <c r="AT1326" s="1"/>
    </row>
    <row r="1327">
      <c r="A1327" s="43"/>
      <c r="B1327" s="59"/>
      <c r="C1327" s="51"/>
      <c r="D1327" s="43"/>
      <c r="E1327" s="85"/>
      <c r="F1327" s="43"/>
      <c r="G1327" s="85"/>
      <c r="H1327" s="43"/>
      <c r="I1327" s="85"/>
      <c r="J1327" s="43"/>
      <c r="L1327" s="43"/>
      <c r="N1327" s="43"/>
      <c r="P1327" s="43"/>
      <c r="R1327" s="43"/>
      <c r="T1327" s="43"/>
      <c r="V1327" s="43"/>
      <c r="X1327" s="43"/>
      <c r="Z1327" s="43"/>
      <c r="AB1327" s="43"/>
      <c r="AD1327" s="43"/>
      <c r="AF1327" s="43"/>
      <c r="AH1327" s="43"/>
      <c r="AJ1327" s="43"/>
      <c r="AL1327" s="43"/>
      <c r="AO1327" s="43"/>
      <c r="AP1327" s="1"/>
      <c r="AQ1327" s="43"/>
      <c r="AR1327" s="123"/>
      <c r="AS1327" s="1"/>
      <c r="AT1327" s="1"/>
    </row>
    <row r="1328">
      <c r="A1328" s="43"/>
      <c r="B1328" s="59"/>
      <c r="C1328" s="51"/>
      <c r="D1328" s="43"/>
      <c r="E1328" s="85"/>
      <c r="F1328" s="43"/>
      <c r="G1328" s="85"/>
      <c r="H1328" s="43"/>
      <c r="I1328" s="85"/>
      <c r="J1328" s="43"/>
      <c r="L1328" s="43"/>
      <c r="N1328" s="43"/>
      <c r="P1328" s="43"/>
      <c r="R1328" s="43"/>
      <c r="T1328" s="43"/>
      <c r="V1328" s="43"/>
      <c r="X1328" s="43"/>
      <c r="Z1328" s="43"/>
      <c r="AB1328" s="43"/>
      <c r="AD1328" s="43"/>
      <c r="AF1328" s="43"/>
      <c r="AH1328" s="43"/>
      <c r="AJ1328" s="43"/>
      <c r="AL1328" s="43"/>
      <c r="AO1328" s="43"/>
      <c r="AP1328" s="1"/>
      <c r="AQ1328" s="43"/>
      <c r="AR1328" s="123"/>
      <c r="AS1328" s="1"/>
      <c r="AT1328" s="1"/>
    </row>
    <row r="1329">
      <c r="A1329" s="43"/>
      <c r="B1329" s="59"/>
      <c r="C1329" s="51"/>
      <c r="D1329" s="43"/>
      <c r="E1329" s="85"/>
      <c r="F1329" s="43"/>
      <c r="G1329" s="85"/>
      <c r="H1329" s="43"/>
      <c r="I1329" s="85"/>
      <c r="J1329" s="43"/>
      <c r="L1329" s="43"/>
      <c r="N1329" s="43"/>
      <c r="P1329" s="43"/>
      <c r="R1329" s="43"/>
      <c r="T1329" s="43"/>
      <c r="V1329" s="43"/>
      <c r="X1329" s="43"/>
      <c r="Z1329" s="43"/>
      <c r="AB1329" s="43"/>
      <c r="AD1329" s="43"/>
      <c r="AF1329" s="43"/>
      <c r="AH1329" s="43"/>
      <c r="AJ1329" s="43"/>
      <c r="AL1329" s="43"/>
      <c r="AO1329" s="43"/>
      <c r="AP1329" s="1"/>
      <c r="AQ1329" s="43"/>
      <c r="AR1329" s="123"/>
      <c r="AS1329" s="1"/>
      <c r="AT1329" s="1"/>
    </row>
    <row r="1330">
      <c r="A1330" s="43"/>
      <c r="B1330" s="59"/>
      <c r="C1330" s="51"/>
      <c r="D1330" s="43"/>
      <c r="E1330" s="85"/>
      <c r="F1330" s="43"/>
      <c r="G1330" s="85"/>
      <c r="H1330" s="43"/>
      <c r="I1330" s="85"/>
      <c r="J1330" s="43"/>
      <c r="L1330" s="43"/>
      <c r="N1330" s="43"/>
      <c r="P1330" s="43"/>
      <c r="R1330" s="43"/>
      <c r="T1330" s="43"/>
      <c r="V1330" s="43"/>
      <c r="X1330" s="43"/>
      <c r="Z1330" s="43"/>
      <c r="AB1330" s="43"/>
      <c r="AD1330" s="43"/>
      <c r="AF1330" s="43"/>
      <c r="AH1330" s="43"/>
      <c r="AJ1330" s="43"/>
      <c r="AL1330" s="43"/>
      <c r="AO1330" s="43"/>
      <c r="AP1330" s="1"/>
      <c r="AQ1330" s="43"/>
      <c r="AR1330" s="123"/>
      <c r="AS1330" s="1"/>
      <c r="AT1330" s="1"/>
    </row>
    <row r="1331">
      <c r="A1331" s="43"/>
      <c r="B1331" s="59"/>
      <c r="C1331" s="51"/>
      <c r="D1331" s="43"/>
      <c r="E1331" s="85"/>
      <c r="F1331" s="43"/>
      <c r="G1331" s="85"/>
      <c r="H1331" s="43"/>
      <c r="I1331" s="85"/>
      <c r="J1331" s="43"/>
      <c r="L1331" s="43"/>
      <c r="N1331" s="43"/>
      <c r="P1331" s="43"/>
      <c r="R1331" s="43"/>
      <c r="T1331" s="43"/>
      <c r="V1331" s="43"/>
      <c r="X1331" s="43"/>
      <c r="Z1331" s="43"/>
      <c r="AB1331" s="43"/>
      <c r="AD1331" s="43"/>
      <c r="AF1331" s="43"/>
      <c r="AH1331" s="43"/>
      <c r="AJ1331" s="43"/>
      <c r="AL1331" s="43"/>
      <c r="AO1331" s="43"/>
      <c r="AP1331" s="1"/>
      <c r="AQ1331" s="43"/>
      <c r="AR1331" s="123"/>
      <c r="AS1331" s="1"/>
      <c r="AT1331" s="1"/>
    </row>
    <row r="1332">
      <c r="A1332" s="43"/>
      <c r="B1332" s="59"/>
      <c r="C1332" s="51"/>
      <c r="D1332" s="43"/>
      <c r="E1332" s="85"/>
      <c r="F1332" s="43"/>
      <c r="G1332" s="85"/>
      <c r="H1332" s="43"/>
      <c r="I1332" s="85"/>
      <c r="J1332" s="43"/>
      <c r="L1332" s="43"/>
      <c r="N1332" s="43"/>
      <c r="P1332" s="43"/>
      <c r="R1332" s="43"/>
      <c r="T1332" s="43"/>
      <c r="V1332" s="43"/>
      <c r="X1332" s="43"/>
      <c r="Z1332" s="43"/>
      <c r="AB1332" s="43"/>
      <c r="AD1332" s="43"/>
      <c r="AF1332" s="43"/>
      <c r="AH1332" s="43"/>
      <c r="AJ1332" s="43"/>
      <c r="AL1332" s="43"/>
      <c r="AO1332" s="43"/>
      <c r="AP1332" s="1"/>
      <c r="AQ1332" s="43"/>
      <c r="AR1332" s="123"/>
      <c r="AS1332" s="1"/>
      <c r="AT1332" s="1"/>
    </row>
    <row r="1333">
      <c r="A1333" s="43"/>
      <c r="B1333" s="59"/>
      <c r="C1333" s="51"/>
      <c r="D1333" s="43"/>
      <c r="E1333" s="85"/>
      <c r="F1333" s="43"/>
      <c r="G1333" s="85"/>
      <c r="H1333" s="43"/>
      <c r="I1333" s="85"/>
      <c r="J1333" s="43"/>
      <c r="L1333" s="43"/>
      <c r="N1333" s="43"/>
      <c r="P1333" s="43"/>
      <c r="R1333" s="43"/>
      <c r="T1333" s="43"/>
      <c r="V1333" s="43"/>
      <c r="X1333" s="43"/>
      <c r="Z1333" s="43"/>
      <c r="AB1333" s="43"/>
      <c r="AD1333" s="43"/>
      <c r="AF1333" s="43"/>
      <c r="AH1333" s="43"/>
      <c r="AJ1333" s="43"/>
      <c r="AL1333" s="43"/>
      <c r="AO1333" s="43"/>
      <c r="AP1333" s="1"/>
      <c r="AQ1333" s="43"/>
      <c r="AR1333" s="123"/>
      <c r="AS1333" s="1"/>
      <c r="AT1333" s="1"/>
    </row>
    <row r="1334">
      <c r="A1334" s="43"/>
      <c r="B1334" s="59"/>
      <c r="C1334" s="51"/>
      <c r="D1334" s="43"/>
      <c r="E1334" s="85"/>
      <c r="F1334" s="43"/>
      <c r="G1334" s="85"/>
      <c r="H1334" s="43"/>
      <c r="I1334" s="85"/>
      <c r="J1334" s="43"/>
      <c r="L1334" s="43"/>
      <c r="N1334" s="43"/>
      <c r="P1334" s="43"/>
      <c r="R1334" s="43"/>
      <c r="T1334" s="43"/>
      <c r="V1334" s="43"/>
      <c r="X1334" s="43"/>
      <c r="Z1334" s="43"/>
      <c r="AB1334" s="43"/>
      <c r="AD1334" s="43"/>
      <c r="AF1334" s="43"/>
      <c r="AH1334" s="43"/>
      <c r="AJ1334" s="43"/>
      <c r="AL1334" s="43"/>
      <c r="AO1334" s="43"/>
      <c r="AP1334" s="1"/>
      <c r="AQ1334" s="43"/>
      <c r="AR1334" s="123"/>
      <c r="AS1334" s="1"/>
      <c r="AT1334" s="1"/>
    </row>
    <row r="1335">
      <c r="A1335" s="43"/>
      <c r="B1335" s="59"/>
      <c r="C1335" s="51"/>
      <c r="D1335" s="43"/>
      <c r="E1335" s="85"/>
      <c r="F1335" s="43"/>
      <c r="G1335" s="85"/>
      <c r="H1335" s="43"/>
      <c r="I1335" s="85"/>
      <c r="J1335" s="43"/>
      <c r="L1335" s="43"/>
      <c r="N1335" s="43"/>
      <c r="P1335" s="43"/>
      <c r="R1335" s="43"/>
      <c r="T1335" s="43"/>
      <c r="V1335" s="43"/>
      <c r="X1335" s="43"/>
      <c r="Z1335" s="43"/>
      <c r="AB1335" s="43"/>
      <c r="AD1335" s="43"/>
      <c r="AF1335" s="43"/>
      <c r="AH1335" s="43"/>
      <c r="AJ1335" s="43"/>
      <c r="AL1335" s="43"/>
      <c r="AO1335" s="43"/>
      <c r="AP1335" s="1"/>
      <c r="AQ1335" s="43"/>
      <c r="AR1335" s="123"/>
      <c r="AS1335" s="1"/>
      <c r="AT1335" s="1"/>
    </row>
    <row r="1336">
      <c r="A1336" s="43"/>
      <c r="B1336" s="59"/>
      <c r="C1336" s="51"/>
      <c r="D1336" s="43"/>
      <c r="E1336" s="85"/>
      <c r="F1336" s="43"/>
      <c r="G1336" s="85"/>
      <c r="H1336" s="43"/>
      <c r="I1336" s="85"/>
      <c r="J1336" s="43"/>
      <c r="L1336" s="43"/>
      <c r="N1336" s="43"/>
      <c r="P1336" s="43"/>
      <c r="R1336" s="43"/>
      <c r="T1336" s="43"/>
      <c r="V1336" s="43"/>
      <c r="X1336" s="43"/>
      <c r="Z1336" s="43"/>
      <c r="AB1336" s="43"/>
      <c r="AD1336" s="43"/>
      <c r="AF1336" s="43"/>
      <c r="AH1336" s="43"/>
      <c r="AJ1336" s="43"/>
      <c r="AL1336" s="43"/>
      <c r="AO1336" s="43"/>
      <c r="AP1336" s="1"/>
      <c r="AQ1336" s="43"/>
      <c r="AR1336" s="123"/>
      <c r="AS1336" s="1"/>
      <c r="AT1336" s="1"/>
    </row>
    <row r="1337">
      <c r="A1337" s="43"/>
      <c r="B1337" s="59"/>
      <c r="C1337" s="51"/>
      <c r="D1337" s="43"/>
      <c r="E1337" s="85"/>
      <c r="F1337" s="43"/>
      <c r="G1337" s="85"/>
      <c r="H1337" s="43"/>
      <c r="I1337" s="85"/>
      <c r="J1337" s="43"/>
      <c r="L1337" s="43"/>
      <c r="N1337" s="43"/>
      <c r="P1337" s="43"/>
      <c r="R1337" s="43"/>
      <c r="T1337" s="43"/>
      <c r="V1337" s="43"/>
      <c r="X1337" s="43"/>
      <c r="Z1337" s="43"/>
      <c r="AB1337" s="43"/>
      <c r="AD1337" s="43"/>
      <c r="AF1337" s="43"/>
      <c r="AH1337" s="43"/>
      <c r="AJ1337" s="43"/>
      <c r="AL1337" s="43"/>
      <c r="AO1337" s="43"/>
      <c r="AP1337" s="1"/>
      <c r="AQ1337" s="43"/>
      <c r="AR1337" s="123"/>
      <c r="AS1337" s="1"/>
      <c r="AT1337" s="1"/>
    </row>
    <row r="1338">
      <c r="A1338" s="43"/>
      <c r="B1338" s="59"/>
      <c r="C1338" s="51"/>
      <c r="D1338" s="43"/>
      <c r="E1338" s="85"/>
      <c r="F1338" s="43"/>
      <c r="G1338" s="85"/>
      <c r="H1338" s="43"/>
      <c r="I1338" s="85"/>
      <c r="J1338" s="43"/>
      <c r="L1338" s="43"/>
      <c r="N1338" s="43"/>
      <c r="P1338" s="43"/>
      <c r="R1338" s="43"/>
      <c r="T1338" s="43"/>
      <c r="V1338" s="43"/>
      <c r="X1338" s="43"/>
      <c r="Z1338" s="43"/>
      <c r="AB1338" s="43"/>
      <c r="AD1338" s="43"/>
      <c r="AF1338" s="43"/>
      <c r="AH1338" s="43"/>
      <c r="AJ1338" s="43"/>
      <c r="AL1338" s="43"/>
      <c r="AO1338" s="43"/>
      <c r="AP1338" s="1"/>
      <c r="AQ1338" s="43"/>
      <c r="AR1338" s="123"/>
      <c r="AS1338" s="1"/>
      <c r="AT1338" s="1"/>
    </row>
    <row r="1339">
      <c r="A1339" s="43"/>
      <c r="B1339" s="59"/>
      <c r="C1339" s="51"/>
      <c r="D1339" s="43"/>
      <c r="E1339" s="85"/>
      <c r="F1339" s="43"/>
      <c r="G1339" s="85"/>
      <c r="H1339" s="43"/>
      <c r="I1339" s="85"/>
      <c r="J1339" s="43"/>
      <c r="L1339" s="43"/>
      <c r="N1339" s="43"/>
      <c r="P1339" s="43"/>
      <c r="R1339" s="43"/>
      <c r="T1339" s="43"/>
      <c r="V1339" s="43"/>
      <c r="X1339" s="43"/>
      <c r="Z1339" s="43"/>
      <c r="AB1339" s="43"/>
      <c r="AD1339" s="43"/>
      <c r="AF1339" s="43"/>
      <c r="AH1339" s="43"/>
      <c r="AJ1339" s="43"/>
      <c r="AL1339" s="43"/>
      <c r="AO1339" s="43"/>
      <c r="AP1339" s="1"/>
      <c r="AQ1339" s="43"/>
      <c r="AR1339" s="123"/>
      <c r="AS1339" s="1"/>
      <c r="AT1339" s="1"/>
    </row>
    <row r="1340">
      <c r="A1340" s="43"/>
      <c r="B1340" s="59"/>
      <c r="C1340" s="51"/>
      <c r="D1340" s="43"/>
      <c r="E1340" s="85"/>
      <c r="F1340" s="43"/>
      <c r="G1340" s="85"/>
      <c r="H1340" s="43"/>
      <c r="I1340" s="85"/>
      <c r="J1340" s="43"/>
      <c r="L1340" s="43"/>
      <c r="N1340" s="43"/>
      <c r="P1340" s="43"/>
      <c r="R1340" s="43"/>
      <c r="T1340" s="43"/>
      <c r="V1340" s="43"/>
      <c r="X1340" s="43"/>
      <c r="Z1340" s="43"/>
      <c r="AB1340" s="43"/>
      <c r="AD1340" s="43"/>
      <c r="AF1340" s="43"/>
      <c r="AH1340" s="43"/>
      <c r="AJ1340" s="43"/>
      <c r="AL1340" s="43"/>
      <c r="AO1340" s="43"/>
      <c r="AP1340" s="1"/>
      <c r="AQ1340" s="43"/>
      <c r="AR1340" s="123"/>
      <c r="AS1340" s="1"/>
      <c r="AT1340" s="1"/>
    </row>
    <row r="1341">
      <c r="A1341" s="43"/>
      <c r="B1341" s="59"/>
      <c r="C1341" s="51"/>
      <c r="D1341" s="43"/>
      <c r="E1341" s="85"/>
      <c r="F1341" s="43"/>
      <c r="G1341" s="85"/>
      <c r="H1341" s="43"/>
      <c r="I1341" s="85"/>
      <c r="J1341" s="43"/>
      <c r="L1341" s="43"/>
      <c r="N1341" s="43"/>
      <c r="P1341" s="43"/>
      <c r="R1341" s="43"/>
      <c r="T1341" s="43"/>
      <c r="V1341" s="43"/>
      <c r="X1341" s="43"/>
      <c r="Z1341" s="43"/>
      <c r="AB1341" s="43"/>
      <c r="AD1341" s="43"/>
      <c r="AF1341" s="43"/>
      <c r="AH1341" s="43"/>
      <c r="AJ1341" s="43"/>
      <c r="AL1341" s="43"/>
      <c r="AO1341" s="43"/>
      <c r="AP1341" s="1"/>
      <c r="AQ1341" s="43"/>
      <c r="AR1341" s="123"/>
      <c r="AS1341" s="1"/>
      <c r="AT1341" s="1"/>
    </row>
    <row r="1342">
      <c r="A1342" s="43"/>
      <c r="B1342" s="59"/>
      <c r="C1342" s="51"/>
      <c r="D1342" s="43"/>
      <c r="E1342" s="85"/>
      <c r="F1342" s="43"/>
      <c r="G1342" s="85"/>
      <c r="H1342" s="43"/>
      <c r="I1342" s="85"/>
      <c r="J1342" s="43"/>
      <c r="L1342" s="43"/>
      <c r="N1342" s="43"/>
      <c r="P1342" s="43"/>
      <c r="R1342" s="43"/>
      <c r="T1342" s="43"/>
      <c r="V1342" s="43"/>
      <c r="X1342" s="43"/>
      <c r="Z1342" s="43"/>
      <c r="AB1342" s="43"/>
      <c r="AD1342" s="43"/>
      <c r="AF1342" s="43"/>
      <c r="AH1342" s="43"/>
      <c r="AJ1342" s="43"/>
      <c r="AL1342" s="43"/>
      <c r="AO1342" s="43"/>
      <c r="AP1342" s="1"/>
      <c r="AQ1342" s="43"/>
      <c r="AR1342" s="123"/>
      <c r="AS1342" s="1"/>
      <c r="AT1342" s="1"/>
    </row>
    <row r="1343">
      <c r="A1343" s="43"/>
      <c r="B1343" s="59"/>
      <c r="C1343" s="51"/>
      <c r="D1343" s="43"/>
      <c r="E1343" s="85"/>
      <c r="F1343" s="43"/>
      <c r="G1343" s="85"/>
      <c r="H1343" s="43"/>
      <c r="I1343" s="85"/>
      <c r="J1343" s="43"/>
      <c r="L1343" s="43"/>
      <c r="N1343" s="43"/>
      <c r="P1343" s="43"/>
      <c r="R1343" s="43"/>
      <c r="T1343" s="43"/>
      <c r="V1343" s="43"/>
      <c r="X1343" s="43"/>
      <c r="Z1343" s="43"/>
      <c r="AB1343" s="43"/>
      <c r="AD1343" s="43"/>
      <c r="AF1343" s="43"/>
      <c r="AH1343" s="43"/>
      <c r="AJ1343" s="43"/>
      <c r="AL1343" s="43"/>
      <c r="AO1343" s="43"/>
      <c r="AP1343" s="1"/>
      <c r="AQ1343" s="43"/>
      <c r="AR1343" s="123"/>
      <c r="AS1343" s="1"/>
      <c r="AT1343" s="1"/>
    </row>
    <row r="1344">
      <c r="A1344" s="43"/>
      <c r="B1344" s="59"/>
      <c r="C1344" s="51"/>
      <c r="D1344" s="43"/>
      <c r="E1344" s="85"/>
      <c r="F1344" s="43"/>
      <c r="G1344" s="85"/>
      <c r="H1344" s="43"/>
      <c r="I1344" s="85"/>
      <c r="J1344" s="43"/>
      <c r="L1344" s="43"/>
      <c r="N1344" s="43"/>
      <c r="P1344" s="43"/>
      <c r="R1344" s="43"/>
      <c r="T1344" s="43"/>
      <c r="V1344" s="43"/>
      <c r="X1344" s="43"/>
      <c r="Z1344" s="43"/>
      <c r="AB1344" s="43"/>
      <c r="AD1344" s="43"/>
      <c r="AF1344" s="43"/>
      <c r="AH1344" s="43"/>
      <c r="AJ1344" s="43"/>
      <c r="AL1344" s="43"/>
      <c r="AO1344" s="43"/>
      <c r="AP1344" s="1"/>
      <c r="AQ1344" s="43"/>
      <c r="AR1344" s="123"/>
      <c r="AS1344" s="1"/>
      <c r="AT1344" s="1"/>
    </row>
    <row r="1345">
      <c r="A1345" s="43"/>
      <c r="B1345" s="59"/>
      <c r="C1345" s="51"/>
      <c r="D1345" s="43"/>
      <c r="E1345" s="85"/>
      <c r="F1345" s="43"/>
      <c r="G1345" s="85"/>
      <c r="H1345" s="43"/>
      <c r="I1345" s="85"/>
      <c r="J1345" s="43"/>
      <c r="L1345" s="43"/>
      <c r="N1345" s="43"/>
      <c r="P1345" s="43"/>
      <c r="R1345" s="43"/>
      <c r="T1345" s="43"/>
      <c r="V1345" s="43"/>
      <c r="X1345" s="43"/>
      <c r="Z1345" s="43"/>
      <c r="AB1345" s="43"/>
      <c r="AD1345" s="43"/>
      <c r="AF1345" s="43"/>
      <c r="AH1345" s="43"/>
      <c r="AJ1345" s="43"/>
      <c r="AL1345" s="43"/>
      <c r="AO1345" s="43"/>
      <c r="AP1345" s="1"/>
      <c r="AQ1345" s="43"/>
      <c r="AR1345" s="123"/>
      <c r="AS1345" s="1"/>
      <c r="AT1345" s="1"/>
    </row>
    <row r="1346">
      <c r="A1346" s="43"/>
      <c r="B1346" s="59"/>
      <c r="C1346" s="51"/>
      <c r="D1346" s="43"/>
      <c r="E1346" s="85"/>
      <c r="F1346" s="43"/>
      <c r="G1346" s="85"/>
      <c r="H1346" s="43"/>
      <c r="I1346" s="85"/>
      <c r="J1346" s="43"/>
      <c r="L1346" s="43"/>
      <c r="N1346" s="43"/>
      <c r="P1346" s="43"/>
      <c r="R1346" s="43"/>
      <c r="T1346" s="43"/>
      <c r="V1346" s="43"/>
      <c r="X1346" s="43"/>
      <c r="Z1346" s="43"/>
      <c r="AB1346" s="43"/>
      <c r="AD1346" s="43"/>
      <c r="AF1346" s="43"/>
      <c r="AH1346" s="43"/>
      <c r="AJ1346" s="43"/>
      <c r="AL1346" s="43"/>
      <c r="AO1346" s="43"/>
      <c r="AP1346" s="1"/>
      <c r="AQ1346" s="43"/>
      <c r="AR1346" s="123"/>
      <c r="AS1346" s="1"/>
      <c r="AT1346" s="1"/>
    </row>
    <row r="1347">
      <c r="A1347" s="43"/>
      <c r="B1347" s="59"/>
      <c r="C1347" s="51"/>
      <c r="D1347" s="43"/>
      <c r="E1347" s="85"/>
      <c r="F1347" s="43"/>
      <c r="G1347" s="85"/>
      <c r="H1347" s="43"/>
      <c r="I1347" s="85"/>
      <c r="J1347" s="43"/>
      <c r="L1347" s="43"/>
      <c r="N1347" s="43"/>
      <c r="P1347" s="43"/>
      <c r="R1347" s="43"/>
      <c r="T1347" s="43"/>
      <c r="V1347" s="43"/>
      <c r="X1347" s="43"/>
      <c r="Z1347" s="43"/>
      <c r="AB1347" s="43"/>
      <c r="AD1347" s="43"/>
      <c r="AF1347" s="43"/>
      <c r="AH1347" s="43"/>
      <c r="AJ1347" s="43"/>
      <c r="AL1347" s="43"/>
      <c r="AO1347" s="43"/>
      <c r="AP1347" s="1"/>
      <c r="AQ1347" s="43"/>
      <c r="AR1347" s="123"/>
      <c r="AS1347" s="1"/>
      <c r="AT1347" s="1"/>
    </row>
    <row r="1348">
      <c r="A1348" s="43"/>
      <c r="B1348" s="59"/>
      <c r="C1348" s="51"/>
      <c r="D1348" s="43"/>
      <c r="E1348" s="85"/>
      <c r="F1348" s="43"/>
      <c r="G1348" s="85"/>
      <c r="H1348" s="43"/>
      <c r="I1348" s="85"/>
      <c r="J1348" s="43"/>
      <c r="L1348" s="43"/>
      <c r="N1348" s="43"/>
      <c r="P1348" s="43"/>
      <c r="R1348" s="43"/>
      <c r="T1348" s="43"/>
      <c r="V1348" s="43"/>
      <c r="X1348" s="43"/>
      <c r="Z1348" s="43"/>
      <c r="AB1348" s="43"/>
      <c r="AD1348" s="43"/>
      <c r="AF1348" s="43"/>
      <c r="AH1348" s="43"/>
      <c r="AJ1348" s="43"/>
      <c r="AL1348" s="43"/>
      <c r="AO1348" s="43"/>
      <c r="AP1348" s="1"/>
      <c r="AQ1348" s="43"/>
      <c r="AR1348" s="123"/>
      <c r="AS1348" s="1"/>
      <c r="AT1348" s="1"/>
    </row>
    <row r="1349">
      <c r="A1349" s="43"/>
      <c r="B1349" s="59"/>
      <c r="C1349" s="51"/>
      <c r="D1349" s="43"/>
      <c r="E1349" s="85"/>
      <c r="F1349" s="43"/>
      <c r="G1349" s="85"/>
      <c r="H1349" s="43"/>
      <c r="I1349" s="85"/>
      <c r="J1349" s="43"/>
      <c r="L1349" s="43"/>
      <c r="N1349" s="43"/>
      <c r="P1349" s="43"/>
      <c r="R1349" s="43"/>
      <c r="T1349" s="43"/>
      <c r="V1349" s="43"/>
      <c r="X1349" s="43"/>
      <c r="Z1349" s="43"/>
      <c r="AB1349" s="43"/>
      <c r="AD1349" s="43"/>
      <c r="AF1349" s="43"/>
      <c r="AH1349" s="43"/>
      <c r="AJ1349" s="43"/>
      <c r="AL1349" s="43"/>
      <c r="AO1349" s="43"/>
      <c r="AP1349" s="1"/>
      <c r="AQ1349" s="43"/>
      <c r="AR1349" s="123"/>
      <c r="AS1349" s="1"/>
      <c r="AT1349" s="1"/>
    </row>
    <row r="1350">
      <c r="A1350" s="43"/>
      <c r="B1350" s="59"/>
      <c r="C1350" s="51"/>
      <c r="D1350" s="43"/>
      <c r="E1350" s="85"/>
      <c r="F1350" s="43"/>
      <c r="G1350" s="85"/>
      <c r="H1350" s="43"/>
      <c r="I1350" s="85"/>
      <c r="J1350" s="43"/>
      <c r="L1350" s="43"/>
      <c r="N1350" s="43"/>
      <c r="P1350" s="43"/>
      <c r="R1350" s="43"/>
      <c r="T1350" s="43"/>
      <c r="V1350" s="43"/>
      <c r="X1350" s="43"/>
      <c r="Z1350" s="43"/>
      <c r="AB1350" s="43"/>
      <c r="AD1350" s="43"/>
      <c r="AF1350" s="43"/>
      <c r="AH1350" s="43"/>
      <c r="AJ1350" s="43"/>
      <c r="AL1350" s="43"/>
      <c r="AO1350" s="43"/>
      <c r="AP1350" s="1"/>
      <c r="AQ1350" s="43"/>
      <c r="AR1350" s="123"/>
      <c r="AS1350" s="1"/>
      <c r="AT1350" s="1"/>
    </row>
    <row r="1351">
      <c r="A1351" s="43"/>
      <c r="B1351" s="59"/>
      <c r="C1351" s="51"/>
      <c r="D1351" s="43"/>
      <c r="E1351" s="85"/>
      <c r="F1351" s="43"/>
      <c r="G1351" s="85"/>
      <c r="H1351" s="43"/>
      <c r="I1351" s="85"/>
      <c r="J1351" s="43"/>
      <c r="L1351" s="43"/>
      <c r="N1351" s="43"/>
      <c r="P1351" s="43"/>
      <c r="R1351" s="43"/>
      <c r="T1351" s="43"/>
      <c r="V1351" s="43"/>
      <c r="X1351" s="43"/>
      <c r="Z1351" s="43"/>
      <c r="AB1351" s="43"/>
      <c r="AD1351" s="43"/>
      <c r="AF1351" s="43"/>
      <c r="AH1351" s="43"/>
      <c r="AJ1351" s="43"/>
      <c r="AL1351" s="43"/>
      <c r="AO1351" s="43"/>
      <c r="AP1351" s="1"/>
      <c r="AQ1351" s="43"/>
      <c r="AR1351" s="123"/>
      <c r="AS1351" s="1"/>
      <c r="AT1351" s="1"/>
    </row>
    <row r="1352">
      <c r="A1352" s="43"/>
      <c r="B1352" s="59"/>
      <c r="C1352" s="51"/>
      <c r="D1352" s="43"/>
      <c r="E1352" s="85"/>
      <c r="F1352" s="43"/>
      <c r="G1352" s="85"/>
      <c r="H1352" s="43"/>
      <c r="I1352" s="85"/>
      <c r="J1352" s="43"/>
      <c r="L1352" s="43"/>
      <c r="N1352" s="43"/>
      <c r="P1352" s="43"/>
      <c r="R1352" s="43"/>
      <c r="T1352" s="43"/>
      <c r="V1352" s="43"/>
      <c r="X1352" s="43"/>
      <c r="Z1352" s="43"/>
      <c r="AB1352" s="43"/>
      <c r="AD1352" s="43"/>
      <c r="AF1352" s="43"/>
      <c r="AH1352" s="43"/>
      <c r="AJ1352" s="43"/>
      <c r="AL1352" s="43"/>
      <c r="AO1352" s="43"/>
      <c r="AP1352" s="1"/>
      <c r="AQ1352" s="43"/>
      <c r="AR1352" s="123"/>
      <c r="AS1352" s="1"/>
      <c r="AT1352" s="1"/>
    </row>
    <row r="1353">
      <c r="A1353" s="43"/>
      <c r="B1353" s="59"/>
      <c r="C1353" s="51"/>
      <c r="D1353" s="43"/>
      <c r="E1353" s="85"/>
      <c r="F1353" s="43"/>
      <c r="G1353" s="85"/>
      <c r="H1353" s="43"/>
      <c r="I1353" s="85"/>
      <c r="J1353" s="43"/>
      <c r="L1353" s="43"/>
      <c r="N1353" s="43"/>
      <c r="P1353" s="43"/>
      <c r="R1353" s="43"/>
      <c r="T1353" s="43"/>
      <c r="V1353" s="43"/>
      <c r="X1353" s="43"/>
      <c r="Z1353" s="43"/>
      <c r="AB1353" s="43"/>
      <c r="AD1353" s="43"/>
      <c r="AF1353" s="43"/>
      <c r="AH1353" s="43"/>
      <c r="AJ1353" s="43"/>
      <c r="AL1353" s="43"/>
      <c r="AO1353" s="43"/>
      <c r="AP1353" s="1"/>
      <c r="AQ1353" s="43"/>
      <c r="AR1353" s="123"/>
      <c r="AS1353" s="1"/>
      <c r="AT1353" s="1"/>
    </row>
    <row r="1354">
      <c r="A1354" s="43"/>
      <c r="B1354" s="59"/>
      <c r="C1354" s="51"/>
      <c r="D1354" s="43"/>
      <c r="E1354" s="85"/>
      <c r="F1354" s="43"/>
      <c r="G1354" s="85"/>
      <c r="H1354" s="43"/>
      <c r="I1354" s="85"/>
      <c r="J1354" s="43"/>
      <c r="L1354" s="43"/>
      <c r="N1354" s="43"/>
      <c r="P1354" s="43"/>
      <c r="R1354" s="43"/>
      <c r="T1354" s="43"/>
      <c r="V1354" s="43"/>
      <c r="X1354" s="43"/>
      <c r="Z1354" s="43"/>
      <c r="AB1354" s="43"/>
      <c r="AD1354" s="43"/>
      <c r="AF1354" s="43"/>
      <c r="AH1354" s="43"/>
      <c r="AJ1354" s="43"/>
      <c r="AL1354" s="43"/>
      <c r="AO1354" s="43"/>
      <c r="AP1354" s="1"/>
      <c r="AQ1354" s="43"/>
      <c r="AR1354" s="123"/>
      <c r="AS1354" s="1"/>
      <c r="AT1354" s="1"/>
    </row>
    <row r="1355">
      <c r="A1355" s="43"/>
      <c r="B1355" s="59"/>
      <c r="C1355" s="51"/>
      <c r="D1355" s="43"/>
      <c r="E1355" s="85"/>
      <c r="F1355" s="43"/>
      <c r="G1355" s="85"/>
      <c r="H1355" s="43"/>
      <c r="I1355" s="85"/>
      <c r="J1355" s="43"/>
      <c r="L1355" s="43"/>
      <c r="N1355" s="43"/>
      <c r="P1355" s="43"/>
      <c r="R1355" s="43"/>
      <c r="T1355" s="43"/>
      <c r="V1355" s="43"/>
      <c r="X1355" s="43"/>
      <c r="Z1355" s="43"/>
      <c r="AB1355" s="43"/>
      <c r="AD1355" s="43"/>
      <c r="AF1355" s="43"/>
      <c r="AH1355" s="43"/>
      <c r="AJ1355" s="43"/>
      <c r="AL1355" s="43"/>
      <c r="AO1355" s="43"/>
      <c r="AP1355" s="1"/>
      <c r="AQ1355" s="43"/>
      <c r="AR1355" s="123"/>
      <c r="AS1355" s="1"/>
      <c r="AT1355" s="1"/>
    </row>
    <row r="1356">
      <c r="A1356" s="43"/>
      <c r="B1356" s="59"/>
      <c r="C1356" s="51"/>
      <c r="D1356" s="43"/>
      <c r="E1356" s="85"/>
      <c r="F1356" s="43"/>
      <c r="G1356" s="85"/>
      <c r="H1356" s="43"/>
      <c r="I1356" s="85"/>
      <c r="J1356" s="43"/>
      <c r="L1356" s="43"/>
      <c r="N1356" s="43"/>
      <c r="P1356" s="43"/>
      <c r="R1356" s="43"/>
      <c r="T1356" s="43"/>
      <c r="V1356" s="43"/>
      <c r="X1356" s="43"/>
      <c r="Z1356" s="43"/>
      <c r="AB1356" s="43"/>
      <c r="AD1356" s="43"/>
      <c r="AF1356" s="43"/>
      <c r="AH1356" s="43"/>
      <c r="AJ1356" s="43"/>
      <c r="AL1356" s="43"/>
      <c r="AO1356" s="43"/>
      <c r="AP1356" s="1"/>
      <c r="AQ1356" s="43"/>
      <c r="AR1356" s="123"/>
      <c r="AS1356" s="1"/>
      <c r="AT1356" s="1"/>
    </row>
    <row r="1357">
      <c r="A1357" s="43"/>
      <c r="B1357" s="59"/>
      <c r="C1357" s="51"/>
      <c r="D1357" s="43"/>
      <c r="E1357" s="85"/>
      <c r="F1357" s="43"/>
      <c r="G1357" s="85"/>
      <c r="H1357" s="43"/>
      <c r="I1357" s="85"/>
      <c r="J1357" s="43"/>
      <c r="L1357" s="43"/>
      <c r="N1357" s="43"/>
      <c r="P1357" s="43"/>
      <c r="R1357" s="43"/>
      <c r="T1357" s="43"/>
      <c r="V1357" s="43"/>
      <c r="X1357" s="43"/>
      <c r="Z1357" s="43"/>
      <c r="AB1357" s="43"/>
      <c r="AD1357" s="43"/>
      <c r="AF1357" s="43"/>
      <c r="AH1357" s="43"/>
      <c r="AJ1357" s="43"/>
      <c r="AL1357" s="43"/>
      <c r="AO1357" s="43"/>
      <c r="AP1357" s="1"/>
      <c r="AQ1357" s="43"/>
      <c r="AR1357" s="123"/>
      <c r="AS1357" s="1"/>
      <c r="AT1357" s="1"/>
    </row>
    <row r="1358">
      <c r="A1358" s="43"/>
      <c r="B1358" s="59"/>
      <c r="C1358" s="51"/>
      <c r="D1358" s="43"/>
      <c r="E1358" s="85"/>
      <c r="F1358" s="43"/>
      <c r="G1358" s="85"/>
      <c r="H1358" s="43"/>
      <c r="I1358" s="85"/>
      <c r="J1358" s="43"/>
      <c r="L1358" s="43"/>
      <c r="N1358" s="43"/>
      <c r="P1358" s="43"/>
      <c r="R1358" s="43"/>
      <c r="T1358" s="43"/>
      <c r="V1358" s="43"/>
      <c r="X1358" s="43"/>
      <c r="Z1358" s="43"/>
      <c r="AB1358" s="43"/>
      <c r="AD1358" s="43"/>
      <c r="AF1358" s="43"/>
      <c r="AH1358" s="43"/>
      <c r="AJ1358" s="43"/>
      <c r="AL1358" s="43"/>
      <c r="AO1358" s="43"/>
      <c r="AP1358" s="1"/>
      <c r="AQ1358" s="43"/>
      <c r="AR1358" s="123"/>
      <c r="AS1358" s="1"/>
      <c r="AT1358" s="1"/>
    </row>
    <row r="1359">
      <c r="A1359" s="43"/>
      <c r="B1359" s="59"/>
      <c r="C1359" s="51"/>
      <c r="D1359" s="43"/>
      <c r="E1359" s="85"/>
      <c r="F1359" s="43"/>
      <c r="G1359" s="85"/>
      <c r="H1359" s="43"/>
      <c r="I1359" s="85"/>
      <c r="J1359" s="43"/>
      <c r="L1359" s="43"/>
      <c r="N1359" s="43"/>
      <c r="P1359" s="43"/>
      <c r="R1359" s="43"/>
      <c r="T1359" s="43"/>
      <c r="V1359" s="43"/>
      <c r="X1359" s="43"/>
      <c r="Z1359" s="43"/>
      <c r="AB1359" s="43"/>
      <c r="AD1359" s="43"/>
      <c r="AF1359" s="43"/>
      <c r="AH1359" s="43"/>
      <c r="AJ1359" s="43"/>
      <c r="AL1359" s="43"/>
      <c r="AO1359" s="43"/>
      <c r="AP1359" s="1"/>
      <c r="AQ1359" s="43"/>
      <c r="AR1359" s="123"/>
      <c r="AS1359" s="1"/>
      <c r="AT1359" s="1"/>
    </row>
    <row r="1360">
      <c r="A1360" s="43"/>
      <c r="B1360" s="59"/>
      <c r="C1360" s="51"/>
      <c r="D1360" s="43"/>
      <c r="E1360" s="85"/>
      <c r="F1360" s="43"/>
      <c r="G1360" s="85"/>
      <c r="H1360" s="43"/>
      <c r="I1360" s="85"/>
      <c r="J1360" s="43"/>
      <c r="L1360" s="43"/>
      <c r="N1360" s="43"/>
      <c r="P1360" s="43"/>
      <c r="R1360" s="43"/>
      <c r="T1360" s="43"/>
      <c r="V1360" s="43"/>
      <c r="X1360" s="43"/>
      <c r="Z1360" s="43"/>
      <c r="AB1360" s="43"/>
      <c r="AD1360" s="43"/>
      <c r="AF1360" s="43"/>
      <c r="AH1360" s="43"/>
      <c r="AJ1360" s="43"/>
      <c r="AL1360" s="43"/>
      <c r="AO1360" s="43"/>
      <c r="AP1360" s="1"/>
      <c r="AQ1360" s="43"/>
      <c r="AR1360" s="123"/>
      <c r="AS1360" s="1"/>
      <c r="AT1360" s="1"/>
    </row>
    <row r="1361">
      <c r="A1361" s="43"/>
      <c r="B1361" s="59"/>
      <c r="C1361" s="51"/>
      <c r="D1361" s="43"/>
      <c r="E1361" s="85"/>
      <c r="F1361" s="43"/>
      <c r="G1361" s="85"/>
      <c r="H1361" s="43"/>
      <c r="I1361" s="85"/>
      <c r="J1361" s="43"/>
      <c r="L1361" s="43"/>
      <c r="N1361" s="43"/>
      <c r="P1361" s="43"/>
      <c r="R1361" s="43"/>
      <c r="T1361" s="43"/>
      <c r="V1361" s="43"/>
      <c r="X1361" s="43"/>
      <c r="Z1361" s="43"/>
      <c r="AB1361" s="43"/>
      <c r="AD1361" s="43"/>
      <c r="AF1361" s="43"/>
      <c r="AH1361" s="43"/>
      <c r="AJ1361" s="43"/>
      <c r="AL1361" s="43"/>
      <c r="AO1361" s="43"/>
      <c r="AP1361" s="1"/>
      <c r="AQ1361" s="43"/>
      <c r="AR1361" s="123"/>
      <c r="AS1361" s="1"/>
      <c r="AT1361" s="1"/>
    </row>
    <row r="1362">
      <c r="A1362" s="43"/>
      <c r="B1362" s="59"/>
      <c r="C1362" s="51"/>
      <c r="D1362" s="43"/>
      <c r="E1362" s="85"/>
      <c r="F1362" s="43"/>
      <c r="G1362" s="85"/>
      <c r="H1362" s="43"/>
      <c r="I1362" s="85"/>
      <c r="J1362" s="43"/>
      <c r="L1362" s="43"/>
      <c r="N1362" s="43"/>
      <c r="P1362" s="43"/>
      <c r="R1362" s="43"/>
      <c r="T1362" s="43"/>
      <c r="V1362" s="43"/>
      <c r="X1362" s="43"/>
      <c r="Z1362" s="43"/>
      <c r="AB1362" s="43"/>
      <c r="AD1362" s="43"/>
      <c r="AF1362" s="43"/>
      <c r="AH1362" s="43"/>
      <c r="AJ1362" s="43"/>
      <c r="AL1362" s="43"/>
      <c r="AO1362" s="43"/>
      <c r="AP1362" s="1"/>
      <c r="AQ1362" s="43"/>
      <c r="AR1362" s="123"/>
      <c r="AS1362" s="1"/>
      <c r="AT1362" s="1"/>
    </row>
    <row r="1363">
      <c r="A1363" s="43"/>
      <c r="B1363" s="59"/>
      <c r="C1363" s="51"/>
      <c r="D1363" s="43"/>
      <c r="E1363" s="85"/>
      <c r="F1363" s="43"/>
      <c r="G1363" s="85"/>
      <c r="H1363" s="43"/>
      <c r="I1363" s="85"/>
      <c r="J1363" s="43"/>
      <c r="L1363" s="43"/>
      <c r="N1363" s="43"/>
      <c r="P1363" s="43"/>
      <c r="R1363" s="43"/>
      <c r="T1363" s="43"/>
      <c r="V1363" s="43"/>
      <c r="X1363" s="43"/>
      <c r="Z1363" s="43"/>
      <c r="AB1363" s="43"/>
      <c r="AD1363" s="43"/>
      <c r="AF1363" s="43"/>
      <c r="AH1363" s="43"/>
      <c r="AJ1363" s="43"/>
      <c r="AL1363" s="43"/>
      <c r="AO1363" s="43"/>
      <c r="AP1363" s="1"/>
      <c r="AQ1363" s="43"/>
      <c r="AR1363" s="123"/>
      <c r="AS1363" s="1"/>
      <c r="AT1363" s="1"/>
    </row>
    <row r="1364">
      <c r="A1364" s="43"/>
      <c r="B1364" s="59"/>
      <c r="C1364" s="51"/>
      <c r="D1364" s="43"/>
      <c r="E1364" s="85"/>
      <c r="F1364" s="43"/>
      <c r="G1364" s="85"/>
      <c r="H1364" s="43"/>
      <c r="I1364" s="85"/>
      <c r="J1364" s="43"/>
      <c r="L1364" s="43"/>
      <c r="N1364" s="43"/>
      <c r="P1364" s="43"/>
      <c r="R1364" s="43"/>
      <c r="T1364" s="43"/>
      <c r="V1364" s="43"/>
      <c r="X1364" s="43"/>
      <c r="Z1364" s="43"/>
      <c r="AB1364" s="43"/>
      <c r="AD1364" s="43"/>
      <c r="AF1364" s="43"/>
      <c r="AH1364" s="43"/>
      <c r="AJ1364" s="43"/>
      <c r="AL1364" s="43"/>
      <c r="AO1364" s="43"/>
      <c r="AP1364" s="1"/>
      <c r="AQ1364" s="43"/>
      <c r="AR1364" s="123"/>
      <c r="AS1364" s="1"/>
      <c r="AT1364" s="1"/>
    </row>
    <row r="1365">
      <c r="A1365" s="43"/>
      <c r="B1365" s="59"/>
      <c r="C1365" s="51"/>
      <c r="D1365" s="43"/>
      <c r="E1365" s="85"/>
      <c r="F1365" s="43"/>
      <c r="G1365" s="85"/>
      <c r="H1365" s="43"/>
      <c r="I1365" s="85"/>
      <c r="J1365" s="43"/>
      <c r="L1365" s="43"/>
      <c r="N1365" s="43"/>
      <c r="P1365" s="43"/>
      <c r="R1365" s="43"/>
      <c r="T1365" s="43"/>
      <c r="V1365" s="43"/>
      <c r="X1365" s="43"/>
      <c r="Z1365" s="43"/>
      <c r="AB1365" s="43"/>
      <c r="AD1365" s="43"/>
      <c r="AF1365" s="43"/>
      <c r="AH1365" s="43"/>
      <c r="AJ1365" s="43"/>
      <c r="AL1365" s="43"/>
      <c r="AO1365" s="43"/>
      <c r="AP1365" s="1"/>
      <c r="AQ1365" s="43"/>
      <c r="AR1365" s="123"/>
      <c r="AS1365" s="1"/>
      <c r="AT1365" s="1"/>
    </row>
    <row r="1366">
      <c r="A1366" s="43"/>
      <c r="B1366" s="59"/>
      <c r="C1366" s="51"/>
      <c r="D1366" s="43"/>
      <c r="E1366" s="85"/>
      <c r="F1366" s="43"/>
      <c r="G1366" s="85"/>
      <c r="H1366" s="43"/>
      <c r="I1366" s="85"/>
      <c r="J1366" s="43"/>
      <c r="L1366" s="43"/>
      <c r="N1366" s="43"/>
      <c r="P1366" s="43"/>
      <c r="R1366" s="43"/>
      <c r="T1366" s="43"/>
      <c r="V1366" s="43"/>
      <c r="X1366" s="43"/>
      <c r="Z1366" s="43"/>
      <c r="AB1366" s="43"/>
      <c r="AD1366" s="43"/>
      <c r="AF1366" s="43"/>
      <c r="AH1366" s="43"/>
      <c r="AJ1366" s="43"/>
      <c r="AL1366" s="43"/>
      <c r="AO1366" s="43"/>
      <c r="AP1366" s="1"/>
      <c r="AQ1366" s="43"/>
      <c r="AR1366" s="123"/>
      <c r="AS1366" s="1"/>
      <c r="AT1366" s="1"/>
    </row>
    <row r="1367">
      <c r="A1367" s="43"/>
      <c r="B1367" s="59"/>
      <c r="C1367" s="51"/>
      <c r="D1367" s="43"/>
      <c r="E1367" s="85"/>
      <c r="F1367" s="43"/>
      <c r="G1367" s="85"/>
      <c r="H1367" s="43"/>
      <c r="I1367" s="85"/>
      <c r="J1367" s="43"/>
      <c r="L1367" s="43"/>
      <c r="N1367" s="43"/>
      <c r="P1367" s="43"/>
      <c r="R1367" s="43"/>
      <c r="T1367" s="43"/>
      <c r="V1367" s="43"/>
      <c r="X1367" s="43"/>
      <c r="Z1367" s="43"/>
      <c r="AB1367" s="43"/>
      <c r="AD1367" s="43"/>
      <c r="AF1367" s="43"/>
      <c r="AH1367" s="43"/>
      <c r="AJ1367" s="43"/>
      <c r="AL1367" s="43"/>
      <c r="AO1367" s="43"/>
      <c r="AP1367" s="1"/>
      <c r="AQ1367" s="43"/>
      <c r="AR1367" s="123"/>
      <c r="AS1367" s="1"/>
      <c r="AT1367" s="1"/>
    </row>
    <row r="1368">
      <c r="A1368" s="43"/>
      <c r="B1368" s="59"/>
      <c r="C1368" s="51"/>
      <c r="D1368" s="43"/>
      <c r="E1368" s="85"/>
      <c r="F1368" s="43"/>
      <c r="G1368" s="85"/>
      <c r="H1368" s="43"/>
      <c r="I1368" s="85"/>
      <c r="J1368" s="43"/>
      <c r="L1368" s="43"/>
      <c r="N1368" s="43"/>
      <c r="P1368" s="43"/>
      <c r="R1368" s="43"/>
      <c r="T1368" s="43"/>
      <c r="V1368" s="43"/>
      <c r="X1368" s="43"/>
      <c r="Z1368" s="43"/>
      <c r="AB1368" s="43"/>
      <c r="AD1368" s="43"/>
      <c r="AF1368" s="43"/>
      <c r="AH1368" s="43"/>
      <c r="AJ1368" s="43"/>
      <c r="AL1368" s="43"/>
      <c r="AO1368" s="43"/>
      <c r="AP1368" s="1"/>
      <c r="AQ1368" s="43"/>
      <c r="AR1368" s="123"/>
      <c r="AS1368" s="1"/>
      <c r="AT1368" s="1"/>
    </row>
    <row r="1369">
      <c r="A1369" s="43"/>
      <c r="B1369" s="59"/>
      <c r="C1369" s="51"/>
      <c r="D1369" s="43"/>
      <c r="E1369" s="85"/>
      <c r="F1369" s="43"/>
      <c r="G1369" s="85"/>
      <c r="H1369" s="43"/>
      <c r="I1369" s="85"/>
      <c r="J1369" s="43"/>
      <c r="L1369" s="43"/>
      <c r="N1369" s="43"/>
      <c r="P1369" s="43"/>
      <c r="R1369" s="43"/>
      <c r="T1369" s="43"/>
      <c r="V1369" s="43"/>
      <c r="X1369" s="43"/>
      <c r="Z1369" s="43"/>
      <c r="AB1369" s="43"/>
      <c r="AD1369" s="43"/>
      <c r="AF1369" s="43"/>
      <c r="AH1369" s="43"/>
      <c r="AJ1369" s="43"/>
      <c r="AL1369" s="43"/>
      <c r="AO1369" s="43"/>
      <c r="AP1369" s="1"/>
      <c r="AQ1369" s="43"/>
      <c r="AR1369" s="123"/>
      <c r="AS1369" s="1"/>
      <c r="AT1369" s="1"/>
    </row>
    <row r="1370">
      <c r="A1370" s="43"/>
      <c r="B1370" s="59"/>
      <c r="C1370" s="51"/>
      <c r="D1370" s="43"/>
      <c r="E1370" s="85"/>
      <c r="F1370" s="43"/>
      <c r="G1370" s="85"/>
      <c r="H1370" s="43"/>
      <c r="I1370" s="85"/>
      <c r="J1370" s="43"/>
      <c r="L1370" s="43"/>
      <c r="N1370" s="43"/>
      <c r="P1370" s="43"/>
      <c r="R1370" s="43"/>
      <c r="T1370" s="43"/>
      <c r="V1370" s="43"/>
      <c r="X1370" s="43"/>
      <c r="Z1370" s="43"/>
      <c r="AB1370" s="43"/>
      <c r="AD1370" s="43"/>
      <c r="AF1370" s="43"/>
      <c r="AH1370" s="43"/>
      <c r="AJ1370" s="43"/>
      <c r="AL1370" s="43"/>
      <c r="AO1370" s="43"/>
      <c r="AP1370" s="1"/>
      <c r="AQ1370" s="43"/>
      <c r="AR1370" s="123"/>
      <c r="AS1370" s="1"/>
      <c r="AT1370" s="1"/>
    </row>
    <row r="1371">
      <c r="A1371" s="43"/>
      <c r="B1371" s="59"/>
      <c r="C1371" s="51"/>
      <c r="D1371" s="43"/>
      <c r="E1371" s="85"/>
      <c r="F1371" s="43"/>
      <c r="G1371" s="85"/>
      <c r="H1371" s="43"/>
      <c r="I1371" s="85"/>
      <c r="J1371" s="43"/>
      <c r="L1371" s="43"/>
      <c r="N1371" s="43"/>
      <c r="P1371" s="43"/>
      <c r="R1371" s="43"/>
      <c r="T1371" s="43"/>
      <c r="V1371" s="43"/>
      <c r="X1371" s="43"/>
      <c r="Z1371" s="43"/>
      <c r="AB1371" s="43"/>
      <c r="AD1371" s="43"/>
      <c r="AF1371" s="43"/>
      <c r="AH1371" s="43"/>
      <c r="AJ1371" s="43"/>
      <c r="AL1371" s="43"/>
      <c r="AO1371" s="43"/>
      <c r="AP1371" s="1"/>
      <c r="AQ1371" s="43"/>
      <c r="AR1371" s="123"/>
      <c r="AS1371" s="1"/>
      <c r="AT1371" s="1"/>
    </row>
    <row r="1372">
      <c r="A1372" s="43"/>
      <c r="B1372" s="59"/>
      <c r="C1372" s="51"/>
      <c r="D1372" s="43"/>
      <c r="E1372" s="85"/>
      <c r="F1372" s="43"/>
      <c r="G1372" s="85"/>
      <c r="H1372" s="43"/>
      <c r="I1372" s="85"/>
      <c r="J1372" s="43"/>
      <c r="L1372" s="43"/>
      <c r="N1372" s="43"/>
      <c r="P1372" s="43"/>
      <c r="R1372" s="43"/>
      <c r="T1372" s="43"/>
      <c r="V1372" s="43"/>
      <c r="X1372" s="43"/>
      <c r="Z1372" s="43"/>
      <c r="AB1372" s="43"/>
      <c r="AD1372" s="43"/>
      <c r="AF1372" s="43"/>
      <c r="AH1372" s="43"/>
      <c r="AJ1372" s="43"/>
      <c r="AL1372" s="43"/>
      <c r="AO1372" s="43"/>
      <c r="AP1372" s="1"/>
      <c r="AQ1372" s="43"/>
      <c r="AR1372" s="123"/>
      <c r="AS1372" s="1"/>
      <c r="AT1372" s="1"/>
    </row>
    <row r="1373">
      <c r="A1373" s="43"/>
      <c r="B1373" s="59"/>
      <c r="C1373" s="51"/>
      <c r="D1373" s="43"/>
      <c r="E1373" s="85"/>
      <c r="F1373" s="43"/>
      <c r="G1373" s="85"/>
      <c r="H1373" s="43"/>
      <c r="I1373" s="85"/>
      <c r="J1373" s="43"/>
      <c r="L1373" s="43"/>
      <c r="N1373" s="43"/>
      <c r="P1373" s="43"/>
      <c r="R1373" s="43"/>
      <c r="T1373" s="43"/>
      <c r="V1373" s="43"/>
      <c r="X1373" s="43"/>
      <c r="Z1373" s="43"/>
      <c r="AB1373" s="43"/>
      <c r="AD1373" s="43"/>
      <c r="AF1373" s="43"/>
      <c r="AH1373" s="43"/>
      <c r="AJ1373" s="43"/>
      <c r="AL1373" s="43"/>
      <c r="AO1373" s="43"/>
      <c r="AP1373" s="1"/>
      <c r="AQ1373" s="43"/>
      <c r="AR1373" s="123"/>
      <c r="AS1373" s="1"/>
      <c r="AT1373" s="1"/>
    </row>
    <row r="1374">
      <c r="A1374" s="43"/>
      <c r="B1374" s="59"/>
      <c r="C1374" s="51"/>
      <c r="D1374" s="43"/>
      <c r="E1374" s="85"/>
      <c r="F1374" s="43"/>
      <c r="G1374" s="85"/>
      <c r="H1374" s="43"/>
      <c r="I1374" s="85"/>
      <c r="J1374" s="43"/>
      <c r="L1374" s="43"/>
      <c r="N1374" s="43"/>
      <c r="P1374" s="43"/>
      <c r="R1374" s="43"/>
      <c r="T1374" s="43"/>
      <c r="V1374" s="43"/>
      <c r="X1374" s="43"/>
      <c r="Z1374" s="43"/>
      <c r="AB1374" s="43"/>
      <c r="AD1374" s="43"/>
      <c r="AF1374" s="43"/>
      <c r="AH1374" s="43"/>
      <c r="AJ1374" s="43"/>
      <c r="AL1374" s="43"/>
      <c r="AO1374" s="43"/>
      <c r="AP1374" s="1"/>
      <c r="AQ1374" s="43"/>
      <c r="AR1374" s="123"/>
      <c r="AS1374" s="1"/>
      <c r="AT1374" s="1"/>
    </row>
    <row r="1375">
      <c r="A1375" s="43"/>
      <c r="B1375" s="59"/>
      <c r="C1375" s="51"/>
      <c r="D1375" s="43"/>
      <c r="E1375" s="85"/>
      <c r="F1375" s="43"/>
      <c r="G1375" s="85"/>
      <c r="H1375" s="43"/>
      <c r="I1375" s="85"/>
      <c r="J1375" s="43"/>
      <c r="L1375" s="43"/>
      <c r="N1375" s="43"/>
      <c r="P1375" s="43"/>
      <c r="R1375" s="43"/>
      <c r="T1375" s="43"/>
      <c r="V1375" s="43"/>
      <c r="X1375" s="43"/>
      <c r="Z1375" s="43"/>
      <c r="AB1375" s="43"/>
      <c r="AD1375" s="43"/>
      <c r="AF1375" s="43"/>
      <c r="AH1375" s="43"/>
      <c r="AJ1375" s="43"/>
      <c r="AL1375" s="43"/>
      <c r="AO1375" s="43"/>
      <c r="AP1375" s="1"/>
      <c r="AQ1375" s="43"/>
      <c r="AR1375" s="123"/>
      <c r="AS1375" s="1"/>
      <c r="AT1375" s="1"/>
    </row>
    <row r="1376">
      <c r="A1376" s="43"/>
      <c r="B1376" s="59"/>
      <c r="C1376" s="51"/>
      <c r="D1376" s="43"/>
      <c r="E1376" s="85"/>
      <c r="F1376" s="43"/>
      <c r="G1376" s="85"/>
      <c r="H1376" s="43"/>
      <c r="I1376" s="85"/>
      <c r="J1376" s="43"/>
      <c r="L1376" s="43"/>
      <c r="N1376" s="43"/>
      <c r="P1376" s="43"/>
      <c r="R1376" s="43"/>
      <c r="T1376" s="43"/>
      <c r="V1376" s="43"/>
      <c r="X1376" s="43"/>
      <c r="Z1376" s="43"/>
      <c r="AB1376" s="43"/>
      <c r="AD1376" s="43"/>
      <c r="AF1376" s="43"/>
      <c r="AH1376" s="43"/>
      <c r="AJ1376" s="43"/>
      <c r="AL1376" s="43"/>
      <c r="AO1376" s="43"/>
      <c r="AP1376" s="1"/>
      <c r="AQ1376" s="43"/>
      <c r="AR1376" s="123"/>
      <c r="AS1376" s="1"/>
      <c r="AT1376" s="1"/>
    </row>
    <row r="1377">
      <c r="A1377" s="43"/>
      <c r="B1377" s="59"/>
      <c r="C1377" s="51"/>
      <c r="D1377" s="43"/>
      <c r="E1377" s="85"/>
      <c r="F1377" s="43"/>
      <c r="G1377" s="85"/>
      <c r="H1377" s="43"/>
      <c r="I1377" s="85"/>
      <c r="J1377" s="43"/>
      <c r="L1377" s="43"/>
      <c r="N1377" s="43"/>
      <c r="P1377" s="43"/>
      <c r="R1377" s="43"/>
      <c r="T1377" s="43"/>
      <c r="V1377" s="43"/>
      <c r="X1377" s="43"/>
      <c r="Z1377" s="43"/>
      <c r="AB1377" s="43"/>
      <c r="AD1377" s="43"/>
      <c r="AF1377" s="43"/>
      <c r="AH1377" s="43"/>
      <c r="AJ1377" s="43"/>
      <c r="AL1377" s="43"/>
      <c r="AO1377" s="43"/>
      <c r="AP1377" s="1"/>
      <c r="AQ1377" s="43"/>
      <c r="AR1377" s="123"/>
      <c r="AS1377" s="1"/>
      <c r="AT1377" s="1"/>
    </row>
    <row r="1378">
      <c r="A1378" s="43"/>
      <c r="B1378" s="59"/>
      <c r="C1378" s="51"/>
      <c r="D1378" s="43"/>
      <c r="E1378" s="85"/>
      <c r="F1378" s="43"/>
      <c r="G1378" s="85"/>
      <c r="H1378" s="43"/>
      <c r="I1378" s="85"/>
      <c r="J1378" s="43"/>
      <c r="L1378" s="43"/>
      <c r="N1378" s="43"/>
      <c r="P1378" s="43"/>
      <c r="R1378" s="43"/>
      <c r="T1378" s="43"/>
      <c r="V1378" s="43"/>
      <c r="X1378" s="43"/>
      <c r="Z1378" s="43"/>
      <c r="AB1378" s="43"/>
      <c r="AD1378" s="43"/>
      <c r="AF1378" s="43"/>
      <c r="AH1378" s="43"/>
      <c r="AJ1378" s="43"/>
      <c r="AL1378" s="43"/>
      <c r="AO1378" s="43"/>
      <c r="AP1378" s="1"/>
      <c r="AQ1378" s="43"/>
      <c r="AR1378" s="123"/>
      <c r="AS1378" s="1"/>
      <c r="AT1378" s="1"/>
    </row>
    <row r="1379">
      <c r="A1379" s="43"/>
      <c r="B1379" s="59"/>
      <c r="C1379" s="51"/>
      <c r="D1379" s="43"/>
      <c r="E1379" s="85"/>
      <c r="F1379" s="43"/>
      <c r="G1379" s="85"/>
      <c r="H1379" s="43"/>
      <c r="I1379" s="85"/>
      <c r="J1379" s="43"/>
      <c r="L1379" s="43"/>
      <c r="N1379" s="43"/>
      <c r="P1379" s="43"/>
      <c r="R1379" s="43"/>
      <c r="T1379" s="43"/>
      <c r="V1379" s="43"/>
      <c r="X1379" s="43"/>
      <c r="Z1379" s="43"/>
      <c r="AB1379" s="43"/>
      <c r="AD1379" s="43"/>
      <c r="AF1379" s="43"/>
      <c r="AH1379" s="43"/>
      <c r="AJ1379" s="43"/>
      <c r="AL1379" s="43"/>
      <c r="AO1379" s="43"/>
      <c r="AP1379" s="1"/>
      <c r="AQ1379" s="43"/>
      <c r="AR1379" s="123"/>
      <c r="AS1379" s="1"/>
      <c r="AT1379" s="1"/>
    </row>
    <row r="1380">
      <c r="A1380" s="43"/>
      <c r="B1380" s="59"/>
      <c r="C1380" s="51"/>
      <c r="D1380" s="43"/>
      <c r="E1380" s="85"/>
      <c r="F1380" s="43"/>
      <c r="G1380" s="85"/>
      <c r="H1380" s="43"/>
      <c r="I1380" s="85"/>
      <c r="J1380" s="43"/>
      <c r="L1380" s="43"/>
      <c r="N1380" s="43"/>
      <c r="P1380" s="43"/>
      <c r="R1380" s="43"/>
      <c r="T1380" s="43"/>
      <c r="V1380" s="43"/>
      <c r="X1380" s="43"/>
      <c r="Z1380" s="43"/>
      <c r="AB1380" s="43"/>
      <c r="AD1380" s="43"/>
      <c r="AF1380" s="43"/>
      <c r="AH1380" s="43"/>
      <c r="AJ1380" s="43"/>
      <c r="AL1380" s="43"/>
      <c r="AO1380" s="43"/>
      <c r="AP1380" s="1"/>
      <c r="AQ1380" s="43"/>
      <c r="AR1380" s="123"/>
      <c r="AS1380" s="1"/>
      <c r="AT1380" s="1"/>
    </row>
    <row r="1381">
      <c r="A1381" s="43"/>
      <c r="B1381" s="59"/>
      <c r="C1381" s="51"/>
      <c r="D1381" s="43"/>
      <c r="E1381" s="85"/>
      <c r="F1381" s="43"/>
      <c r="G1381" s="85"/>
      <c r="H1381" s="43"/>
      <c r="I1381" s="85"/>
      <c r="J1381" s="43"/>
      <c r="L1381" s="43"/>
      <c r="N1381" s="43"/>
      <c r="P1381" s="43"/>
      <c r="R1381" s="43"/>
      <c r="T1381" s="43"/>
      <c r="V1381" s="43"/>
      <c r="X1381" s="43"/>
      <c r="Z1381" s="43"/>
      <c r="AB1381" s="43"/>
      <c r="AD1381" s="43"/>
      <c r="AF1381" s="43"/>
      <c r="AH1381" s="43"/>
      <c r="AJ1381" s="43"/>
      <c r="AL1381" s="43"/>
      <c r="AO1381" s="43"/>
      <c r="AP1381" s="1"/>
      <c r="AQ1381" s="43"/>
      <c r="AR1381" s="123"/>
      <c r="AS1381" s="1"/>
      <c r="AT1381" s="1"/>
    </row>
    <row r="1382">
      <c r="A1382" s="43"/>
      <c r="B1382" s="59"/>
      <c r="C1382" s="51"/>
      <c r="D1382" s="43"/>
      <c r="E1382" s="85"/>
      <c r="F1382" s="43"/>
      <c r="G1382" s="85"/>
      <c r="H1382" s="43"/>
      <c r="I1382" s="85"/>
      <c r="J1382" s="43"/>
      <c r="L1382" s="43"/>
      <c r="N1382" s="43"/>
      <c r="P1382" s="43"/>
      <c r="R1382" s="43"/>
      <c r="T1382" s="43"/>
      <c r="V1382" s="43"/>
      <c r="X1382" s="43"/>
      <c r="Z1382" s="43"/>
      <c r="AB1382" s="43"/>
      <c r="AD1382" s="43"/>
      <c r="AF1382" s="43"/>
      <c r="AH1382" s="43"/>
      <c r="AJ1382" s="43"/>
      <c r="AL1382" s="43"/>
      <c r="AO1382" s="43"/>
      <c r="AP1382" s="1"/>
      <c r="AQ1382" s="43"/>
      <c r="AR1382" s="123"/>
      <c r="AS1382" s="1"/>
      <c r="AT1382" s="1"/>
    </row>
    <row r="1383">
      <c r="A1383" s="43"/>
      <c r="B1383" s="59"/>
      <c r="C1383" s="51"/>
      <c r="D1383" s="43"/>
      <c r="E1383" s="85"/>
      <c r="F1383" s="43"/>
      <c r="G1383" s="85"/>
      <c r="H1383" s="43"/>
      <c r="I1383" s="85"/>
      <c r="J1383" s="43"/>
      <c r="L1383" s="43"/>
      <c r="N1383" s="43"/>
      <c r="P1383" s="43"/>
      <c r="R1383" s="43"/>
      <c r="T1383" s="43"/>
      <c r="V1383" s="43"/>
      <c r="X1383" s="43"/>
      <c r="Z1383" s="43"/>
      <c r="AB1383" s="43"/>
      <c r="AD1383" s="43"/>
      <c r="AF1383" s="43"/>
      <c r="AH1383" s="43"/>
      <c r="AJ1383" s="43"/>
      <c r="AL1383" s="43"/>
      <c r="AO1383" s="43"/>
      <c r="AP1383" s="1"/>
      <c r="AQ1383" s="43"/>
      <c r="AR1383" s="123"/>
      <c r="AS1383" s="1"/>
      <c r="AT1383" s="1"/>
    </row>
    <row r="1384">
      <c r="A1384" s="43"/>
      <c r="B1384" s="59"/>
      <c r="C1384" s="51"/>
      <c r="D1384" s="43"/>
      <c r="E1384" s="85"/>
      <c r="F1384" s="43"/>
      <c r="G1384" s="85"/>
      <c r="H1384" s="43"/>
      <c r="I1384" s="85"/>
      <c r="J1384" s="43"/>
      <c r="L1384" s="43"/>
      <c r="N1384" s="43"/>
      <c r="P1384" s="43"/>
      <c r="R1384" s="43"/>
      <c r="T1384" s="43"/>
      <c r="V1384" s="43"/>
      <c r="X1384" s="43"/>
      <c r="Z1384" s="43"/>
      <c r="AB1384" s="43"/>
      <c r="AD1384" s="43"/>
      <c r="AF1384" s="43"/>
      <c r="AH1384" s="43"/>
      <c r="AJ1384" s="43"/>
      <c r="AL1384" s="43"/>
      <c r="AO1384" s="43"/>
      <c r="AP1384" s="1"/>
      <c r="AQ1384" s="43"/>
      <c r="AR1384" s="123"/>
      <c r="AS1384" s="1"/>
      <c r="AT1384" s="1"/>
    </row>
    <row r="1385">
      <c r="A1385" s="43"/>
      <c r="B1385" s="59"/>
      <c r="C1385" s="51"/>
      <c r="D1385" s="43"/>
      <c r="E1385" s="85"/>
      <c r="F1385" s="43"/>
      <c r="G1385" s="85"/>
      <c r="H1385" s="43"/>
      <c r="I1385" s="85"/>
      <c r="J1385" s="43"/>
      <c r="L1385" s="43"/>
      <c r="N1385" s="43"/>
      <c r="P1385" s="43"/>
      <c r="R1385" s="43"/>
      <c r="T1385" s="43"/>
      <c r="V1385" s="43"/>
      <c r="X1385" s="43"/>
      <c r="Z1385" s="43"/>
      <c r="AB1385" s="43"/>
      <c r="AD1385" s="43"/>
      <c r="AF1385" s="43"/>
      <c r="AH1385" s="43"/>
      <c r="AJ1385" s="43"/>
      <c r="AL1385" s="43"/>
      <c r="AO1385" s="43"/>
      <c r="AP1385" s="1"/>
      <c r="AQ1385" s="43"/>
      <c r="AR1385" s="123"/>
      <c r="AS1385" s="1"/>
      <c r="AT1385" s="1"/>
    </row>
    <row r="1386">
      <c r="A1386" s="43"/>
      <c r="B1386" s="59"/>
      <c r="C1386" s="51"/>
      <c r="D1386" s="43"/>
      <c r="E1386" s="85"/>
      <c r="F1386" s="43"/>
      <c r="G1386" s="85"/>
      <c r="H1386" s="43"/>
      <c r="I1386" s="85"/>
      <c r="J1386" s="43"/>
      <c r="L1386" s="43"/>
      <c r="N1386" s="43"/>
      <c r="P1386" s="43"/>
      <c r="R1386" s="43"/>
      <c r="T1386" s="43"/>
      <c r="V1386" s="43"/>
      <c r="X1386" s="43"/>
      <c r="Z1386" s="43"/>
      <c r="AB1386" s="43"/>
      <c r="AD1386" s="43"/>
      <c r="AF1386" s="43"/>
      <c r="AH1386" s="43"/>
      <c r="AJ1386" s="43"/>
      <c r="AL1386" s="43"/>
      <c r="AO1386" s="43"/>
      <c r="AP1386" s="1"/>
      <c r="AQ1386" s="43"/>
      <c r="AR1386" s="123"/>
      <c r="AS1386" s="1"/>
      <c r="AT1386" s="1"/>
    </row>
    <row r="1387">
      <c r="A1387" s="43"/>
      <c r="B1387" s="59"/>
      <c r="C1387" s="51"/>
      <c r="D1387" s="43"/>
      <c r="E1387" s="85"/>
      <c r="F1387" s="43"/>
      <c r="G1387" s="85"/>
      <c r="H1387" s="43"/>
      <c r="I1387" s="85"/>
      <c r="J1387" s="43"/>
      <c r="L1387" s="43"/>
      <c r="N1387" s="43"/>
      <c r="P1387" s="43"/>
      <c r="R1387" s="43"/>
      <c r="T1387" s="43"/>
      <c r="V1387" s="43"/>
      <c r="X1387" s="43"/>
      <c r="Z1387" s="43"/>
      <c r="AB1387" s="43"/>
      <c r="AD1387" s="43"/>
      <c r="AF1387" s="43"/>
      <c r="AH1387" s="43"/>
      <c r="AJ1387" s="43"/>
      <c r="AL1387" s="43"/>
      <c r="AO1387" s="43"/>
      <c r="AP1387" s="1"/>
      <c r="AQ1387" s="43"/>
      <c r="AR1387" s="123"/>
      <c r="AS1387" s="1"/>
      <c r="AT1387" s="1"/>
    </row>
    <row r="1388">
      <c r="A1388" s="43"/>
      <c r="B1388" s="59"/>
      <c r="C1388" s="51"/>
      <c r="D1388" s="43"/>
      <c r="E1388" s="85"/>
      <c r="F1388" s="43"/>
      <c r="G1388" s="85"/>
      <c r="H1388" s="43"/>
      <c r="I1388" s="85"/>
      <c r="J1388" s="43"/>
      <c r="L1388" s="43"/>
      <c r="N1388" s="43"/>
      <c r="P1388" s="43"/>
      <c r="R1388" s="43"/>
      <c r="T1388" s="43"/>
      <c r="V1388" s="43"/>
      <c r="X1388" s="43"/>
      <c r="Z1388" s="43"/>
      <c r="AB1388" s="43"/>
      <c r="AD1388" s="43"/>
      <c r="AF1388" s="43"/>
      <c r="AH1388" s="43"/>
      <c r="AJ1388" s="43"/>
      <c r="AL1388" s="43"/>
      <c r="AO1388" s="43"/>
      <c r="AP1388" s="1"/>
      <c r="AQ1388" s="43"/>
      <c r="AR1388" s="123"/>
      <c r="AS1388" s="1"/>
      <c r="AT1388" s="1"/>
    </row>
    <row r="1389">
      <c r="A1389" s="43"/>
      <c r="B1389" s="59"/>
      <c r="C1389" s="51"/>
      <c r="D1389" s="43"/>
      <c r="E1389" s="85"/>
      <c r="F1389" s="43"/>
      <c r="G1389" s="85"/>
      <c r="H1389" s="43"/>
      <c r="I1389" s="85"/>
      <c r="J1389" s="43"/>
      <c r="L1389" s="43"/>
      <c r="N1389" s="43"/>
      <c r="P1389" s="43"/>
      <c r="R1389" s="43"/>
      <c r="T1389" s="43"/>
      <c r="V1389" s="43"/>
      <c r="X1389" s="43"/>
      <c r="Z1389" s="43"/>
      <c r="AB1389" s="43"/>
      <c r="AD1389" s="43"/>
      <c r="AF1389" s="43"/>
      <c r="AH1389" s="43"/>
      <c r="AJ1389" s="43"/>
      <c r="AL1389" s="43"/>
      <c r="AO1389" s="43"/>
      <c r="AP1389" s="1"/>
      <c r="AQ1389" s="43"/>
      <c r="AR1389" s="123"/>
      <c r="AS1389" s="1"/>
      <c r="AT1389" s="1"/>
    </row>
    <row r="1390">
      <c r="A1390" s="43"/>
      <c r="B1390" s="59"/>
      <c r="C1390" s="51"/>
      <c r="D1390" s="43"/>
      <c r="E1390" s="85"/>
      <c r="F1390" s="43"/>
      <c r="G1390" s="85"/>
      <c r="H1390" s="43"/>
      <c r="I1390" s="85"/>
      <c r="J1390" s="43"/>
      <c r="L1390" s="43"/>
      <c r="N1390" s="43"/>
      <c r="P1390" s="43"/>
      <c r="R1390" s="43"/>
      <c r="T1390" s="43"/>
      <c r="V1390" s="43"/>
      <c r="X1390" s="43"/>
      <c r="Z1390" s="43"/>
      <c r="AB1390" s="43"/>
      <c r="AD1390" s="43"/>
      <c r="AF1390" s="43"/>
      <c r="AH1390" s="43"/>
      <c r="AJ1390" s="43"/>
      <c r="AL1390" s="43"/>
      <c r="AO1390" s="43"/>
      <c r="AP1390" s="1"/>
      <c r="AQ1390" s="43"/>
      <c r="AR1390" s="123"/>
      <c r="AS1390" s="1"/>
      <c r="AT1390" s="1"/>
    </row>
    <row r="1391">
      <c r="A1391" s="43"/>
      <c r="B1391" s="59"/>
      <c r="C1391" s="51"/>
      <c r="D1391" s="43"/>
      <c r="E1391" s="85"/>
      <c r="F1391" s="43"/>
      <c r="G1391" s="85"/>
      <c r="H1391" s="43"/>
      <c r="I1391" s="85"/>
      <c r="J1391" s="43"/>
      <c r="L1391" s="43"/>
      <c r="N1391" s="43"/>
      <c r="P1391" s="43"/>
      <c r="R1391" s="43"/>
      <c r="T1391" s="43"/>
      <c r="V1391" s="43"/>
      <c r="X1391" s="43"/>
      <c r="Z1391" s="43"/>
      <c r="AB1391" s="43"/>
      <c r="AD1391" s="43"/>
      <c r="AF1391" s="43"/>
      <c r="AH1391" s="43"/>
      <c r="AJ1391" s="43"/>
      <c r="AL1391" s="43"/>
      <c r="AO1391" s="43"/>
      <c r="AP1391" s="1"/>
      <c r="AQ1391" s="43"/>
      <c r="AR1391" s="123"/>
      <c r="AS1391" s="1"/>
      <c r="AT1391" s="1"/>
    </row>
    <row r="1392">
      <c r="A1392" s="43"/>
      <c r="B1392" s="59"/>
      <c r="C1392" s="51"/>
      <c r="D1392" s="43"/>
      <c r="E1392" s="85"/>
      <c r="F1392" s="43"/>
      <c r="G1392" s="85"/>
      <c r="H1392" s="43"/>
      <c r="I1392" s="85"/>
      <c r="J1392" s="43"/>
      <c r="L1392" s="43"/>
      <c r="N1392" s="43"/>
      <c r="P1392" s="43"/>
      <c r="R1392" s="43"/>
      <c r="T1392" s="43"/>
      <c r="V1392" s="43"/>
      <c r="X1392" s="43"/>
      <c r="Z1392" s="43"/>
      <c r="AB1392" s="43"/>
      <c r="AD1392" s="43"/>
      <c r="AF1392" s="43"/>
      <c r="AH1392" s="43"/>
      <c r="AJ1392" s="43"/>
      <c r="AL1392" s="43"/>
      <c r="AO1392" s="43"/>
      <c r="AP1392" s="1"/>
      <c r="AQ1392" s="43"/>
      <c r="AR1392" s="123"/>
      <c r="AS1392" s="1"/>
      <c r="AT1392" s="1"/>
    </row>
    <row r="1393">
      <c r="A1393" s="43"/>
      <c r="B1393" s="59"/>
      <c r="C1393" s="51"/>
      <c r="D1393" s="43"/>
      <c r="E1393" s="85"/>
      <c r="F1393" s="43"/>
      <c r="G1393" s="85"/>
      <c r="H1393" s="43"/>
      <c r="I1393" s="85"/>
      <c r="J1393" s="43"/>
      <c r="L1393" s="43"/>
      <c r="N1393" s="43"/>
      <c r="P1393" s="43"/>
      <c r="R1393" s="43"/>
      <c r="T1393" s="43"/>
      <c r="V1393" s="43"/>
      <c r="X1393" s="43"/>
      <c r="Z1393" s="43"/>
      <c r="AB1393" s="43"/>
      <c r="AD1393" s="43"/>
      <c r="AF1393" s="43"/>
      <c r="AH1393" s="43"/>
      <c r="AJ1393" s="43"/>
      <c r="AL1393" s="43"/>
      <c r="AO1393" s="43"/>
      <c r="AP1393" s="1"/>
      <c r="AQ1393" s="43"/>
      <c r="AR1393" s="123"/>
      <c r="AS1393" s="1"/>
      <c r="AT1393" s="1"/>
    </row>
    <row r="1394">
      <c r="A1394" s="43"/>
      <c r="B1394" s="59"/>
      <c r="C1394" s="51"/>
      <c r="D1394" s="43"/>
      <c r="E1394" s="85"/>
      <c r="F1394" s="43"/>
      <c r="G1394" s="85"/>
      <c r="H1394" s="43"/>
      <c r="I1394" s="85"/>
      <c r="J1394" s="43"/>
      <c r="L1394" s="43"/>
      <c r="N1394" s="43"/>
      <c r="P1394" s="43"/>
      <c r="R1394" s="43"/>
      <c r="T1394" s="43"/>
      <c r="V1394" s="43"/>
      <c r="X1394" s="43"/>
      <c r="Z1394" s="43"/>
      <c r="AB1394" s="43"/>
      <c r="AD1394" s="43"/>
      <c r="AF1394" s="43"/>
      <c r="AH1394" s="43"/>
      <c r="AJ1394" s="43"/>
      <c r="AL1394" s="43"/>
      <c r="AO1394" s="43"/>
      <c r="AP1394" s="1"/>
      <c r="AQ1394" s="43"/>
      <c r="AR1394" s="123"/>
      <c r="AS1394" s="1"/>
      <c r="AT1394" s="1"/>
    </row>
    <row r="1395">
      <c r="A1395" s="43"/>
      <c r="B1395" s="59"/>
      <c r="C1395" s="51"/>
      <c r="D1395" s="43"/>
      <c r="E1395" s="85"/>
      <c r="F1395" s="43"/>
      <c r="G1395" s="85"/>
      <c r="H1395" s="43"/>
      <c r="I1395" s="85"/>
      <c r="J1395" s="43"/>
      <c r="L1395" s="43"/>
      <c r="N1395" s="43"/>
      <c r="P1395" s="43"/>
      <c r="R1395" s="43"/>
      <c r="T1395" s="43"/>
      <c r="V1395" s="43"/>
      <c r="X1395" s="43"/>
      <c r="Z1395" s="43"/>
      <c r="AB1395" s="43"/>
      <c r="AD1395" s="43"/>
      <c r="AF1395" s="43"/>
      <c r="AH1395" s="43"/>
      <c r="AJ1395" s="43"/>
      <c r="AL1395" s="43"/>
      <c r="AO1395" s="43"/>
      <c r="AP1395" s="1"/>
      <c r="AQ1395" s="43"/>
      <c r="AR1395" s="123"/>
      <c r="AS1395" s="1"/>
      <c r="AT1395" s="1"/>
    </row>
    <row r="1396">
      <c r="A1396" s="43"/>
      <c r="B1396" s="59"/>
      <c r="C1396" s="51"/>
      <c r="D1396" s="43"/>
      <c r="E1396" s="85"/>
      <c r="F1396" s="43"/>
      <c r="G1396" s="85"/>
      <c r="H1396" s="43"/>
      <c r="I1396" s="85"/>
      <c r="J1396" s="43"/>
      <c r="L1396" s="43"/>
      <c r="N1396" s="43"/>
      <c r="P1396" s="43"/>
      <c r="R1396" s="43"/>
      <c r="T1396" s="43"/>
      <c r="V1396" s="43"/>
      <c r="X1396" s="43"/>
      <c r="Z1396" s="43"/>
      <c r="AB1396" s="43"/>
      <c r="AD1396" s="43"/>
      <c r="AF1396" s="43"/>
      <c r="AH1396" s="43"/>
      <c r="AJ1396" s="43"/>
      <c r="AL1396" s="43"/>
      <c r="AO1396" s="43"/>
      <c r="AP1396" s="1"/>
      <c r="AQ1396" s="43"/>
      <c r="AR1396" s="123"/>
      <c r="AS1396" s="1"/>
      <c r="AT1396" s="1"/>
    </row>
    <row r="1397">
      <c r="A1397" s="43"/>
      <c r="B1397" s="59"/>
      <c r="C1397" s="51"/>
      <c r="D1397" s="43"/>
      <c r="E1397" s="85"/>
      <c r="F1397" s="43"/>
      <c r="G1397" s="85"/>
      <c r="H1397" s="43"/>
      <c r="I1397" s="85"/>
      <c r="J1397" s="43"/>
      <c r="L1397" s="43"/>
      <c r="N1397" s="43"/>
      <c r="P1397" s="43"/>
      <c r="R1397" s="43"/>
      <c r="T1397" s="43"/>
      <c r="V1397" s="43"/>
      <c r="X1397" s="43"/>
      <c r="Z1397" s="43"/>
      <c r="AB1397" s="43"/>
      <c r="AD1397" s="43"/>
      <c r="AF1397" s="43"/>
      <c r="AH1397" s="43"/>
      <c r="AJ1397" s="43"/>
      <c r="AL1397" s="43"/>
      <c r="AO1397" s="43"/>
      <c r="AP1397" s="1"/>
      <c r="AQ1397" s="43"/>
      <c r="AR1397" s="123"/>
      <c r="AS1397" s="1"/>
      <c r="AT1397" s="1"/>
    </row>
    <row r="1398">
      <c r="A1398" s="43"/>
      <c r="B1398" s="59"/>
      <c r="C1398" s="51"/>
      <c r="D1398" s="43"/>
      <c r="E1398" s="85"/>
      <c r="F1398" s="43"/>
      <c r="G1398" s="85"/>
      <c r="H1398" s="43"/>
      <c r="I1398" s="85"/>
      <c r="J1398" s="43"/>
      <c r="L1398" s="43"/>
      <c r="N1398" s="43"/>
      <c r="P1398" s="43"/>
      <c r="R1398" s="43"/>
      <c r="T1398" s="43"/>
      <c r="V1398" s="43"/>
      <c r="X1398" s="43"/>
      <c r="Z1398" s="43"/>
      <c r="AB1398" s="43"/>
      <c r="AD1398" s="43"/>
      <c r="AF1398" s="43"/>
      <c r="AH1398" s="43"/>
      <c r="AJ1398" s="43"/>
      <c r="AL1398" s="43"/>
      <c r="AO1398" s="43"/>
      <c r="AP1398" s="1"/>
      <c r="AQ1398" s="43"/>
      <c r="AR1398" s="123"/>
      <c r="AS1398" s="1"/>
      <c r="AT1398" s="1"/>
    </row>
    <row r="1399">
      <c r="A1399" s="43"/>
      <c r="B1399" s="59"/>
      <c r="C1399" s="51"/>
      <c r="D1399" s="43"/>
      <c r="E1399" s="85"/>
      <c r="F1399" s="43"/>
      <c r="G1399" s="85"/>
      <c r="H1399" s="43"/>
      <c r="I1399" s="85"/>
      <c r="J1399" s="43"/>
      <c r="L1399" s="43"/>
      <c r="N1399" s="43"/>
      <c r="P1399" s="43"/>
      <c r="R1399" s="43"/>
      <c r="T1399" s="43"/>
      <c r="V1399" s="43"/>
      <c r="X1399" s="43"/>
      <c r="Z1399" s="43"/>
      <c r="AB1399" s="43"/>
      <c r="AD1399" s="43"/>
      <c r="AF1399" s="43"/>
      <c r="AH1399" s="43"/>
      <c r="AJ1399" s="43"/>
      <c r="AL1399" s="43"/>
      <c r="AO1399" s="43"/>
      <c r="AP1399" s="1"/>
      <c r="AQ1399" s="43"/>
      <c r="AR1399" s="123"/>
      <c r="AS1399" s="1"/>
      <c r="AT1399" s="1"/>
    </row>
    <row r="1400">
      <c r="A1400" s="43"/>
      <c r="B1400" s="59"/>
      <c r="C1400" s="51"/>
      <c r="D1400" s="43"/>
      <c r="E1400" s="85"/>
      <c r="F1400" s="43"/>
      <c r="G1400" s="85"/>
      <c r="H1400" s="43"/>
      <c r="I1400" s="85"/>
      <c r="J1400" s="43"/>
      <c r="L1400" s="43"/>
      <c r="N1400" s="43"/>
      <c r="P1400" s="43"/>
      <c r="R1400" s="43"/>
      <c r="T1400" s="43"/>
      <c r="V1400" s="43"/>
      <c r="X1400" s="43"/>
      <c r="Z1400" s="43"/>
      <c r="AB1400" s="43"/>
      <c r="AD1400" s="43"/>
      <c r="AF1400" s="43"/>
      <c r="AH1400" s="43"/>
      <c r="AJ1400" s="43"/>
      <c r="AL1400" s="43"/>
      <c r="AO1400" s="43"/>
      <c r="AP1400" s="1"/>
      <c r="AQ1400" s="43"/>
      <c r="AR1400" s="123"/>
      <c r="AS1400" s="1"/>
      <c r="AT1400" s="1"/>
    </row>
    <row r="1401">
      <c r="A1401" s="43"/>
      <c r="B1401" s="59"/>
      <c r="C1401" s="51"/>
      <c r="D1401" s="43"/>
      <c r="E1401" s="85"/>
      <c r="F1401" s="43"/>
      <c r="G1401" s="85"/>
      <c r="H1401" s="43"/>
      <c r="I1401" s="85"/>
      <c r="J1401" s="43"/>
      <c r="L1401" s="43"/>
      <c r="N1401" s="43"/>
      <c r="P1401" s="43"/>
      <c r="R1401" s="43"/>
      <c r="T1401" s="43"/>
      <c r="V1401" s="43"/>
      <c r="X1401" s="43"/>
      <c r="Z1401" s="43"/>
      <c r="AB1401" s="43"/>
      <c r="AD1401" s="43"/>
      <c r="AF1401" s="43"/>
      <c r="AH1401" s="43"/>
      <c r="AJ1401" s="43"/>
      <c r="AL1401" s="43"/>
      <c r="AO1401" s="43"/>
      <c r="AP1401" s="1"/>
      <c r="AQ1401" s="43"/>
      <c r="AR1401" s="123"/>
      <c r="AS1401" s="1"/>
      <c r="AT1401" s="1"/>
    </row>
    <row r="1402">
      <c r="A1402" s="43"/>
      <c r="B1402" s="59"/>
      <c r="C1402" s="51"/>
      <c r="D1402" s="43"/>
      <c r="E1402" s="85"/>
      <c r="F1402" s="43"/>
      <c r="G1402" s="85"/>
      <c r="H1402" s="43"/>
      <c r="I1402" s="85"/>
      <c r="J1402" s="43"/>
      <c r="L1402" s="43"/>
      <c r="N1402" s="43"/>
      <c r="P1402" s="43"/>
      <c r="R1402" s="43"/>
      <c r="T1402" s="43"/>
      <c r="V1402" s="43"/>
      <c r="X1402" s="43"/>
      <c r="Z1402" s="43"/>
      <c r="AB1402" s="43"/>
      <c r="AD1402" s="43"/>
      <c r="AF1402" s="43"/>
      <c r="AH1402" s="43"/>
      <c r="AJ1402" s="43"/>
      <c r="AL1402" s="43"/>
      <c r="AO1402" s="43"/>
      <c r="AP1402" s="1"/>
      <c r="AQ1402" s="43"/>
      <c r="AR1402" s="123"/>
      <c r="AS1402" s="1"/>
      <c r="AT1402" s="1"/>
    </row>
    <row r="1403">
      <c r="A1403" s="43"/>
      <c r="B1403" s="59"/>
      <c r="C1403" s="51"/>
      <c r="D1403" s="43"/>
      <c r="E1403" s="85"/>
      <c r="F1403" s="43"/>
      <c r="G1403" s="85"/>
      <c r="H1403" s="43"/>
      <c r="I1403" s="85"/>
      <c r="J1403" s="43"/>
      <c r="L1403" s="43"/>
      <c r="N1403" s="43"/>
      <c r="P1403" s="43"/>
      <c r="R1403" s="43"/>
      <c r="T1403" s="43"/>
      <c r="V1403" s="43"/>
      <c r="X1403" s="43"/>
      <c r="Z1403" s="43"/>
      <c r="AB1403" s="43"/>
      <c r="AD1403" s="43"/>
      <c r="AF1403" s="43"/>
      <c r="AH1403" s="43"/>
      <c r="AJ1403" s="43"/>
      <c r="AL1403" s="43"/>
      <c r="AO1403" s="43"/>
      <c r="AP1403" s="1"/>
      <c r="AQ1403" s="43"/>
      <c r="AR1403" s="123"/>
      <c r="AS1403" s="1"/>
      <c r="AT1403" s="1"/>
    </row>
    <row r="1404">
      <c r="A1404" s="43"/>
      <c r="B1404" s="59"/>
      <c r="C1404" s="51"/>
      <c r="D1404" s="43"/>
      <c r="E1404" s="85"/>
      <c r="F1404" s="43"/>
      <c r="G1404" s="85"/>
      <c r="H1404" s="43"/>
      <c r="I1404" s="85"/>
      <c r="J1404" s="43"/>
      <c r="L1404" s="43"/>
      <c r="N1404" s="43"/>
      <c r="P1404" s="43"/>
      <c r="R1404" s="43"/>
      <c r="T1404" s="43"/>
      <c r="V1404" s="43"/>
      <c r="X1404" s="43"/>
      <c r="Z1404" s="43"/>
      <c r="AB1404" s="43"/>
      <c r="AD1404" s="43"/>
      <c r="AF1404" s="43"/>
      <c r="AH1404" s="43"/>
      <c r="AJ1404" s="43"/>
      <c r="AL1404" s="43"/>
      <c r="AO1404" s="43"/>
      <c r="AP1404" s="1"/>
      <c r="AQ1404" s="43"/>
      <c r="AR1404" s="123"/>
      <c r="AS1404" s="1"/>
      <c r="AT1404" s="1"/>
    </row>
    <row r="1405">
      <c r="A1405" s="43"/>
      <c r="B1405" s="59"/>
      <c r="C1405" s="51"/>
      <c r="D1405" s="43"/>
      <c r="E1405" s="85"/>
      <c r="F1405" s="43"/>
      <c r="G1405" s="85"/>
      <c r="H1405" s="43"/>
      <c r="I1405" s="85"/>
      <c r="J1405" s="43"/>
      <c r="L1405" s="43"/>
      <c r="N1405" s="43"/>
      <c r="P1405" s="43"/>
      <c r="R1405" s="43"/>
      <c r="T1405" s="43"/>
      <c r="V1405" s="43"/>
      <c r="X1405" s="43"/>
      <c r="Z1405" s="43"/>
      <c r="AB1405" s="43"/>
      <c r="AD1405" s="43"/>
      <c r="AF1405" s="43"/>
      <c r="AH1405" s="43"/>
      <c r="AJ1405" s="43"/>
      <c r="AL1405" s="43"/>
      <c r="AO1405" s="43"/>
      <c r="AP1405" s="1"/>
      <c r="AQ1405" s="43"/>
      <c r="AR1405" s="123"/>
      <c r="AS1405" s="1"/>
      <c r="AT1405" s="1"/>
    </row>
    <row r="1406">
      <c r="A1406" s="43"/>
      <c r="B1406" s="59"/>
      <c r="C1406" s="51"/>
      <c r="D1406" s="43"/>
      <c r="E1406" s="85"/>
      <c r="F1406" s="43"/>
      <c r="G1406" s="85"/>
      <c r="H1406" s="43"/>
      <c r="I1406" s="85"/>
      <c r="J1406" s="43"/>
      <c r="L1406" s="43"/>
      <c r="N1406" s="43"/>
      <c r="P1406" s="43"/>
      <c r="R1406" s="43"/>
      <c r="T1406" s="43"/>
      <c r="V1406" s="43"/>
      <c r="X1406" s="43"/>
      <c r="Z1406" s="43"/>
      <c r="AB1406" s="43"/>
      <c r="AD1406" s="43"/>
      <c r="AF1406" s="43"/>
      <c r="AH1406" s="43"/>
      <c r="AJ1406" s="43"/>
      <c r="AL1406" s="43"/>
      <c r="AO1406" s="43"/>
      <c r="AP1406" s="1"/>
      <c r="AQ1406" s="43"/>
      <c r="AR1406" s="123"/>
      <c r="AS1406" s="1"/>
      <c r="AT1406" s="1"/>
    </row>
    <row r="1407">
      <c r="A1407" s="43"/>
      <c r="B1407" s="59"/>
      <c r="C1407" s="51"/>
      <c r="D1407" s="43"/>
      <c r="E1407" s="85"/>
      <c r="F1407" s="43"/>
      <c r="G1407" s="85"/>
      <c r="H1407" s="43"/>
      <c r="I1407" s="85"/>
      <c r="J1407" s="43"/>
      <c r="L1407" s="43"/>
      <c r="N1407" s="43"/>
      <c r="P1407" s="43"/>
      <c r="R1407" s="43"/>
      <c r="T1407" s="43"/>
      <c r="V1407" s="43"/>
      <c r="X1407" s="43"/>
      <c r="Z1407" s="43"/>
      <c r="AB1407" s="43"/>
      <c r="AD1407" s="43"/>
      <c r="AF1407" s="43"/>
      <c r="AH1407" s="43"/>
      <c r="AJ1407" s="43"/>
      <c r="AL1407" s="43"/>
      <c r="AO1407" s="43"/>
      <c r="AP1407" s="1"/>
      <c r="AQ1407" s="43"/>
      <c r="AR1407" s="123"/>
      <c r="AS1407" s="1"/>
      <c r="AT1407" s="1"/>
    </row>
    <row r="1408">
      <c r="A1408" s="43"/>
      <c r="B1408" s="59"/>
      <c r="C1408" s="51"/>
      <c r="D1408" s="43"/>
      <c r="E1408" s="85"/>
      <c r="F1408" s="43"/>
      <c r="G1408" s="85"/>
      <c r="H1408" s="43"/>
      <c r="I1408" s="85"/>
      <c r="J1408" s="43"/>
      <c r="L1408" s="43"/>
      <c r="N1408" s="43"/>
      <c r="P1408" s="43"/>
      <c r="R1408" s="43"/>
      <c r="T1408" s="43"/>
      <c r="V1408" s="43"/>
      <c r="X1408" s="43"/>
      <c r="Z1408" s="43"/>
      <c r="AB1408" s="43"/>
      <c r="AD1408" s="43"/>
      <c r="AF1408" s="43"/>
      <c r="AH1408" s="43"/>
      <c r="AJ1408" s="43"/>
      <c r="AL1408" s="43"/>
      <c r="AO1408" s="43"/>
      <c r="AP1408" s="1"/>
      <c r="AQ1408" s="43"/>
      <c r="AR1408" s="123"/>
      <c r="AS1408" s="1"/>
      <c r="AT1408" s="1"/>
    </row>
    <row r="1409">
      <c r="A1409" s="43"/>
      <c r="B1409" s="59"/>
      <c r="C1409" s="51"/>
      <c r="D1409" s="43"/>
      <c r="E1409" s="85"/>
      <c r="F1409" s="43"/>
      <c r="G1409" s="85"/>
      <c r="H1409" s="43"/>
      <c r="I1409" s="85"/>
      <c r="J1409" s="43"/>
      <c r="L1409" s="43"/>
      <c r="N1409" s="43"/>
      <c r="P1409" s="43"/>
      <c r="R1409" s="43"/>
      <c r="T1409" s="43"/>
      <c r="V1409" s="43"/>
      <c r="X1409" s="43"/>
      <c r="Z1409" s="43"/>
      <c r="AB1409" s="43"/>
      <c r="AD1409" s="43"/>
      <c r="AF1409" s="43"/>
      <c r="AH1409" s="43"/>
      <c r="AJ1409" s="43"/>
      <c r="AL1409" s="43"/>
      <c r="AO1409" s="43"/>
      <c r="AP1409" s="1"/>
      <c r="AQ1409" s="43"/>
      <c r="AR1409" s="123"/>
      <c r="AS1409" s="1"/>
      <c r="AT1409" s="1"/>
    </row>
    <row r="1410">
      <c r="A1410" s="43"/>
      <c r="B1410" s="59"/>
      <c r="C1410" s="51"/>
      <c r="D1410" s="43"/>
      <c r="E1410" s="85"/>
      <c r="F1410" s="43"/>
      <c r="G1410" s="85"/>
      <c r="H1410" s="43"/>
      <c r="I1410" s="85"/>
      <c r="J1410" s="43"/>
      <c r="L1410" s="43"/>
      <c r="N1410" s="43"/>
      <c r="P1410" s="43"/>
      <c r="R1410" s="43"/>
      <c r="T1410" s="43"/>
      <c r="V1410" s="43"/>
      <c r="X1410" s="43"/>
      <c r="Z1410" s="43"/>
      <c r="AB1410" s="43"/>
      <c r="AD1410" s="43"/>
      <c r="AF1410" s="43"/>
      <c r="AH1410" s="43"/>
      <c r="AJ1410" s="43"/>
      <c r="AL1410" s="43"/>
      <c r="AO1410" s="43"/>
      <c r="AP1410" s="1"/>
      <c r="AQ1410" s="43"/>
      <c r="AR1410" s="123"/>
      <c r="AS1410" s="1"/>
      <c r="AT1410" s="1"/>
    </row>
    <row r="1411">
      <c r="A1411" s="43"/>
      <c r="B1411" s="59"/>
      <c r="C1411" s="51"/>
      <c r="D1411" s="43"/>
      <c r="E1411" s="85"/>
      <c r="F1411" s="43"/>
      <c r="G1411" s="85"/>
      <c r="H1411" s="43"/>
      <c r="I1411" s="85"/>
      <c r="J1411" s="43"/>
      <c r="L1411" s="43"/>
      <c r="N1411" s="43"/>
      <c r="P1411" s="43"/>
      <c r="R1411" s="43"/>
      <c r="T1411" s="43"/>
      <c r="V1411" s="43"/>
      <c r="X1411" s="43"/>
      <c r="Z1411" s="43"/>
      <c r="AB1411" s="43"/>
      <c r="AD1411" s="43"/>
      <c r="AF1411" s="43"/>
      <c r="AH1411" s="43"/>
      <c r="AJ1411" s="43"/>
      <c r="AL1411" s="43"/>
      <c r="AO1411" s="43"/>
      <c r="AP1411" s="1"/>
      <c r="AQ1411" s="43"/>
      <c r="AR1411" s="123"/>
      <c r="AS1411" s="1"/>
      <c r="AT1411" s="1"/>
    </row>
    <row r="1412">
      <c r="A1412" s="43"/>
      <c r="B1412" s="59"/>
      <c r="C1412" s="51"/>
      <c r="D1412" s="43"/>
      <c r="E1412" s="85"/>
      <c r="F1412" s="43"/>
      <c r="G1412" s="85"/>
      <c r="H1412" s="43"/>
      <c r="I1412" s="85"/>
      <c r="J1412" s="43"/>
      <c r="L1412" s="43"/>
      <c r="N1412" s="43"/>
      <c r="P1412" s="43"/>
      <c r="R1412" s="43"/>
      <c r="T1412" s="43"/>
      <c r="V1412" s="43"/>
      <c r="X1412" s="43"/>
      <c r="Z1412" s="43"/>
      <c r="AB1412" s="43"/>
      <c r="AD1412" s="43"/>
      <c r="AF1412" s="43"/>
      <c r="AH1412" s="43"/>
      <c r="AJ1412" s="43"/>
      <c r="AL1412" s="43"/>
      <c r="AO1412" s="43"/>
      <c r="AP1412" s="1"/>
      <c r="AQ1412" s="43"/>
      <c r="AR1412" s="123"/>
      <c r="AS1412" s="1"/>
      <c r="AT1412" s="1"/>
    </row>
    <row r="1413">
      <c r="A1413" s="43"/>
      <c r="B1413" s="59"/>
      <c r="C1413" s="51"/>
      <c r="D1413" s="43"/>
      <c r="E1413" s="85"/>
      <c r="F1413" s="43"/>
      <c r="G1413" s="85"/>
      <c r="H1413" s="43"/>
      <c r="I1413" s="85"/>
      <c r="J1413" s="43"/>
      <c r="L1413" s="43"/>
      <c r="N1413" s="43"/>
      <c r="P1413" s="43"/>
      <c r="R1413" s="43"/>
      <c r="T1413" s="43"/>
      <c r="V1413" s="43"/>
      <c r="X1413" s="43"/>
      <c r="Z1413" s="43"/>
      <c r="AB1413" s="43"/>
      <c r="AD1413" s="43"/>
      <c r="AF1413" s="43"/>
      <c r="AH1413" s="43"/>
      <c r="AJ1413" s="43"/>
      <c r="AL1413" s="43"/>
      <c r="AO1413" s="43"/>
      <c r="AP1413" s="1"/>
      <c r="AQ1413" s="43"/>
      <c r="AR1413" s="123"/>
      <c r="AS1413" s="1"/>
      <c r="AT1413" s="1"/>
    </row>
    <row r="1414">
      <c r="A1414" s="43"/>
      <c r="B1414" s="59"/>
      <c r="C1414" s="51"/>
      <c r="D1414" s="43"/>
      <c r="E1414" s="85"/>
      <c r="F1414" s="43"/>
      <c r="G1414" s="85"/>
      <c r="H1414" s="43"/>
      <c r="I1414" s="85"/>
      <c r="J1414" s="43"/>
      <c r="L1414" s="43"/>
      <c r="N1414" s="43"/>
      <c r="P1414" s="43"/>
      <c r="R1414" s="43"/>
      <c r="T1414" s="43"/>
      <c r="V1414" s="43"/>
      <c r="X1414" s="43"/>
      <c r="Z1414" s="43"/>
      <c r="AB1414" s="43"/>
      <c r="AD1414" s="43"/>
      <c r="AF1414" s="43"/>
      <c r="AH1414" s="43"/>
      <c r="AJ1414" s="43"/>
      <c r="AL1414" s="43"/>
      <c r="AO1414" s="43"/>
      <c r="AP1414" s="1"/>
      <c r="AQ1414" s="43"/>
      <c r="AR1414" s="123"/>
      <c r="AS1414" s="1"/>
      <c r="AT1414" s="1"/>
    </row>
    <row r="1415">
      <c r="A1415" s="43"/>
      <c r="B1415" s="59"/>
      <c r="C1415" s="51"/>
      <c r="D1415" s="43"/>
      <c r="E1415" s="85"/>
      <c r="F1415" s="43"/>
      <c r="G1415" s="85"/>
      <c r="H1415" s="43"/>
      <c r="I1415" s="85"/>
      <c r="J1415" s="43"/>
      <c r="L1415" s="43"/>
      <c r="N1415" s="43"/>
      <c r="P1415" s="43"/>
      <c r="R1415" s="43"/>
      <c r="T1415" s="43"/>
      <c r="V1415" s="43"/>
      <c r="X1415" s="43"/>
      <c r="Z1415" s="43"/>
      <c r="AB1415" s="43"/>
      <c r="AD1415" s="43"/>
      <c r="AF1415" s="43"/>
      <c r="AH1415" s="43"/>
      <c r="AJ1415" s="43"/>
      <c r="AL1415" s="43"/>
      <c r="AO1415" s="43"/>
      <c r="AP1415" s="1"/>
      <c r="AQ1415" s="43"/>
      <c r="AR1415" s="123"/>
      <c r="AS1415" s="1"/>
      <c r="AT1415" s="1"/>
    </row>
    <row r="1416">
      <c r="A1416" s="43"/>
      <c r="B1416" s="59"/>
      <c r="C1416" s="51"/>
      <c r="D1416" s="43"/>
      <c r="E1416" s="85"/>
      <c r="F1416" s="43"/>
      <c r="G1416" s="85"/>
      <c r="H1416" s="43"/>
      <c r="I1416" s="85"/>
      <c r="J1416" s="43"/>
      <c r="L1416" s="43"/>
      <c r="N1416" s="43"/>
      <c r="P1416" s="43"/>
      <c r="R1416" s="43"/>
      <c r="T1416" s="43"/>
      <c r="V1416" s="43"/>
      <c r="X1416" s="43"/>
      <c r="Z1416" s="43"/>
      <c r="AB1416" s="43"/>
      <c r="AD1416" s="43"/>
      <c r="AF1416" s="43"/>
      <c r="AH1416" s="43"/>
      <c r="AJ1416" s="43"/>
      <c r="AL1416" s="43"/>
      <c r="AO1416" s="43"/>
      <c r="AP1416" s="1"/>
      <c r="AQ1416" s="43"/>
      <c r="AR1416" s="123"/>
      <c r="AS1416" s="1"/>
      <c r="AT1416" s="1"/>
    </row>
    <row r="1417">
      <c r="A1417" s="43"/>
      <c r="B1417" s="59"/>
      <c r="C1417" s="51"/>
      <c r="D1417" s="43"/>
      <c r="E1417" s="85"/>
      <c r="F1417" s="43"/>
      <c r="G1417" s="85"/>
      <c r="H1417" s="43"/>
      <c r="I1417" s="85"/>
      <c r="J1417" s="43"/>
      <c r="L1417" s="43"/>
      <c r="N1417" s="43"/>
      <c r="P1417" s="43"/>
      <c r="R1417" s="43"/>
      <c r="T1417" s="43"/>
      <c r="V1417" s="43"/>
      <c r="X1417" s="43"/>
      <c r="Z1417" s="43"/>
      <c r="AB1417" s="43"/>
      <c r="AD1417" s="43"/>
      <c r="AF1417" s="43"/>
      <c r="AH1417" s="43"/>
      <c r="AJ1417" s="43"/>
      <c r="AL1417" s="43"/>
      <c r="AO1417" s="43"/>
      <c r="AP1417" s="1"/>
      <c r="AQ1417" s="43"/>
      <c r="AR1417" s="123"/>
      <c r="AS1417" s="1"/>
      <c r="AT1417" s="1"/>
    </row>
    <row r="1418">
      <c r="A1418" s="43"/>
      <c r="B1418" s="59"/>
      <c r="C1418" s="51"/>
      <c r="D1418" s="43"/>
      <c r="E1418" s="85"/>
      <c r="F1418" s="43"/>
      <c r="G1418" s="85"/>
      <c r="H1418" s="43"/>
      <c r="I1418" s="85"/>
      <c r="J1418" s="43"/>
      <c r="L1418" s="43"/>
      <c r="N1418" s="43"/>
      <c r="P1418" s="43"/>
      <c r="R1418" s="43"/>
      <c r="T1418" s="43"/>
      <c r="V1418" s="43"/>
      <c r="X1418" s="43"/>
      <c r="Z1418" s="43"/>
      <c r="AB1418" s="43"/>
      <c r="AD1418" s="43"/>
      <c r="AF1418" s="43"/>
      <c r="AH1418" s="43"/>
      <c r="AJ1418" s="43"/>
      <c r="AL1418" s="43"/>
      <c r="AO1418" s="43"/>
      <c r="AP1418" s="1"/>
      <c r="AQ1418" s="43"/>
      <c r="AR1418" s="123"/>
      <c r="AS1418" s="1"/>
      <c r="AT1418" s="1"/>
    </row>
    <row r="1419">
      <c r="A1419" s="43"/>
      <c r="B1419" s="59"/>
      <c r="C1419" s="51"/>
      <c r="D1419" s="43"/>
      <c r="E1419" s="85"/>
      <c r="F1419" s="43"/>
      <c r="G1419" s="85"/>
      <c r="H1419" s="43"/>
      <c r="I1419" s="85"/>
      <c r="J1419" s="43"/>
      <c r="L1419" s="43"/>
      <c r="N1419" s="43"/>
      <c r="P1419" s="43"/>
      <c r="R1419" s="43"/>
      <c r="T1419" s="43"/>
      <c r="V1419" s="43"/>
      <c r="X1419" s="43"/>
      <c r="Z1419" s="43"/>
      <c r="AB1419" s="43"/>
      <c r="AD1419" s="43"/>
      <c r="AF1419" s="43"/>
      <c r="AH1419" s="43"/>
      <c r="AJ1419" s="43"/>
      <c r="AL1419" s="43"/>
      <c r="AO1419" s="43"/>
      <c r="AP1419" s="1"/>
      <c r="AQ1419" s="43"/>
      <c r="AR1419" s="123"/>
      <c r="AS1419" s="1"/>
      <c r="AT1419" s="1"/>
    </row>
    <row r="1420">
      <c r="A1420" s="43"/>
      <c r="B1420" s="59"/>
      <c r="C1420" s="51"/>
      <c r="D1420" s="43"/>
      <c r="E1420" s="85"/>
      <c r="F1420" s="43"/>
      <c r="G1420" s="85"/>
      <c r="H1420" s="43"/>
      <c r="I1420" s="85"/>
      <c r="J1420" s="43"/>
      <c r="L1420" s="43"/>
      <c r="N1420" s="43"/>
      <c r="P1420" s="43"/>
      <c r="R1420" s="43"/>
      <c r="T1420" s="43"/>
      <c r="V1420" s="43"/>
      <c r="X1420" s="43"/>
      <c r="Z1420" s="43"/>
      <c r="AB1420" s="43"/>
      <c r="AD1420" s="43"/>
      <c r="AF1420" s="43"/>
      <c r="AH1420" s="43"/>
      <c r="AJ1420" s="43"/>
      <c r="AL1420" s="43"/>
      <c r="AO1420" s="43"/>
      <c r="AP1420" s="1"/>
      <c r="AQ1420" s="43"/>
      <c r="AR1420" s="123"/>
      <c r="AS1420" s="1"/>
      <c r="AT1420" s="1"/>
    </row>
    <row r="1421">
      <c r="A1421" s="43"/>
      <c r="B1421" s="59"/>
      <c r="C1421" s="51"/>
      <c r="D1421" s="43"/>
      <c r="E1421" s="85"/>
      <c r="F1421" s="43"/>
      <c r="G1421" s="85"/>
      <c r="H1421" s="43"/>
      <c r="I1421" s="85"/>
      <c r="J1421" s="43"/>
      <c r="L1421" s="43"/>
      <c r="N1421" s="43"/>
      <c r="P1421" s="43"/>
      <c r="R1421" s="43"/>
      <c r="T1421" s="43"/>
      <c r="V1421" s="43"/>
      <c r="X1421" s="43"/>
      <c r="Z1421" s="43"/>
      <c r="AB1421" s="43"/>
      <c r="AD1421" s="43"/>
      <c r="AF1421" s="43"/>
      <c r="AH1421" s="43"/>
      <c r="AJ1421" s="43"/>
      <c r="AL1421" s="43"/>
      <c r="AO1421" s="43"/>
      <c r="AP1421" s="1"/>
      <c r="AQ1421" s="43"/>
      <c r="AR1421" s="123"/>
      <c r="AS1421" s="1"/>
      <c r="AT1421" s="1"/>
    </row>
    <row r="1422">
      <c r="A1422" s="43"/>
      <c r="B1422" s="59"/>
      <c r="C1422" s="51"/>
      <c r="D1422" s="43"/>
      <c r="E1422" s="85"/>
      <c r="F1422" s="43"/>
      <c r="G1422" s="85"/>
      <c r="H1422" s="43"/>
      <c r="I1422" s="85"/>
      <c r="J1422" s="43"/>
      <c r="L1422" s="43"/>
      <c r="N1422" s="43"/>
      <c r="P1422" s="43"/>
      <c r="R1422" s="43"/>
      <c r="T1422" s="43"/>
      <c r="V1422" s="43"/>
      <c r="X1422" s="43"/>
      <c r="Z1422" s="43"/>
      <c r="AB1422" s="43"/>
      <c r="AD1422" s="43"/>
      <c r="AF1422" s="43"/>
      <c r="AH1422" s="43"/>
      <c r="AJ1422" s="43"/>
      <c r="AL1422" s="43"/>
      <c r="AO1422" s="43"/>
      <c r="AP1422" s="1"/>
      <c r="AQ1422" s="43"/>
      <c r="AR1422" s="123"/>
      <c r="AS1422" s="1"/>
      <c r="AT1422" s="1"/>
    </row>
    <row r="1423">
      <c r="A1423" s="43"/>
      <c r="B1423" s="59"/>
      <c r="C1423" s="51"/>
      <c r="D1423" s="43"/>
      <c r="E1423" s="85"/>
      <c r="F1423" s="43"/>
      <c r="G1423" s="85"/>
      <c r="H1423" s="43"/>
      <c r="I1423" s="85"/>
      <c r="J1423" s="43"/>
      <c r="L1423" s="43"/>
      <c r="N1423" s="43"/>
      <c r="P1423" s="43"/>
      <c r="R1423" s="43"/>
      <c r="T1423" s="43"/>
      <c r="V1423" s="43"/>
      <c r="X1423" s="43"/>
      <c r="Z1423" s="43"/>
      <c r="AB1423" s="43"/>
      <c r="AD1423" s="43"/>
      <c r="AF1423" s="43"/>
      <c r="AH1423" s="43"/>
      <c r="AJ1423" s="43"/>
      <c r="AL1423" s="43"/>
      <c r="AO1423" s="43"/>
      <c r="AP1423" s="1"/>
      <c r="AQ1423" s="43"/>
      <c r="AR1423" s="123"/>
      <c r="AS1423" s="1"/>
      <c r="AT1423" s="1"/>
    </row>
    <row r="1424">
      <c r="A1424" s="43"/>
      <c r="B1424" s="59"/>
      <c r="C1424" s="51"/>
      <c r="D1424" s="43"/>
      <c r="E1424" s="85"/>
      <c r="F1424" s="43"/>
      <c r="G1424" s="85"/>
      <c r="H1424" s="43"/>
      <c r="I1424" s="85"/>
      <c r="J1424" s="43"/>
      <c r="L1424" s="43"/>
      <c r="N1424" s="43"/>
      <c r="P1424" s="43"/>
      <c r="R1424" s="43"/>
      <c r="T1424" s="43"/>
      <c r="V1424" s="43"/>
      <c r="X1424" s="43"/>
      <c r="Z1424" s="43"/>
      <c r="AB1424" s="43"/>
      <c r="AD1424" s="43"/>
      <c r="AF1424" s="43"/>
      <c r="AH1424" s="43"/>
      <c r="AJ1424" s="43"/>
      <c r="AL1424" s="43"/>
      <c r="AO1424" s="43"/>
      <c r="AP1424" s="1"/>
      <c r="AQ1424" s="43"/>
      <c r="AR1424" s="123"/>
      <c r="AS1424" s="1"/>
      <c r="AT1424" s="1"/>
    </row>
    <row r="1425">
      <c r="A1425" s="43"/>
      <c r="B1425" s="59"/>
      <c r="C1425" s="51"/>
      <c r="D1425" s="43"/>
      <c r="E1425" s="85"/>
      <c r="F1425" s="43"/>
      <c r="G1425" s="85"/>
      <c r="H1425" s="43"/>
      <c r="I1425" s="85"/>
      <c r="J1425" s="43"/>
      <c r="L1425" s="43"/>
      <c r="N1425" s="43"/>
      <c r="P1425" s="43"/>
      <c r="R1425" s="43"/>
      <c r="T1425" s="43"/>
      <c r="V1425" s="43"/>
      <c r="X1425" s="43"/>
      <c r="Z1425" s="43"/>
      <c r="AB1425" s="43"/>
      <c r="AD1425" s="43"/>
      <c r="AF1425" s="43"/>
      <c r="AH1425" s="43"/>
      <c r="AJ1425" s="43"/>
      <c r="AL1425" s="43"/>
      <c r="AO1425" s="43"/>
      <c r="AP1425" s="1"/>
      <c r="AQ1425" s="43"/>
      <c r="AR1425" s="123"/>
      <c r="AS1425" s="1"/>
      <c r="AT1425" s="1"/>
    </row>
    <row r="1426">
      <c r="A1426" s="43"/>
      <c r="B1426" s="59"/>
      <c r="C1426" s="51"/>
      <c r="D1426" s="43"/>
      <c r="E1426" s="85"/>
      <c r="F1426" s="43"/>
      <c r="G1426" s="85"/>
      <c r="H1426" s="43"/>
      <c r="I1426" s="85"/>
      <c r="J1426" s="43"/>
      <c r="L1426" s="43"/>
      <c r="N1426" s="43"/>
      <c r="P1426" s="43"/>
      <c r="R1426" s="43"/>
      <c r="T1426" s="43"/>
      <c r="V1426" s="43"/>
      <c r="X1426" s="43"/>
      <c r="Z1426" s="43"/>
      <c r="AB1426" s="43"/>
      <c r="AD1426" s="43"/>
      <c r="AF1426" s="43"/>
      <c r="AH1426" s="43"/>
      <c r="AJ1426" s="43"/>
      <c r="AL1426" s="43"/>
      <c r="AO1426" s="43"/>
      <c r="AP1426" s="1"/>
      <c r="AQ1426" s="43"/>
      <c r="AR1426" s="123"/>
      <c r="AS1426" s="1"/>
      <c r="AT1426" s="1"/>
    </row>
    <row r="1427">
      <c r="A1427" s="43"/>
      <c r="B1427" s="59"/>
      <c r="C1427" s="51"/>
      <c r="D1427" s="43"/>
      <c r="E1427" s="85"/>
      <c r="F1427" s="43"/>
      <c r="G1427" s="85"/>
      <c r="H1427" s="43"/>
      <c r="I1427" s="85"/>
      <c r="J1427" s="43"/>
      <c r="L1427" s="43"/>
      <c r="N1427" s="43"/>
      <c r="P1427" s="43"/>
      <c r="R1427" s="43"/>
      <c r="T1427" s="43"/>
      <c r="V1427" s="43"/>
      <c r="X1427" s="43"/>
      <c r="Z1427" s="43"/>
      <c r="AB1427" s="43"/>
      <c r="AD1427" s="43"/>
      <c r="AF1427" s="43"/>
      <c r="AH1427" s="43"/>
      <c r="AJ1427" s="43"/>
      <c r="AL1427" s="43"/>
      <c r="AO1427" s="43"/>
      <c r="AP1427" s="1"/>
      <c r="AQ1427" s="43"/>
      <c r="AR1427" s="123"/>
      <c r="AS1427" s="1"/>
      <c r="AT1427" s="1"/>
    </row>
    <row r="1428">
      <c r="A1428" s="43"/>
      <c r="B1428" s="59"/>
      <c r="C1428" s="51"/>
      <c r="D1428" s="43"/>
      <c r="E1428" s="85"/>
      <c r="F1428" s="43"/>
      <c r="G1428" s="85"/>
      <c r="H1428" s="43"/>
      <c r="I1428" s="85"/>
      <c r="J1428" s="43"/>
      <c r="L1428" s="43"/>
      <c r="N1428" s="43"/>
      <c r="P1428" s="43"/>
      <c r="R1428" s="43"/>
      <c r="T1428" s="43"/>
      <c r="V1428" s="43"/>
      <c r="X1428" s="43"/>
      <c r="Z1428" s="43"/>
      <c r="AB1428" s="43"/>
      <c r="AD1428" s="43"/>
      <c r="AF1428" s="43"/>
      <c r="AH1428" s="43"/>
      <c r="AJ1428" s="43"/>
      <c r="AL1428" s="43"/>
      <c r="AO1428" s="43"/>
      <c r="AP1428" s="1"/>
      <c r="AQ1428" s="43"/>
      <c r="AR1428" s="123"/>
      <c r="AS1428" s="1"/>
      <c r="AT1428" s="1"/>
    </row>
    <row r="1429">
      <c r="A1429" s="43"/>
      <c r="B1429" s="59"/>
      <c r="C1429" s="51"/>
      <c r="D1429" s="43"/>
      <c r="E1429" s="85"/>
      <c r="F1429" s="43"/>
      <c r="G1429" s="85"/>
      <c r="H1429" s="43"/>
      <c r="I1429" s="85"/>
      <c r="J1429" s="43"/>
      <c r="L1429" s="43"/>
      <c r="N1429" s="43"/>
      <c r="P1429" s="43"/>
      <c r="R1429" s="43"/>
      <c r="T1429" s="43"/>
      <c r="V1429" s="43"/>
      <c r="X1429" s="43"/>
      <c r="Z1429" s="43"/>
      <c r="AB1429" s="43"/>
      <c r="AD1429" s="43"/>
      <c r="AF1429" s="43"/>
      <c r="AH1429" s="43"/>
      <c r="AJ1429" s="43"/>
      <c r="AL1429" s="43"/>
      <c r="AO1429" s="43"/>
      <c r="AP1429" s="1"/>
      <c r="AQ1429" s="43"/>
      <c r="AR1429" s="123"/>
      <c r="AS1429" s="1"/>
      <c r="AT1429" s="1"/>
    </row>
    <row r="1430">
      <c r="A1430" s="43"/>
      <c r="B1430" s="59"/>
      <c r="C1430" s="51"/>
      <c r="D1430" s="43"/>
      <c r="E1430" s="85"/>
      <c r="F1430" s="43"/>
      <c r="G1430" s="85"/>
      <c r="H1430" s="43"/>
      <c r="I1430" s="85"/>
      <c r="J1430" s="43"/>
      <c r="L1430" s="43"/>
      <c r="N1430" s="43"/>
      <c r="P1430" s="43"/>
      <c r="R1430" s="43"/>
      <c r="T1430" s="43"/>
      <c r="V1430" s="43"/>
      <c r="X1430" s="43"/>
      <c r="Z1430" s="43"/>
      <c r="AB1430" s="43"/>
      <c r="AD1430" s="43"/>
      <c r="AF1430" s="43"/>
      <c r="AH1430" s="43"/>
      <c r="AJ1430" s="43"/>
      <c r="AL1430" s="43"/>
      <c r="AO1430" s="43"/>
      <c r="AP1430" s="1"/>
      <c r="AQ1430" s="43"/>
      <c r="AR1430" s="123"/>
      <c r="AS1430" s="1"/>
      <c r="AT1430" s="1"/>
    </row>
    <row r="1431">
      <c r="A1431" s="43"/>
      <c r="B1431" s="59"/>
      <c r="C1431" s="51"/>
      <c r="D1431" s="43"/>
      <c r="E1431" s="85"/>
      <c r="F1431" s="43"/>
      <c r="G1431" s="85"/>
      <c r="H1431" s="43"/>
      <c r="I1431" s="85"/>
      <c r="J1431" s="43"/>
      <c r="L1431" s="43"/>
      <c r="N1431" s="43"/>
      <c r="P1431" s="43"/>
      <c r="R1431" s="43"/>
      <c r="T1431" s="43"/>
      <c r="V1431" s="43"/>
      <c r="X1431" s="43"/>
      <c r="Z1431" s="43"/>
      <c r="AB1431" s="43"/>
      <c r="AD1431" s="43"/>
      <c r="AF1431" s="43"/>
      <c r="AH1431" s="43"/>
      <c r="AJ1431" s="43"/>
      <c r="AL1431" s="43"/>
      <c r="AO1431" s="43"/>
      <c r="AP1431" s="1"/>
      <c r="AQ1431" s="43"/>
      <c r="AR1431" s="123"/>
      <c r="AS1431" s="1"/>
      <c r="AT1431" s="1"/>
    </row>
    <row r="1432">
      <c r="A1432" s="43"/>
      <c r="B1432" s="59"/>
      <c r="C1432" s="51"/>
      <c r="D1432" s="43"/>
      <c r="E1432" s="85"/>
      <c r="F1432" s="43"/>
      <c r="G1432" s="85"/>
      <c r="H1432" s="43"/>
      <c r="I1432" s="85"/>
      <c r="J1432" s="43"/>
      <c r="L1432" s="43"/>
      <c r="N1432" s="43"/>
      <c r="P1432" s="43"/>
      <c r="R1432" s="43"/>
      <c r="T1432" s="43"/>
      <c r="V1432" s="43"/>
      <c r="X1432" s="43"/>
      <c r="Z1432" s="43"/>
      <c r="AB1432" s="43"/>
      <c r="AD1432" s="43"/>
      <c r="AF1432" s="43"/>
      <c r="AH1432" s="43"/>
      <c r="AJ1432" s="43"/>
      <c r="AL1432" s="43"/>
      <c r="AO1432" s="43"/>
      <c r="AP1432" s="1"/>
      <c r="AQ1432" s="43"/>
      <c r="AR1432" s="123"/>
      <c r="AS1432" s="1"/>
      <c r="AT1432" s="1"/>
    </row>
    <row r="1433">
      <c r="A1433" s="43"/>
      <c r="B1433" s="59"/>
      <c r="C1433" s="51"/>
      <c r="D1433" s="43"/>
      <c r="E1433" s="85"/>
      <c r="F1433" s="43"/>
      <c r="G1433" s="85"/>
      <c r="H1433" s="43"/>
      <c r="I1433" s="85"/>
      <c r="J1433" s="43"/>
      <c r="L1433" s="43"/>
      <c r="N1433" s="43"/>
      <c r="P1433" s="43"/>
      <c r="R1433" s="43"/>
      <c r="T1433" s="43"/>
      <c r="V1433" s="43"/>
      <c r="X1433" s="43"/>
      <c r="Z1433" s="43"/>
      <c r="AB1433" s="43"/>
      <c r="AD1433" s="43"/>
      <c r="AF1433" s="43"/>
      <c r="AH1433" s="43"/>
      <c r="AJ1433" s="43"/>
      <c r="AL1433" s="43"/>
      <c r="AO1433" s="43"/>
      <c r="AP1433" s="1"/>
      <c r="AQ1433" s="43"/>
      <c r="AR1433" s="123"/>
      <c r="AS1433" s="1"/>
      <c r="AT1433" s="1"/>
    </row>
    <row r="1434">
      <c r="A1434" s="43"/>
      <c r="B1434" s="59"/>
      <c r="C1434" s="51"/>
      <c r="D1434" s="43"/>
      <c r="E1434" s="85"/>
      <c r="F1434" s="43"/>
      <c r="G1434" s="85"/>
      <c r="H1434" s="43"/>
      <c r="I1434" s="85"/>
      <c r="J1434" s="43"/>
      <c r="L1434" s="43"/>
      <c r="N1434" s="43"/>
      <c r="P1434" s="43"/>
      <c r="R1434" s="43"/>
      <c r="T1434" s="43"/>
      <c r="V1434" s="43"/>
      <c r="X1434" s="43"/>
      <c r="Z1434" s="43"/>
      <c r="AB1434" s="43"/>
      <c r="AD1434" s="43"/>
      <c r="AF1434" s="43"/>
      <c r="AH1434" s="43"/>
      <c r="AJ1434" s="43"/>
      <c r="AL1434" s="43"/>
      <c r="AO1434" s="43"/>
      <c r="AP1434" s="1"/>
      <c r="AQ1434" s="43"/>
      <c r="AR1434" s="123"/>
      <c r="AS1434" s="1"/>
      <c r="AT1434" s="1"/>
    </row>
    <row r="1435">
      <c r="A1435" s="43"/>
      <c r="B1435" s="59"/>
      <c r="C1435" s="51"/>
      <c r="D1435" s="43"/>
      <c r="E1435" s="85"/>
      <c r="F1435" s="43"/>
      <c r="G1435" s="85"/>
      <c r="H1435" s="43"/>
      <c r="I1435" s="85"/>
      <c r="J1435" s="43"/>
      <c r="L1435" s="43"/>
      <c r="N1435" s="43"/>
      <c r="P1435" s="43"/>
      <c r="R1435" s="43"/>
      <c r="T1435" s="43"/>
      <c r="V1435" s="43"/>
      <c r="X1435" s="43"/>
      <c r="Z1435" s="43"/>
      <c r="AB1435" s="43"/>
      <c r="AD1435" s="43"/>
      <c r="AF1435" s="43"/>
      <c r="AH1435" s="43"/>
      <c r="AJ1435" s="43"/>
      <c r="AL1435" s="43"/>
      <c r="AO1435" s="43"/>
      <c r="AP1435" s="1"/>
      <c r="AQ1435" s="43"/>
      <c r="AR1435" s="123"/>
      <c r="AS1435" s="1"/>
      <c r="AT1435" s="1"/>
    </row>
    <row r="1436">
      <c r="A1436" s="43"/>
      <c r="B1436" s="59"/>
      <c r="C1436" s="51"/>
      <c r="D1436" s="43"/>
      <c r="E1436" s="85"/>
      <c r="F1436" s="43"/>
      <c r="G1436" s="85"/>
      <c r="H1436" s="43"/>
      <c r="I1436" s="85"/>
      <c r="J1436" s="43"/>
      <c r="L1436" s="43"/>
      <c r="N1436" s="43"/>
      <c r="P1436" s="43"/>
      <c r="R1436" s="43"/>
      <c r="T1436" s="43"/>
      <c r="V1436" s="43"/>
      <c r="X1436" s="43"/>
      <c r="Z1436" s="43"/>
      <c r="AB1436" s="43"/>
      <c r="AD1436" s="43"/>
      <c r="AF1436" s="43"/>
      <c r="AH1436" s="43"/>
      <c r="AJ1436" s="43"/>
      <c r="AL1436" s="43"/>
      <c r="AO1436" s="43"/>
      <c r="AP1436" s="1"/>
      <c r="AQ1436" s="43"/>
      <c r="AR1436" s="123"/>
      <c r="AS1436" s="1"/>
      <c r="AT1436" s="1"/>
    </row>
    <row r="1437">
      <c r="A1437" s="43"/>
      <c r="B1437" s="59"/>
      <c r="C1437" s="51"/>
      <c r="D1437" s="43"/>
      <c r="E1437" s="85"/>
      <c r="F1437" s="43"/>
      <c r="G1437" s="85"/>
      <c r="H1437" s="43"/>
      <c r="I1437" s="85"/>
      <c r="J1437" s="43"/>
      <c r="L1437" s="43"/>
      <c r="N1437" s="43"/>
      <c r="P1437" s="43"/>
      <c r="R1437" s="43"/>
      <c r="T1437" s="43"/>
      <c r="V1437" s="43"/>
      <c r="X1437" s="43"/>
      <c r="Z1437" s="43"/>
      <c r="AB1437" s="43"/>
      <c r="AD1437" s="43"/>
      <c r="AF1437" s="43"/>
      <c r="AH1437" s="43"/>
      <c r="AJ1437" s="43"/>
      <c r="AL1437" s="43"/>
      <c r="AO1437" s="43"/>
      <c r="AP1437" s="1"/>
      <c r="AQ1437" s="43"/>
      <c r="AR1437" s="123"/>
      <c r="AS1437" s="1"/>
      <c r="AT1437" s="1"/>
    </row>
    <row r="1438">
      <c r="A1438" s="43"/>
      <c r="B1438" s="59"/>
      <c r="C1438" s="51"/>
      <c r="D1438" s="43"/>
      <c r="E1438" s="85"/>
      <c r="F1438" s="43"/>
      <c r="G1438" s="85"/>
      <c r="H1438" s="43"/>
      <c r="I1438" s="85"/>
      <c r="J1438" s="43"/>
      <c r="L1438" s="43"/>
      <c r="N1438" s="43"/>
      <c r="P1438" s="43"/>
      <c r="R1438" s="43"/>
      <c r="T1438" s="43"/>
      <c r="V1438" s="43"/>
      <c r="X1438" s="43"/>
      <c r="Z1438" s="43"/>
      <c r="AB1438" s="43"/>
      <c r="AD1438" s="43"/>
      <c r="AF1438" s="43"/>
      <c r="AH1438" s="43"/>
      <c r="AJ1438" s="43"/>
      <c r="AL1438" s="43"/>
      <c r="AO1438" s="43"/>
      <c r="AP1438" s="1"/>
      <c r="AQ1438" s="43"/>
      <c r="AR1438" s="123"/>
      <c r="AS1438" s="1"/>
      <c r="AT1438" s="1"/>
    </row>
    <row r="1439">
      <c r="A1439" s="43"/>
      <c r="B1439" s="59"/>
      <c r="C1439" s="51"/>
      <c r="D1439" s="43"/>
      <c r="E1439" s="85"/>
      <c r="F1439" s="43"/>
      <c r="G1439" s="85"/>
      <c r="H1439" s="43"/>
      <c r="I1439" s="85"/>
      <c r="J1439" s="43"/>
      <c r="L1439" s="43"/>
      <c r="N1439" s="43"/>
      <c r="P1439" s="43"/>
      <c r="R1439" s="43"/>
      <c r="T1439" s="43"/>
      <c r="V1439" s="43"/>
      <c r="X1439" s="43"/>
      <c r="Z1439" s="43"/>
      <c r="AB1439" s="43"/>
      <c r="AD1439" s="43"/>
      <c r="AF1439" s="43"/>
      <c r="AH1439" s="43"/>
      <c r="AJ1439" s="43"/>
      <c r="AL1439" s="43"/>
      <c r="AO1439" s="43"/>
      <c r="AP1439" s="1"/>
      <c r="AQ1439" s="43"/>
      <c r="AR1439" s="123"/>
      <c r="AS1439" s="1"/>
      <c r="AT1439" s="1"/>
    </row>
    <row r="1440">
      <c r="A1440" s="43"/>
      <c r="B1440" s="59"/>
      <c r="C1440" s="51"/>
      <c r="D1440" s="43"/>
      <c r="E1440" s="85"/>
      <c r="F1440" s="43"/>
      <c r="G1440" s="85"/>
      <c r="H1440" s="43"/>
      <c r="I1440" s="85"/>
      <c r="J1440" s="43"/>
      <c r="L1440" s="43"/>
      <c r="N1440" s="43"/>
      <c r="P1440" s="43"/>
      <c r="R1440" s="43"/>
      <c r="T1440" s="43"/>
      <c r="V1440" s="43"/>
      <c r="X1440" s="43"/>
      <c r="Z1440" s="43"/>
      <c r="AB1440" s="43"/>
      <c r="AD1440" s="43"/>
      <c r="AF1440" s="43"/>
      <c r="AH1440" s="43"/>
      <c r="AJ1440" s="43"/>
      <c r="AL1440" s="43"/>
      <c r="AO1440" s="43"/>
      <c r="AP1440" s="1"/>
      <c r="AQ1440" s="43"/>
      <c r="AR1440" s="123"/>
      <c r="AS1440" s="1"/>
      <c r="AT1440" s="1"/>
    </row>
    <row r="1441">
      <c r="A1441" s="43"/>
      <c r="B1441" s="59"/>
      <c r="C1441" s="51"/>
      <c r="D1441" s="43"/>
      <c r="E1441" s="85"/>
      <c r="F1441" s="43"/>
      <c r="G1441" s="85"/>
      <c r="H1441" s="43"/>
      <c r="I1441" s="85"/>
      <c r="J1441" s="43"/>
      <c r="L1441" s="43"/>
      <c r="N1441" s="43"/>
      <c r="P1441" s="43"/>
      <c r="R1441" s="43"/>
      <c r="T1441" s="43"/>
      <c r="V1441" s="43"/>
      <c r="X1441" s="43"/>
      <c r="Z1441" s="43"/>
      <c r="AB1441" s="43"/>
      <c r="AD1441" s="43"/>
      <c r="AF1441" s="43"/>
      <c r="AH1441" s="43"/>
      <c r="AJ1441" s="43"/>
      <c r="AL1441" s="43"/>
      <c r="AO1441" s="43"/>
      <c r="AP1441" s="1"/>
      <c r="AQ1441" s="43"/>
      <c r="AR1441" s="123"/>
      <c r="AS1441" s="1"/>
      <c r="AT1441" s="1"/>
    </row>
    <row r="1442">
      <c r="A1442" s="43"/>
      <c r="B1442" s="59"/>
      <c r="C1442" s="51"/>
      <c r="D1442" s="43"/>
      <c r="E1442" s="85"/>
      <c r="F1442" s="43"/>
      <c r="G1442" s="85"/>
      <c r="H1442" s="43"/>
      <c r="I1442" s="85"/>
      <c r="J1442" s="43"/>
      <c r="L1442" s="43"/>
      <c r="N1442" s="43"/>
      <c r="P1442" s="43"/>
      <c r="R1442" s="43"/>
      <c r="T1442" s="43"/>
      <c r="V1442" s="43"/>
      <c r="X1442" s="43"/>
      <c r="Z1442" s="43"/>
      <c r="AB1442" s="43"/>
      <c r="AD1442" s="43"/>
      <c r="AF1442" s="43"/>
      <c r="AH1442" s="43"/>
      <c r="AJ1442" s="43"/>
      <c r="AL1442" s="43"/>
      <c r="AO1442" s="43"/>
      <c r="AP1442" s="1"/>
      <c r="AQ1442" s="43"/>
      <c r="AR1442" s="123"/>
      <c r="AS1442" s="1"/>
      <c r="AT1442" s="1"/>
    </row>
    <row r="1443">
      <c r="A1443" s="43"/>
      <c r="B1443" s="59"/>
      <c r="C1443" s="51"/>
      <c r="D1443" s="43"/>
      <c r="E1443" s="85"/>
      <c r="F1443" s="43"/>
      <c r="G1443" s="85"/>
      <c r="H1443" s="43"/>
      <c r="I1443" s="85"/>
      <c r="J1443" s="43"/>
      <c r="L1443" s="43"/>
      <c r="N1443" s="43"/>
      <c r="P1443" s="43"/>
      <c r="R1443" s="43"/>
      <c r="T1443" s="43"/>
      <c r="V1443" s="43"/>
      <c r="X1443" s="43"/>
      <c r="Z1443" s="43"/>
      <c r="AB1443" s="43"/>
      <c r="AD1443" s="43"/>
      <c r="AF1443" s="43"/>
      <c r="AH1443" s="43"/>
      <c r="AJ1443" s="43"/>
      <c r="AL1443" s="43"/>
      <c r="AO1443" s="43"/>
      <c r="AP1443" s="1"/>
      <c r="AQ1443" s="43"/>
      <c r="AR1443" s="123"/>
      <c r="AS1443" s="1"/>
      <c r="AT1443" s="1"/>
    </row>
    <row r="1444">
      <c r="A1444" s="43"/>
      <c r="B1444" s="59"/>
      <c r="C1444" s="51"/>
      <c r="D1444" s="43"/>
      <c r="E1444" s="85"/>
      <c r="F1444" s="43"/>
      <c r="G1444" s="85"/>
      <c r="H1444" s="43"/>
      <c r="I1444" s="85"/>
      <c r="J1444" s="43"/>
      <c r="L1444" s="43"/>
      <c r="N1444" s="43"/>
      <c r="P1444" s="43"/>
      <c r="R1444" s="43"/>
      <c r="T1444" s="43"/>
      <c r="V1444" s="43"/>
      <c r="X1444" s="43"/>
      <c r="Z1444" s="43"/>
      <c r="AB1444" s="43"/>
      <c r="AD1444" s="43"/>
      <c r="AF1444" s="43"/>
      <c r="AH1444" s="43"/>
      <c r="AJ1444" s="43"/>
      <c r="AL1444" s="43"/>
      <c r="AO1444" s="43"/>
      <c r="AP1444" s="1"/>
      <c r="AQ1444" s="43"/>
      <c r="AR1444" s="123"/>
      <c r="AS1444" s="1"/>
      <c r="AT1444" s="1"/>
    </row>
    <row r="1445">
      <c r="A1445" s="43"/>
      <c r="B1445" s="59"/>
      <c r="C1445" s="51"/>
      <c r="D1445" s="43"/>
      <c r="E1445" s="85"/>
      <c r="F1445" s="43"/>
      <c r="G1445" s="85"/>
      <c r="H1445" s="43"/>
      <c r="I1445" s="85"/>
      <c r="J1445" s="43"/>
      <c r="L1445" s="43"/>
      <c r="N1445" s="43"/>
      <c r="P1445" s="43"/>
      <c r="R1445" s="43"/>
      <c r="T1445" s="43"/>
      <c r="V1445" s="43"/>
      <c r="X1445" s="43"/>
      <c r="Z1445" s="43"/>
      <c r="AB1445" s="43"/>
      <c r="AD1445" s="43"/>
      <c r="AF1445" s="43"/>
      <c r="AH1445" s="43"/>
      <c r="AJ1445" s="43"/>
      <c r="AL1445" s="43"/>
      <c r="AO1445" s="43"/>
      <c r="AP1445" s="1"/>
      <c r="AQ1445" s="43"/>
      <c r="AR1445" s="123"/>
      <c r="AS1445" s="1"/>
      <c r="AT1445" s="1"/>
    </row>
    <row r="1446">
      <c r="A1446" s="43"/>
      <c r="B1446" s="59"/>
      <c r="C1446" s="51"/>
      <c r="D1446" s="43"/>
      <c r="E1446" s="85"/>
      <c r="F1446" s="43"/>
      <c r="G1446" s="85"/>
      <c r="H1446" s="43"/>
      <c r="I1446" s="85"/>
      <c r="J1446" s="43"/>
      <c r="L1446" s="43"/>
      <c r="N1446" s="43"/>
      <c r="P1446" s="43"/>
      <c r="R1446" s="43"/>
      <c r="T1446" s="43"/>
      <c r="V1446" s="43"/>
      <c r="X1446" s="43"/>
      <c r="Z1446" s="43"/>
      <c r="AB1446" s="43"/>
      <c r="AD1446" s="43"/>
      <c r="AF1446" s="43"/>
      <c r="AH1446" s="43"/>
      <c r="AJ1446" s="43"/>
      <c r="AL1446" s="43"/>
      <c r="AO1446" s="43"/>
      <c r="AP1446" s="1"/>
      <c r="AQ1446" s="43"/>
      <c r="AR1446" s="123"/>
      <c r="AS1446" s="1"/>
      <c r="AT1446" s="1"/>
    </row>
    <row r="1447">
      <c r="A1447" s="43"/>
      <c r="B1447" s="59"/>
      <c r="C1447" s="51"/>
      <c r="D1447" s="43"/>
      <c r="E1447" s="85"/>
      <c r="F1447" s="43"/>
      <c r="G1447" s="85"/>
      <c r="H1447" s="43"/>
      <c r="I1447" s="85"/>
      <c r="J1447" s="43"/>
      <c r="L1447" s="43"/>
      <c r="N1447" s="43"/>
      <c r="P1447" s="43"/>
      <c r="R1447" s="43"/>
      <c r="T1447" s="43"/>
      <c r="V1447" s="43"/>
      <c r="X1447" s="43"/>
      <c r="Z1447" s="43"/>
      <c r="AB1447" s="43"/>
      <c r="AD1447" s="43"/>
      <c r="AF1447" s="43"/>
      <c r="AH1447" s="43"/>
      <c r="AJ1447" s="43"/>
      <c r="AL1447" s="43"/>
      <c r="AO1447" s="43"/>
      <c r="AP1447" s="1"/>
      <c r="AQ1447" s="43"/>
      <c r="AR1447" s="123"/>
      <c r="AS1447" s="1"/>
      <c r="AT1447" s="1"/>
    </row>
    <row r="1448">
      <c r="A1448" s="43"/>
      <c r="B1448" s="59"/>
      <c r="C1448" s="51"/>
      <c r="D1448" s="43"/>
      <c r="E1448" s="85"/>
      <c r="F1448" s="43"/>
      <c r="G1448" s="85"/>
      <c r="H1448" s="43"/>
      <c r="I1448" s="85"/>
      <c r="J1448" s="43"/>
      <c r="L1448" s="43"/>
      <c r="N1448" s="43"/>
      <c r="P1448" s="43"/>
      <c r="R1448" s="43"/>
      <c r="T1448" s="43"/>
      <c r="V1448" s="43"/>
      <c r="X1448" s="43"/>
      <c r="Z1448" s="43"/>
      <c r="AB1448" s="43"/>
      <c r="AD1448" s="43"/>
      <c r="AF1448" s="43"/>
      <c r="AH1448" s="43"/>
      <c r="AJ1448" s="43"/>
      <c r="AL1448" s="43"/>
      <c r="AO1448" s="43"/>
      <c r="AP1448" s="1"/>
      <c r="AQ1448" s="43"/>
      <c r="AR1448" s="123"/>
      <c r="AS1448" s="1"/>
      <c r="AT1448" s="1"/>
    </row>
    <row r="1449">
      <c r="A1449" s="43"/>
      <c r="B1449" s="59"/>
      <c r="C1449" s="51"/>
      <c r="D1449" s="43"/>
      <c r="E1449" s="85"/>
      <c r="F1449" s="43"/>
      <c r="G1449" s="85"/>
      <c r="H1449" s="43"/>
      <c r="I1449" s="85"/>
      <c r="J1449" s="43"/>
      <c r="L1449" s="43"/>
      <c r="N1449" s="43"/>
      <c r="P1449" s="43"/>
      <c r="R1449" s="43"/>
      <c r="T1449" s="43"/>
      <c r="V1449" s="43"/>
      <c r="X1449" s="43"/>
      <c r="Z1449" s="43"/>
      <c r="AB1449" s="43"/>
      <c r="AD1449" s="43"/>
      <c r="AF1449" s="43"/>
      <c r="AH1449" s="43"/>
      <c r="AJ1449" s="43"/>
      <c r="AL1449" s="43"/>
      <c r="AO1449" s="43"/>
      <c r="AP1449" s="1"/>
      <c r="AQ1449" s="43"/>
      <c r="AR1449" s="123"/>
      <c r="AS1449" s="1"/>
      <c r="AT1449" s="1"/>
    </row>
    <row r="1450">
      <c r="A1450" s="43"/>
      <c r="B1450" s="59"/>
      <c r="C1450" s="51"/>
      <c r="D1450" s="43"/>
      <c r="E1450" s="85"/>
      <c r="F1450" s="43"/>
      <c r="G1450" s="85"/>
      <c r="H1450" s="43"/>
      <c r="I1450" s="85"/>
      <c r="J1450" s="43"/>
      <c r="L1450" s="43"/>
      <c r="N1450" s="43"/>
      <c r="P1450" s="43"/>
      <c r="R1450" s="43"/>
      <c r="T1450" s="43"/>
      <c r="V1450" s="43"/>
      <c r="X1450" s="43"/>
      <c r="Z1450" s="43"/>
      <c r="AB1450" s="43"/>
      <c r="AD1450" s="43"/>
      <c r="AF1450" s="43"/>
      <c r="AH1450" s="43"/>
      <c r="AJ1450" s="43"/>
      <c r="AL1450" s="43"/>
      <c r="AO1450" s="43"/>
      <c r="AP1450" s="1"/>
      <c r="AQ1450" s="43"/>
      <c r="AR1450" s="123"/>
      <c r="AS1450" s="1"/>
      <c r="AT1450" s="1"/>
    </row>
    <row r="1451">
      <c r="A1451" s="43"/>
      <c r="B1451" s="59"/>
      <c r="C1451" s="51"/>
      <c r="D1451" s="43"/>
      <c r="E1451" s="85"/>
      <c r="F1451" s="43"/>
      <c r="G1451" s="85"/>
      <c r="H1451" s="43"/>
      <c r="I1451" s="85"/>
      <c r="J1451" s="43"/>
      <c r="L1451" s="43"/>
      <c r="N1451" s="43"/>
      <c r="P1451" s="43"/>
      <c r="R1451" s="43"/>
      <c r="T1451" s="43"/>
      <c r="V1451" s="43"/>
      <c r="X1451" s="43"/>
      <c r="Z1451" s="43"/>
      <c r="AB1451" s="43"/>
      <c r="AD1451" s="43"/>
      <c r="AF1451" s="43"/>
      <c r="AH1451" s="43"/>
      <c r="AJ1451" s="43"/>
      <c r="AL1451" s="43"/>
      <c r="AO1451" s="43"/>
      <c r="AP1451" s="1"/>
      <c r="AQ1451" s="43"/>
      <c r="AR1451" s="123"/>
      <c r="AS1451" s="1"/>
      <c r="AT1451" s="1"/>
    </row>
    <row r="1452">
      <c r="A1452" s="43"/>
      <c r="B1452" s="59"/>
      <c r="C1452" s="51"/>
      <c r="D1452" s="43"/>
      <c r="E1452" s="85"/>
      <c r="F1452" s="43"/>
      <c r="G1452" s="85"/>
      <c r="H1452" s="43"/>
      <c r="I1452" s="85"/>
      <c r="J1452" s="43"/>
      <c r="L1452" s="43"/>
      <c r="N1452" s="43"/>
      <c r="P1452" s="43"/>
      <c r="R1452" s="43"/>
      <c r="T1452" s="43"/>
      <c r="V1452" s="43"/>
      <c r="X1452" s="43"/>
      <c r="Z1452" s="43"/>
      <c r="AB1452" s="43"/>
      <c r="AD1452" s="43"/>
      <c r="AF1452" s="43"/>
      <c r="AH1452" s="43"/>
      <c r="AJ1452" s="43"/>
      <c r="AL1452" s="43"/>
      <c r="AO1452" s="43"/>
      <c r="AP1452" s="1"/>
      <c r="AQ1452" s="43"/>
      <c r="AR1452" s="123"/>
      <c r="AS1452" s="1"/>
      <c r="AT1452" s="1"/>
    </row>
    <row r="1453">
      <c r="A1453" s="43"/>
      <c r="B1453" s="59"/>
      <c r="C1453" s="51"/>
      <c r="D1453" s="43"/>
      <c r="E1453" s="85"/>
      <c r="F1453" s="43"/>
      <c r="G1453" s="85"/>
      <c r="H1453" s="43"/>
      <c r="I1453" s="85"/>
      <c r="J1453" s="43"/>
      <c r="L1453" s="43"/>
      <c r="N1453" s="43"/>
      <c r="P1453" s="43"/>
      <c r="R1453" s="43"/>
      <c r="T1453" s="43"/>
      <c r="V1453" s="43"/>
      <c r="X1453" s="43"/>
      <c r="Z1453" s="43"/>
      <c r="AB1453" s="43"/>
      <c r="AD1453" s="43"/>
      <c r="AF1453" s="43"/>
      <c r="AH1453" s="43"/>
      <c r="AJ1453" s="43"/>
      <c r="AL1453" s="43"/>
      <c r="AO1453" s="43"/>
      <c r="AP1453" s="1"/>
      <c r="AQ1453" s="43"/>
      <c r="AR1453" s="123"/>
      <c r="AS1453" s="1"/>
      <c r="AT1453" s="1"/>
    </row>
    <row r="1454">
      <c r="A1454" s="43"/>
      <c r="B1454" s="59"/>
      <c r="C1454" s="51"/>
      <c r="D1454" s="43"/>
      <c r="E1454" s="85"/>
      <c r="F1454" s="43"/>
      <c r="G1454" s="85"/>
      <c r="H1454" s="43"/>
      <c r="I1454" s="85"/>
      <c r="J1454" s="43"/>
      <c r="L1454" s="43"/>
      <c r="N1454" s="43"/>
      <c r="P1454" s="43"/>
      <c r="R1454" s="43"/>
      <c r="T1454" s="43"/>
      <c r="V1454" s="43"/>
      <c r="X1454" s="43"/>
      <c r="Z1454" s="43"/>
      <c r="AB1454" s="43"/>
      <c r="AD1454" s="43"/>
      <c r="AF1454" s="43"/>
      <c r="AH1454" s="43"/>
      <c r="AJ1454" s="43"/>
      <c r="AL1454" s="43"/>
      <c r="AO1454" s="43"/>
      <c r="AP1454" s="1"/>
      <c r="AQ1454" s="43"/>
      <c r="AR1454" s="123"/>
      <c r="AS1454" s="1"/>
      <c r="AT1454" s="1"/>
    </row>
    <row r="1455">
      <c r="A1455" s="43"/>
      <c r="B1455" s="59"/>
      <c r="C1455" s="51"/>
      <c r="D1455" s="43"/>
      <c r="E1455" s="85"/>
      <c r="F1455" s="43"/>
      <c r="G1455" s="85"/>
      <c r="H1455" s="43"/>
      <c r="I1455" s="85"/>
      <c r="J1455" s="43"/>
      <c r="L1455" s="43"/>
      <c r="N1455" s="43"/>
      <c r="P1455" s="43"/>
      <c r="R1455" s="43"/>
      <c r="T1455" s="43"/>
      <c r="V1455" s="43"/>
      <c r="X1455" s="43"/>
      <c r="Z1455" s="43"/>
      <c r="AB1455" s="43"/>
      <c r="AD1455" s="43"/>
      <c r="AF1455" s="43"/>
      <c r="AH1455" s="43"/>
      <c r="AJ1455" s="43"/>
      <c r="AL1455" s="43"/>
      <c r="AO1455" s="43"/>
      <c r="AP1455" s="1"/>
      <c r="AQ1455" s="43"/>
      <c r="AR1455" s="123"/>
      <c r="AS1455" s="1"/>
      <c r="AT1455" s="1"/>
    </row>
    <row r="1456">
      <c r="A1456" s="43"/>
      <c r="B1456" s="59"/>
      <c r="C1456" s="51"/>
      <c r="D1456" s="43"/>
      <c r="E1456" s="85"/>
      <c r="F1456" s="43"/>
      <c r="G1456" s="85"/>
      <c r="H1456" s="43"/>
      <c r="I1456" s="85"/>
      <c r="J1456" s="43"/>
      <c r="L1456" s="43"/>
      <c r="N1456" s="43"/>
      <c r="P1456" s="43"/>
      <c r="R1456" s="43"/>
      <c r="T1456" s="43"/>
      <c r="V1456" s="43"/>
      <c r="X1456" s="43"/>
      <c r="Z1456" s="43"/>
      <c r="AB1456" s="43"/>
      <c r="AD1456" s="43"/>
      <c r="AF1456" s="43"/>
      <c r="AH1456" s="43"/>
      <c r="AJ1456" s="43"/>
      <c r="AL1456" s="43"/>
      <c r="AO1456" s="43"/>
      <c r="AP1456" s="1"/>
      <c r="AQ1456" s="43"/>
      <c r="AR1456" s="123"/>
      <c r="AS1456" s="1"/>
      <c r="AT1456" s="1"/>
    </row>
    <row r="1457">
      <c r="A1457" s="43"/>
      <c r="B1457" s="59"/>
      <c r="C1457" s="51"/>
      <c r="D1457" s="43"/>
      <c r="E1457" s="85"/>
      <c r="F1457" s="43"/>
      <c r="G1457" s="85"/>
      <c r="H1457" s="43"/>
      <c r="I1457" s="85"/>
      <c r="J1457" s="43"/>
      <c r="L1457" s="43"/>
      <c r="N1457" s="43"/>
      <c r="P1457" s="43"/>
      <c r="R1457" s="43"/>
      <c r="T1457" s="43"/>
      <c r="V1457" s="43"/>
      <c r="X1457" s="43"/>
      <c r="Z1457" s="43"/>
      <c r="AB1457" s="43"/>
      <c r="AD1457" s="43"/>
      <c r="AF1457" s="43"/>
      <c r="AH1457" s="43"/>
      <c r="AJ1457" s="43"/>
      <c r="AL1457" s="43"/>
      <c r="AO1457" s="43"/>
      <c r="AP1457" s="1"/>
      <c r="AQ1457" s="43"/>
      <c r="AR1457" s="123"/>
      <c r="AS1457" s="1"/>
      <c r="AT1457" s="1"/>
    </row>
    <row r="1458">
      <c r="A1458" s="43"/>
      <c r="B1458" s="59"/>
      <c r="C1458" s="51"/>
      <c r="D1458" s="43"/>
      <c r="E1458" s="85"/>
      <c r="F1458" s="43"/>
      <c r="G1458" s="85"/>
      <c r="H1458" s="43"/>
      <c r="I1458" s="85"/>
      <c r="J1458" s="43"/>
      <c r="L1458" s="43"/>
      <c r="N1458" s="43"/>
      <c r="P1458" s="43"/>
      <c r="R1458" s="43"/>
      <c r="T1458" s="43"/>
      <c r="V1458" s="43"/>
      <c r="X1458" s="43"/>
      <c r="Z1458" s="43"/>
      <c r="AB1458" s="43"/>
      <c r="AD1458" s="43"/>
      <c r="AF1458" s="43"/>
      <c r="AH1458" s="43"/>
      <c r="AJ1458" s="43"/>
      <c r="AL1458" s="43"/>
      <c r="AO1458" s="43"/>
      <c r="AP1458" s="1"/>
      <c r="AQ1458" s="43"/>
      <c r="AR1458" s="123"/>
      <c r="AS1458" s="1"/>
      <c r="AT1458" s="1"/>
    </row>
    <row r="1459">
      <c r="A1459" s="43"/>
      <c r="B1459" s="59"/>
      <c r="C1459" s="51"/>
      <c r="D1459" s="43"/>
      <c r="E1459" s="85"/>
      <c r="F1459" s="43"/>
      <c r="G1459" s="85"/>
      <c r="H1459" s="43"/>
      <c r="I1459" s="85"/>
      <c r="J1459" s="43"/>
      <c r="L1459" s="43"/>
      <c r="N1459" s="43"/>
      <c r="P1459" s="43"/>
      <c r="R1459" s="43"/>
      <c r="T1459" s="43"/>
      <c r="V1459" s="43"/>
      <c r="X1459" s="43"/>
      <c r="Z1459" s="43"/>
      <c r="AB1459" s="43"/>
      <c r="AD1459" s="43"/>
      <c r="AF1459" s="43"/>
      <c r="AH1459" s="43"/>
      <c r="AJ1459" s="43"/>
      <c r="AL1459" s="43"/>
      <c r="AO1459" s="43"/>
      <c r="AP1459" s="1"/>
      <c r="AQ1459" s="43"/>
      <c r="AR1459" s="123"/>
      <c r="AS1459" s="1"/>
      <c r="AT1459" s="1"/>
    </row>
    <row r="1460">
      <c r="A1460" s="43"/>
      <c r="B1460" s="59"/>
      <c r="C1460" s="51"/>
      <c r="D1460" s="43"/>
      <c r="E1460" s="85"/>
      <c r="F1460" s="43"/>
      <c r="G1460" s="85"/>
      <c r="H1460" s="43"/>
      <c r="I1460" s="85"/>
      <c r="J1460" s="43"/>
      <c r="L1460" s="43"/>
      <c r="N1460" s="43"/>
      <c r="P1460" s="43"/>
      <c r="R1460" s="43"/>
      <c r="T1460" s="43"/>
      <c r="V1460" s="43"/>
      <c r="X1460" s="43"/>
      <c r="Z1460" s="43"/>
      <c r="AB1460" s="43"/>
      <c r="AD1460" s="43"/>
      <c r="AF1460" s="43"/>
      <c r="AH1460" s="43"/>
      <c r="AJ1460" s="43"/>
      <c r="AL1460" s="43"/>
      <c r="AO1460" s="43"/>
      <c r="AP1460" s="1"/>
      <c r="AQ1460" s="43"/>
      <c r="AR1460" s="123"/>
      <c r="AS1460" s="1"/>
      <c r="AT1460" s="1"/>
    </row>
    <row r="1461">
      <c r="A1461" s="43"/>
      <c r="B1461" s="59"/>
      <c r="C1461" s="51"/>
      <c r="D1461" s="43"/>
      <c r="E1461" s="85"/>
      <c r="F1461" s="43"/>
      <c r="G1461" s="85"/>
      <c r="H1461" s="43"/>
      <c r="I1461" s="85"/>
      <c r="J1461" s="43"/>
      <c r="L1461" s="43"/>
      <c r="N1461" s="43"/>
      <c r="P1461" s="43"/>
      <c r="R1461" s="43"/>
      <c r="T1461" s="43"/>
      <c r="V1461" s="43"/>
      <c r="X1461" s="43"/>
      <c r="Z1461" s="43"/>
      <c r="AB1461" s="43"/>
      <c r="AD1461" s="43"/>
      <c r="AF1461" s="43"/>
      <c r="AH1461" s="43"/>
      <c r="AJ1461" s="43"/>
      <c r="AL1461" s="43"/>
      <c r="AO1461" s="43"/>
      <c r="AP1461" s="1"/>
      <c r="AQ1461" s="43"/>
      <c r="AR1461" s="123"/>
      <c r="AS1461" s="1"/>
      <c r="AT1461" s="1"/>
    </row>
    <row r="1462">
      <c r="A1462" s="43"/>
      <c r="B1462" s="59"/>
      <c r="C1462" s="51"/>
      <c r="D1462" s="43"/>
      <c r="E1462" s="85"/>
      <c r="F1462" s="43"/>
      <c r="G1462" s="85"/>
      <c r="H1462" s="43"/>
      <c r="I1462" s="85"/>
      <c r="J1462" s="43"/>
      <c r="L1462" s="43"/>
      <c r="N1462" s="43"/>
      <c r="P1462" s="43"/>
      <c r="R1462" s="43"/>
      <c r="T1462" s="43"/>
      <c r="V1462" s="43"/>
      <c r="X1462" s="43"/>
      <c r="Z1462" s="43"/>
      <c r="AB1462" s="43"/>
      <c r="AD1462" s="43"/>
      <c r="AF1462" s="43"/>
      <c r="AH1462" s="43"/>
      <c r="AJ1462" s="43"/>
      <c r="AL1462" s="43"/>
      <c r="AO1462" s="43"/>
      <c r="AP1462" s="1"/>
      <c r="AQ1462" s="43"/>
      <c r="AR1462" s="123"/>
      <c r="AS1462" s="1"/>
      <c r="AT1462" s="1"/>
    </row>
    <row r="1463">
      <c r="A1463" s="43"/>
      <c r="B1463" s="59"/>
      <c r="C1463" s="51"/>
      <c r="D1463" s="43"/>
      <c r="E1463" s="85"/>
      <c r="F1463" s="43"/>
      <c r="G1463" s="85"/>
      <c r="H1463" s="43"/>
      <c r="I1463" s="85"/>
      <c r="J1463" s="43"/>
      <c r="L1463" s="43"/>
      <c r="N1463" s="43"/>
      <c r="P1463" s="43"/>
      <c r="R1463" s="43"/>
      <c r="T1463" s="43"/>
      <c r="V1463" s="43"/>
      <c r="X1463" s="43"/>
      <c r="Z1463" s="43"/>
      <c r="AB1463" s="43"/>
      <c r="AD1463" s="43"/>
      <c r="AF1463" s="43"/>
      <c r="AH1463" s="43"/>
      <c r="AJ1463" s="43"/>
      <c r="AL1463" s="43"/>
      <c r="AO1463" s="43"/>
      <c r="AP1463" s="1"/>
      <c r="AQ1463" s="43"/>
      <c r="AR1463" s="123"/>
      <c r="AS1463" s="1"/>
      <c r="AT1463" s="1"/>
    </row>
    <row r="1464">
      <c r="A1464" s="43"/>
      <c r="B1464" s="59"/>
      <c r="C1464" s="51"/>
      <c r="D1464" s="43"/>
      <c r="E1464" s="85"/>
      <c r="F1464" s="43"/>
      <c r="G1464" s="85"/>
      <c r="H1464" s="43"/>
      <c r="I1464" s="85"/>
      <c r="J1464" s="43"/>
      <c r="L1464" s="43"/>
      <c r="N1464" s="43"/>
      <c r="P1464" s="43"/>
      <c r="R1464" s="43"/>
      <c r="T1464" s="43"/>
      <c r="V1464" s="43"/>
      <c r="X1464" s="43"/>
      <c r="Z1464" s="43"/>
      <c r="AB1464" s="43"/>
      <c r="AD1464" s="43"/>
      <c r="AF1464" s="43"/>
      <c r="AH1464" s="43"/>
      <c r="AJ1464" s="43"/>
      <c r="AL1464" s="43"/>
      <c r="AO1464" s="43"/>
      <c r="AP1464" s="1"/>
      <c r="AQ1464" s="43"/>
      <c r="AR1464" s="123"/>
      <c r="AS1464" s="1"/>
      <c r="AT1464" s="1"/>
    </row>
    <row r="1465">
      <c r="A1465" s="43"/>
      <c r="B1465" s="59"/>
      <c r="C1465" s="51"/>
      <c r="D1465" s="43"/>
      <c r="E1465" s="85"/>
      <c r="F1465" s="43"/>
      <c r="G1465" s="85"/>
      <c r="H1465" s="43"/>
      <c r="I1465" s="85"/>
      <c r="J1465" s="43"/>
      <c r="L1465" s="43"/>
      <c r="N1465" s="43"/>
      <c r="P1465" s="43"/>
      <c r="R1465" s="43"/>
      <c r="T1465" s="43"/>
      <c r="V1465" s="43"/>
      <c r="X1465" s="43"/>
      <c r="Z1465" s="43"/>
      <c r="AB1465" s="43"/>
      <c r="AD1465" s="43"/>
      <c r="AF1465" s="43"/>
      <c r="AH1465" s="43"/>
      <c r="AJ1465" s="43"/>
      <c r="AL1465" s="43"/>
      <c r="AO1465" s="43"/>
      <c r="AP1465" s="1"/>
      <c r="AQ1465" s="43"/>
      <c r="AR1465" s="123"/>
      <c r="AS1465" s="1"/>
      <c r="AT1465" s="1"/>
    </row>
    <row r="1466">
      <c r="A1466" s="43"/>
      <c r="B1466" s="59"/>
      <c r="C1466" s="51"/>
      <c r="D1466" s="43"/>
      <c r="E1466" s="85"/>
      <c r="F1466" s="43"/>
      <c r="G1466" s="85"/>
      <c r="H1466" s="43"/>
      <c r="I1466" s="85"/>
      <c r="J1466" s="43"/>
      <c r="L1466" s="43"/>
      <c r="N1466" s="43"/>
      <c r="P1466" s="43"/>
      <c r="R1466" s="43"/>
      <c r="T1466" s="43"/>
      <c r="V1466" s="43"/>
      <c r="X1466" s="43"/>
      <c r="Z1466" s="43"/>
      <c r="AB1466" s="43"/>
      <c r="AD1466" s="43"/>
      <c r="AF1466" s="43"/>
      <c r="AH1466" s="43"/>
      <c r="AJ1466" s="43"/>
      <c r="AL1466" s="43"/>
      <c r="AO1466" s="43"/>
      <c r="AP1466" s="1"/>
      <c r="AQ1466" s="43"/>
      <c r="AR1466" s="123"/>
      <c r="AS1466" s="1"/>
      <c r="AT1466" s="1"/>
    </row>
    <row r="1467">
      <c r="A1467" s="43"/>
      <c r="B1467" s="59"/>
      <c r="C1467" s="51"/>
      <c r="D1467" s="43"/>
      <c r="E1467" s="85"/>
      <c r="F1467" s="43"/>
      <c r="G1467" s="85"/>
      <c r="H1467" s="43"/>
      <c r="I1467" s="85"/>
      <c r="J1467" s="43"/>
      <c r="L1467" s="43"/>
      <c r="N1467" s="43"/>
      <c r="P1467" s="43"/>
      <c r="R1467" s="43"/>
      <c r="T1467" s="43"/>
      <c r="V1467" s="43"/>
      <c r="X1467" s="43"/>
      <c r="Z1467" s="43"/>
      <c r="AB1467" s="43"/>
      <c r="AD1467" s="43"/>
      <c r="AF1467" s="43"/>
      <c r="AH1467" s="43"/>
      <c r="AJ1467" s="43"/>
      <c r="AL1467" s="43"/>
      <c r="AO1467" s="43"/>
      <c r="AP1467" s="1"/>
      <c r="AQ1467" s="43"/>
      <c r="AR1467" s="123"/>
      <c r="AS1467" s="1"/>
      <c r="AT1467" s="1"/>
    </row>
    <row r="1468">
      <c r="A1468" s="43"/>
      <c r="B1468" s="59"/>
      <c r="C1468" s="51"/>
      <c r="D1468" s="43"/>
      <c r="E1468" s="85"/>
      <c r="F1468" s="43"/>
      <c r="G1468" s="85"/>
      <c r="H1468" s="43"/>
      <c r="I1468" s="85"/>
      <c r="J1468" s="43"/>
      <c r="L1468" s="43"/>
      <c r="N1468" s="43"/>
      <c r="P1468" s="43"/>
      <c r="R1468" s="43"/>
      <c r="T1468" s="43"/>
      <c r="V1468" s="43"/>
      <c r="X1468" s="43"/>
      <c r="Z1468" s="43"/>
      <c r="AB1468" s="43"/>
      <c r="AD1468" s="43"/>
      <c r="AF1468" s="43"/>
      <c r="AH1468" s="43"/>
      <c r="AJ1468" s="43"/>
      <c r="AL1468" s="43"/>
      <c r="AO1468" s="43"/>
      <c r="AP1468" s="1"/>
      <c r="AQ1468" s="43"/>
      <c r="AR1468" s="123"/>
      <c r="AS1468" s="1"/>
      <c r="AT1468" s="1"/>
    </row>
    <row r="1469">
      <c r="A1469" s="43"/>
      <c r="B1469" s="59"/>
      <c r="C1469" s="51"/>
      <c r="D1469" s="43"/>
      <c r="E1469" s="85"/>
      <c r="F1469" s="43"/>
      <c r="G1469" s="85"/>
      <c r="H1469" s="43"/>
      <c r="I1469" s="85"/>
      <c r="J1469" s="43"/>
      <c r="L1469" s="43"/>
      <c r="N1469" s="43"/>
      <c r="P1469" s="43"/>
      <c r="R1469" s="43"/>
      <c r="T1469" s="43"/>
      <c r="V1469" s="43"/>
      <c r="X1469" s="43"/>
      <c r="Z1469" s="43"/>
      <c r="AB1469" s="43"/>
      <c r="AD1469" s="43"/>
      <c r="AF1469" s="43"/>
      <c r="AH1469" s="43"/>
      <c r="AJ1469" s="43"/>
      <c r="AL1469" s="43"/>
      <c r="AO1469" s="43"/>
      <c r="AP1469" s="1"/>
      <c r="AQ1469" s="43"/>
      <c r="AR1469" s="123"/>
      <c r="AS1469" s="1"/>
      <c r="AT1469" s="1"/>
    </row>
    <row r="1470">
      <c r="A1470" s="43"/>
      <c r="B1470" s="59"/>
      <c r="C1470" s="51"/>
      <c r="D1470" s="43"/>
      <c r="E1470" s="85"/>
      <c r="F1470" s="43"/>
      <c r="G1470" s="85"/>
      <c r="H1470" s="43"/>
      <c r="I1470" s="85"/>
      <c r="J1470" s="43"/>
      <c r="L1470" s="43"/>
      <c r="N1470" s="43"/>
      <c r="P1470" s="43"/>
      <c r="R1470" s="43"/>
      <c r="T1470" s="43"/>
      <c r="V1470" s="43"/>
      <c r="X1470" s="43"/>
      <c r="Z1470" s="43"/>
      <c r="AB1470" s="43"/>
      <c r="AD1470" s="43"/>
      <c r="AF1470" s="43"/>
      <c r="AH1470" s="43"/>
      <c r="AJ1470" s="43"/>
      <c r="AL1470" s="43"/>
      <c r="AO1470" s="43"/>
      <c r="AP1470" s="1"/>
      <c r="AQ1470" s="43"/>
      <c r="AR1470" s="123"/>
      <c r="AS1470" s="1"/>
      <c r="AT1470" s="1"/>
    </row>
    <row r="1471">
      <c r="A1471" s="43"/>
      <c r="B1471" s="59"/>
      <c r="C1471" s="51"/>
      <c r="D1471" s="43"/>
      <c r="E1471" s="85"/>
      <c r="F1471" s="43"/>
      <c r="G1471" s="85"/>
      <c r="H1471" s="43"/>
      <c r="I1471" s="85"/>
      <c r="J1471" s="43"/>
      <c r="L1471" s="43"/>
      <c r="N1471" s="43"/>
      <c r="P1471" s="43"/>
      <c r="R1471" s="43"/>
      <c r="T1471" s="43"/>
      <c r="V1471" s="43"/>
      <c r="X1471" s="43"/>
      <c r="Z1471" s="43"/>
      <c r="AB1471" s="43"/>
      <c r="AD1471" s="43"/>
      <c r="AF1471" s="43"/>
      <c r="AH1471" s="43"/>
      <c r="AJ1471" s="43"/>
      <c r="AL1471" s="43"/>
      <c r="AO1471" s="43"/>
      <c r="AP1471" s="1"/>
      <c r="AQ1471" s="43"/>
      <c r="AR1471" s="123"/>
      <c r="AS1471" s="1"/>
      <c r="AT1471" s="1"/>
    </row>
    <row r="1472">
      <c r="A1472" s="43"/>
      <c r="B1472" s="59"/>
      <c r="C1472" s="51"/>
      <c r="D1472" s="43"/>
      <c r="E1472" s="85"/>
      <c r="F1472" s="43"/>
      <c r="G1472" s="85"/>
      <c r="H1472" s="43"/>
      <c r="I1472" s="85"/>
      <c r="J1472" s="43"/>
      <c r="L1472" s="43"/>
      <c r="N1472" s="43"/>
      <c r="P1472" s="43"/>
      <c r="R1472" s="43"/>
      <c r="T1472" s="43"/>
      <c r="V1472" s="43"/>
      <c r="X1472" s="43"/>
      <c r="Z1472" s="43"/>
      <c r="AB1472" s="43"/>
      <c r="AD1472" s="43"/>
      <c r="AF1472" s="43"/>
      <c r="AH1472" s="43"/>
      <c r="AJ1472" s="43"/>
      <c r="AL1472" s="43"/>
      <c r="AO1472" s="43"/>
      <c r="AP1472" s="1"/>
      <c r="AQ1472" s="43"/>
      <c r="AR1472" s="123"/>
      <c r="AS1472" s="1"/>
      <c r="AT1472" s="1"/>
    </row>
    <row r="1473">
      <c r="A1473" s="43"/>
      <c r="B1473" s="59"/>
      <c r="C1473" s="51"/>
      <c r="D1473" s="43"/>
      <c r="E1473" s="85"/>
      <c r="F1473" s="43"/>
      <c r="G1473" s="85"/>
      <c r="H1473" s="43"/>
      <c r="I1473" s="85"/>
      <c r="J1473" s="43"/>
      <c r="L1473" s="43"/>
      <c r="N1473" s="43"/>
      <c r="P1473" s="43"/>
      <c r="R1473" s="43"/>
      <c r="T1473" s="43"/>
      <c r="V1473" s="43"/>
      <c r="X1473" s="43"/>
      <c r="Z1473" s="43"/>
      <c r="AB1473" s="43"/>
      <c r="AD1473" s="43"/>
      <c r="AF1473" s="43"/>
      <c r="AH1473" s="43"/>
      <c r="AJ1473" s="43"/>
      <c r="AL1473" s="43"/>
      <c r="AO1473" s="43"/>
      <c r="AP1473" s="1"/>
      <c r="AQ1473" s="43"/>
      <c r="AR1473" s="123"/>
      <c r="AS1473" s="1"/>
      <c r="AT1473" s="1"/>
    </row>
    <row r="1474">
      <c r="A1474" s="43"/>
      <c r="B1474" s="59"/>
      <c r="C1474" s="51"/>
      <c r="D1474" s="43"/>
      <c r="E1474" s="85"/>
      <c r="F1474" s="43"/>
      <c r="G1474" s="85"/>
      <c r="H1474" s="43"/>
      <c r="I1474" s="85"/>
      <c r="J1474" s="43"/>
      <c r="L1474" s="43"/>
      <c r="N1474" s="43"/>
      <c r="P1474" s="43"/>
      <c r="R1474" s="43"/>
      <c r="T1474" s="43"/>
      <c r="V1474" s="43"/>
      <c r="X1474" s="43"/>
      <c r="Z1474" s="43"/>
      <c r="AB1474" s="43"/>
      <c r="AD1474" s="43"/>
      <c r="AF1474" s="43"/>
      <c r="AH1474" s="43"/>
      <c r="AJ1474" s="43"/>
      <c r="AL1474" s="43"/>
      <c r="AO1474" s="43"/>
      <c r="AP1474" s="1"/>
      <c r="AQ1474" s="43"/>
      <c r="AR1474" s="123"/>
      <c r="AS1474" s="1"/>
      <c r="AT1474" s="1"/>
    </row>
    <row r="1475">
      <c r="A1475" s="43"/>
      <c r="B1475" s="59"/>
      <c r="C1475" s="51"/>
      <c r="D1475" s="43"/>
      <c r="E1475" s="85"/>
      <c r="F1475" s="43"/>
      <c r="G1475" s="85"/>
      <c r="H1475" s="43"/>
      <c r="I1475" s="85"/>
      <c r="J1475" s="43"/>
      <c r="L1475" s="43"/>
      <c r="N1475" s="43"/>
      <c r="P1475" s="43"/>
      <c r="R1475" s="43"/>
      <c r="T1475" s="43"/>
      <c r="V1475" s="43"/>
      <c r="X1475" s="43"/>
      <c r="Z1475" s="43"/>
      <c r="AB1475" s="43"/>
      <c r="AD1475" s="43"/>
      <c r="AF1475" s="43"/>
      <c r="AH1475" s="43"/>
      <c r="AJ1475" s="43"/>
      <c r="AL1475" s="43"/>
      <c r="AO1475" s="43"/>
      <c r="AP1475" s="1"/>
      <c r="AQ1475" s="43"/>
      <c r="AR1475" s="123"/>
      <c r="AS1475" s="1"/>
      <c r="AT1475" s="1"/>
    </row>
    <row r="1476">
      <c r="A1476" s="43"/>
      <c r="B1476" s="59"/>
      <c r="C1476" s="51"/>
      <c r="D1476" s="43"/>
      <c r="E1476" s="85"/>
      <c r="F1476" s="43"/>
      <c r="G1476" s="85"/>
      <c r="H1476" s="43"/>
      <c r="I1476" s="85"/>
      <c r="J1476" s="43"/>
      <c r="L1476" s="43"/>
      <c r="N1476" s="43"/>
      <c r="P1476" s="43"/>
      <c r="R1476" s="43"/>
      <c r="T1476" s="43"/>
      <c r="V1476" s="43"/>
      <c r="X1476" s="43"/>
      <c r="Z1476" s="43"/>
      <c r="AB1476" s="43"/>
      <c r="AD1476" s="43"/>
      <c r="AF1476" s="43"/>
      <c r="AH1476" s="43"/>
      <c r="AJ1476" s="43"/>
      <c r="AL1476" s="43"/>
      <c r="AO1476" s="43"/>
      <c r="AP1476" s="1"/>
      <c r="AQ1476" s="43"/>
      <c r="AR1476" s="123"/>
      <c r="AS1476" s="1"/>
      <c r="AT1476" s="1"/>
    </row>
    <row r="1477">
      <c r="A1477" s="43"/>
      <c r="B1477" s="59"/>
      <c r="C1477" s="51"/>
      <c r="D1477" s="43"/>
      <c r="E1477" s="85"/>
      <c r="F1477" s="43"/>
      <c r="G1477" s="85"/>
      <c r="H1477" s="43"/>
      <c r="I1477" s="85"/>
      <c r="J1477" s="43"/>
      <c r="L1477" s="43"/>
      <c r="N1477" s="43"/>
      <c r="P1477" s="43"/>
      <c r="R1477" s="43"/>
      <c r="T1477" s="43"/>
      <c r="V1477" s="43"/>
      <c r="X1477" s="43"/>
      <c r="Z1477" s="43"/>
      <c r="AB1477" s="43"/>
      <c r="AD1477" s="43"/>
      <c r="AF1477" s="43"/>
      <c r="AH1477" s="43"/>
      <c r="AJ1477" s="43"/>
      <c r="AL1477" s="43"/>
      <c r="AO1477" s="43"/>
      <c r="AP1477" s="1"/>
      <c r="AQ1477" s="43"/>
      <c r="AR1477" s="123"/>
      <c r="AS1477" s="1"/>
      <c r="AT1477" s="1"/>
    </row>
    <row r="1478">
      <c r="A1478" s="43"/>
      <c r="B1478" s="59"/>
      <c r="C1478" s="51"/>
      <c r="D1478" s="43"/>
      <c r="E1478" s="85"/>
      <c r="F1478" s="43"/>
      <c r="G1478" s="85"/>
      <c r="H1478" s="43"/>
      <c r="I1478" s="85"/>
      <c r="J1478" s="43"/>
      <c r="L1478" s="43"/>
      <c r="N1478" s="43"/>
      <c r="P1478" s="43"/>
      <c r="R1478" s="43"/>
      <c r="T1478" s="43"/>
      <c r="V1478" s="43"/>
      <c r="X1478" s="43"/>
      <c r="Z1478" s="43"/>
      <c r="AB1478" s="43"/>
      <c r="AD1478" s="43"/>
      <c r="AF1478" s="43"/>
      <c r="AH1478" s="43"/>
      <c r="AJ1478" s="43"/>
      <c r="AL1478" s="43"/>
      <c r="AO1478" s="43"/>
      <c r="AP1478" s="1"/>
      <c r="AQ1478" s="43"/>
      <c r="AR1478" s="123"/>
      <c r="AS1478" s="1"/>
      <c r="AT1478" s="1"/>
    </row>
    <row r="1479">
      <c r="A1479" s="43"/>
      <c r="B1479" s="59"/>
      <c r="C1479" s="51"/>
      <c r="D1479" s="43"/>
      <c r="E1479" s="85"/>
      <c r="F1479" s="43"/>
      <c r="G1479" s="85"/>
      <c r="H1479" s="43"/>
      <c r="I1479" s="85"/>
      <c r="J1479" s="43"/>
      <c r="L1479" s="43"/>
      <c r="N1479" s="43"/>
      <c r="P1479" s="43"/>
      <c r="R1479" s="43"/>
      <c r="T1479" s="43"/>
      <c r="V1479" s="43"/>
      <c r="X1479" s="43"/>
      <c r="Z1479" s="43"/>
      <c r="AB1479" s="43"/>
      <c r="AD1479" s="43"/>
      <c r="AF1479" s="43"/>
      <c r="AH1479" s="43"/>
      <c r="AJ1479" s="43"/>
      <c r="AL1479" s="43"/>
      <c r="AO1479" s="43"/>
      <c r="AP1479" s="1"/>
      <c r="AQ1479" s="43"/>
      <c r="AR1479" s="123"/>
      <c r="AS1479" s="1"/>
      <c r="AT1479" s="1"/>
    </row>
    <row r="1480">
      <c r="A1480" s="43"/>
      <c r="B1480" s="59"/>
      <c r="C1480" s="51"/>
      <c r="D1480" s="43"/>
      <c r="E1480" s="85"/>
      <c r="F1480" s="43"/>
      <c r="G1480" s="85"/>
      <c r="H1480" s="43"/>
      <c r="I1480" s="85"/>
      <c r="J1480" s="43"/>
      <c r="L1480" s="43"/>
      <c r="N1480" s="43"/>
      <c r="P1480" s="43"/>
      <c r="R1480" s="43"/>
      <c r="T1480" s="43"/>
      <c r="V1480" s="43"/>
      <c r="X1480" s="43"/>
      <c r="Z1480" s="43"/>
      <c r="AB1480" s="43"/>
      <c r="AD1480" s="43"/>
      <c r="AF1480" s="43"/>
      <c r="AH1480" s="43"/>
      <c r="AJ1480" s="43"/>
      <c r="AL1480" s="43"/>
      <c r="AO1480" s="43"/>
      <c r="AP1480" s="1"/>
      <c r="AQ1480" s="43"/>
      <c r="AR1480" s="123"/>
      <c r="AS1480" s="1"/>
      <c r="AT1480" s="1"/>
    </row>
    <row r="1481">
      <c r="A1481" s="43"/>
      <c r="B1481" s="59"/>
      <c r="C1481" s="51"/>
      <c r="D1481" s="43"/>
      <c r="E1481" s="85"/>
      <c r="F1481" s="43"/>
      <c r="G1481" s="85"/>
      <c r="H1481" s="43"/>
      <c r="I1481" s="85"/>
      <c r="J1481" s="43"/>
      <c r="L1481" s="43"/>
      <c r="N1481" s="43"/>
      <c r="P1481" s="43"/>
      <c r="R1481" s="43"/>
      <c r="T1481" s="43"/>
      <c r="V1481" s="43"/>
      <c r="X1481" s="43"/>
      <c r="Z1481" s="43"/>
      <c r="AB1481" s="43"/>
      <c r="AD1481" s="43"/>
      <c r="AF1481" s="43"/>
      <c r="AH1481" s="43"/>
      <c r="AJ1481" s="43"/>
      <c r="AL1481" s="43"/>
      <c r="AO1481" s="43"/>
      <c r="AP1481" s="1"/>
      <c r="AQ1481" s="43"/>
      <c r="AR1481" s="123"/>
      <c r="AS1481" s="1"/>
      <c r="AT1481" s="1"/>
    </row>
    <row r="1482">
      <c r="A1482" s="43"/>
      <c r="B1482" s="59"/>
      <c r="C1482" s="51"/>
      <c r="D1482" s="43"/>
      <c r="E1482" s="85"/>
      <c r="F1482" s="43"/>
      <c r="G1482" s="85"/>
      <c r="H1482" s="43"/>
      <c r="I1482" s="85"/>
      <c r="J1482" s="43"/>
      <c r="L1482" s="43"/>
      <c r="N1482" s="43"/>
      <c r="P1482" s="43"/>
      <c r="R1482" s="43"/>
      <c r="T1482" s="43"/>
      <c r="V1482" s="43"/>
      <c r="X1482" s="43"/>
      <c r="Z1482" s="43"/>
      <c r="AB1482" s="43"/>
      <c r="AD1482" s="43"/>
      <c r="AF1482" s="43"/>
      <c r="AH1482" s="43"/>
      <c r="AJ1482" s="43"/>
      <c r="AL1482" s="43"/>
      <c r="AO1482" s="43"/>
      <c r="AP1482" s="1"/>
      <c r="AQ1482" s="43"/>
      <c r="AR1482" s="123"/>
      <c r="AS1482" s="1"/>
      <c r="AT1482" s="1"/>
    </row>
    <row r="1483">
      <c r="A1483" s="43"/>
      <c r="B1483" s="59"/>
      <c r="C1483" s="51"/>
      <c r="D1483" s="43"/>
      <c r="E1483" s="85"/>
      <c r="F1483" s="43"/>
      <c r="G1483" s="85"/>
      <c r="H1483" s="43"/>
      <c r="I1483" s="85"/>
      <c r="J1483" s="43"/>
      <c r="L1483" s="43"/>
      <c r="N1483" s="43"/>
      <c r="P1483" s="43"/>
      <c r="R1483" s="43"/>
      <c r="T1483" s="43"/>
      <c r="V1483" s="43"/>
      <c r="X1483" s="43"/>
      <c r="Z1483" s="43"/>
      <c r="AB1483" s="43"/>
      <c r="AD1483" s="43"/>
      <c r="AF1483" s="43"/>
      <c r="AH1483" s="43"/>
      <c r="AJ1483" s="43"/>
      <c r="AL1483" s="43"/>
      <c r="AO1483" s="43"/>
      <c r="AP1483" s="1"/>
      <c r="AQ1483" s="43"/>
      <c r="AR1483" s="123"/>
      <c r="AS1483" s="1"/>
      <c r="AT1483" s="1"/>
    </row>
    <row r="1484">
      <c r="A1484" s="43"/>
      <c r="B1484" s="59"/>
      <c r="C1484" s="51"/>
      <c r="D1484" s="43"/>
      <c r="E1484" s="85"/>
      <c r="F1484" s="43"/>
      <c r="G1484" s="85"/>
      <c r="H1484" s="43"/>
      <c r="I1484" s="85"/>
      <c r="J1484" s="43"/>
      <c r="L1484" s="43"/>
      <c r="N1484" s="43"/>
      <c r="P1484" s="43"/>
      <c r="R1484" s="43"/>
      <c r="T1484" s="43"/>
      <c r="V1484" s="43"/>
      <c r="X1484" s="43"/>
      <c r="Z1484" s="43"/>
      <c r="AB1484" s="43"/>
      <c r="AD1484" s="43"/>
      <c r="AF1484" s="43"/>
      <c r="AH1484" s="43"/>
      <c r="AJ1484" s="43"/>
      <c r="AL1484" s="43"/>
      <c r="AO1484" s="43"/>
      <c r="AP1484" s="1"/>
      <c r="AQ1484" s="43"/>
      <c r="AR1484" s="123"/>
      <c r="AS1484" s="1"/>
      <c r="AT1484" s="1"/>
    </row>
    <row r="1485">
      <c r="A1485" s="43"/>
      <c r="B1485" s="59"/>
      <c r="C1485" s="51"/>
      <c r="D1485" s="43"/>
      <c r="E1485" s="85"/>
      <c r="F1485" s="43"/>
      <c r="G1485" s="85"/>
      <c r="H1485" s="43"/>
      <c r="I1485" s="85"/>
      <c r="J1485" s="43"/>
      <c r="L1485" s="43"/>
      <c r="N1485" s="43"/>
      <c r="P1485" s="43"/>
      <c r="R1485" s="43"/>
      <c r="T1485" s="43"/>
      <c r="V1485" s="43"/>
      <c r="X1485" s="43"/>
      <c r="Z1485" s="43"/>
      <c r="AB1485" s="43"/>
      <c r="AD1485" s="43"/>
      <c r="AF1485" s="43"/>
      <c r="AH1485" s="43"/>
      <c r="AJ1485" s="43"/>
      <c r="AL1485" s="43"/>
      <c r="AO1485" s="43"/>
      <c r="AP1485" s="1"/>
      <c r="AQ1485" s="43"/>
      <c r="AR1485" s="123"/>
      <c r="AS1485" s="1"/>
      <c r="AT1485" s="1"/>
    </row>
    <row r="1486">
      <c r="A1486" s="43"/>
      <c r="B1486" s="59"/>
      <c r="C1486" s="51"/>
      <c r="D1486" s="43"/>
      <c r="E1486" s="85"/>
      <c r="F1486" s="43"/>
      <c r="G1486" s="85"/>
      <c r="H1486" s="43"/>
      <c r="I1486" s="85"/>
      <c r="J1486" s="43"/>
      <c r="L1486" s="43"/>
      <c r="N1486" s="43"/>
      <c r="P1486" s="43"/>
      <c r="R1486" s="43"/>
      <c r="T1486" s="43"/>
      <c r="V1486" s="43"/>
      <c r="X1486" s="43"/>
      <c r="Z1486" s="43"/>
      <c r="AB1486" s="43"/>
      <c r="AD1486" s="43"/>
      <c r="AF1486" s="43"/>
      <c r="AH1486" s="43"/>
      <c r="AJ1486" s="43"/>
      <c r="AL1486" s="43"/>
      <c r="AO1486" s="43"/>
      <c r="AP1486" s="1"/>
      <c r="AQ1486" s="43"/>
      <c r="AR1486" s="123"/>
      <c r="AS1486" s="1"/>
      <c r="AT1486" s="1"/>
    </row>
    <row r="1487">
      <c r="A1487" s="43"/>
      <c r="B1487" s="59"/>
      <c r="C1487" s="51"/>
      <c r="D1487" s="43"/>
      <c r="E1487" s="85"/>
      <c r="F1487" s="43"/>
      <c r="G1487" s="85"/>
      <c r="H1487" s="43"/>
      <c r="I1487" s="85"/>
      <c r="J1487" s="43"/>
      <c r="L1487" s="43"/>
      <c r="N1487" s="43"/>
      <c r="P1487" s="43"/>
      <c r="R1487" s="43"/>
      <c r="T1487" s="43"/>
      <c r="V1487" s="43"/>
      <c r="X1487" s="43"/>
      <c r="Z1487" s="43"/>
      <c r="AB1487" s="43"/>
      <c r="AD1487" s="43"/>
      <c r="AF1487" s="43"/>
      <c r="AH1487" s="43"/>
      <c r="AJ1487" s="43"/>
      <c r="AL1487" s="43"/>
      <c r="AO1487" s="43"/>
      <c r="AP1487" s="1"/>
      <c r="AQ1487" s="43"/>
      <c r="AR1487" s="123"/>
      <c r="AS1487" s="1"/>
      <c r="AT1487" s="1"/>
    </row>
    <row r="1488">
      <c r="A1488" s="43"/>
      <c r="B1488" s="59"/>
      <c r="C1488" s="51"/>
      <c r="D1488" s="43"/>
      <c r="E1488" s="85"/>
      <c r="F1488" s="43"/>
      <c r="G1488" s="85"/>
      <c r="H1488" s="43"/>
      <c r="I1488" s="85"/>
      <c r="J1488" s="43"/>
      <c r="L1488" s="43"/>
      <c r="N1488" s="43"/>
      <c r="P1488" s="43"/>
      <c r="R1488" s="43"/>
      <c r="T1488" s="43"/>
      <c r="V1488" s="43"/>
      <c r="X1488" s="43"/>
      <c r="Z1488" s="43"/>
      <c r="AB1488" s="43"/>
      <c r="AD1488" s="43"/>
      <c r="AF1488" s="43"/>
      <c r="AH1488" s="43"/>
      <c r="AJ1488" s="43"/>
      <c r="AL1488" s="43"/>
      <c r="AO1488" s="43"/>
      <c r="AP1488" s="1"/>
      <c r="AQ1488" s="43"/>
      <c r="AR1488" s="123"/>
      <c r="AS1488" s="1"/>
      <c r="AT1488" s="1"/>
    </row>
    <row r="1489">
      <c r="A1489" s="43"/>
      <c r="B1489" s="59"/>
      <c r="C1489" s="51"/>
      <c r="D1489" s="43"/>
      <c r="E1489" s="85"/>
      <c r="F1489" s="43"/>
      <c r="G1489" s="85"/>
      <c r="H1489" s="43"/>
      <c r="I1489" s="85"/>
      <c r="J1489" s="43"/>
      <c r="L1489" s="43"/>
      <c r="N1489" s="43"/>
      <c r="P1489" s="43"/>
      <c r="R1489" s="43"/>
      <c r="T1489" s="43"/>
      <c r="V1489" s="43"/>
      <c r="X1489" s="43"/>
      <c r="Z1489" s="43"/>
      <c r="AB1489" s="43"/>
      <c r="AD1489" s="43"/>
      <c r="AF1489" s="43"/>
      <c r="AH1489" s="43"/>
      <c r="AJ1489" s="43"/>
      <c r="AL1489" s="43"/>
      <c r="AO1489" s="43"/>
      <c r="AP1489" s="1"/>
      <c r="AQ1489" s="43"/>
      <c r="AR1489" s="123"/>
      <c r="AS1489" s="1"/>
      <c r="AT1489" s="1"/>
    </row>
    <row r="1490">
      <c r="A1490" s="43"/>
      <c r="B1490" s="59"/>
      <c r="C1490" s="51"/>
      <c r="D1490" s="43"/>
      <c r="E1490" s="85"/>
      <c r="F1490" s="43"/>
      <c r="G1490" s="85"/>
      <c r="H1490" s="43"/>
      <c r="I1490" s="85"/>
      <c r="J1490" s="43"/>
      <c r="L1490" s="43"/>
      <c r="N1490" s="43"/>
      <c r="P1490" s="43"/>
      <c r="R1490" s="43"/>
      <c r="T1490" s="43"/>
      <c r="V1490" s="43"/>
      <c r="X1490" s="43"/>
      <c r="Z1490" s="43"/>
      <c r="AB1490" s="43"/>
      <c r="AD1490" s="43"/>
      <c r="AF1490" s="43"/>
      <c r="AH1490" s="43"/>
      <c r="AJ1490" s="43"/>
      <c r="AL1490" s="43"/>
      <c r="AO1490" s="43"/>
      <c r="AP1490" s="1"/>
      <c r="AQ1490" s="43"/>
      <c r="AR1490" s="123"/>
      <c r="AS1490" s="1"/>
      <c r="AT1490" s="1"/>
    </row>
    <row r="1491">
      <c r="A1491" s="43"/>
      <c r="B1491" s="59"/>
      <c r="C1491" s="51"/>
      <c r="D1491" s="43"/>
      <c r="E1491" s="85"/>
      <c r="F1491" s="43"/>
      <c r="G1491" s="85"/>
      <c r="H1491" s="43"/>
      <c r="I1491" s="85"/>
      <c r="J1491" s="43"/>
      <c r="L1491" s="43"/>
      <c r="N1491" s="43"/>
      <c r="P1491" s="43"/>
      <c r="R1491" s="43"/>
      <c r="T1491" s="43"/>
      <c r="V1491" s="43"/>
      <c r="X1491" s="43"/>
      <c r="Z1491" s="43"/>
      <c r="AB1491" s="43"/>
      <c r="AD1491" s="43"/>
      <c r="AF1491" s="43"/>
      <c r="AH1491" s="43"/>
      <c r="AJ1491" s="43"/>
      <c r="AL1491" s="43"/>
      <c r="AO1491" s="43"/>
      <c r="AP1491" s="1"/>
      <c r="AQ1491" s="43"/>
      <c r="AR1491" s="123"/>
      <c r="AS1491" s="1"/>
      <c r="AT1491" s="1"/>
    </row>
    <row r="1492">
      <c r="A1492" s="43"/>
      <c r="B1492" s="59"/>
      <c r="C1492" s="51"/>
      <c r="D1492" s="43"/>
      <c r="E1492" s="85"/>
      <c r="F1492" s="43"/>
      <c r="G1492" s="85"/>
      <c r="H1492" s="43"/>
      <c r="I1492" s="85"/>
      <c r="J1492" s="43"/>
      <c r="L1492" s="43"/>
      <c r="N1492" s="43"/>
      <c r="P1492" s="43"/>
      <c r="R1492" s="43"/>
      <c r="T1492" s="43"/>
      <c r="V1492" s="43"/>
      <c r="X1492" s="43"/>
      <c r="Z1492" s="43"/>
      <c r="AB1492" s="43"/>
      <c r="AD1492" s="43"/>
      <c r="AF1492" s="43"/>
      <c r="AH1492" s="43"/>
      <c r="AJ1492" s="43"/>
      <c r="AL1492" s="43"/>
      <c r="AO1492" s="43"/>
      <c r="AP1492" s="1"/>
      <c r="AQ1492" s="43"/>
      <c r="AR1492" s="123"/>
      <c r="AS1492" s="1"/>
      <c r="AT1492" s="1"/>
    </row>
    <row r="1493">
      <c r="A1493" s="43"/>
      <c r="B1493" s="59"/>
      <c r="C1493" s="51"/>
      <c r="D1493" s="43"/>
      <c r="E1493" s="85"/>
      <c r="F1493" s="43"/>
      <c r="G1493" s="85"/>
      <c r="H1493" s="43"/>
      <c r="I1493" s="85"/>
      <c r="J1493" s="43"/>
      <c r="L1493" s="43"/>
      <c r="N1493" s="43"/>
      <c r="P1493" s="43"/>
      <c r="R1493" s="43"/>
      <c r="T1493" s="43"/>
      <c r="V1493" s="43"/>
      <c r="X1493" s="43"/>
      <c r="Z1493" s="43"/>
      <c r="AB1493" s="43"/>
      <c r="AD1493" s="43"/>
      <c r="AF1493" s="43"/>
      <c r="AH1493" s="43"/>
      <c r="AJ1493" s="43"/>
      <c r="AL1493" s="43"/>
      <c r="AO1493" s="43"/>
      <c r="AP1493" s="1"/>
      <c r="AQ1493" s="43"/>
      <c r="AR1493" s="123"/>
      <c r="AS1493" s="1"/>
      <c r="AT1493" s="1"/>
    </row>
    <row r="1494">
      <c r="A1494" s="43"/>
      <c r="B1494" s="59"/>
      <c r="C1494" s="51"/>
      <c r="D1494" s="43"/>
      <c r="E1494" s="85"/>
      <c r="F1494" s="43"/>
      <c r="G1494" s="85"/>
      <c r="H1494" s="43"/>
      <c r="I1494" s="85"/>
      <c r="J1494" s="43"/>
      <c r="L1494" s="43"/>
      <c r="N1494" s="43"/>
      <c r="P1494" s="43"/>
      <c r="R1494" s="43"/>
      <c r="T1494" s="43"/>
      <c r="V1494" s="43"/>
      <c r="X1494" s="43"/>
      <c r="Z1494" s="43"/>
      <c r="AB1494" s="43"/>
      <c r="AD1494" s="43"/>
      <c r="AF1494" s="43"/>
      <c r="AH1494" s="43"/>
      <c r="AJ1494" s="43"/>
      <c r="AL1494" s="43"/>
      <c r="AO1494" s="43"/>
      <c r="AP1494" s="1"/>
      <c r="AQ1494" s="43"/>
      <c r="AR1494" s="123"/>
      <c r="AS1494" s="1"/>
      <c r="AT1494" s="1"/>
    </row>
    <row r="1495">
      <c r="A1495" s="43"/>
      <c r="B1495" s="59"/>
      <c r="C1495" s="51"/>
      <c r="D1495" s="43"/>
      <c r="E1495" s="85"/>
      <c r="F1495" s="43"/>
      <c r="G1495" s="85"/>
      <c r="H1495" s="43"/>
      <c r="I1495" s="85"/>
      <c r="J1495" s="43"/>
      <c r="L1495" s="43"/>
      <c r="N1495" s="43"/>
      <c r="P1495" s="43"/>
      <c r="R1495" s="43"/>
      <c r="T1495" s="43"/>
      <c r="V1495" s="43"/>
      <c r="X1495" s="43"/>
      <c r="Z1495" s="43"/>
      <c r="AB1495" s="43"/>
      <c r="AD1495" s="43"/>
      <c r="AF1495" s="43"/>
      <c r="AH1495" s="43"/>
      <c r="AJ1495" s="43"/>
      <c r="AL1495" s="43"/>
      <c r="AO1495" s="43"/>
      <c r="AP1495" s="1"/>
      <c r="AQ1495" s="43"/>
      <c r="AR1495" s="123"/>
      <c r="AS1495" s="1"/>
      <c r="AT1495" s="1"/>
    </row>
    <row r="1496">
      <c r="A1496" s="43"/>
      <c r="B1496" s="59"/>
      <c r="C1496" s="51"/>
      <c r="D1496" s="43"/>
      <c r="E1496" s="85"/>
      <c r="F1496" s="43"/>
      <c r="G1496" s="85"/>
      <c r="H1496" s="43"/>
      <c r="I1496" s="85"/>
      <c r="J1496" s="43"/>
      <c r="L1496" s="43"/>
      <c r="N1496" s="43"/>
      <c r="P1496" s="43"/>
      <c r="R1496" s="43"/>
      <c r="T1496" s="43"/>
      <c r="V1496" s="43"/>
      <c r="X1496" s="43"/>
      <c r="Z1496" s="43"/>
      <c r="AB1496" s="43"/>
      <c r="AD1496" s="43"/>
      <c r="AF1496" s="43"/>
      <c r="AH1496" s="43"/>
      <c r="AJ1496" s="43"/>
      <c r="AL1496" s="43"/>
      <c r="AO1496" s="43"/>
      <c r="AP1496" s="1"/>
      <c r="AQ1496" s="43"/>
      <c r="AR1496" s="123"/>
      <c r="AS1496" s="1"/>
      <c r="AT1496" s="1"/>
    </row>
    <row r="1497">
      <c r="A1497" s="43"/>
      <c r="B1497" s="59"/>
      <c r="C1497" s="51"/>
      <c r="D1497" s="43"/>
      <c r="E1497" s="85"/>
      <c r="F1497" s="43"/>
      <c r="G1497" s="85"/>
      <c r="H1497" s="43"/>
      <c r="I1497" s="85"/>
      <c r="J1497" s="43"/>
      <c r="L1497" s="43"/>
      <c r="N1497" s="43"/>
      <c r="P1497" s="43"/>
      <c r="R1497" s="43"/>
      <c r="T1497" s="43"/>
      <c r="V1497" s="43"/>
      <c r="X1497" s="43"/>
      <c r="Z1497" s="43"/>
      <c r="AB1497" s="43"/>
      <c r="AD1497" s="43"/>
      <c r="AF1497" s="43"/>
      <c r="AH1497" s="43"/>
      <c r="AJ1497" s="43"/>
      <c r="AL1497" s="43"/>
      <c r="AO1497" s="43"/>
      <c r="AP1497" s="1"/>
      <c r="AQ1497" s="43"/>
      <c r="AR1497" s="123"/>
      <c r="AS1497" s="1"/>
      <c r="AT1497" s="1"/>
    </row>
    <row r="1498">
      <c r="A1498" s="43"/>
      <c r="B1498" s="59"/>
      <c r="C1498" s="51"/>
      <c r="D1498" s="43"/>
      <c r="E1498" s="85"/>
      <c r="F1498" s="43"/>
      <c r="G1498" s="85"/>
      <c r="H1498" s="43"/>
      <c r="I1498" s="85"/>
      <c r="J1498" s="43"/>
      <c r="L1498" s="43"/>
      <c r="N1498" s="43"/>
      <c r="P1498" s="43"/>
      <c r="R1498" s="43"/>
      <c r="T1498" s="43"/>
      <c r="V1498" s="43"/>
      <c r="X1498" s="43"/>
      <c r="Z1498" s="43"/>
      <c r="AB1498" s="43"/>
      <c r="AD1498" s="43"/>
      <c r="AF1498" s="43"/>
      <c r="AH1498" s="43"/>
      <c r="AJ1498" s="43"/>
      <c r="AL1498" s="43"/>
      <c r="AO1498" s="43"/>
      <c r="AP1498" s="1"/>
      <c r="AQ1498" s="43"/>
      <c r="AR1498" s="123"/>
      <c r="AS1498" s="1"/>
      <c r="AT1498" s="1"/>
    </row>
    <row r="1499">
      <c r="A1499" s="43"/>
      <c r="B1499" s="59"/>
      <c r="C1499" s="51"/>
      <c r="D1499" s="43"/>
      <c r="E1499" s="85"/>
      <c r="F1499" s="43"/>
      <c r="G1499" s="85"/>
      <c r="H1499" s="43"/>
      <c r="I1499" s="85"/>
      <c r="J1499" s="43"/>
      <c r="L1499" s="43"/>
      <c r="N1499" s="43"/>
      <c r="P1499" s="43"/>
      <c r="R1499" s="43"/>
      <c r="T1499" s="43"/>
      <c r="V1499" s="43"/>
      <c r="X1499" s="43"/>
      <c r="Z1499" s="43"/>
      <c r="AB1499" s="43"/>
      <c r="AD1499" s="43"/>
      <c r="AF1499" s="43"/>
      <c r="AH1499" s="43"/>
      <c r="AJ1499" s="43"/>
      <c r="AL1499" s="43"/>
      <c r="AO1499" s="43"/>
      <c r="AP1499" s="1"/>
      <c r="AQ1499" s="43"/>
      <c r="AR1499" s="123"/>
      <c r="AS1499" s="1"/>
      <c r="AT1499" s="1"/>
    </row>
    <row r="1500">
      <c r="A1500" s="43"/>
      <c r="B1500" s="59"/>
      <c r="C1500" s="51"/>
      <c r="D1500" s="43"/>
      <c r="E1500" s="85"/>
      <c r="F1500" s="43"/>
      <c r="G1500" s="85"/>
      <c r="H1500" s="43"/>
      <c r="I1500" s="85"/>
      <c r="J1500" s="43"/>
      <c r="L1500" s="43"/>
      <c r="N1500" s="43"/>
      <c r="P1500" s="43"/>
      <c r="R1500" s="43"/>
      <c r="T1500" s="43"/>
      <c r="V1500" s="43"/>
      <c r="X1500" s="43"/>
      <c r="Z1500" s="43"/>
      <c r="AB1500" s="43"/>
      <c r="AD1500" s="43"/>
      <c r="AF1500" s="43"/>
      <c r="AH1500" s="43"/>
      <c r="AJ1500" s="43"/>
      <c r="AL1500" s="43"/>
      <c r="AO1500" s="43"/>
      <c r="AP1500" s="1"/>
      <c r="AQ1500" s="43"/>
      <c r="AR1500" s="123"/>
      <c r="AS1500" s="1"/>
      <c r="AT1500" s="1"/>
    </row>
    <row r="1501">
      <c r="A1501" s="43"/>
      <c r="B1501" s="59"/>
      <c r="C1501" s="51"/>
      <c r="D1501" s="43"/>
      <c r="E1501" s="85"/>
      <c r="F1501" s="43"/>
      <c r="G1501" s="85"/>
      <c r="H1501" s="43"/>
      <c r="I1501" s="85"/>
      <c r="J1501" s="43"/>
      <c r="L1501" s="43"/>
      <c r="N1501" s="43"/>
      <c r="P1501" s="43"/>
      <c r="R1501" s="43"/>
      <c r="T1501" s="43"/>
      <c r="V1501" s="43"/>
      <c r="X1501" s="43"/>
      <c r="Z1501" s="43"/>
      <c r="AB1501" s="43"/>
      <c r="AD1501" s="43"/>
      <c r="AF1501" s="43"/>
      <c r="AH1501" s="43"/>
      <c r="AJ1501" s="43"/>
      <c r="AL1501" s="43"/>
      <c r="AO1501" s="43"/>
      <c r="AP1501" s="1"/>
      <c r="AQ1501" s="43"/>
      <c r="AR1501" s="123"/>
      <c r="AS1501" s="1"/>
      <c r="AT1501" s="1"/>
    </row>
    <row r="1502">
      <c r="A1502" s="43"/>
      <c r="B1502" s="59"/>
      <c r="C1502" s="51"/>
      <c r="D1502" s="43"/>
      <c r="E1502" s="85"/>
      <c r="F1502" s="43"/>
      <c r="G1502" s="85"/>
      <c r="H1502" s="43"/>
      <c r="I1502" s="85"/>
      <c r="J1502" s="43"/>
      <c r="L1502" s="43"/>
      <c r="N1502" s="43"/>
      <c r="P1502" s="43"/>
      <c r="R1502" s="43"/>
      <c r="T1502" s="43"/>
      <c r="V1502" s="43"/>
      <c r="X1502" s="43"/>
      <c r="Z1502" s="43"/>
      <c r="AB1502" s="43"/>
      <c r="AD1502" s="43"/>
      <c r="AF1502" s="43"/>
      <c r="AH1502" s="43"/>
      <c r="AJ1502" s="43"/>
      <c r="AL1502" s="43"/>
      <c r="AO1502" s="43"/>
      <c r="AP1502" s="1"/>
      <c r="AQ1502" s="43"/>
      <c r="AR1502" s="123"/>
      <c r="AS1502" s="1"/>
      <c r="AT1502" s="1"/>
    </row>
    <row r="1503">
      <c r="A1503" s="43"/>
      <c r="B1503" s="59"/>
      <c r="C1503" s="51"/>
      <c r="D1503" s="43"/>
      <c r="E1503" s="85"/>
      <c r="F1503" s="43"/>
      <c r="G1503" s="85"/>
      <c r="H1503" s="43"/>
      <c r="I1503" s="85"/>
      <c r="J1503" s="43"/>
      <c r="L1503" s="43"/>
      <c r="N1503" s="43"/>
      <c r="P1503" s="43"/>
      <c r="R1503" s="43"/>
      <c r="T1503" s="43"/>
      <c r="V1503" s="43"/>
      <c r="X1503" s="43"/>
      <c r="Z1503" s="43"/>
      <c r="AB1503" s="43"/>
      <c r="AD1503" s="43"/>
      <c r="AF1503" s="43"/>
      <c r="AH1503" s="43"/>
      <c r="AJ1503" s="43"/>
      <c r="AL1503" s="43"/>
      <c r="AO1503" s="43"/>
      <c r="AP1503" s="1"/>
      <c r="AQ1503" s="43"/>
      <c r="AR1503" s="123"/>
      <c r="AS1503" s="1"/>
      <c r="AT1503" s="1"/>
    </row>
    <row r="1504">
      <c r="A1504" s="43"/>
      <c r="B1504" s="59"/>
      <c r="C1504" s="51"/>
      <c r="D1504" s="43"/>
      <c r="E1504" s="85"/>
      <c r="F1504" s="43"/>
      <c r="G1504" s="85"/>
      <c r="H1504" s="43"/>
      <c r="I1504" s="85"/>
      <c r="J1504" s="43"/>
      <c r="L1504" s="43"/>
      <c r="N1504" s="43"/>
      <c r="P1504" s="43"/>
      <c r="R1504" s="43"/>
      <c r="T1504" s="43"/>
      <c r="V1504" s="43"/>
      <c r="X1504" s="43"/>
      <c r="Z1504" s="43"/>
      <c r="AB1504" s="43"/>
      <c r="AD1504" s="43"/>
      <c r="AF1504" s="43"/>
      <c r="AH1504" s="43"/>
      <c r="AJ1504" s="43"/>
      <c r="AL1504" s="43"/>
      <c r="AO1504" s="43"/>
      <c r="AP1504" s="1"/>
      <c r="AQ1504" s="43"/>
      <c r="AR1504" s="123"/>
      <c r="AS1504" s="1"/>
      <c r="AT1504" s="1"/>
    </row>
    <row r="1505">
      <c r="A1505" s="43"/>
      <c r="B1505" s="59"/>
      <c r="C1505" s="51"/>
      <c r="D1505" s="43"/>
      <c r="E1505" s="85"/>
      <c r="F1505" s="43"/>
      <c r="G1505" s="85"/>
      <c r="H1505" s="43"/>
      <c r="I1505" s="85"/>
      <c r="J1505" s="43"/>
      <c r="L1505" s="43"/>
      <c r="N1505" s="43"/>
      <c r="P1505" s="43"/>
      <c r="R1505" s="43"/>
      <c r="T1505" s="43"/>
      <c r="V1505" s="43"/>
      <c r="X1505" s="43"/>
      <c r="Z1505" s="43"/>
      <c r="AB1505" s="43"/>
      <c r="AD1505" s="43"/>
      <c r="AF1505" s="43"/>
      <c r="AH1505" s="43"/>
      <c r="AJ1505" s="43"/>
      <c r="AL1505" s="43"/>
      <c r="AO1505" s="43"/>
      <c r="AP1505" s="1"/>
      <c r="AQ1505" s="43"/>
      <c r="AR1505" s="123"/>
      <c r="AS1505" s="1"/>
      <c r="AT1505" s="1"/>
    </row>
    <row r="1506">
      <c r="A1506" s="43"/>
      <c r="B1506" s="59"/>
      <c r="C1506" s="51"/>
      <c r="D1506" s="43"/>
      <c r="E1506" s="85"/>
      <c r="F1506" s="43"/>
      <c r="G1506" s="85"/>
      <c r="H1506" s="43"/>
      <c r="I1506" s="85"/>
      <c r="J1506" s="43"/>
      <c r="L1506" s="43"/>
      <c r="N1506" s="43"/>
      <c r="P1506" s="43"/>
      <c r="R1506" s="43"/>
      <c r="T1506" s="43"/>
      <c r="V1506" s="43"/>
      <c r="X1506" s="43"/>
      <c r="Z1506" s="43"/>
      <c r="AB1506" s="43"/>
      <c r="AD1506" s="43"/>
      <c r="AF1506" s="43"/>
      <c r="AH1506" s="43"/>
      <c r="AJ1506" s="43"/>
      <c r="AL1506" s="43"/>
      <c r="AO1506" s="43"/>
      <c r="AP1506" s="1"/>
      <c r="AQ1506" s="43"/>
      <c r="AR1506" s="123"/>
      <c r="AS1506" s="1"/>
      <c r="AT1506" s="1"/>
    </row>
    <row r="1507">
      <c r="A1507" s="43"/>
      <c r="B1507" s="59"/>
      <c r="C1507" s="51"/>
      <c r="D1507" s="43"/>
      <c r="E1507" s="85"/>
      <c r="F1507" s="43"/>
      <c r="G1507" s="85"/>
      <c r="H1507" s="43"/>
      <c r="I1507" s="85"/>
      <c r="J1507" s="43"/>
      <c r="L1507" s="43"/>
      <c r="N1507" s="43"/>
      <c r="P1507" s="43"/>
      <c r="R1507" s="43"/>
      <c r="T1507" s="43"/>
      <c r="V1507" s="43"/>
      <c r="X1507" s="43"/>
      <c r="Z1507" s="43"/>
      <c r="AB1507" s="43"/>
      <c r="AD1507" s="43"/>
      <c r="AF1507" s="43"/>
      <c r="AH1507" s="43"/>
      <c r="AJ1507" s="43"/>
      <c r="AL1507" s="43"/>
      <c r="AO1507" s="43"/>
      <c r="AP1507" s="1"/>
      <c r="AQ1507" s="43"/>
      <c r="AR1507" s="123"/>
      <c r="AS1507" s="1"/>
      <c r="AT1507" s="1"/>
    </row>
    <row r="1508">
      <c r="A1508" s="43"/>
      <c r="B1508" s="59"/>
      <c r="C1508" s="51"/>
      <c r="D1508" s="43"/>
      <c r="E1508" s="85"/>
      <c r="F1508" s="43"/>
      <c r="G1508" s="85"/>
      <c r="H1508" s="43"/>
      <c r="I1508" s="85"/>
      <c r="J1508" s="43"/>
      <c r="L1508" s="43"/>
      <c r="N1508" s="43"/>
      <c r="P1508" s="43"/>
      <c r="R1508" s="43"/>
      <c r="T1508" s="43"/>
      <c r="V1508" s="43"/>
      <c r="X1508" s="43"/>
      <c r="Z1508" s="43"/>
      <c r="AB1508" s="43"/>
      <c r="AD1508" s="43"/>
      <c r="AF1508" s="43"/>
      <c r="AH1508" s="43"/>
      <c r="AJ1508" s="43"/>
      <c r="AL1508" s="43"/>
      <c r="AO1508" s="43"/>
      <c r="AP1508" s="1"/>
      <c r="AQ1508" s="43"/>
      <c r="AR1508" s="123"/>
      <c r="AS1508" s="1"/>
      <c r="AT1508" s="1"/>
    </row>
    <row r="1509">
      <c r="A1509" s="43"/>
      <c r="B1509" s="59"/>
      <c r="C1509" s="51"/>
      <c r="D1509" s="43"/>
      <c r="E1509" s="85"/>
      <c r="F1509" s="43"/>
      <c r="G1509" s="85"/>
      <c r="H1509" s="43"/>
      <c r="I1509" s="85"/>
      <c r="J1509" s="43"/>
      <c r="L1509" s="43"/>
      <c r="N1509" s="43"/>
      <c r="P1509" s="43"/>
      <c r="R1509" s="43"/>
      <c r="T1509" s="43"/>
      <c r="V1509" s="43"/>
      <c r="X1509" s="43"/>
      <c r="Z1509" s="43"/>
      <c r="AB1509" s="43"/>
      <c r="AD1509" s="43"/>
      <c r="AF1509" s="43"/>
      <c r="AH1509" s="43"/>
      <c r="AJ1509" s="43"/>
      <c r="AL1509" s="43"/>
      <c r="AO1509" s="43"/>
      <c r="AP1509" s="1"/>
      <c r="AQ1509" s="43"/>
      <c r="AR1509" s="123"/>
      <c r="AS1509" s="1"/>
      <c r="AT1509" s="1"/>
    </row>
    <row r="1510">
      <c r="A1510" s="43"/>
      <c r="B1510" s="59"/>
      <c r="C1510" s="51"/>
      <c r="D1510" s="43"/>
      <c r="E1510" s="85"/>
      <c r="F1510" s="43"/>
      <c r="G1510" s="85"/>
      <c r="H1510" s="43"/>
      <c r="I1510" s="85"/>
      <c r="J1510" s="43"/>
      <c r="L1510" s="43"/>
      <c r="N1510" s="43"/>
      <c r="P1510" s="43"/>
      <c r="R1510" s="43"/>
      <c r="T1510" s="43"/>
      <c r="V1510" s="43"/>
      <c r="X1510" s="43"/>
      <c r="Z1510" s="43"/>
      <c r="AB1510" s="43"/>
      <c r="AD1510" s="43"/>
      <c r="AF1510" s="43"/>
      <c r="AH1510" s="43"/>
      <c r="AJ1510" s="43"/>
      <c r="AL1510" s="43"/>
      <c r="AO1510" s="43"/>
      <c r="AP1510" s="1"/>
      <c r="AQ1510" s="43"/>
      <c r="AR1510" s="123"/>
      <c r="AS1510" s="1"/>
      <c r="AT1510" s="1"/>
    </row>
    <row r="1511">
      <c r="A1511" s="43"/>
      <c r="B1511" s="59"/>
      <c r="C1511" s="51"/>
      <c r="D1511" s="43"/>
      <c r="E1511" s="85"/>
      <c r="F1511" s="43"/>
      <c r="G1511" s="85"/>
      <c r="H1511" s="43"/>
      <c r="I1511" s="85"/>
      <c r="J1511" s="43"/>
      <c r="L1511" s="43"/>
      <c r="N1511" s="43"/>
      <c r="P1511" s="43"/>
      <c r="R1511" s="43"/>
      <c r="T1511" s="43"/>
      <c r="V1511" s="43"/>
      <c r="X1511" s="43"/>
      <c r="Z1511" s="43"/>
      <c r="AB1511" s="43"/>
      <c r="AD1511" s="43"/>
      <c r="AF1511" s="43"/>
      <c r="AH1511" s="43"/>
      <c r="AJ1511" s="43"/>
      <c r="AL1511" s="43"/>
      <c r="AO1511" s="43"/>
      <c r="AP1511" s="1"/>
      <c r="AQ1511" s="43"/>
      <c r="AR1511" s="123"/>
      <c r="AS1511" s="1"/>
      <c r="AT1511" s="1"/>
    </row>
    <row r="1512">
      <c r="A1512" s="43"/>
      <c r="B1512" s="59"/>
      <c r="C1512" s="51"/>
      <c r="D1512" s="43"/>
      <c r="E1512" s="85"/>
      <c r="F1512" s="43"/>
      <c r="G1512" s="85"/>
      <c r="H1512" s="43"/>
      <c r="I1512" s="85"/>
      <c r="J1512" s="43"/>
      <c r="L1512" s="43"/>
      <c r="N1512" s="43"/>
      <c r="P1512" s="43"/>
      <c r="R1512" s="43"/>
      <c r="T1512" s="43"/>
      <c r="V1512" s="43"/>
      <c r="X1512" s="43"/>
      <c r="Z1512" s="43"/>
      <c r="AB1512" s="43"/>
      <c r="AD1512" s="43"/>
      <c r="AF1512" s="43"/>
      <c r="AH1512" s="43"/>
      <c r="AJ1512" s="43"/>
      <c r="AL1512" s="43"/>
      <c r="AO1512" s="43"/>
      <c r="AP1512" s="1"/>
      <c r="AQ1512" s="43"/>
      <c r="AR1512" s="123"/>
      <c r="AS1512" s="1"/>
      <c r="AT1512" s="1"/>
    </row>
    <row r="1513">
      <c r="A1513" s="43"/>
      <c r="B1513" s="59"/>
      <c r="C1513" s="51"/>
      <c r="D1513" s="43"/>
      <c r="E1513" s="85"/>
      <c r="F1513" s="43"/>
      <c r="G1513" s="85"/>
      <c r="H1513" s="43"/>
      <c r="I1513" s="85"/>
      <c r="J1513" s="43"/>
      <c r="L1513" s="43"/>
      <c r="N1513" s="43"/>
      <c r="P1513" s="43"/>
      <c r="R1513" s="43"/>
      <c r="T1513" s="43"/>
      <c r="V1513" s="43"/>
      <c r="X1513" s="43"/>
      <c r="Z1513" s="43"/>
      <c r="AB1513" s="43"/>
      <c r="AD1513" s="43"/>
      <c r="AF1513" s="43"/>
      <c r="AH1513" s="43"/>
      <c r="AJ1513" s="43"/>
      <c r="AL1513" s="43"/>
      <c r="AO1513" s="43"/>
      <c r="AP1513" s="1"/>
      <c r="AQ1513" s="43"/>
      <c r="AR1513" s="123"/>
      <c r="AS1513" s="1"/>
      <c r="AT1513" s="1"/>
    </row>
    <row r="1514">
      <c r="A1514" s="43"/>
      <c r="B1514" s="59"/>
      <c r="C1514" s="51"/>
      <c r="D1514" s="43"/>
      <c r="E1514" s="85"/>
      <c r="F1514" s="43"/>
      <c r="G1514" s="85"/>
      <c r="H1514" s="43"/>
      <c r="I1514" s="85"/>
      <c r="J1514" s="43"/>
      <c r="L1514" s="43"/>
      <c r="N1514" s="43"/>
      <c r="P1514" s="43"/>
      <c r="R1514" s="43"/>
      <c r="T1514" s="43"/>
      <c r="V1514" s="43"/>
      <c r="X1514" s="43"/>
      <c r="Z1514" s="43"/>
      <c r="AB1514" s="43"/>
      <c r="AD1514" s="43"/>
      <c r="AF1514" s="43"/>
      <c r="AH1514" s="43"/>
      <c r="AJ1514" s="43"/>
      <c r="AL1514" s="43"/>
      <c r="AO1514" s="43"/>
      <c r="AP1514" s="1"/>
      <c r="AQ1514" s="43"/>
      <c r="AR1514" s="123"/>
      <c r="AS1514" s="1"/>
      <c r="AT1514" s="1"/>
    </row>
    <row r="1515">
      <c r="A1515" s="43"/>
      <c r="B1515" s="59"/>
      <c r="C1515" s="51"/>
      <c r="D1515" s="43"/>
      <c r="E1515" s="85"/>
      <c r="F1515" s="43"/>
      <c r="G1515" s="85"/>
      <c r="H1515" s="43"/>
      <c r="I1515" s="85"/>
      <c r="J1515" s="43"/>
      <c r="L1515" s="43"/>
      <c r="N1515" s="43"/>
      <c r="P1515" s="43"/>
      <c r="R1515" s="43"/>
      <c r="T1515" s="43"/>
      <c r="V1515" s="43"/>
      <c r="X1515" s="43"/>
      <c r="Z1515" s="43"/>
      <c r="AB1515" s="43"/>
      <c r="AD1515" s="43"/>
      <c r="AF1515" s="43"/>
      <c r="AH1515" s="43"/>
      <c r="AJ1515" s="43"/>
      <c r="AL1515" s="43"/>
      <c r="AO1515" s="43"/>
      <c r="AP1515" s="1"/>
      <c r="AQ1515" s="43"/>
      <c r="AR1515" s="123"/>
      <c r="AS1515" s="1"/>
      <c r="AT1515" s="1"/>
    </row>
    <row r="1516">
      <c r="A1516" s="43"/>
      <c r="B1516" s="59"/>
      <c r="C1516" s="51"/>
      <c r="D1516" s="43"/>
      <c r="E1516" s="85"/>
      <c r="F1516" s="43"/>
      <c r="G1516" s="85"/>
      <c r="H1516" s="43"/>
      <c r="I1516" s="85"/>
      <c r="J1516" s="43"/>
      <c r="L1516" s="43"/>
      <c r="N1516" s="43"/>
      <c r="P1516" s="43"/>
      <c r="R1516" s="43"/>
      <c r="T1516" s="43"/>
      <c r="V1516" s="43"/>
      <c r="X1516" s="43"/>
      <c r="Z1516" s="43"/>
      <c r="AB1516" s="43"/>
      <c r="AD1516" s="43"/>
      <c r="AF1516" s="43"/>
      <c r="AH1516" s="43"/>
      <c r="AJ1516" s="43"/>
      <c r="AL1516" s="43"/>
      <c r="AO1516" s="43"/>
      <c r="AP1516" s="1"/>
      <c r="AQ1516" s="43"/>
      <c r="AR1516" s="123"/>
      <c r="AS1516" s="1"/>
      <c r="AT1516" s="1"/>
    </row>
    <row r="1517">
      <c r="A1517" s="43"/>
      <c r="B1517" s="59"/>
      <c r="C1517" s="51"/>
      <c r="D1517" s="43"/>
      <c r="E1517" s="85"/>
      <c r="F1517" s="43"/>
      <c r="G1517" s="85"/>
      <c r="H1517" s="43"/>
      <c r="I1517" s="85"/>
      <c r="J1517" s="43"/>
      <c r="L1517" s="43"/>
      <c r="N1517" s="43"/>
      <c r="P1517" s="43"/>
      <c r="R1517" s="43"/>
      <c r="T1517" s="43"/>
      <c r="V1517" s="43"/>
      <c r="X1517" s="43"/>
      <c r="Z1517" s="43"/>
      <c r="AB1517" s="43"/>
      <c r="AD1517" s="43"/>
      <c r="AF1517" s="43"/>
      <c r="AH1517" s="43"/>
      <c r="AJ1517" s="43"/>
      <c r="AL1517" s="43"/>
      <c r="AO1517" s="43"/>
      <c r="AP1517" s="1"/>
      <c r="AQ1517" s="43"/>
      <c r="AR1517" s="123"/>
      <c r="AS1517" s="1"/>
      <c r="AT1517" s="1"/>
    </row>
    <row r="1518">
      <c r="A1518" s="43"/>
      <c r="B1518" s="59"/>
      <c r="C1518" s="51"/>
      <c r="D1518" s="43"/>
      <c r="E1518" s="85"/>
      <c r="F1518" s="43"/>
      <c r="G1518" s="85"/>
      <c r="H1518" s="43"/>
      <c r="I1518" s="85"/>
      <c r="J1518" s="43"/>
      <c r="L1518" s="43"/>
      <c r="N1518" s="43"/>
      <c r="P1518" s="43"/>
      <c r="R1518" s="43"/>
      <c r="T1518" s="43"/>
      <c r="V1518" s="43"/>
      <c r="X1518" s="43"/>
      <c r="Z1518" s="43"/>
      <c r="AB1518" s="43"/>
      <c r="AD1518" s="43"/>
      <c r="AF1518" s="43"/>
      <c r="AH1518" s="43"/>
      <c r="AJ1518" s="43"/>
      <c r="AL1518" s="43"/>
      <c r="AO1518" s="43"/>
      <c r="AP1518" s="1"/>
      <c r="AQ1518" s="43"/>
      <c r="AR1518" s="123"/>
      <c r="AS1518" s="1"/>
      <c r="AT1518" s="1"/>
    </row>
    <row r="1519">
      <c r="A1519" s="43"/>
      <c r="B1519" s="59"/>
      <c r="C1519" s="51"/>
      <c r="D1519" s="43"/>
      <c r="E1519" s="85"/>
      <c r="F1519" s="43"/>
      <c r="G1519" s="85"/>
      <c r="H1519" s="43"/>
      <c r="I1519" s="85"/>
      <c r="J1519" s="43"/>
      <c r="L1519" s="43"/>
      <c r="N1519" s="43"/>
      <c r="P1519" s="43"/>
      <c r="R1519" s="43"/>
      <c r="T1519" s="43"/>
      <c r="V1519" s="43"/>
      <c r="X1519" s="43"/>
      <c r="Z1519" s="43"/>
      <c r="AB1519" s="43"/>
      <c r="AD1519" s="43"/>
      <c r="AF1519" s="43"/>
      <c r="AH1519" s="43"/>
      <c r="AJ1519" s="43"/>
      <c r="AL1519" s="43"/>
      <c r="AO1519" s="43"/>
      <c r="AP1519" s="1"/>
      <c r="AQ1519" s="43"/>
      <c r="AR1519" s="123"/>
      <c r="AS1519" s="1"/>
      <c r="AT1519" s="1"/>
    </row>
    <row r="1520">
      <c r="A1520" s="43"/>
      <c r="B1520" s="59"/>
      <c r="C1520" s="51"/>
      <c r="D1520" s="43"/>
      <c r="E1520" s="85"/>
      <c r="F1520" s="43"/>
      <c r="G1520" s="85"/>
      <c r="H1520" s="43"/>
      <c r="I1520" s="85"/>
      <c r="J1520" s="43"/>
      <c r="L1520" s="43"/>
      <c r="N1520" s="43"/>
      <c r="P1520" s="43"/>
      <c r="R1520" s="43"/>
      <c r="T1520" s="43"/>
      <c r="V1520" s="43"/>
      <c r="X1520" s="43"/>
      <c r="Z1520" s="43"/>
      <c r="AB1520" s="43"/>
      <c r="AD1520" s="43"/>
      <c r="AF1520" s="43"/>
      <c r="AH1520" s="43"/>
      <c r="AJ1520" s="43"/>
      <c r="AL1520" s="43"/>
      <c r="AO1520" s="43"/>
      <c r="AP1520" s="1"/>
      <c r="AQ1520" s="43"/>
      <c r="AR1520" s="123"/>
      <c r="AS1520" s="1"/>
      <c r="AT1520" s="1"/>
    </row>
    <row r="1521">
      <c r="A1521" s="43"/>
      <c r="B1521" s="59"/>
      <c r="C1521" s="51"/>
      <c r="D1521" s="43"/>
      <c r="E1521" s="85"/>
      <c r="F1521" s="43"/>
      <c r="G1521" s="85"/>
      <c r="H1521" s="43"/>
      <c r="I1521" s="85"/>
      <c r="J1521" s="43"/>
      <c r="L1521" s="43"/>
      <c r="N1521" s="43"/>
      <c r="P1521" s="43"/>
      <c r="R1521" s="43"/>
      <c r="T1521" s="43"/>
      <c r="V1521" s="43"/>
      <c r="X1521" s="43"/>
      <c r="Z1521" s="43"/>
      <c r="AB1521" s="43"/>
      <c r="AD1521" s="43"/>
      <c r="AF1521" s="43"/>
      <c r="AH1521" s="43"/>
      <c r="AJ1521" s="43"/>
      <c r="AL1521" s="43"/>
      <c r="AO1521" s="43"/>
      <c r="AP1521" s="1"/>
      <c r="AQ1521" s="43"/>
      <c r="AR1521" s="123"/>
      <c r="AS1521" s="1"/>
      <c r="AT1521" s="1"/>
    </row>
    <row r="1522">
      <c r="A1522" s="43"/>
      <c r="B1522" s="59"/>
      <c r="C1522" s="51"/>
      <c r="D1522" s="43"/>
      <c r="E1522" s="85"/>
      <c r="F1522" s="43"/>
      <c r="G1522" s="85"/>
      <c r="H1522" s="43"/>
      <c r="I1522" s="85"/>
      <c r="J1522" s="43"/>
      <c r="L1522" s="43"/>
      <c r="N1522" s="43"/>
      <c r="P1522" s="43"/>
      <c r="R1522" s="43"/>
      <c r="T1522" s="43"/>
      <c r="V1522" s="43"/>
      <c r="X1522" s="43"/>
      <c r="Z1522" s="43"/>
      <c r="AB1522" s="43"/>
      <c r="AD1522" s="43"/>
      <c r="AF1522" s="43"/>
      <c r="AH1522" s="43"/>
      <c r="AJ1522" s="43"/>
      <c r="AL1522" s="43"/>
      <c r="AO1522" s="43"/>
      <c r="AP1522" s="1"/>
      <c r="AQ1522" s="43"/>
      <c r="AR1522" s="123"/>
      <c r="AS1522" s="1"/>
      <c r="AT1522" s="1"/>
    </row>
    <row r="1523">
      <c r="A1523" s="43"/>
      <c r="B1523" s="59"/>
      <c r="C1523" s="51"/>
      <c r="D1523" s="43"/>
      <c r="E1523" s="85"/>
      <c r="F1523" s="43"/>
      <c r="G1523" s="85"/>
      <c r="H1523" s="43"/>
      <c r="I1523" s="85"/>
      <c r="J1523" s="43"/>
      <c r="L1523" s="43"/>
      <c r="N1523" s="43"/>
      <c r="P1523" s="43"/>
      <c r="R1523" s="43"/>
      <c r="T1523" s="43"/>
      <c r="V1523" s="43"/>
      <c r="X1523" s="43"/>
      <c r="Z1523" s="43"/>
      <c r="AB1523" s="43"/>
      <c r="AD1523" s="43"/>
      <c r="AF1523" s="43"/>
      <c r="AH1523" s="43"/>
      <c r="AJ1523" s="43"/>
      <c r="AL1523" s="43"/>
      <c r="AO1523" s="43"/>
      <c r="AP1523" s="1"/>
      <c r="AQ1523" s="43"/>
      <c r="AR1523" s="123"/>
      <c r="AS1523" s="1"/>
      <c r="AT1523" s="1"/>
    </row>
    <row r="1524">
      <c r="A1524" s="43"/>
      <c r="B1524" s="59"/>
      <c r="C1524" s="51"/>
      <c r="D1524" s="43"/>
      <c r="E1524" s="85"/>
      <c r="F1524" s="43"/>
      <c r="G1524" s="85"/>
      <c r="H1524" s="43"/>
      <c r="I1524" s="85"/>
      <c r="J1524" s="43"/>
      <c r="L1524" s="43"/>
      <c r="N1524" s="43"/>
      <c r="P1524" s="43"/>
      <c r="R1524" s="43"/>
      <c r="T1524" s="43"/>
      <c r="V1524" s="43"/>
      <c r="X1524" s="43"/>
      <c r="Z1524" s="43"/>
      <c r="AB1524" s="43"/>
      <c r="AD1524" s="43"/>
      <c r="AF1524" s="43"/>
      <c r="AH1524" s="43"/>
      <c r="AJ1524" s="43"/>
      <c r="AL1524" s="43"/>
      <c r="AO1524" s="43"/>
      <c r="AP1524" s="1"/>
      <c r="AQ1524" s="43"/>
      <c r="AR1524" s="123"/>
      <c r="AS1524" s="1"/>
      <c r="AT1524" s="1"/>
    </row>
    <row r="1525">
      <c r="A1525" s="43"/>
      <c r="B1525" s="59"/>
      <c r="C1525" s="51"/>
      <c r="D1525" s="43"/>
      <c r="E1525" s="85"/>
      <c r="F1525" s="43"/>
      <c r="G1525" s="85"/>
      <c r="H1525" s="43"/>
      <c r="I1525" s="85"/>
      <c r="J1525" s="43"/>
      <c r="L1525" s="43"/>
      <c r="N1525" s="43"/>
      <c r="P1525" s="43"/>
      <c r="R1525" s="43"/>
      <c r="T1525" s="43"/>
      <c r="V1525" s="43"/>
      <c r="X1525" s="43"/>
      <c r="Z1525" s="43"/>
      <c r="AB1525" s="43"/>
      <c r="AD1525" s="43"/>
      <c r="AF1525" s="43"/>
      <c r="AH1525" s="43"/>
      <c r="AJ1525" s="43"/>
      <c r="AL1525" s="43"/>
      <c r="AO1525" s="43"/>
      <c r="AP1525" s="1"/>
      <c r="AQ1525" s="43"/>
      <c r="AR1525" s="123"/>
      <c r="AS1525" s="1"/>
      <c r="AT1525" s="1"/>
    </row>
    <row r="1526">
      <c r="A1526" s="43"/>
      <c r="B1526" s="59"/>
      <c r="C1526" s="51"/>
      <c r="D1526" s="43"/>
      <c r="E1526" s="85"/>
      <c r="F1526" s="43"/>
      <c r="G1526" s="85"/>
      <c r="H1526" s="43"/>
      <c r="I1526" s="85"/>
      <c r="J1526" s="43"/>
      <c r="L1526" s="43"/>
      <c r="N1526" s="43"/>
      <c r="P1526" s="43"/>
      <c r="R1526" s="43"/>
      <c r="T1526" s="43"/>
      <c r="V1526" s="43"/>
      <c r="X1526" s="43"/>
      <c r="Z1526" s="43"/>
      <c r="AB1526" s="43"/>
      <c r="AD1526" s="43"/>
      <c r="AF1526" s="43"/>
      <c r="AH1526" s="43"/>
      <c r="AJ1526" s="43"/>
      <c r="AL1526" s="43"/>
      <c r="AO1526" s="43"/>
      <c r="AP1526" s="1"/>
      <c r="AQ1526" s="43"/>
      <c r="AR1526" s="123"/>
      <c r="AS1526" s="1"/>
      <c r="AT1526" s="1"/>
    </row>
    <row r="1527">
      <c r="A1527" s="43"/>
      <c r="B1527" s="59"/>
      <c r="C1527" s="51"/>
      <c r="D1527" s="43"/>
      <c r="E1527" s="85"/>
      <c r="F1527" s="43"/>
      <c r="G1527" s="85"/>
      <c r="H1527" s="43"/>
      <c r="I1527" s="85"/>
      <c r="J1527" s="43"/>
      <c r="L1527" s="43"/>
      <c r="N1527" s="43"/>
      <c r="P1527" s="43"/>
      <c r="R1527" s="43"/>
      <c r="T1527" s="43"/>
      <c r="V1527" s="43"/>
      <c r="X1527" s="43"/>
      <c r="Z1527" s="43"/>
      <c r="AB1527" s="43"/>
      <c r="AD1527" s="43"/>
      <c r="AF1527" s="43"/>
      <c r="AH1527" s="43"/>
      <c r="AJ1527" s="43"/>
      <c r="AL1527" s="43"/>
      <c r="AO1527" s="43"/>
      <c r="AP1527" s="1"/>
      <c r="AQ1527" s="43"/>
      <c r="AR1527" s="123"/>
      <c r="AS1527" s="1"/>
      <c r="AT1527" s="1"/>
    </row>
    <row r="1528">
      <c r="A1528" s="43"/>
      <c r="B1528" s="59"/>
      <c r="C1528" s="51"/>
      <c r="D1528" s="43"/>
      <c r="E1528" s="85"/>
      <c r="F1528" s="43"/>
      <c r="G1528" s="85"/>
      <c r="H1528" s="43"/>
      <c r="I1528" s="85"/>
      <c r="J1528" s="43"/>
      <c r="L1528" s="43"/>
      <c r="N1528" s="43"/>
      <c r="P1528" s="43"/>
      <c r="R1528" s="43"/>
      <c r="T1528" s="43"/>
      <c r="V1528" s="43"/>
      <c r="X1528" s="43"/>
      <c r="Z1528" s="43"/>
      <c r="AB1528" s="43"/>
      <c r="AD1528" s="43"/>
      <c r="AF1528" s="43"/>
      <c r="AH1528" s="43"/>
      <c r="AJ1528" s="43"/>
      <c r="AL1528" s="43"/>
      <c r="AO1528" s="43"/>
      <c r="AP1528" s="1"/>
      <c r="AQ1528" s="43"/>
      <c r="AR1528" s="123"/>
      <c r="AS1528" s="1"/>
      <c r="AT1528" s="1"/>
    </row>
    <row r="1529">
      <c r="A1529" s="43"/>
      <c r="B1529" s="59"/>
      <c r="C1529" s="51"/>
      <c r="D1529" s="43"/>
      <c r="E1529" s="85"/>
      <c r="F1529" s="43"/>
      <c r="G1529" s="85"/>
      <c r="H1529" s="43"/>
      <c r="I1529" s="85"/>
      <c r="J1529" s="43"/>
      <c r="L1529" s="43"/>
      <c r="N1529" s="43"/>
      <c r="P1529" s="43"/>
      <c r="R1529" s="43"/>
      <c r="T1529" s="43"/>
      <c r="V1529" s="43"/>
      <c r="X1529" s="43"/>
      <c r="Z1529" s="43"/>
      <c r="AB1529" s="43"/>
      <c r="AD1529" s="43"/>
      <c r="AF1529" s="43"/>
      <c r="AH1529" s="43"/>
      <c r="AJ1529" s="43"/>
      <c r="AL1529" s="43"/>
      <c r="AO1529" s="43"/>
      <c r="AP1529" s="1"/>
      <c r="AQ1529" s="43"/>
      <c r="AR1529" s="123"/>
      <c r="AS1529" s="1"/>
      <c r="AT1529" s="1"/>
    </row>
    <row r="1530">
      <c r="A1530" s="43"/>
      <c r="B1530" s="59"/>
      <c r="C1530" s="51"/>
      <c r="D1530" s="43"/>
      <c r="E1530" s="85"/>
      <c r="F1530" s="43"/>
      <c r="G1530" s="85"/>
      <c r="H1530" s="43"/>
      <c r="I1530" s="85"/>
      <c r="J1530" s="43"/>
      <c r="L1530" s="43"/>
      <c r="N1530" s="43"/>
      <c r="P1530" s="43"/>
      <c r="R1530" s="43"/>
      <c r="T1530" s="43"/>
      <c r="V1530" s="43"/>
      <c r="X1530" s="43"/>
      <c r="Z1530" s="43"/>
      <c r="AB1530" s="43"/>
      <c r="AD1530" s="43"/>
      <c r="AF1530" s="43"/>
      <c r="AH1530" s="43"/>
      <c r="AJ1530" s="43"/>
      <c r="AL1530" s="43"/>
      <c r="AO1530" s="43"/>
      <c r="AP1530" s="1"/>
      <c r="AQ1530" s="43"/>
      <c r="AR1530" s="123"/>
      <c r="AS1530" s="1"/>
      <c r="AT1530" s="1"/>
    </row>
    <row r="1531">
      <c r="A1531" s="43"/>
      <c r="B1531" s="59"/>
      <c r="C1531" s="51"/>
      <c r="D1531" s="43"/>
      <c r="E1531" s="85"/>
      <c r="F1531" s="43"/>
      <c r="G1531" s="85"/>
      <c r="H1531" s="43"/>
      <c r="I1531" s="85"/>
      <c r="J1531" s="43"/>
      <c r="L1531" s="43"/>
      <c r="N1531" s="43"/>
      <c r="P1531" s="43"/>
      <c r="R1531" s="43"/>
      <c r="T1531" s="43"/>
      <c r="V1531" s="43"/>
      <c r="X1531" s="43"/>
      <c r="Z1531" s="43"/>
      <c r="AB1531" s="43"/>
      <c r="AD1531" s="43"/>
      <c r="AF1531" s="43"/>
      <c r="AH1531" s="43"/>
      <c r="AJ1531" s="43"/>
      <c r="AL1531" s="43"/>
      <c r="AO1531" s="43"/>
      <c r="AP1531" s="1"/>
      <c r="AQ1531" s="43"/>
      <c r="AR1531" s="123"/>
      <c r="AS1531" s="1"/>
      <c r="AT1531" s="1"/>
    </row>
    <row r="1532">
      <c r="A1532" s="43"/>
      <c r="B1532" s="59"/>
      <c r="C1532" s="51"/>
      <c r="D1532" s="43"/>
      <c r="E1532" s="85"/>
      <c r="F1532" s="43"/>
      <c r="G1532" s="85"/>
      <c r="H1532" s="43"/>
      <c r="I1532" s="85"/>
      <c r="J1532" s="43"/>
      <c r="L1532" s="43"/>
      <c r="N1532" s="43"/>
      <c r="P1532" s="43"/>
      <c r="R1532" s="43"/>
      <c r="T1532" s="43"/>
      <c r="V1532" s="43"/>
      <c r="X1532" s="43"/>
      <c r="Z1532" s="43"/>
      <c r="AB1532" s="43"/>
      <c r="AD1532" s="43"/>
      <c r="AF1532" s="43"/>
      <c r="AH1532" s="43"/>
      <c r="AJ1532" s="43"/>
      <c r="AL1532" s="43"/>
      <c r="AO1532" s="43"/>
      <c r="AP1532" s="1"/>
      <c r="AQ1532" s="43"/>
      <c r="AR1532" s="123"/>
      <c r="AS1532" s="1"/>
      <c r="AT1532" s="1"/>
    </row>
    <row r="1533">
      <c r="A1533" s="43"/>
      <c r="B1533" s="59"/>
      <c r="C1533" s="51"/>
      <c r="D1533" s="43"/>
      <c r="E1533" s="85"/>
      <c r="F1533" s="43"/>
      <c r="G1533" s="85"/>
      <c r="H1533" s="43"/>
      <c r="I1533" s="85"/>
      <c r="J1533" s="43"/>
      <c r="L1533" s="43"/>
      <c r="N1533" s="43"/>
      <c r="P1533" s="43"/>
      <c r="R1533" s="43"/>
      <c r="T1533" s="43"/>
      <c r="V1533" s="43"/>
      <c r="X1533" s="43"/>
      <c r="Z1533" s="43"/>
      <c r="AB1533" s="43"/>
      <c r="AD1533" s="43"/>
      <c r="AF1533" s="43"/>
      <c r="AH1533" s="43"/>
      <c r="AJ1533" s="43"/>
      <c r="AL1533" s="43"/>
      <c r="AO1533" s="43"/>
      <c r="AP1533" s="1"/>
      <c r="AQ1533" s="43"/>
      <c r="AR1533" s="123"/>
      <c r="AS1533" s="1"/>
      <c r="AT1533" s="1"/>
    </row>
    <row r="1534">
      <c r="A1534" s="43"/>
      <c r="B1534" s="59"/>
      <c r="C1534" s="51"/>
      <c r="D1534" s="43"/>
      <c r="E1534" s="85"/>
      <c r="F1534" s="43"/>
      <c r="G1534" s="85"/>
      <c r="H1534" s="43"/>
      <c r="I1534" s="85"/>
      <c r="J1534" s="43"/>
      <c r="L1534" s="43"/>
      <c r="N1534" s="43"/>
      <c r="P1534" s="43"/>
      <c r="R1534" s="43"/>
      <c r="T1534" s="43"/>
      <c r="V1534" s="43"/>
      <c r="X1534" s="43"/>
      <c r="Z1534" s="43"/>
      <c r="AB1534" s="43"/>
      <c r="AD1534" s="43"/>
      <c r="AF1534" s="43"/>
      <c r="AH1534" s="43"/>
      <c r="AJ1534" s="43"/>
      <c r="AL1534" s="43"/>
      <c r="AO1534" s="43"/>
      <c r="AP1534" s="1"/>
      <c r="AQ1534" s="43"/>
      <c r="AR1534" s="123"/>
      <c r="AS1534" s="1"/>
      <c r="AT1534" s="1"/>
    </row>
    <row r="1535">
      <c r="A1535" s="43"/>
      <c r="B1535" s="59"/>
      <c r="C1535" s="51"/>
      <c r="D1535" s="43"/>
      <c r="E1535" s="85"/>
      <c r="F1535" s="43"/>
      <c r="G1535" s="85"/>
      <c r="H1535" s="43"/>
      <c r="I1535" s="85"/>
      <c r="J1535" s="43"/>
      <c r="L1535" s="43"/>
      <c r="N1535" s="43"/>
      <c r="P1535" s="43"/>
      <c r="R1535" s="43"/>
      <c r="T1535" s="43"/>
      <c r="V1535" s="43"/>
      <c r="X1535" s="43"/>
      <c r="Z1535" s="43"/>
      <c r="AB1535" s="43"/>
      <c r="AD1535" s="43"/>
      <c r="AF1535" s="43"/>
      <c r="AH1535" s="43"/>
      <c r="AJ1535" s="43"/>
      <c r="AL1535" s="43"/>
      <c r="AO1535" s="43"/>
      <c r="AP1535" s="1"/>
      <c r="AQ1535" s="43"/>
      <c r="AR1535" s="123"/>
      <c r="AS1535" s="1"/>
      <c r="AT1535" s="1"/>
    </row>
    <row r="1536">
      <c r="A1536" s="43"/>
      <c r="B1536" s="59"/>
      <c r="C1536" s="51"/>
      <c r="D1536" s="43"/>
      <c r="E1536" s="85"/>
      <c r="F1536" s="43"/>
      <c r="G1536" s="85"/>
      <c r="H1536" s="43"/>
      <c r="I1536" s="85"/>
      <c r="J1536" s="43"/>
      <c r="L1536" s="43"/>
      <c r="N1536" s="43"/>
      <c r="P1536" s="43"/>
      <c r="R1536" s="43"/>
      <c r="T1536" s="43"/>
      <c r="V1536" s="43"/>
      <c r="X1536" s="43"/>
      <c r="Z1536" s="43"/>
      <c r="AB1536" s="43"/>
      <c r="AD1536" s="43"/>
      <c r="AF1536" s="43"/>
      <c r="AH1536" s="43"/>
      <c r="AJ1536" s="43"/>
      <c r="AL1536" s="43"/>
      <c r="AO1536" s="43"/>
      <c r="AP1536" s="1"/>
      <c r="AQ1536" s="43"/>
      <c r="AR1536" s="123"/>
      <c r="AS1536" s="1"/>
      <c r="AT1536" s="1"/>
    </row>
    <row r="1537">
      <c r="A1537" s="43"/>
      <c r="B1537" s="59"/>
      <c r="C1537" s="51"/>
      <c r="D1537" s="43"/>
      <c r="E1537" s="85"/>
      <c r="F1537" s="43"/>
      <c r="G1537" s="85"/>
      <c r="H1537" s="43"/>
      <c r="I1537" s="85"/>
      <c r="J1537" s="43"/>
      <c r="L1537" s="43"/>
      <c r="N1537" s="43"/>
      <c r="P1537" s="43"/>
      <c r="R1537" s="43"/>
      <c r="T1537" s="43"/>
      <c r="V1537" s="43"/>
      <c r="X1537" s="43"/>
      <c r="Z1537" s="43"/>
      <c r="AB1537" s="43"/>
      <c r="AD1537" s="43"/>
      <c r="AF1537" s="43"/>
      <c r="AH1537" s="43"/>
      <c r="AJ1537" s="43"/>
      <c r="AL1537" s="43"/>
      <c r="AO1537" s="43"/>
      <c r="AP1537" s="1"/>
      <c r="AQ1537" s="43"/>
      <c r="AR1537" s="123"/>
      <c r="AS1537" s="1"/>
      <c r="AT1537" s="1"/>
    </row>
    <row r="1538">
      <c r="A1538" s="43"/>
      <c r="B1538" s="59"/>
      <c r="C1538" s="51"/>
      <c r="D1538" s="43"/>
      <c r="E1538" s="85"/>
      <c r="F1538" s="43"/>
      <c r="G1538" s="85"/>
      <c r="H1538" s="43"/>
      <c r="I1538" s="85"/>
      <c r="J1538" s="43"/>
      <c r="L1538" s="43"/>
      <c r="N1538" s="43"/>
      <c r="P1538" s="43"/>
      <c r="R1538" s="43"/>
      <c r="T1538" s="43"/>
      <c r="V1538" s="43"/>
      <c r="X1538" s="43"/>
      <c r="Z1538" s="43"/>
      <c r="AB1538" s="43"/>
      <c r="AD1538" s="43"/>
      <c r="AF1538" s="43"/>
      <c r="AH1538" s="43"/>
      <c r="AJ1538" s="43"/>
      <c r="AL1538" s="43"/>
      <c r="AO1538" s="43"/>
      <c r="AP1538" s="1"/>
      <c r="AQ1538" s="43"/>
      <c r="AR1538" s="123"/>
      <c r="AS1538" s="1"/>
      <c r="AT1538" s="1"/>
    </row>
    <row r="1539">
      <c r="A1539" s="43"/>
      <c r="B1539" s="59"/>
      <c r="C1539" s="51"/>
      <c r="D1539" s="43"/>
      <c r="E1539" s="85"/>
      <c r="F1539" s="43"/>
      <c r="G1539" s="85"/>
      <c r="H1539" s="43"/>
      <c r="I1539" s="85"/>
      <c r="J1539" s="43"/>
      <c r="L1539" s="43"/>
      <c r="N1539" s="43"/>
      <c r="P1539" s="43"/>
      <c r="R1539" s="43"/>
      <c r="T1539" s="43"/>
      <c r="V1539" s="43"/>
      <c r="X1539" s="43"/>
      <c r="Z1539" s="43"/>
      <c r="AB1539" s="43"/>
      <c r="AD1539" s="43"/>
      <c r="AF1539" s="43"/>
      <c r="AH1539" s="43"/>
      <c r="AJ1539" s="43"/>
      <c r="AL1539" s="43"/>
      <c r="AO1539" s="43"/>
      <c r="AP1539" s="1"/>
      <c r="AQ1539" s="43"/>
      <c r="AR1539" s="123"/>
      <c r="AS1539" s="1"/>
      <c r="AT1539" s="1"/>
    </row>
    <row r="1540">
      <c r="A1540" s="43"/>
      <c r="B1540" s="59"/>
      <c r="C1540" s="51"/>
      <c r="D1540" s="43"/>
      <c r="E1540" s="85"/>
      <c r="F1540" s="43"/>
      <c r="G1540" s="85"/>
      <c r="H1540" s="43"/>
      <c r="I1540" s="85"/>
      <c r="J1540" s="43"/>
      <c r="L1540" s="43"/>
      <c r="N1540" s="43"/>
      <c r="P1540" s="43"/>
      <c r="R1540" s="43"/>
      <c r="T1540" s="43"/>
      <c r="V1540" s="43"/>
      <c r="X1540" s="43"/>
      <c r="Z1540" s="43"/>
      <c r="AB1540" s="43"/>
      <c r="AD1540" s="43"/>
      <c r="AF1540" s="43"/>
      <c r="AH1540" s="43"/>
      <c r="AJ1540" s="43"/>
      <c r="AL1540" s="43"/>
      <c r="AO1540" s="43"/>
      <c r="AP1540" s="1"/>
      <c r="AQ1540" s="43"/>
      <c r="AR1540" s="123"/>
      <c r="AS1540" s="1"/>
      <c r="AT1540" s="1"/>
    </row>
    <row r="1541">
      <c r="A1541" s="43"/>
      <c r="B1541" s="59"/>
      <c r="C1541" s="51"/>
      <c r="D1541" s="43"/>
      <c r="E1541" s="85"/>
      <c r="F1541" s="43"/>
      <c r="G1541" s="85"/>
      <c r="H1541" s="43"/>
      <c r="I1541" s="85"/>
      <c r="J1541" s="43"/>
      <c r="L1541" s="43"/>
      <c r="N1541" s="43"/>
      <c r="P1541" s="43"/>
      <c r="R1541" s="43"/>
      <c r="T1541" s="43"/>
      <c r="V1541" s="43"/>
      <c r="X1541" s="43"/>
      <c r="Z1541" s="43"/>
      <c r="AB1541" s="43"/>
      <c r="AD1541" s="43"/>
      <c r="AF1541" s="43"/>
      <c r="AH1541" s="43"/>
      <c r="AJ1541" s="43"/>
      <c r="AL1541" s="43"/>
      <c r="AO1541" s="43"/>
      <c r="AP1541" s="1"/>
      <c r="AQ1541" s="43"/>
      <c r="AR1541" s="123"/>
      <c r="AS1541" s="1"/>
      <c r="AT1541" s="1"/>
    </row>
    <row r="1542">
      <c r="A1542" s="43"/>
      <c r="B1542" s="59"/>
      <c r="C1542" s="51"/>
      <c r="D1542" s="43"/>
      <c r="E1542" s="85"/>
      <c r="F1542" s="43"/>
      <c r="G1542" s="85"/>
      <c r="H1542" s="43"/>
      <c r="I1542" s="85"/>
      <c r="J1542" s="43"/>
      <c r="L1542" s="43"/>
      <c r="N1542" s="43"/>
      <c r="P1542" s="43"/>
      <c r="R1542" s="43"/>
      <c r="T1542" s="43"/>
      <c r="V1542" s="43"/>
      <c r="X1542" s="43"/>
      <c r="Z1542" s="43"/>
      <c r="AB1542" s="43"/>
      <c r="AD1542" s="43"/>
      <c r="AF1542" s="43"/>
      <c r="AH1542" s="43"/>
      <c r="AJ1542" s="43"/>
      <c r="AL1542" s="43"/>
      <c r="AO1542" s="43"/>
      <c r="AP1542" s="1"/>
      <c r="AQ1542" s="43"/>
      <c r="AR1542" s="123"/>
      <c r="AS1542" s="1"/>
      <c r="AT1542" s="1"/>
    </row>
    <row r="1543">
      <c r="A1543" s="43"/>
      <c r="B1543" s="59"/>
      <c r="C1543" s="51"/>
      <c r="D1543" s="43"/>
      <c r="E1543" s="85"/>
      <c r="F1543" s="43"/>
      <c r="G1543" s="85"/>
      <c r="H1543" s="43"/>
      <c r="I1543" s="85"/>
      <c r="J1543" s="43"/>
      <c r="L1543" s="43"/>
      <c r="N1543" s="43"/>
      <c r="P1543" s="43"/>
      <c r="R1543" s="43"/>
      <c r="T1543" s="43"/>
      <c r="V1543" s="43"/>
      <c r="X1543" s="43"/>
      <c r="Z1543" s="43"/>
      <c r="AB1543" s="43"/>
      <c r="AD1543" s="43"/>
      <c r="AF1543" s="43"/>
      <c r="AH1543" s="43"/>
      <c r="AJ1543" s="43"/>
      <c r="AL1543" s="43"/>
      <c r="AO1543" s="43"/>
      <c r="AP1543" s="1"/>
      <c r="AQ1543" s="43"/>
      <c r="AR1543" s="123"/>
      <c r="AS1543" s="1"/>
      <c r="AT1543" s="1"/>
    </row>
    <row r="1544">
      <c r="A1544" s="43"/>
      <c r="B1544" s="59"/>
      <c r="C1544" s="51"/>
      <c r="D1544" s="43"/>
      <c r="E1544" s="85"/>
      <c r="F1544" s="43"/>
      <c r="G1544" s="85"/>
      <c r="H1544" s="43"/>
      <c r="I1544" s="85"/>
      <c r="J1544" s="43"/>
      <c r="L1544" s="43"/>
      <c r="N1544" s="43"/>
      <c r="P1544" s="43"/>
      <c r="R1544" s="43"/>
      <c r="T1544" s="43"/>
      <c r="V1544" s="43"/>
      <c r="X1544" s="43"/>
      <c r="Z1544" s="43"/>
      <c r="AB1544" s="43"/>
      <c r="AD1544" s="43"/>
      <c r="AF1544" s="43"/>
      <c r="AH1544" s="43"/>
      <c r="AJ1544" s="43"/>
      <c r="AL1544" s="43"/>
      <c r="AO1544" s="43"/>
      <c r="AP1544" s="1"/>
      <c r="AQ1544" s="43"/>
      <c r="AR1544" s="123"/>
      <c r="AS1544" s="1"/>
      <c r="AT1544" s="1"/>
    </row>
    <row r="1545">
      <c r="A1545" s="43"/>
      <c r="B1545" s="59"/>
      <c r="C1545" s="51"/>
      <c r="D1545" s="43"/>
      <c r="E1545" s="85"/>
      <c r="F1545" s="43"/>
      <c r="G1545" s="85"/>
      <c r="H1545" s="43"/>
      <c r="I1545" s="85"/>
      <c r="J1545" s="43"/>
      <c r="L1545" s="43"/>
      <c r="N1545" s="43"/>
      <c r="P1545" s="43"/>
      <c r="R1545" s="43"/>
      <c r="T1545" s="43"/>
      <c r="V1545" s="43"/>
      <c r="X1545" s="43"/>
      <c r="Z1545" s="43"/>
      <c r="AB1545" s="43"/>
      <c r="AD1545" s="43"/>
      <c r="AF1545" s="43"/>
      <c r="AH1545" s="43"/>
      <c r="AJ1545" s="43"/>
      <c r="AL1545" s="43"/>
      <c r="AO1545" s="43"/>
      <c r="AP1545" s="1"/>
      <c r="AQ1545" s="43"/>
      <c r="AR1545" s="123"/>
      <c r="AS1545" s="1"/>
      <c r="AT1545" s="1"/>
    </row>
    <row r="1546">
      <c r="A1546" s="43"/>
      <c r="B1546" s="59"/>
      <c r="C1546" s="51"/>
      <c r="D1546" s="43"/>
      <c r="E1546" s="85"/>
      <c r="F1546" s="43"/>
      <c r="G1546" s="85"/>
      <c r="H1546" s="43"/>
      <c r="I1546" s="85"/>
      <c r="J1546" s="43"/>
      <c r="L1546" s="43"/>
      <c r="N1546" s="43"/>
      <c r="P1546" s="43"/>
      <c r="R1546" s="43"/>
      <c r="T1546" s="43"/>
      <c r="V1546" s="43"/>
      <c r="X1546" s="43"/>
      <c r="Z1546" s="43"/>
      <c r="AB1546" s="43"/>
      <c r="AD1546" s="43"/>
      <c r="AF1546" s="43"/>
      <c r="AH1546" s="43"/>
      <c r="AJ1546" s="43"/>
      <c r="AL1546" s="43"/>
      <c r="AO1546" s="43"/>
      <c r="AP1546" s="1"/>
      <c r="AQ1546" s="43"/>
      <c r="AR1546" s="123"/>
      <c r="AS1546" s="1"/>
      <c r="AT1546" s="1"/>
    </row>
    <row r="1547">
      <c r="A1547" s="43"/>
      <c r="B1547" s="59"/>
      <c r="C1547" s="51"/>
      <c r="D1547" s="43"/>
      <c r="E1547" s="85"/>
      <c r="F1547" s="43"/>
      <c r="G1547" s="85"/>
      <c r="H1547" s="43"/>
      <c r="I1547" s="85"/>
      <c r="J1547" s="43"/>
      <c r="L1547" s="43"/>
      <c r="N1547" s="43"/>
      <c r="P1547" s="43"/>
      <c r="R1547" s="43"/>
      <c r="T1547" s="43"/>
      <c r="V1547" s="43"/>
      <c r="X1547" s="43"/>
      <c r="Z1547" s="43"/>
      <c r="AB1547" s="43"/>
      <c r="AD1547" s="43"/>
      <c r="AF1547" s="43"/>
      <c r="AH1547" s="43"/>
      <c r="AJ1547" s="43"/>
      <c r="AL1547" s="43"/>
      <c r="AO1547" s="43"/>
      <c r="AP1547" s="1"/>
      <c r="AQ1547" s="43"/>
      <c r="AR1547" s="123"/>
      <c r="AS1547" s="1"/>
      <c r="AT1547" s="1"/>
    </row>
    <row r="1548">
      <c r="A1548" s="43"/>
      <c r="B1548" s="59"/>
      <c r="C1548" s="51"/>
      <c r="D1548" s="43"/>
      <c r="E1548" s="85"/>
      <c r="F1548" s="43"/>
      <c r="G1548" s="85"/>
      <c r="H1548" s="43"/>
      <c r="I1548" s="85"/>
      <c r="J1548" s="43"/>
      <c r="L1548" s="43"/>
      <c r="N1548" s="43"/>
      <c r="P1548" s="43"/>
      <c r="R1548" s="43"/>
      <c r="T1548" s="43"/>
      <c r="V1548" s="43"/>
      <c r="X1548" s="43"/>
      <c r="Z1548" s="43"/>
      <c r="AB1548" s="43"/>
      <c r="AD1548" s="43"/>
      <c r="AF1548" s="43"/>
      <c r="AH1548" s="43"/>
      <c r="AJ1548" s="43"/>
      <c r="AL1548" s="43"/>
      <c r="AO1548" s="43"/>
      <c r="AP1548" s="1"/>
      <c r="AQ1548" s="43"/>
      <c r="AR1548" s="123"/>
      <c r="AS1548" s="1"/>
      <c r="AT1548" s="1"/>
    </row>
    <row r="1549">
      <c r="A1549" s="43"/>
      <c r="B1549" s="59"/>
      <c r="C1549" s="51"/>
      <c r="D1549" s="43"/>
      <c r="E1549" s="85"/>
      <c r="F1549" s="43"/>
      <c r="G1549" s="85"/>
      <c r="H1549" s="43"/>
      <c r="I1549" s="85"/>
      <c r="J1549" s="43"/>
      <c r="L1549" s="43"/>
      <c r="N1549" s="43"/>
      <c r="P1549" s="43"/>
      <c r="R1549" s="43"/>
      <c r="T1549" s="43"/>
      <c r="V1549" s="43"/>
      <c r="X1549" s="43"/>
      <c r="Z1549" s="43"/>
      <c r="AB1549" s="43"/>
      <c r="AD1549" s="43"/>
      <c r="AF1549" s="43"/>
      <c r="AH1549" s="43"/>
      <c r="AJ1549" s="43"/>
      <c r="AL1549" s="43"/>
      <c r="AO1549" s="43"/>
      <c r="AP1549" s="1"/>
      <c r="AQ1549" s="43"/>
      <c r="AR1549" s="123"/>
      <c r="AS1549" s="1"/>
      <c r="AT1549" s="1"/>
    </row>
    <row r="1550">
      <c r="A1550" s="43"/>
      <c r="B1550" s="59"/>
      <c r="C1550" s="51"/>
      <c r="D1550" s="43"/>
      <c r="E1550" s="85"/>
      <c r="F1550" s="43"/>
      <c r="G1550" s="85"/>
      <c r="H1550" s="43"/>
      <c r="I1550" s="85"/>
      <c r="J1550" s="43"/>
      <c r="L1550" s="43"/>
      <c r="N1550" s="43"/>
      <c r="P1550" s="43"/>
      <c r="R1550" s="43"/>
      <c r="T1550" s="43"/>
      <c r="V1550" s="43"/>
      <c r="X1550" s="43"/>
      <c r="Z1550" s="43"/>
      <c r="AB1550" s="43"/>
      <c r="AD1550" s="43"/>
      <c r="AF1550" s="43"/>
      <c r="AH1550" s="43"/>
      <c r="AJ1550" s="43"/>
      <c r="AL1550" s="43"/>
      <c r="AO1550" s="43"/>
      <c r="AP1550" s="1"/>
      <c r="AQ1550" s="43"/>
      <c r="AR1550" s="123"/>
      <c r="AS1550" s="1"/>
      <c r="AT1550" s="1"/>
    </row>
    <row r="1551">
      <c r="A1551" s="43"/>
      <c r="B1551" s="59"/>
      <c r="C1551" s="51"/>
      <c r="D1551" s="43"/>
      <c r="E1551" s="85"/>
      <c r="F1551" s="43"/>
      <c r="G1551" s="85"/>
      <c r="H1551" s="43"/>
      <c r="I1551" s="85"/>
      <c r="J1551" s="43"/>
      <c r="L1551" s="43"/>
      <c r="N1551" s="43"/>
      <c r="P1551" s="43"/>
      <c r="R1551" s="43"/>
      <c r="T1551" s="43"/>
      <c r="V1551" s="43"/>
      <c r="X1551" s="43"/>
      <c r="Z1551" s="43"/>
      <c r="AB1551" s="43"/>
      <c r="AD1551" s="43"/>
      <c r="AF1551" s="43"/>
      <c r="AH1551" s="43"/>
      <c r="AJ1551" s="43"/>
      <c r="AL1551" s="43"/>
      <c r="AO1551" s="43"/>
      <c r="AP1551" s="1"/>
      <c r="AQ1551" s="43"/>
      <c r="AR1551" s="123"/>
      <c r="AS1551" s="1"/>
      <c r="AT1551" s="1"/>
    </row>
    <row r="1552">
      <c r="A1552" s="43"/>
      <c r="B1552" s="59"/>
      <c r="C1552" s="51"/>
      <c r="D1552" s="43"/>
      <c r="E1552" s="85"/>
      <c r="F1552" s="43"/>
      <c r="G1552" s="85"/>
      <c r="H1552" s="43"/>
      <c r="I1552" s="85"/>
      <c r="J1552" s="43"/>
      <c r="L1552" s="43"/>
      <c r="N1552" s="43"/>
      <c r="P1552" s="43"/>
      <c r="R1552" s="43"/>
      <c r="T1552" s="43"/>
      <c r="V1552" s="43"/>
      <c r="X1552" s="43"/>
      <c r="Z1552" s="43"/>
      <c r="AB1552" s="43"/>
      <c r="AD1552" s="43"/>
      <c r="AF1552" s="43"/>
      <c r="AH1552" s="43"/>
      <c r="AJ1552" s="43"/>
      <c r="AL1552" s="43"/>
      <c r="AO1552" s="43"/>
      <c r="AP1552" s="1"/>
      <c r="AQ1552" s="43"/>
      <c r="AR1552" s="123"/>
      <c r="AS1552" s="1"/>
      <c r="AT1552" s="1"/>
    </row>
    <row r="1553">
      <c r="A1553" s="43"/>
      <c r="B1553" s="59"/>
      <c r="C1553" s="51"/>
      <c r="D1553" s="43"/>
      <c r="E1553" s="85"/>
      <c r="F1553" s="43"/>
      <c r="G1553" s="85"/>
      <c r="H1553" s="43"/>
      <c r="I1553" s="85"/>
      <c r="J1553" s="43"/>
      <c r="L1553" s="43"/>
      <c r="N1553" s="43"/>
      <c r="P1553" s="43"/>
      <c r="R1553" s="43"/>
      <c r="T1553" s="43"/>
      <c r="V1553" s="43"/>
      <c r="X1553" s="43"/>
      <c r="Z1553" s="43"/>
      <c r="AB1553" s="43"/>
      <c r="AD1553" s="43"/>
      <c r="AF1553" s="43"/>
      <c r="AH1553" s="43"/>
      <c r="AJ1553" s="43"/>
      <c r="AL1553" s="43"/>
      <c r="AO1553" s="43"/>
      <c r="AP1553" s="1"/>
      <c r="AQ1553" s="43"/>
      <c r="AR1553" s="123"/>
      <c r="AS1553" s="1"/>
      <c r="AT1553" s="1"/>
    </row>
    <row r="1554">
      <c r="A1554" s="43"/>
      <c r="B1554" s="59"/>
      <c r="C1554" s="51"/>
      <c r="D1554" s="43"/>
      <c r="E1554" s="85"/>
      <c r="F1554" s="43"/>
      <c r="G1554" s="85"/>
      <c r="H1554" s="43"/>
      <c r="I1554" s="85"/>
      <c r="J1554" s="43"/>
      <c r="L1554" s="43"/>
      <c r="N1554" s="43"/>
      <c r="P1554" s="43"/>
      <c r="R1554" s="43"/>
      <c r="T1554" s="43"/>
      <c r="V1554" s="43"/>
      <c r="X1554" s="43"/>
      <c r="Z1554" s="43"/>
      <c r="AB1554" s="43"/>
      <c r="AD1554" s="43"/>
      <c r="AF1554" s="43"/>
      <c r="AH1554" s="43"/>
      <c r="AJ1554" s="43"/>
      <c r="AL1554" s="43"/>
      <c r="AO1554" s="43"/>
      <c r="AP1554" s="1"/>
      <c r="AQ1554" s="43"/>
      <c r="AR1554" s="123"/>
      <c r="AS1554" s="1"/>
      <c r="AT1554" s="1"/>
    </row>
    <row r="1555">
      <c r="A1555" s="43"/>
      <c r="B1555" s="59"/>
      <c r="C1555" s="51"/>
      <c r="D1555" s="43"/>
      <c r="E1555" s="85"/>
      <c r="F1555" s="43"/>
      <c r="G1555" s="85"/>
      <c r="H1555" s="43"/>
      <c r="I1555" s="85"/>
      <c r="J1555" s="43"/>
      <c r="L1555" s="43"/>
      <c r="N1555" s="43"/>
      <c r="P1555" s="43"/>
      <c r="R1555" s="43"/>
      <c r="T1555" s="43"/>
      <c r="V1555" s="43"/>
      <c r="X1555" s="43"/>
      <c r="Z1555" s="43"/>
      <c r="AB1555" s="43"/>
      <c r="AD1555" s="43"/>
      <c r="AF1555" s="43"/>
      <c r="AH1555" s="43"/>
      <c r="AJ1555" s="43"/>
      <c r="AL1555" s="43"/>
      <c r="AO1555" s="43"/>
      <c r="AP1555" s="1"/>
      <c r="AQ1555" s="43"/>
      <c r="AR1555" s="123"/>
      <c r="AS1555" s="1"/>
      <c r="AT1555" s="1"/>
    </row>
    <row r="1556">
      <c r="A1556" s="43"/>
      <c r="B1556" s="59"/>
      <c r="C1556" s="51"/>
      <c r="D1556" s="43"/>
      <c r="E1556" s="85"/>
      <c r="F1556" s="43"/>
      <c r="G1556" s="85"/>
      <c r="H1556" s="43"/>
      <c r="I1556" s="85"/>
      <c r="J1556" s="43"/>
      <c r="L1556" s="43"/>
      <c r="N1556" s="43"/>
      <c r="P1556" s="43"/>
      <c r="R1556" s="43"/>
      <c r="T1556" s="43"/>
      <c r="V1556" s="43"/>
      <c r="X1556" s="43"/>
      <c r="Z1556" s="43"/>
      <c r="AB1556" s="43"/>
      <c r="AD1556" s="43"/>
      <c r="AF1556" s="43"/>
      <c r="AH1556" s="43"/>
      <c r="AJ1556" s="43"/>
      <c r="AL1556" s="43"/>
      <c r="AO1556" s="43"/>
      <c r="AP1556" s="1"/>
      <c r="AQ1556" s="43"/>
      <c r="AR1556" s="123"/>
      <c r="AS1556" s="1"/>
      <c r="AT1556" s="1"/>
    </row>
    <row r="1557">
      <c r="A1557" s="43"/>
      <c r="B1557" s="59"/>
      <c r="C1557" s="51"/>
      <c r="D1557" s="43"/>
      <c r="E1557" s="85"/>
      <c r="F1557" s="43"/>
      <c r="G1557" s="85"/>
      <c r="H1557" s="43"/>
      <c r="I1557" s="85"/>
      <c r="J1557" s="43"/>
      <c r="L1557" s="43"/>
      <c r="N1557" s="43"/>
      <c r="P1557" s="43"/>
      <c r="R1557" s="43"/>
      <c r="T1557" s="43"/>
      <c r="V1557" s="43"/>
      <c r="X1557" s="43"/>
      <c r="Z1557" s="43"/>
      <c r="AB1557" s="43"/>
      <c r="AD1557" s="43"/>
      <c r="AF1557" s="43"/>
      <c r="AH1557" s="43"/>
      <c r="AJ1557" s="43"/>
      <c r="AL1557" s="43"/>
      <c r="AO1557" s="43"/>
      <c r="AP1557" s="1"/>
      <c r="AQ1557" s="43"/>
      <c r="AR1557" s="123"/>
      <c r="AS1557" s="1"/>
      <c r="AT1557" s="1"/>
    </row>
    <row r="1558">
      <c r="A1558" s="43"/>
      <c r="B1558" s="59"/>
      <c r="C1558" s="51"/>
      <c r="D1558" s="43"/>
      <c r="E1558" s="85"/>
      <c r="F1558" s="43"/>
      <c r="G1558" s="85"/>
      <c r="H1558" s="43"/>
      <c r="I1558" s="85"/>
      <c r="J1558" s="43"/>
      <c r="L1558" s="43"/>
      <c r="N1558" s="43"/>
      <c r="P1558" s="43"/>
      <c r="R1558" s="43"/>
      <c r="T1558" s="43"/>
      <c r="V1558" s="43"/>
      <c r="X1558" s="43"/>
      <c r="Z1558" s="43"/>
      <c r="AB1558" s="43"/>
      <c r="AD1558" s="43"/>
      <c r="AF1558" s="43"/>
      <c r="AH1558" s="43"/>
      <c r="AJ1558" s="43"/>
      <c r="AL1558" s="43"/>
      <c r="AO1558" s="43"/>
      <c r="AP1558" s="1"/>
      <c r="AQ1558" s="43"/>
      <c r="AR1558" s="123"/>
      <c r="AS1558" s="1"/>
      <c r="AT1558" s="1"/>
    </row>
    <row r="1559">
      <c r="A1559" s="43"/>
      <c r="B1559" s="59"/>
      <c r="C1559" s="51"/>
      <c r="D1559" s="43"/>
      <c r="E1559" s="85"/>
      <c r="F1559" s="43"/>
      <c r="G1559" s="85"/>
      <c r="H1559" s="43"/>
      <c r="I1559" s="85"/>
      <c r="J1559" s="43"/>
      <c r="L1559" s="43"/>
      <c r="N1559" s="43"/>
      <c r="P1559" s="43"/>
      <c r="R1559" s="43"/>
      <c r="T1559" s="43"/>
      <c r="V1559" s="43"/>
      <c r="X1559" s="43"/>
      <c r="Z1559" s="43"/>
      <c r="AB1559" s="43"/>
      <c r="AD1559" s="43"/>
      <c r="AF1559" s="43"/>
      <c r="AH1559" s="43"/>
      <c r="AJ1559" s="43"/>
      <c r="AL1559" s="43"/>
      <c r="AO1559" s="43"/>
      <c r="AP1559" s="1"/>
      <c r="AQ1559" s="43"/>
      <c r="AR1559" s="123"/>
      <c r="AS1559" s="1"/>
      <c r="AT1559" s="1"/>
    </row>
    <row r="1560">
      <c r="A1560" s="43"/>
      <c r="B1560" s="59"/>
      <c r="C1560" s="51"/>
      <c r="D1560" s="43"/>
      <c r="E1560" s="85"/>
      <c r="F1560" s="43"/>
      <c r="G1560" s="85"/>
      <c r="H1560" s="43"/>
      <c r="I1560" s="85"/>
      <c r="J1560" s="43"/>
      <c r="L1560" s="43"/>
      <c r="N1560" s="43"/>
      <c r="P1560" s="43"/>
      <c r="R1560" s="43"/>
      <c r="T1560" s="43"/>
      <c r="V1560" s="43"/>
      <c r="X1560" s="43"/>
      <c r="Z1560" s="43"/>
      <c r="AB1560" s="43"/>
      <c r="AD1560" s="43"/>
      <c r="AF1560" s="43"/>
      <c r="AH1560" s="43"/>
      <c r="AJ1560" s="43"/>
      <c r="AL1560" s="43"/>
      <c r="AO1560" s="43"/>
      <c r="AP1560" s="1"/>
      <c r="AQ1560" s="43"/>
      <c r="AR1560" s="123"/>
      <c r="AS1560" s="1"/>
      <c r="AT1560" s="1"/>
    </row>
    <row r="1561">
      <c r="A1561" s="43"/>
      <c r="B1561" s="59"/>
      <c r="C1561" s="51"/>
      <c r="D1561" s="43"/>
      <c r="E1561" s="85"/>
      <c r="F1561" s="43"/>
      <c r="G1561" s="85"/>
      <c r="H1561" s="43"/>
      <c r="I1561" s="85"/>
      <c r="J1561" s="43"/>
      <c r="L1561" s="43"/>
      <c r="N1561" s="43"/>
      <c r="P1561" s="43"/>
      <c r="R1561" s="43"/>
      <c r="T1561" s="43"/>
      <c r="V1561" s="43"/>
      <c r="X1561" s="43"/>
      <c r="Z1561" s="43"/>
      <c r="AB1561" s="43"/>
      <c r="AD1561" s="43"/>
      <c r="AF1561" s="43"/>
      <c r="AH1561" s="43"/>
      <c r="AJ1561" s="43"/>
      <c r="AL1561" s="43"/>
      <c r="AO1561" s="43"/>
      <c r="AP1561" s="1"/>
      <c r="AQ1561" s="43"/>
      <c r="AR1561" s="123"/>
      <c r="AS1561" s="1"/>
      <c r="AT1561" s="1"/>
    </row>
    <row r="1562">
      <c r="A1562" s="43"/>
      <c r="B1562" s="59"/>
      <c r="C1562" s="51"/>
      <c r="D1562" s="43"/>
      <c r="E1562" s="85"/>
      <c r="F1562" s="43"/>
      <c r="G1562" s="85"/>
      <c r="H1562" s="43"/>
      <c r="I1562" s="85"/>
      <c r="J1562" s="43"/>
      <c r="L1562" s="43"/>
      <c r="N1562" s="43"/>
      <c r="P1562" s="43"/>
      <c r="R1562" s="43"/>
      <c r="T1562" s="43"/>
      <c r="V1562" s="43"/>
      <c r="X1562" s="43"/>
      <c r="Z1562" s="43"/>
      <c r="AB1562" s="43"/>
      <c r="AD1562" s="43"/>
      <c r="AF1562" s="43"/>
      <c r="AH1562" s="43"/>
      <c r="AJ1562" s="43"/>
      <c r="AL1562" s="43"/>
      <c r="AO1562" s="43"/>
      <c r="AP1562" s="1"/>
      <c r="AQ1562" s="43"/>
      <c r="AR1562" s="123"/>
      <c r="AS1562" s="1"/>
      <c r="AT1562" s="1"/>
    </row>
    <row r="1563">
      <c r="A1563" s="43"/>
      <c r="B1563" s="59"/>
      <c r="C1563" s="51"/>
      <c r="D1563" s="43"/>
      <c r="E1563" s="85"/>
      <c r="F1563" s="43"/>
      <c r="G1563" s="85"/>
      <c r="H1563" s="43"/>
      <c r="I1563" s="85"/>
      <c r="J1563" s="43"/>
      <c r="L1563" s="43"/>
      <c r="N1563" s="43"/>
      <c r="P1563" s="43"/>
      <c r="R1563" s="43"/>
      <c r="T1563" s="43"/>
      <c r="V1563" s="43"/>
      <c r="X1563" s="43"/>
      <c r="Z1563" s="43"/>
      <c r="AB1563" s="43"/>
      <c r="AD1563" s="43"/>
      <c r="AF1563" s="43"/>
      <c r="AH1563" s="43"/>
      <c r="AJ1563" s="43"/>
      <c r="AL1563" s="43"/>
      <c r="AO1563" s="43"/>
      <c r="AP1563" s="1"/>
      <c r="AQ1563" s="43"/>
      <c r="AR1563" s="123"/>
      <c r="AS1563" s="1"/>
      <c r="AT1563" s="1"/>
    </row>
    <row r="1564">
      <c r="A1564" s="43"/>
      <c r="B1564" s="59"/>
      <c r="C1564" s="51"/>
      <c r="D1564" s="43"/>
      <c r="E1564" s="85"/>
      <c r="F1564" s="43"/>
      <c r="G1564" s="85"/>
      <c r="H1564" s="43"/>
      <c r="I1564" s="85"/>
      <c r="J1564" s="43"/>
      <c r="L1564" s="43"/>
      <c r="N1564" s="43"/>
      <c r="P1564" s="43"/>
      <c r="R1564" s="43"/>
      <c r="T1564" s="43"/>
      <c r="V1564" s="43"/>
      <c r="X1564" s="43"/>
      <c r="Z1564" s="43"/>
      <c r="AB1564" s="43"/>
      <c r="AD1564" s="43"/>
      <c r="AF1564" s="43"/>
      <c r="AH1564" s="43"/>
      <c r="AJ1564" s="43"/>
      <c r="AL1564" s="43"/>
      <c r="AO1564" s="43"/>
      <c r="AP1564" s="1"/>
      <c r="AQ1564" s="43"/>
      <c r="AR1564" s="123"/>
      <c r="AS1564" s="1"/>
      <c r="AT1564" s="1"/>
    </row>
    <row r="1565">
      <c r="A1565" s="43"/>
      <c r="B1565" s="59"/>
      <c r="C1565" s="51"/>
      <c r="D1565" s="43"/>
      <c r="E1565" s="85"/>
      <c r="F1565" s="43"/>
      <c r="G1565" s="85"/>
      <c r="H1565" s="43"/>
      <c r="I1565" s="85"/>
      <c r="J1565" s="43"/>
      <c r="L1565" s="43"/>
      <c r="N1565" s="43"/>
      <c r="P1565" s="43"/>
      <c r="R1565" s="43"/>
      <c r="T1565" s="43"/>
      <c r="V1565" s="43"/>
      <c r="X1565" s="43"/>
      <c r="Z1565" s="43"/>
      <c r="AB1565" s="43"/>
      <c r="AD1565" s="43"/>
      <c r="AF1565" s="43"/>
      <c r="AH1565" s="43"/>
      <c r="AJ1565" s="43"/>
      <c r="AL1565" s="43"/>
      <c r="AO1565" s="43"/>
      <c r="AP1565" s="1"/>
      <c r="AQ1565" s="43"/>
      <c r="AR1565" s="123"/>
      <c r="AS1565" s="1"/>
      <c r="AT1565" s="1"/>
    </row>
    <row r="1566">
      <c r="A1566" s="43"/>
      <c r="B1566" s="59"/>
      <c r="C1566" s="51"/>
      <c r="D1566" s="43"/>
      <c r="E1566" s="85"/>
      <c r="F1566" s="43"/>
      <c r="G1566" s="85"/>
      <c r="H1566" s="43"/>
      <c r="I1566" s="85"/>
      <c r="J1566" s="43"/>
      <c r="L1566" s="43"/>
      <c r="N1566" s="43"/>
      <c r="P1566" s="43"/>
      <c r="R1566" s="43"/>
      <c r="T1566" s="43"/>
      <c r="V1566" s="43"/>
      <c r="X1566" s="43"/>
      <c r="Z1566" s="43"/>
      <c r="AB1566" s="43"/>
      <c r="AD1566" s="43"/>
      <c r="AF1566" s="43"/>
      <c r="AH1566" s="43"/>
      <c r="AJ1566" s="43"/>
      <c r="AL1566" s="43"/>
      <c r="AO1566" s="43"/>
      <c r="AP1566" s="1"/>
      <c r="AQ1566" s="43"/>
      <c r="AR1566" s="123"/>
      <c r="AS1566" s="1"/>
      <c r="AT1566" s="1"/>
    </row>
    <row r="1567">
      <c r="A1567" s="43"/>
      <c r="B1567" s="59"/>
      <c r="C1567" s="51"/>
      <c r="D1567" s="43"/>
      <c r="E1567" s="85"/>
      <c r="F1567" s="43"/>
      <c r="G1567" s="85"/>
      <c r="H1567" s="43"/>
      <c r="I1567" s="85"/>
      <c r="J1567" s="43"/>
      <c r="L1567" s="43"/>
      <c r="N1567" s="43"/>
      <c r="P1567" s="43"/>
      <c r="R1567" s="43"/>
      <c r="T1567" s="43"/>
      <c r="V1567" s="43"/>
      <c r="X1567" s="43"/>
      <c r="Z1567" s="43"/>
      <c r="AB1567" s="43"/>
      <c r="AD1567" s="43"/>
      <c r="AF1567" s="43"/>
      <c r="AH1567" s="43"/>
      <c r="AJ1567" s="43"/>
      <c r="AL1567" s="43"/>
      <c r="AO1567" s="43"/>
      <c r="AP1567" s="1"/>
      <c r="AQ1567" s="43"/>
      <c r="AR1567" s="123"/>
      <c r="AS1567" s="1"/>
      <c r="AT1567" s="1"/>
    </row>
    <row r="1568">
      <c r="A1568" s="43"/>
      <c r="B1568" s="59"/>
      <c r="C1568" s="51"/>
      <c r="D1568" s="43"/>
      <c r="E1568" s="85"/>
      <c r="F1568" s="43"/>
      <c r="G1568" s="85"/>
      <c r="H1568" s="43"/>
      <c r="I1568" s="85"/>
      <c r="J1568" s="43"/>
      <c r="L1568" s="43"/>
      <c r="N1568" s="43"/>
      <c r="P1568" s="43"/>
      <c r="R1568" s="43"/>
      <c r="T1568" s="43"/>
      <c r="V1568" s="43"/>
      <c r="X1568" s="43"/>
      <c r="Z1568" s="43"/>
      <c r="AB1568" s="43"/>
      <c r="AD1568" s="43"/>
      <c r="AF1568" s="43"/>
      <c r="AH1568" s="43"/>
      <c r="AJ1568" s="43"/>
      <c r="AL1568" s="43"/>
      <c r="AO1568" s="43"/>
      <c r="AP1568" s="1"/>
      <c r="AQ1568" s="43"/>
      <c r="AR1568" s="123"/>
      <c r="AS1568" s="1"/>
      <c r="AT1568" s="1"/>
    </row>
    <row r="1569">
      <c r="A1569" s="43"/>
      <c r="B1569" s="59"/>
      <c r="C1569" s="51"/>
      <c r="D1569" s="43"/>
      <c r="E1569" s="85"/>
      <c r="F1569" s="43"/>
      <c r="G1569" s="85"/>
      <c r="H1569" s="43"/>
      <c r="I1569" s="85"/>
      <c r="J1569" s="43"/>
      <c r="L1569" s="43"/>
      <c r="N1569" s="43"/>
      <c r="P1569" s="43"/>
      <c r="R1569" s="43"/>
      <c r="T1569" s="43"/>
      <c r="V1569" s="43"/>
      <c r="X1569" s="43"/>
      <c r="Z1569" s="43"/>
      <c r="AB1569" s="43"/>
      <c r="AD1569" s="43"/>
      <c r="AF1569" s="43"/>
      <c r="AH1569" s="43"/>
      <c r="AJ1569" s="43"/>
      <c r="AL1569" s="43"/>
      <c r="AO1569" s="43"/>
      <c r="AP1569" s="1"/>
      <c r="AQ1569" s="43"/>
      <c r="AR1569" s="123"/>
      <c r="AS1569" s="1"/>
      <c r="AT1569" s="1"/>
    </row>
    <row r="1570">
      <c r="A1570" s="43"/>
      <c r="B1570" s="59"/>
      <c r="C1570" s="51"/>
      <c r="D1570" s="43"/>
      <c r="E1570" s="85"/>
      <c r="F1570" s="43"/>
      <c r="G1570" s="85"/>
      <c r="H1570" s="43"/>
      <c r="I1570" s="85"/>
      <c r="J1570" s="43"/>
      <c r="L1570" s="43"/>
      <c r="N1570" s="43"/>
      <c r="P1570" s="43"/>
      <c r="R1570" s="43"/>
      <c r="T1570" s="43"/>
      <c r="V1570" s="43"/>
      <c r="X1570" s="43"/>
      <c r="Z1570" s="43"/>
      <c r="AB1570" s="43"/>
      <c r="AD1570" s="43"/>
      <c r="AF1570" s="43"/>
      <c r="AH1570" s="43"/>
      <c r="AJ1570" s="43"/>
      <c r="AL1570" s="43"/>
      <c r="AO1570" s="43"/>
      <c r="AP1570" s="1"/>
      <c r="AQ1570" s="43"/>
      <c r="AR1570" s="123"/>
      <c r="AS1570" s="1"/>
      <c r="AT1570" s="1"/>
    </row>
    <row r="1571">
      <c r="A1571" s="43"/>
      <c r="B1571" s="59"/>
      <c r="C1571" s="51"/>
      <c r="D1571" s="43"/>
      <c r="E1571" s="85"/>
      <c r="F1571" s="43"/>
      <c r="G1571" s="85"/>
      <c r="H1571" s="43"/>
      <c r="I1571" s="85"/>
      <c r="J1571" s="43"/>
      <c r="L1571" s="43"/>
      <c r="N1571" s="43"/>
      <c r="P1571" s="43"/>
      <c r="R1571" s="43"/>
      <c r="T1571" s="43"/>
      <c r="V1571" s="43"/>
      <c r="X1571" s="43"/>
      <c r="Z1571" s="43"/>
      <c r="AB1571" s="43"/>
      <c r="AD1571" s="43"/>
      <c r="AF1571" s="43"/>
      <c r="AH1571" s="43"/>
      <c r="AJ1571" s="43"/>
      <c r="AL1571" s="43"/>
      <c r="AO1571" s="43"/>
      <c r="AP1571" s="1"/>
      <c r="AQ1571" s="43"/>
      <c r="AR1571" s="123"/>
      <c r="AS1571" s="1"/>
      <c r="AT1571" s="1"/>
    </row>
    <row r="1572">
      <c r="A1572" s="43"/>
      <c r="B1572" s="59"/>
      <c r="C1572" s="51"/>
      <c r="D1572" s="43"/>
      <c r="E1572" s="85"/>
      <c r="F1572" s="43"/>
      <c r="G1572" s="85"/>
      <c r="H1572" s="43"/>
      <c r="I1572" s="85"/>
      <c r="J1572" s="43"/>
      <c r="L1572" s="43"/>
      <c r="N1572" s="43"/>
      <c r="P1572" s="43"/>
      <c r="R1572" s="43"/>
      <c r="T1572" s="43"/>
      <c r="V1572" s="43"/>
      <c r="X1572" s="43"/>
      <c r="Z1572" s="43"/>
      <c r="AB1572" s="43"/>
      <c r="AD1572" s="43"/>
      <c r="AF1572" s="43"/>
      <c r="AH1572" s="43"/>
      <c r="AJ1572" s="43"/>
      <c r="AL1572" s="43"/>
      <c r="AO1572" s="43"/>
      <c r="AP1572" s="1"/>
      <c r="AQ1572" s="43"/>
      <c r="AR1572" s="123"/>
      <c r="AS1572" s="1"/>
      <c r="AT1572" s="1"/>
    </row>
    <row r="1573">
      <c r="A1573" s="43"/>
      <c r="B1573" s="59"/>
      <c r="C1573" s="51"/>
      <c r="D1573" s="43"/>
      <c r="E1573" s="85"/>
      <c r="F1573" s="43"/>
      <c r="G1573" s="85"/>
      <c r="H1573" s="43"/>
      <c r="I1573" s="85"/>
      <c r="J1573" s="43"/>
      <c r="L1573" s="43"/>
      <c r="N1573" s="43"/>
      <c r="P1573" s="43"/>
      <c r="R1573" s="43"/>
      <c r="T1573" s="43"/>
      <c r="V1573" s="43"/>
      <c r="X1573" s="43"/>
      <c r="Z1573" s="43"/>
      <c r="AB1573" s="43"/>
      <c r="AD1573" s="43"/>
      <c r="AF1573" s="43"/>
      <c r="AH1573" s="43"/>
      <c r="AJ1573" s="43"/>
      <c r="AL1573" s="43"/>
      <c r="AO1573" s="43"/>
      <c r="AP1573" s="1"/>
      <c r="AQ1573" s="43"/>
      <c r="AR1573" s="123"/>
      <c r="AS1573" s="1"/>
      <c r="AT1573" s="1"/>
    </row>
    <row r="1574">
      <c r="A1574" s="43"/>
      <c r="B1574" s="59"/>
      <c r="C1574" s="51"/>
      <c r="D1574" s="43"/>
      <c r="E1574" s="85"/>
      <c r="F1574" s="43"/>
      <c r="G1574" s="85"/>
      <c r="H1574" s="43"/>
      <c r="I1574" s="85"/>
      <c r="J1574" s="43"/>
      <c r="L1574" s="43"/>
      <c r="N1574" s="43"/>
      <c r="P1574" s="43"/>
      <c r="R1574" s="43"/>
      <c r="T1574" s="43"/>
      <c r="V1574" s="43"/>
      <c r="X1574" s="43"/>
      <c r="Z1574" s="43"/>
      <c r="AB1574" s="43"/>
      <c r="AD1574" s="43"/>
      <c r="AF1574" s="43"/>
      <c r="AH1574" s="43"/>
      <c r="AJ1574" s="43"/>
      <c r="AL1574" s="43"/>
      <c r="AO1574" s="43"/>
      <c r="AP1574" s="1"/>
      <c r="AQ1574" s="43"/>
      <c r="AR1574" s="123"/>
      <c r="AS1574" s="1"/>
      <c r="AT1574" s="1"/>
    </row>
    <row r="1575">
      <c r="A1575" s="43"/>
      <c r="B1575" s="59"/>
      <c r="C1575" s="51"/>
      <c r="D1575" s="43"/>
      <c r="E1575" s="85"/>
      <c r="F1575" s="43"/>
      <c r="G1575" s="85"/>
      <c r="H1575" s="43"/>
      <c r="I1575" s="85"/>
      <c r="J1575" s="43"/>
      <c r="L1575" s="43"/>
      <c r="N1575" s="43"/>
      <c r="P1575" s="43"/>
      <c r="R1575" s="43"/>
      <c r="T1575" s="43"/>
      <c r="V1575" s="43"/>
      <c r="X1575" s="43"/>
      <c r="Z1575" s="43"/>
      <c r="AB1575" s="43"/>
      <c r="AD1575" s="43"/>
      <c r="AF1575" s="43"/>
      <c r="AH1575" s="43"/>
      <c r="AJ1575" s="43"/>
      <c r="AL1575" s="43"/>
      <c r="AO1575" s="43"/>
      <c r="AP1575" s="1"/>
      <c r="AQ1575" s="43"/>
      <c r="AR1575" s="123"/>
      <c r="AS1575" s="1"/>
      <c r="AT1575" s="1"/>
    </row>
    <row r="1576">
      <c r="A1576" s="43"/>
      <c r="B1576" s="59"/>
      <c r="C1576" s="51"/>
      <c r="D1576" s="43"/>
      <c r="E1576" s="85"/>
      <c r="F1576" s="43"/>
      <c r="G1576" s="85"/>
      <c r="H1576" s="43"/>
      <c r="I1576" s="85"/>
      <c r="J1576" s="43"/>
      <c r="L1576" s="43"/>
      <c r="N1576" s="43"/>
      <c r="P1576" s="43"/>
      <c r="R1576" s="43"/>
      <c r="T1576" s="43"/>
      <c r="V1576" s="43"/>
      <c r="X1576" s="43"/>
      <c r="Z1576" s="43"/>
      <c r="AB1576" s="43"/>
      <c r="AD1576" s="43"/>
      <c r="AF1576" s="43"/>
      <c r="AH1576" s="43"/>
      <c r="AJ1576" s="43"/>
      <c r="AL1576" s="43"/>
      <c r="AO1576" s="43"/>
      <c r="AP1576" s="1"/>
      <c r="AQ1576" s="43"/>
      <c r="AR1576" s="123"/>
      <c r="AS1576" s="1"/>
      <c r="AT1576" s="1"/>
    </row>
    <row r="1577">
      <c r="A1577" s="43"/>
      <c r="B1577" s="59"/>
      <c r="C1577" s="51"/>
      <c r="D1577" s="43"/>
      <c r="E1577" s="85"/>
      <c r="F1577" s="43"/>
      <c r="G1577" s="85"/>
      <c r="H1577" s="43"/>
      <c r="I1577" s="85"/>
      <c r="J1577" s="43"/>
      <c r="L1577" s="43"/>
      <c r="N1577" s="43"/>
      <c r="P1577" s="43"/>
      <c r="R1577" s="43"/>
      <c r="T1577" s="43"/>
      <c r="V1577" s="43"/>
      <c r="X1577" s="43"/>
      <c r="Z1577" s="43"/>
      <c r="AB1577" s="43"/>
      <c r="AD1577" s="43"/>
      <c r="AF1577" s="43"/>
      <c r="AH1577" s="43"/>
      <c r="AJ1577" s="43"/>
      <c r="AL1577" s="43"/>
      <c r="AO1577" s="43"/>
      <c r="AP1577" s="1"/>
      <c r="AQ1577" s="43"/>
      <c r="AR1577" s="123"/>
      <c r="AS1577" s="1"/>
      <c r="AT1577" s="1"/>
    </row>
    <row r="1578">
      <c r="A1578" s="43"/>
      <c r="B1578" s="59"/>
      <c r="C1578" s="51"/>
      <c r="D1578" s="43"/>
      <c r="E1578" s="85"/>
      <c r="F1578" s="43"/>
      <c r="G1578" s="85"/>
      <c r="H1578" s="43"/>
      <c r="I1578" s="85"/>
      <c r="J1578" s="43"/>
      <c r="L1578" s="43"/>
      <c r="N1578" s="43"/>
      <c r="P1578" s="43"/>
      <c r="R1578" s="43"/>
      <c r="T1578" s="43"/>
      <c r="V1578" s="43"/>
      <c r="X1578" s="43"/>
      <c r="Z1578" s="43"/>
      <c r="AB1578" s="43"/>
      <c r="AD1578" s="43"/>
      <c r="AF1578" s="43"/>
      <c r="AH1578" s="43"/>
      <c r="AJ1578" s="43"/>
      <c r="AL1578" s="43"/>
      <c r="AO1578" s="43"/>
      <c r="AP1578" s="1"/>
      <c r="AQ1578" s="43"/>
      <c r="AR1578" s="123"/>
      <c r="AS1578" s="1"/>
      <c r="AT1578" s="1"/>
    </row>
    <row r="1579">
      <c r="A1579" s="43"/>
      <c r="B1579" s="59"/>
      <c r="C1579" s="51"/>
      <c r="D1579" s="43"/>
      <c r="E1579" s="85"/>
      <c r="F1579" s="43"/>
      <c r="G1579" s="85"/>
      <c r="H1579" s="43"/>
      <c r="I1579" s="85"/>
      <c r="J1579" s="43"/>
      <c r="L1579" s="43"/>
      <c r="N1579" s="43"/>
      <c r="P1579" s="43"/>
      <c r="R1579" s="43"/>
      <c r="T1579" s="43"/>
      <c r="V1579" s="43"/>
      <c r="X1579" s="43"/>
      <c r="Z1579" s="43"/>
      <c r="AB1579" s="43"/>
      <c r="AD1579" s="43"/>
      <c r="AF1579" s="43"/>
      <c r="AH1579" s="43"/>
      <c r="AJ1579" s="43"/>
      <c r="AL1579" s="43"/>
      <c r="AO1579" s="43"/>
      <c r="AP1579" s="1"/>
      <c r="AQ1579" s="43"/>
      <c r="AR1579" s="123"/>
      <c r="AS1579" s="1"/>
      <c r="AT1579" s="1"/>
    </row>
    <row r="1580">
      <c r="A1580" s="43"/>
      <c r="B1580" s="59"/>
      <c r="C1580" s="51"/>
      <c r="D1580" s="43"/>
      <c r="E1580" s="85"/>
      <c r="F1580" s="43"/>
      <c r="G1580" s="85"/>
      <c r="H1580" s="43"/>
      <c r="I1580" s="85"/>
      <c r="J1580" s="43"/>
      <c r="L1580" s="43"/>
      <c r="N1580" s="43"/>
      <c r="P1580" s="43"/>
      <c r="R1580" s="43"/>
      <c r="T1580" s="43"/>
      <c r="V1580" s="43"/>
      <c r="X1580" s="43"/>
      <c r="Z1580" s="43"/>
      <c r="AB1580" s="43"/>
      <c r="AD1580" s="43"/>
      <c r="AF1580" s="43"/>
      <c r="AH1580" s="43"/>
      <c r="AJ1580" s="43"/>
      <c r="AL1580" s="43"/>
      <c r="AO1580" s="43"/>
      <c r="AP1580" s="1"/>
      <c r="AQ1580" s="43"/>
      <c r="AR1580" s="123"/>
      <c r="AS1580" s="1"/>
      <c r="AT1580" s="1"/>
    </row>
    <row r="1581">
      <c r="A1581" s="43"/>
      <c r="B1581" s="59"/>
      <c r="C1581" s="51"/>
      <c r="D1581" s="43"/>
      <c r="E1581" s="85"/>
      <c r="F1581" s="43"/>
      <c r="G1581" s="85"/>
      <c r="H1581" s="43"/>
      <c r="I1581" s="85"/>
      <c r="J1581" s="43"/>
      <c r="L1581" s="43"/>
      <c r="N1581" s="43"/>
      <c r="P1581" s="43"/>
      <c r="R1581" s="43"/>
      <c r="T1581" s="43"/>
      <c r="V1581" s="43"/>
      <c r="X1581" s="43"/>
      <c r="Z1581" s="43"/>
      <c r="AB1581" s="43"/>
      <c r="AD1581" s="43"/>
      <c r="AF1581" s="43"/>
      <c r="AH1581" s="43"/>
      <c r="AJ1581" s="43"/>
      <c r="AL1581" s="43"/>
      <c r="AO1581" s="43"/>
      <c r="AP1581" s="1"/>
      <c r="AQ1581" s="43"/>
      <c r="AR1581" s="123"/>
      <c r="AS1581" s="1"/>
      <c r="AT1581" s="1"/>
    </row>
    <row r="1582">
      <c r="A1582" s="43"/>
      <c r="B1582" s="59"/>
      <c r="C1582" s="51"/>
      <c r="D1582" s="43"/>
      <c r="E1582" s="85"/>
      <c r="F1582" s="43"/>
      <c r="G1582" s="85"/>
      <c r="H1582" s="43"/>
      <c r="I1582" s="85"/>
      <c r="J1582" s="43"/>
      <c r="L1582" s="43"/>
      <c r="N1582" s="43"/>
      <c r="P1582" s="43"/>
      <c r="R1582" s="43"/>
      <c r="T1582" s="43"/>
      <c r="V1582" s="43"/>
      <c r="X1582" s="43"/>
      <c r="Z1582" s="43"/>
      <c r="AB1582" s="43"/>
      <c r="AD1582" s="43"/>
      <c r="AF1582" s="43"/>
      <c r="AH1582" s="43"/>
      <c r="AJ1582" s="43"/>
      <c r="AL1582" s="43"/>
      <c r="AO1582" s="43"/>
      <c r="AP1582" s="1"/>
      <c r="AQ1582" s="43"/>
      <c r="AR1582" s="123"/>
      <c r="AS1582" s="1"/>
      <c r="AT1582" s="1"/>
    </row>
    <row r="1583">
      <c r="A1583" s="43"/>
      <c r="B1583" s="59"/>
      <c r="C1583" s="51"/>
      <c r="D1583" s="43"/>
      <c r="E1583" s="85"/>
      <c r="F1583" s="43"/>
      <c r="G1583" s="85"/>
      <c r="H1583" s="43"/>
      <c r="I1583" s="85"/>
      <c r="J1583" s="43"/>
      <c r="L1583" s="43"/>
      <c r="N1583" s="43"/>
      <c r="P1583" s="43"/>
      <c r="R1583" s="43"/>
      <c r="T1583" s="43"/>
      <c r="V1583" s="43"/>
      <c r="X1583" s="43"/>
      <c r="Z1583" s="43"/>
      <c r="AB1583" s="43"/>
      <c r="AD1583" s="43"/>
      <c r="AF1583" s="43"/>
      <c r="AH1583" s="43"/>
      <c r="AJ1583" s="43"/>
      <c r="AL1583" s="43"/>
      <c r="AO1583" s="43"/>
      <c r="AP1583" s="1"/>
      <c r="AQ1583" s="43"/>
      <c r="AR1583" s="123"/>
      <c r="AS1583" s="1"/>
      <c r="AT1583" s="1"/>
    </row>
    <row r="1584">
      <c r="A1584" s="43"/>
      <c r="B1584" s="59"/>
      <c r="C1584" s="51"/>
      <c r="D1584" s="43"/>
      <c r="E1584" s="85"/>
      <c r="F1584" s="43"/>
      <c r="G1584" s="85"/>
      <c r="H1584" s="43"/>
      <c r="I1584" s="85"/>
      <c r="J1584" s="43"/>
      <c r="L1584" s="43"/>
      <c r="N1584" s="43"/>
      <c r="P1584" s="43"/>
      <c r="R1584" s="43"/>
      <c r="T1584" s="43"/>
      <c r="V1584" s="43"/>
      <c r="X1584" s="43"/>
      <c r="Z1584" s="43"/>
      <c r="AB1584" s="43"/>
      <c r="AD1584" s="43"/>
      <c r="AF1584" s="43"/>
      <c r="AH1584" s="43"/>
      <c r="AJ1584" s="43"/>
      <c r="AL1584" s="43"/>
      <c r="AO1584" s="43"/>
      <c r="AP1584" s="1"/>
      <c r="AQ1584" s="43"/>
      <c r="AR1584" s="123"/>
      <c r="AS1584" s="1"/>
      <c r="AT1584" s="1"/>
    </row>
    <row r="1585">
      <c r="A1585" s="43"/>
      <c r="B1585" s="59"/>
      <c r="C1585" s="51"/>
      <c r="D1585" s="43"/>
      <c r="E1585" s="85"/>
      <c r="F1585" s="43"/>
      <c r="G1585" s="85"/>
      <c r="H1585" s="43"/>
      <c r="I1585" s="85"/>
      <c r="J1585" s="43"/>
      <c r="L1585" s="43"/>
      <c r="N1585" s="43"/>
      <c r="P1585" s="43"/>
      <c r="R1585" s="43"/>
      <c r="T1585" s="43"/>
      <c r="V1585" s="43"/>
      <c r="X1585" s="43"/>
      <c r="Z1585" s="43"/>
      <c r="AB1585" s="43"/>
      <c r="AD1585" s="43"/>
      <c r="AF1585" s="43"/>
      <c r="AH1585" s="43"/>
      <c r="AJ1585" s="43"/>
      <c r="AL1585" s="43"/>
      <c r="AO1585" s="43"/>
      <c r="AP1585" s="1"/>
      <c r="AQ1585" s="43"/>
      <c r="AR1585" s="123"/>
      <c r="AS1585" s="1"/>
      <c r="AT1585" s="1"/>
    </row>
    <row r="1586">
      <c r="A1586" s="43"/>
      <c r="B1586" s="59"/>
      <c r="C1586" s="51"/>
      <c r="D1586" s="43"/>
      <c r="E1586" s="85"/>
      <c r="F1586" s="43"/>
      <c r="G1586" s="85"/>
      <c r="H1586" s="43"/>
      <c r="I1586" s="85"/>
      <c r="J1586" s="43"/>
      <c r="L1586" s="43"/>
      <c r="N1586" s="43"/>
      <c r="P1586" s="43"/>
      <c r="R1586" s="43"/>
      <c r="T1586" s="43"/>
      <c r="V1586" s="43"/>
      <c r="X1586" s="43"/>
      <c r="Z1586" s="43"/>
      <c r="AB1586" s="43"/>
      <c r="AD1586" s="43"/>
      <c r="AF1586" s="43"/>
      <c r="AH1586" s="43"/>
      <c r="AJ1586" s="43"/>
      <c r="AL1586" s="43"/>
      <c r="AO1586" s="43"/>
      <c r="AP1586" s="1"/>
      <c r="AQ1586" s="43"/>
      <c r="AR1586" s="123"/>
      <c r="AS1586" s="1"/>
      <c r="AT1586" s="1"/>
    </row>
    <row r="1587">
      <c r="A1587" s="43"/>
      <c r="B1587" s="59"/>
      <c r="C1587" s="51"/>
      <c r="D1587" s="43"/>
      <c r="E1587" s="85"/>
      <c r="F1587" s="43"/>
      <c r="G1587" s="85"/>
      <c r="H1587" s="43"/>
      <c r="I1587" s="85"/>
      <c r="J1587" s="43"/>
      <c r="L1587" s="43"/>
      <c r="N1587" s="43"/>
      <c r="P1587" s="43"/>
      <c r="R1587" s="43"/>
      <c r="T1587" s="43"/>
      <c r="V1587" s="43"/>
      <c r="X1587" s="43"/>
      <c r="Z1587" s="43"/>
      <c r="AB1587" s="43"/>
      <c r="AD1587" s="43"/>
      <c r="AF1587" s="43"/>
      <c r="AH1587" s="43"/>
      <c r="AJ1587" s="43"/>
      <c r="AL1587" s="43"/>
      <c r="AO1587" s="43"/>
      <c r="AP1587" s="1"/>
      <c r="AQ1587" s="43"/>
      <c r="AR1587" s="123"/>
      <c r="AS1587" s="1"/>
      <c r="AT1587" s="1"/>
    </row>
    <row r="1588">
      <c r="A1588" s="43"/>
      <c r="B1588" s="59"/>
      <c r="C1588" s="51"/>
      <c r="D1588" s="43"/>
      <c r="E1588" s="85"/>
      <c r="F1588" s="43"/>
      <c r="G1588" s="85"/>
      <c r="H1588" s="43"/>
      <c r="I1588" s="85"/>
      <c r="J1588" s="43"/>
      <c r="L1588" s="43"/>
      <c r="N1588" s="43"/>
      <c r="P1588" s="43"/>
      <c r="R1588" s="43"/>
      <c r="T1588" s="43"/>
      <c r="V1588" s="43"/>
      <c r="X1588" s="43"/>
      <c r="Z1588" s="43"/>
      <c r="AB1588" s="43"/>
      <c r="AD1588" s="43"/>
      <c r="AF1588" s="43"/>
      <c r="AH1588" s="43"/>
      <c r="AJ1588" s="43"/>
      <c r="AL1588" s="43"/>
      <c r="AO1588" s="43"/>
      <c r="AP1588" s="1"/>
      <c r="AQ1588" s="43"/>
      <c r="AR1588" s="123"/>
      <c r="AS1588" s="1"/>
      <c r="AT1588" s="1"/>
    </row>
    <row r="1589">
      <c r="A1589" s="43"/>
      <c r="B1589" s="59"/>
      <c r="C1589" s="51"/>
      <c r="D1589" s="43"/>
      <c r="E1589" s="85"/>
      <c r="F1589" s="43"/>
      <c r="G1589" s="85"/>
      <c r="H1589" s="43"/>
      <c r="I1589" s="85"/>
      <c r="J1589" s="43"/>
      <c r="L1589" s="43"/>
      <c r="N1589" s="43"/>
      <c r="P1589" s="43"/>
      <c r="R1589" s="43"/>
      <c r="T1589" s="43"/>
      <c r="V1589" s="43"/>
      <c r="X1589" s="43"/>
      <c r="Z1589" s="43"/>
      <c r="AB1589" s="43"/>
      <c r="AD1589" s="43"/>
      <c r="AF1589" s="43"/>
      <c r="AH1589" s="43"/>
      <c r="AJ1589" s="43"/>
      <c r="AL1589" s="43"/>
      <c r="AO1589" s="43"/>
      <c r="AP1589" s="1"/>
      <c r="AQ1589" s="43"/>
      <c r="AR1589" s="123"/>
      <c r="AS1589" s="1"/>
      <c r="AT1589" s="1"/>
    </row>
    <row r="1590">
      <c r="A1590" s="43"/>
      <c r="B1590" s="59"/>
      <c r="C1590" s="51"/>
      <c r="D1590" s="43"/>
      <c r="E1590" s="85"/>
      <c r="F1590" s="43"/>
      <c r="G1590" s="85"/>
      <c r="H1590" s="43"/>
      <c r="I1590" s="85"/>
      <c r="J1590" s="43"/>
      <c r="L1590" s="43"/>
      <c r="N1590" s="43"/>
      <c r="P1590" s="43"/>
      <c r="R1590" s="43"/>
      <c r="T1590" s="43"/>
      <c r="V1590" s="43"/>
      <c r="X1590" s="43"/>
      <c r="Z1590" s="43"/>
      <c r="AB1590" s="43"/>
      <c r="AD1590" s="43"/>
      <c r="AF1590" s="43"/>
      <c r="AH1590" s="43"/>
      <c r="AJ1590" s="43"/>
      <c r="AL1590" s="43"/>
      <c r="AO1590" s="43"/>
      <c r="AP1590" s="1"/>
      <c r="AQ1590" s="43"/>
      <c r="AR1590" s="123"/>
      <c r="AS1590" s="1"/>
      <c r="AT1590" s="1"/>
    </row>
    <row r="1591">
      <c r="A1591" s="43"/>
      <c r="B1591" s="59"/>
      <c r="C1591" s="51"/>
      <c r="D1591" s="43"/>
      <c r="E1591" s="85"/>
      <c r="F1591" s="43"/>
      <c r="G1591" s="85"/>
      <c r="H1591" s="43"/>
      <c r="I1591" s="85"/>
      <c r="J1591" s="43"/>
      <c r="L1591" s="43"/>
      <c r="N1591" s="43"/>
      <c r="P1591" s="43"/>
      <c r="R1591" s="43"/>
      <c r="T1591" s="43"/>
      <c r="V1591" s="43"/>
      <c r="X1591" s="43"/>
      <c r="Z1591" s="43"/>
      <c r="AB1591" s="43"/>
      <c r="AD1591" s="43"/>
      <c r="AF1591" s="43"/>
      <c r="AH1591" s="43"/>
      <c r="AJ1591" s="43"/>
      <c r="AL1591" s="43"/>
      <c r="AO1591" s="43"/>
      <c r="AP1591" s="1"/>
      <c r="AQ1591" s="43"/>
      <c r="AR1591" s="123"/>
      <c r="AS1591" s="1"/>
      <c r="AT1591" s="1"/>
    </row>
    <row r="1592">
      <c r="A1592" s="43"/>
      <c r="B1592" s="59"/>
      <c r="C1592" s="51"/>
      <c r="D1592" s="43"/>
      <c r="E1592" s="85"/>
      <c r="F1592" s="43"/>
      <c r="G1592" s="85"/>
      <c r="H1592" s="43"/>
      <c r="I1592" s="85"/>
      <c r="J1592" s="43"/>
      <c r="L1592" s="43"/>
      <c r="N1592" s="43"/>
      <c r="P1592" s="43"/>
      <c r="R1592" s="43"/>
      <c r="T1592" s="43"/>
      <c r="V1592" s="43"/>
      <c r="X1592" s="43"/>
      <c r="Z1592" s="43"/>
      <c r="AB1592" s="43"/>
      <c r="AD1592" s="43"/>
      <c r="AF1592" s="43"/>
      <c r="AH1592" s="43"/>
      <c r="AJ1592" s="43"/>
      <c r="AL1592" s="43"/>
      <c r="AO1592" s="43"/>
      <c r="AP1592" s="1"/>
      <c r="AQ1592" s="43"/>
      <c r="AR1592" s="123"/>
      <c r="AS1592" s="1"/>
      <c r="AT1592" s="1"/>
    </row>
    <row r="1593">
      <c r="A1593" s="43"/>
      <c r="B1593" s="59"/>
      <c r="C1593" s="51"/>
      <c r="D1593" s="43"/>
      <c r="E1593" s="85"/>
      <c r="F1593" s="43"/>
      <c r="G1593" s="85"/>
      <c r="H1593" s="43"/>
      <c r="I1593" s="85"/>
      <c r="J1593" s="43"/>
      <c r="L1593" s="43"/>
      <c r="N1593" s="43"/>
      <c r="P1593" s="43"/>
      <c r="R1593" s="43"/>
      <c r="T1593" s="43"/>
      <c r="V1593" s="43"/>
      <c r="X1593" s="43"/>
      <c r="Z1593" s="43"/>
      <c r="AB1593" s="43"/>
      <c r="AD1593" s="43"/>
      <c r="AF1593" s="43"/>
      <c r="AH1593" s="43"/>
      <c r="AJ1593" s="43"/>
      <c r="AL1593" s="43"/>
      <c r="AO1593" s="43"/>
      <c r="AP1593" s="1"/>
      <c r="AQ1593" s="43"/>
      <c r="AR1593" s="123"/>
      <c r="AS1593" s="1"/>
      <c r="AT1593" s="1"/>
    </row>
    <row r="1594">
      <c r="A1594" s="43"/>
      <c r="B1594" s="59"/>
      <c r="C1594" s="51"/>
      <c r="D1594" s="43"/>
      <c r="E1594" s="85"/>
      <c r="F1594" s="43"/>
      <c r="G1594" s="85"/>
      <c r="H1594" s="43"/>
      <c r="I1594" s="85"/>
      <c r="J1594" s="43"/>
      <c r="L1594" s="43"/>
      <c r="N1594" s="43"/>
      <c r="P1594" s="43"/>
      <c r="R1594" s="43"/>
      <c r="T1594" s="43"/>
      <c r="V1594" s="43"/>
      <c r="X1594" s="43"/>
      <c r="Z1594" s="43"/>
      <c r="AB1594" s="43"/>
      <c r="AD1594" s="43"/>
      <c r="AF1594" s="43"/>
      <c r="AH1594" s="43"/>
      <c r="AJ1594" s="43"/>
      <c r="AL1594" s="43"/>
      <c r="AO1594" s="43"/>
      <c r="AP1594" s="1"/>
      <c r="AQ1594" s="43"/>
      <c r="AR1594" s="123"/>
      <c r="AS1594" s="1"/>
      <c r="AT1594" s="1"/>
    </row>
    <row r="1595">
      <c r="A1595" s="43"/>
      <c r="B1595" s="59"/>
      <c r="C1595" s="51"/>
      <c r="D1595" s="43"/>
      <c r="E1595" s="85"/>
      <c r="F1595" s="43"/>
      <c r="G1595" s="85"/>
      <c r="H1595" s="43"/>
      <c r="I1595" s="85"/>
      <c r="J1595" s="43"/>
      <c r="L1595" s="43"/>
      <c r="N1595" s="43"/>
      <c r="P1595" s="43"/>
      <c r="R1595" s="43"/>
      <c r="T1595" s="43"/>
      <c r="V1595" s="43"/>
      <c r="X1595" s="43"/>
      <c r="Z1595" s="43"/>
      <c r="AB1595" s="43"/>
      <c r="AD1595" s="43"/>
      <c r="AF1595" s="43"/>
      <c r="AH1595" s="43"/>
      <c r="AJ1595" s="43"/>
      <c r="AL1595" s="43"/>
      <c r="AO1595" s="43"/>
      <c r="AP1595" s="1"/>
      <c r="AQ1595" s="43"/>
      <c r="AR1595" s="123"/>
      <c r="AS1595" s="1"/>
      <c r="AT1595" s="1"/>
    </row>
    <row r="1596">
      <c r="A1596" s="43"/>
      <c r="B1596" s="59"/>
      <c r="C1596" s="51"/>
      <c r="D1596" s="43"/>
      <c r="E1596" s="85"/>
      <c r="F1596" s="43"/>
      <c r="G1596" s="85"/>
      <c r="H1596" s="43"/>
      <c r="I1596" s="85"/>
      <c r="J1596" s="43"/>
      <c r="L1596" s="43"/>
      <c r="N1596" s="43"/>
      <c r="P1596" s="43"/>
      <c r="R1596" s="43"/>
      <c r="T1596" s="43"/>
      <c r="V1596" s="43"/>
      <c r="X1596" s="43"/>
      <c r="Z1596" s="43"/>
      <c r="AB1596" s="43"/>
      <c r="AD1596" s="43"/>
      <c r="AF1596" s="43"/>
      <c r="AH1596" s="43"/>
      <c r="AJ1596" s="43"/>
      <c r="AL1596" s="43"/>
      <c r="AO1596" s="43"/>
      <c r="AP1596" s="1"/>
      <c r="AQ1596" s="43"/>
      <c r="AR1596" s="123"/>
      <c r="AS1596" s="1"/>
      <c r="AT1596" s="1"/>
    </row>
    <row r="1597">
      <c r="A1597" s="43"/>
      <c r="B1597" s="59"/>
      <c r="C1597" s="51"/>
      <c r="D1597" s="43"/>
      <c r="E1597" s="85"/>
      <c r="F1597" s="43"/>
      <c r="G1597" s="85"/>
      <c r="H1597" s="43"/>
      <c r="I1597" s="85"/>
      <c r="J1597" s="43"/>
      <c r="L1597" s="43"/>
      <c r="N1597" s="43"/>
      <c r="P1597" s="43"/>
      <c r="R1597" s="43"/>
      <c r="T1597" s="43"/>
      <c r="V1597" s="43"/>
      <c r="X1597" s="43"/>
      <c r="Z1597" s="43"/>
      <c r="AB1597" s="43"/>
      <c r="AD1597" s="43"/>
      <c r="AF1597" s="43"/>
      <c r="AH1597" s="43"/>
      <c r="AJ1597" s="43"/>
      <c r="AL1597" s="43"/>
      <c r="AO1597" s="43"/>
      <c r="AP1597" s="1"/>
      <c r="AQ1597" s="43"/>
      <c r="AR1597" s="123"/>
      <c r="AS1597" s="1"/>
      <c r="AT1597" s="1"/>
    </row>
    <row r="1598">
      <c r="A1598" s="43"/>
      <c r="B1598" s="59"/>
      <c r="C1598" s="51"/>
      <c r="D1598" s="43"/>
      <c r="E1598" s="85"/>
      <c r="F1598" s="43"/>
      <c r="G1598" s="85"/>
      <c r="H1598" s="43"/>
      <c r="I1598" s="85"/>
      <c r="J1598" s="43"/>
      <c r="L1598" s="43"/>
      <c r="N1598" s="43"/>
      <c r="P1598" s="43"/>
      <c r="R1598" s="43"/>
      <c r="T1598" s="43"/>
      <c r="V1598" s="43"/>
      <c r="X1598" s="43"/>
      <c r="Z1598" s="43"/>
      <c r="AB1598" s="43"/>
      <c r="AD1598" s="43"/>
      <c r="AF1598" s="43"/>
      <c r="AH1598" s="43"/>
      <c r="AJ1598" s="43"/>
      <c r="AL1598" s="43"/>
      <c r="AO1598" s="43"/>
      <c r="AP1598" s="1"/>
      <c r="AQ1598" s="43"/>
      <c r="AR1598" s="123"/>
      <c r="AS1598" s="1"/>
      <c r="AT1598" s="1"/>
    </row>
    <row r="1599">
      <c r="A1599" s="43"/>
      <c r="B1599" s="59"/>
      <c r="C1599" s="51"/>
      <c r="D1599" s="43"/>
      <c r="E1599" s="85"/>
      <c r="F1599" s="43"/>
      <c r="G1599" s="85"/>
      <c r="H1599" s="43"/>
      <c r="I1599" s="85"/>
      <c r="J1599" s="43"/>
      <c r="L1599" s="43"/>
      <c r="N1599" s="43"/>
      <c r="P1599" s="43"/>
      <c r="R1599" s="43"/>
      <c r="T1599" s="43"/>
      <c r="V1599" s="43"/>
      <c r="X1599" s="43"/>
      <c r="Z1599" s="43"/>
      <c r="AB1599" s="43"/>
      <c r="AD1599" s="43"/>
      <c r="AF1599" s="43"/>
      <c r="AH1599" s="43"/>
      <c r="AJ1599" s="43"/>
      <c r="AL1599" s="43"/>
      <c r="AO1599" s="43"/>
      <c r="AP1599" s="1"/>
      <c r="AQ1599" s="43"/>
      <c r="AR1599" s="123"/>
      <c r="AS1599" s="1"/>
      <c r="AT1599" s="1"/>
    </row>
    <row r="1600">
      <c r="A1600" s="43"/>
      <c r="B1600" s="59"/>
      <c r="C1600" s="51"/>
      <c r="D1600" s="43"/>
      <c r="E1600" s="85"/>
      <c r="F1600" s="43"/>
      <c r="G1600" s="85"/>
      <c r="H1600" s="43"/>
      <c r="I1600" s="85"/>
      <c r="J1600" s="43"/>
      <c r="L1600" s="43"/>
      <c r="N1600" s="43"/>
      <c r="P1600" s="43"/>
      <c r="R1600" s="43"/>
      <c r="T1600" s="43"/>
      <c r="V1600" s="43"/>
      <c r="X1600" s="43"/>
      <c r="Z1600" s="43"/>
      <c r="AB1600" s="43"/>
      <c r="AD1600" s="43"/>
      <c r="AF1600" s="43"/>
      <c r="AH1600" s="43"/>
      <c r="AJ1600" s="43"/>
      <c r="AL1600" s="43"/>
      <c r="AO1600" s="43"/>
      <c r="AP1600" s="1"/>
      <c r="AQ1600" s="43"/>
      <c r="AR1600" s="123"/>
      <c r="AS1600" s="1"/>
      <c r="AT1600" s="1"/>
    </row>
    <row r="1601">
      <c r="A1601" s="43"/>
      <c r="B1601" s="59"/>
      <c r="C1601" s="51"/>
      <c r="D1601" s="43"/>
      <c r="E1601" s="85"/>
      <c r="F1601" s="43"/>
      <c r="G1601" s="85"/>
      <c r="H1601" s="43"/>
      <c r="I1601" s="85"/>
      <c r="J1601" s="43"/>
      <c r="L1601" s="43"/>
      <c r="N1601" s="43"/>
      <c r="P1601" s="43"/>
      <c r="R1601" s="43"/>
      <c r="T1601" s="43"/>
      <c r="V1601" s="43"/>
      <c r="X1601" s="43"/>
      <c r="Z1601" s="43"/>
      <c r="AB1601" s="43"/>
      <c r="AD1601" s="43"/>
      <c r="AF1601" s="43"/>
      <c r="AH1601" s="43"/>
      <c r="AJ1601" s="43"/>
      <c r="AL1601" s="43"/>
      <c r="AO1601" s="43"/>
      <c r="AP1601" s="1"/>
      <c r="AQ1601" s="43"/>
      <c r="AR1601" s="123"/>
      <c r="AS1601" s="1"/>
      <c r="AT1601" s="1"/>
    </row>
    <row r="1602">
      <c r="A1602" s="43"/>
      <c r="B1602" s="59"/>
      <c r="C1602" s="51"/>
      <c r="D1602" s="43"/>
      <c r="E1602" s="85"/>
      <c r="F1602" s="43"/>
      <c r="G1602" s="85"/>
      <c r="H1602" s="43"/>
      <c r="I1602" s="85"/>
      <c r="J1602" s="43"/>
      <c r="L1602" s="43"/>
      <c r="N1602" s="43"/>
      <c r="P1602" s="43"/>
      <c r="R1602" s="43"/>
      <c r="T1602" s="43"/>
      <c r="V1602" s="43"/>
      <c r="X1602" s="43"/>
      <c r="Z1602" s="43"/>
      <c r="AB1602" s="43"/>
      <c r="AD1602" s="43"/>
      <c r="AF1602" s="43"/>
      <c r="AH1602" s="43"/>
      <c r="AJ1602" s="43"/>
      <c r="AL1602" s="43"/>
      <c r="AO1602" s="43"/>
      <c r="AP1602" s="1"/>
      <c r="AQ1602" s="43"/>
      <c r="AR1602" s="123"/>
      <c r="AS1602" s="1"/>
      <c r="AT1602" s="1"/>
    </row>
    <row r="1603">
      <c r="A1603" s="43"/>
      <c r="B1603" s="59"/>
      <c r="C1603" s="51"/>
      <c r="D1603" s="43"/>
      <c r="E1603" s="85"/>
      <c r="F1603" s="43"/>
      <c r="G1603" s="85"/>
      <c r="H1603" s="43"/>
      <c r="I1603" s="85"/>
      <c r="J1603" s="43"/>
      <c r="L1603" s="43"/>
      <c r="N1603" s="43"/>
      <c r="P1603" s="43"/>
      <c r="R1603" s="43"/>
      <c r="T1603" s="43"/>
      <c r="V1603" s="43"/>
      <c r="X1603" s="43"/>
      <c r="Z1603" s="43"/>
      <c r="AB1603" s="43"/>
      <c r="AD1603" s="43"/>
      <c r="AF1603" s="43"/>
      <c r="AH1603" s="43"/>
      <c r="AJ1603" s="43"/>
      <c r="AL1603" s="43"/>
      <c r="AO1603" s="43"/>
      <c r="AP1603" s="1"/>
      <c r="AQ1603" s="43"/>
      <c r="AR1603" s="123"/>
      <c r="AS1603" s="1"/>
      <c r="AT1603" s="1"/>
    </row>
    <row r="1604">
      <c r="A1604" s="43"/>
      <c r="B1604" s="59"/>
      <c r="C1604" s="51"/>
      <c r="D1604" s="43"/>
      <c r="E1604" s="85"/>
      <c r="F1604" s="43"/>
      <c r="G1604" s="85"/>
      <c r="H1604" s="43"/>
      <c r="I1604" s="85"/>
      <c r="J1604" s="43"/>
      <c r="L1604" s="43"/>
      <c r="N1604" s="43"/>
      <c r="P1604" s="43"/>
      <c r="R1604" s="43"/>
      <c r="T1604" s="43"/>
      <c r="V1604" s="43"/>
      <c r="X1604" s="43"/>
      <c r="Z1604" s="43"/>
      <c r="AB1604" s="43"/>
      <c r="AD1604" s="43"/>
      <c r="AF1604" s="43"/>
      <c r="AH1604" s="43"/>
      <c r="AJ1604" s="43"/>
      <c r="AL1604" s="43"/>
      <c r="AO1604" s="43"/>
      <c r="AP1604" s="1"/>
      <c r="AQ1604" s="43"/>
      <c r="AR1604" s="123"/>
      <c r="AS1604" s="1"/>
      <c r="AT1604" s="1"/>
    </row>
    <row r="1605">
      <c r="A1605" s="43"/>
      <c r="B1605" s="59"/>
      <c r="C1605" s="51"/>
      <c r="D1605" s="43"/>
      <c r="E1605" s="85"/>
      <c r="F1605" s="43"/>
      <c r="G1605" s="85"/>
      <c r="H1605" s="43"/>
      <c r="I1605" s="85"/>
      <c r="J1605" s="43"/>
      <c r="L1605" s="43"/>
      <c r="N1605" s="43"/>
      <c r="P1605" s="43"/>
      <c r="R1605" s="43"/>
      <c r="T1605" s="43"/>
      <c r="V1605" s="43"/>
      <c r="X1605" s="43"/>
      <c r="Z1605" s="43"/>
      <c r="AB1605" s="43"/>
      <c r="AD1605" s="43"/>
      <c r="AF1605" s="43"/>
      <c r="AH1605" s="43"/>
      <c r="AJ1605" s="43"/>
      <c r="AL1605" s="43"/>
      <c r="AO1605" s="43"/>
      <c r="AP1605" s="1"/>
      <c r="AQ1605" s="43"/>
      <c r="AR1605" s="123"/>
      <c r="AS1605" s="1"/>
      <c r="AT1605" s="1"/>
    </row>
    <row r="1606">
      <c r="A1606" s="43"/>
      <c r="B1606" s="59"/>
      <c r="C1606" s="51"/>
      <c r="D1606" s="43"/>
      <c r="E1606" s="85"/>
      <c r="F1606" s="43"/>
      <c r="G1606" s="85"/>
      <c r="H1606" s="43"/>
      <c r="I1606" s="85"/>
      <c r="J1606" s="43"/>
      <c r="L1606" s="43"/>
      <c r="N1606" s="43"/>
      <c r="P1606" s="43"/>
      <c r="R1606" s="43"/>
      <c r="T1606" s="43"/>
      <c r="V1606" s="43"/>
      <c r="X1606" s="43"/>
      <c r="Z1606" s="43"/>
      <c r="AB1606" s="43"/>
      <c r="AD1606" s="43"/>
      <c r="AF1606" s="43"/>
      <c r="AH1606" s="43"/>
      <c r="AJ1606" s="43"/>
      <c r="AL1606" s="43"/>
      <c r="AO1606" s="43"/>
      <c r="AP1606" s="1"/>
      <c r="AQ1606" s="43"/>
      <c r="AR1606" s="123"/>
      <c r="AS1606" s="1"/>
      <c r="AT1606" s="1"/>
    </row>
    <row r="1607">
      <c r="A1607" s="43"/>
      <c r="B1607" s="59"/>
      <c r="C1607" s="51"/>
      <c r="D1607" s="43"/>
      <c r="E1607" s="85"/>
      <c r="F1607" s="43"/>
      <c r="G1607" s="85"/>
      <c r="H1607" s="43"/>
      <c r="I1607" s="85"/>
      <c r="J1607" s="43"/>
      <c r="L1607" s="43"/>
      <c r="N1607" s="43"/>
      <c r="P1607" s="43"/>
      <c r="R1607" s="43"/>
      <c r="T1607" s="43"/>
      <c r="V1607" s="43"/>
      <c r="X1607" s="43"/>
      <c r="Z1607" s="43"/>
      <c r="AB1607" s="43"/>
      <c r="AD1607" s="43"/>
      <c r="AF1607" s="43"/>
      <c r="AH1607" s="43"/>
      <c r="AJ1607" s="43"/>
      <c r="AL1607" s="43"/>
      <c r="AO1607" s="43"/>
      <c r="AP1607" s="1"/>
      <c r="AQ1607" s="43"/>
      <c r="AR1607" s="123"/>
      <c r="AS1607" s="1"/>
      <c r="AT1607" s="1"/>
    </row>
    <row r="1608">
      <c r="A1608" s="43"/>
      <c r="B1608" s="59"/>
      <c r="C1608" s="51"/>
      <c r="D1608" s="43"/>
      <c r="E1608" s="85"/>
      <c r="F1608" s="43"/>
      <c r="G1608" s="85"/>
      <c r="H1608" s="43"/>
      <c r="I1608" s="85"/>
      <c r="J1608" s="43"/>
      <c r="L1608" s="43"/>
      <c r="N1608" s="43"/>
      <c r="P1608" s="43"/>
      <c r="R1608" s="43"/>
      <c r="T1608" s="43"/>
      <c r="V1608" s="43"/>
      <c r="X1608" s="43"/>
      <c r="Z1608" s="43"/>
      <c r="AB1608" s="43"/>
      <c r="AD1608" s="43"/>
      <c r="AF1608" s="43"/>
      <c r="AH1608" s="43"/>
      <c r="AJ1608" s="43"/>
      <c r="AL1608" s="43"/>
      <c r="AO1608" s="43"/>
      <c r="AP1608" s="1"/>
      <c r="AQ1608" s="43"/>
      <c r="AR1608" s="123"/>
      <c r="AS1608" s="1"/>
      <c r="AT1608" s="1"/>
    </row>
    <row r="1609">
      <c r="A1609" s="43"/>
      <c r="B1609" s="59"/>
      <c r="C1609" s="51"/>
      <c r="D1609" s="43"/>
      <c r="E1609" s="85"/>
      <c r="F1609" s="43"/>
      <c r="G1609" s="85"/>
      <c r="H1609" s="43"/>
      <c r="I1609" s="85"/>
      <c r="J1609" s="43"/>
      <c r="L1609" s="43"/>
      <c r="N1609" s="43"/>
      <c r="P1609" s="43"/>
      <c r="R1609" s="43"/>
      <c r="T1609" s="43"/>
      <c r="V1609" s="43"/>
      <c r="X1609" s="43"/>
      <c r="Z1609" s="43"/>
      <c r="AB1609" s="43"/>
      <c r="AD1609" s="43"/>
      <c r="AF1609" s="43"/>
      <c r="AH1609" s="43"/>
      <c r="AJ1609" s="43"/>
      <c r="AL1609" s="43"/>
      <c r="AO1609" s="43"/>
      <c r="AP1609" s="1"/>
      <c r="AQ1609" s="43"/>
      <c r="AR1609" s="123"/>
      <c r="AS1609" s="1"/>
      <c r="AT1609" s="1"/>
    </row>
    <row r="1610">
      <c r="A1610" s="43"/>
      <c r="B1610" s="59"/>
      <c r="C1610" s="51"/>
      <c r="D1610" s="43"/>
      <c r="E1610" s="85"/>
      <c r="F1610" s="43"/>
      <c r="G1610" s="85"/>
      <c r="H1610" s="43"/>
      <c r="I1610" s="85"/>
      <c r="J1610" s="43"/>
      <c r="L1610" s="43"/>
      <c r="N1610" s="43"/>
      <c r="P1610" s="43"/>
      <c r="R1610" s="43"/>
      <c r="T1610" s="43"/>
      <c r="V1610" s="43"/>
      <c r="X1610" s="43"/>
      <c r="Z1610" s="43"/>
      <c r="AB1610" s="43"/>
      <c r="AD1610" s="43"/>
      <c r="AF1610" s="43"/>
      <c r="AH1610" s="43"/>
      <c r="AJ1610" s="43"/>
      <c r="AL1610" s="43"/>
      <c r="AO1610" s="43"/>
      <c r="AP1610" s="1"/>
      <c r="AQ1610" s="43"/>
      <c r="AR1610" s="123"/>
      <c r="AS1610" s="1"/>
      <c r="AT1610" s="1"/>
    </row>
    <row r="1611">
      <c r="A1611" s="43"/>
      <c r="B1611" s="59"/>
      <c r="C1611" s="51"/>
      <c r="D1611" s="43"/>
      <c r="E1611" s="85"/>
      <c r="F1611" s="43"/>
      <c r="G1611" s="85"/>
      <c r="H1611" s="43"/>
      <c r="I1611" s="85"/>
      <c r="J1611" s="43"/>
      <c r="L1611" s="43"/>
      <c r="N1611" s="43"/>
      <c r="P1611" s="43"/>
      <c r="R1611" s="43"/>
      <c r="T1611" s="43"/>
      <c r="V1611" s="43"/>
      <c r="X1611" s="43"/>
      <c r="Z1611" s="43"/>
      <c r="AB1611" s="43"/>
      <c r="AD1611" s="43"/>
      <c r="AF1611" s="43"/>
      <c r="AH1611" s="43"/>
      <c r="AJ1611" s="43"/>
      <c r="AL1611" s="43"/>
      <c r="AO1611" s="43"/>
      <c r="AP1611" s="1"/>
      <c r="AQ1611" s="43"/>
      <c r="AR1611" s="123"/>
      <c r="AS1611" s="1"/>
      <c r="AT1611" s="1"/>
    </row>
    <row r="1612">
      <c r="A1612" s="43"/>
      <c r="B1612" s="59"/>
      <c r="C1612" s="51"/>
      <c r="D1612" s="43"/>
      <c r="E1612" s="85"/>
      <c r="F1612" s="43"/>
      <c r="G1612" s="85"/>
      <c r="H1612" s="43"/>
      <c r="I1612" s="85"/>
      <c r="J1612" s="43"/>
      <c r="L1612" s="43"/>
      <c r="N1612" s="43"/>
      <c r="P1612" s="43"/>
      <c r="R1612" s="43"/>
      <c r="T1612" s="43"/>
      <c r="V1612" s="43"/>
      <c r="X1612" s="43"/>
      <c r="Z1612" s="43"/>
      <c r="AB1612" s="43"/>
      <c r="AD1612" s="43"/>
      <c r="AF1612" s="43"/>
      <c r="AH1612" s="43"/>
      <c r="AJ1612" s="43"/>
      <c r="AL1612" s="43"/>
      <c r="AO1612" s="43"/>
      <c r="AP1612" s="1"/>
      <c r="AQ1612" s="43"/>
      <c r="AR1612" s="123"/>
      <c r="AS1612" s="1"/>
      <c r="AT1612" s="1"/>
    </row>
    <row r="1613">
      <c r="A1613" s="43"/>
      <c r="B1613" s="59"/>
      <c r="C1613" s="51"/>
      <c r="D1613" s="43"/>
      <c r="E1613" s="85"/>
      <c r="F1613" s="43"/>
      <c r="G1613" s="85"/>
      <c r="H1613" s="43"/>
      <c r="I1613" s="85"/>
      <c r="J1613" s="43"/>
      <c r="L1613" s="43"/>
      <c r="N1613" s="43"/>
      <c r="P1613" s="43"/>
      <c r="R1613" s="43"/>
      <c r="T1613" s="43"/>
      <c r="V1613" s="43"/>
      <c r="X1613" s="43"/>
      <c r="Z1613" s="43"/>
      <c r="AB1613" s="43"/>
      <c r="AD1613" s="43"/>
      <c r="AF1613" s="43"/>
      <c r="AH1613" s="43"/>
      <c r="AJ1613" s="43"/>
      <c r="AL1613" s="43"/>
      <c r="AO1613" s="43"/>
      <c r="AP1613" s="1"/>
      <c r="AQ1613" s="43"/>
      <c r="AR1613" s="123"/>
      <c r="AS1613" s="1"/>
      <c r="AT1613" s="1"/>
    </row>
    <row r="1614">
      <c r="A1614" s="43"/>
      <c r="B1614" s="59"/>
      <c r="C1614" s="51"/>
      <c r="D1614" s="43"/>
      <c r="E1614" s="85"/>
      <c r="F1614" s="43"/>
      <c r="G1614" s="85"/>
      <c r="H1614" s="43"/>
      <c r="I1614" s="85"/>
      <c r="J1614" s="43"/>
      <c r="L1614" s="43"/>
      <c r="N1614" s="43"/>
      <c r="P1614" s="43"/>
      <c r="R1614" s="43"/>
      <c r="T1614" s="43"/>
      <c r="V1614" s="43"/>
      <c r="X1614" s="43"/>
      <c r="Z1614" s="43"/>
      <c r="AB1614" s="43"/>
      <c r="AD1614" s="43"/>
      <c r="AF1614" s="43"/>
      <c r="AH1614" s="43"/>
      <c r="AJ1614" s="43"/>
      <c r="AL1614" s="43"/>
      <c r="AO1614" s="43"/>
      <c r="AP1614" s="1"/>
      <c r="AQ1614" s="43"/>
      <c r="AR1614" s="123"/>
      <c r="AS1614" s="1"/>
      <c r="AT1614" s="1"/>
    </row>
    <row r="1615">
      <c r="A1615" s="43"/>
      <c r="B1615" s="59"/>
      <c r="C1615" s="51"/>
      <c r="D1615" s="43"/>
      <c r="E1615" s="85"/>
      <c r="F1615" s="43"/>
      <c r="G1615" s="85"/>
      <c r="H1615" s="43"/>
      <c r="I1615" s="85"/>
      <c r="J1615" s="43"/>
      <c r="L1615" s="43"/>
      <c r="N1615" s="43"/>
      <c r="P1615" s="43"/>
      <c r="R1615" s="43"/>
      <c r="T1615" s="43"/>
      <c r="V1615" s="43"/>
      <c r="X1615" s="43"/>
      <c r="Z1615" s="43"/>
      <c r="AB1615" s="43"/>
      <c r="AD1615" s="43"/>
      <c r="AF1615" s="43"/>
      <c r="AH1615" s="43"/>
      <c r="AJ1615" s="43"/>
      <c r="AL1615" s="43"/>
      <c r="AO1615" s="43"/>
      <c r="AP1615" s="1"/>
      <c r="AQ1615" s="43"/>
      <c r="AR1615" s="123"/>
      <c r="AS1615" s="1"/>
      <c r="AT1615" s="1"/>
    </row>
    <row r="1616">
      <c r="A1616" s="43"/>
      <c r="B1616" s="59"/>
      <c r="C1616" s="51"/>
      <c r="D1616" s="43"/>
      <c r="E1616" s="85"/>
      <c r="F1616" s="43"/>
      <c r="G1616" s="85"/>
      <c r="H1616" s="43"/>
      <c r="I1616" s="85"/>
      <c r="J1616" s="43"/>
      <c r="L1616" s="43"/>
      <c r="N1616" s="43"/>
      <c r="P1616" s="43"/>
      <c r="R1616" s="43"/>
      <c r="T1616" s="43"/>
      <c r="V1616" s="43"/>
      <c r="X1616" s="43"/>
      <c r="Z1616" s="43"/>
      <c r="AB1616" s="43"/>
      <c r="AD1616" s="43"/>
      <c r="AF1616" s="43"/>
      <c r="AH1616" s="43"/>
      <c r="AJ1616" s="43"/>
      <c r="AL1616" s="43"/>
      <c r="AO1616" s="43"/>
      <c r="AP1616" s="1"/>
      <c r="AQ1616" s="43"/>
      <c r="AR1616" s="123"/>
      <c r="AS1616" s="1"/>
      <c r="AT1616" s="1"/>
    </row>
    <row r="1617">
      <c r="A1617" s="43"/>
      <c r="B1617" s="59"/>
      <c r="C1617" s="51"/>
      <c r="D1617" s="43"/>
      <c r="E1617" s="85"/>
      <c r="F1617" s="43"/>
      <c r="G1617" s="85"/>
      <c r="H1617" s="43"/>
      <c r="I1617" s="85"/>
      <c r="J1617" s="43"/>
      <c r="L1617" s="43"/>
      <c r="N1617" s="43"/>
      <c r="P1617" s="43"/>
      <c r="R1617" s="43"/>
      <c r="T1617" s="43"/>
      <c r="V1617" s="43"/>
      <c r="X1617" s="43"/>
      <c r="Z1617" s="43"/>
      <c r="AB1617" s="43"/>
      <c r="AD1617" s="43"/>
      <c r="AF1617" s="43"/>
      <c r="AH1617" s="43"/>
      <c r="AJ1617" s="43"/>
      <c r="AL1617" s="43"/>
      <c r="AO1617" s="43"/>
      <c r="AP1617" s="1"/>
      <c r="AQ1617" s="43"/>
      <c r="AR1617" s="123"/>
      <c r="AS1617" s="1"/>
      <c r="AT1617" s="1"/>
    </row>
    <row r="1618">
      <c r="A1618" s="43"/>
      <c r="B1618" s="59"/>
      <c r="C1618" s="51"/>
      <c r="D1618" s="43"/>
      <c r="E1618" s="85"/>
      <c r="F1618" s="43"/>
      <c r="G1618" s="85"/>
      <c r="H1618" s="43"/>
      <c r="I1618" s="85"/>
      <c r="J1618" s="43"/>
      <c r="L1618" s="43"/>
      <c r="N1618" s="43"/>
      <c r="P1618" s="43"/>
      <c r="R1618" s="43"/>
      <c r="T1618" s="43"/>
      <c r="V1618" s="43"/>
      <c r="X1618" s="43"/>
      <c r="Z1618" s="43"/>
      <c r="AB1618" s="43"/>
      <c r="AD1618" s="43"/>
      <c r="AF1618" s="43"/>
      <c r="AH1618" s="43"/>
      <c r="AJ1618" s="43"/>
      <c r="AL1618" s="43"/>
      <c r="AO1618" s="43"/>
      <c r="AP1618" s="1"/>
      <c r="AQ1618" s="43"/>
      <c r="AR1618" s="123"/>
      <c r="AS1618" s="1"/>
      <c r="AT1618" s="1"/>
    </row>
    <row r="1619">
      <c r="A1619" s="43"/>
      <c r="B1619" s="59"/>
      <c r="C1619" s="51"/>
      <c r="D1619" s="43"/>
      <c r="E1619" s="85"/>
      <c r="F1619" s="43"/>
      <c r="G1619" s="85"/>
      <c r="H1619" s="43"/>
      <c r="I1619" s="85"/>
      <c r="J1619" s="43"/>
      <c r="L1619" s="43"/>
      <c r="N1619" s="43"/>
      <c r="P1619" s="43"/>
      <c r="R1619" s="43"/>
      <c r="T1619" s="43"/>
      <c r="V1619" s="43"/>
      <c r="X1619" s="43"/>
      <c r="Z1619" s="43"/>
      <c r="AB1619" s="43"/>
      <c r="AD1619" s="43"/>
      <c r="AF1619" s="43"/>
      <c r="AH1619" s="43"/>
      <c r="AJ1619" s="43"/>
      <c r="AL1619" s="43"/>
      <c r="AO1619" s="43"/>
      <c r="AP1619" s="1"/>
      <c r="AQ1619" s="43"/>
      <c r="AR1619" s="123"/>
      <c r="AS1619" s="1"/>
      <c r="AT1619" s="1"/>
    </row>
    <row r="1620">
      <c r="A1620" s="43"/>
      <c r="B1620" s="59"/>
      <c r="C1620" s="51"/>
      <c r="D1620" s="43"/>
      <c r="E1620" s="85"/>
      <c r="F1620" s="43"/>
      <c r="G1620" s="85"/>
      <c r="H1620" s="43"/>
      <c r="I1620" s="85"/>
      <c r="J1620" s="43"/>
      <c r="L1620" s="43"/>
      <c r="N1620" s="43"/>
      <c r="P1620" s="43"/>
      <c r="R1620" s="43"/>
      <c r="T1620" s="43"/>
      <c r="V1620" s="43"/>
      <c r="X1620" s="43"/>
      <c r="Z1620" s="43"/>
      <c r="AB1620" s="43"/>
      <c r="AD1620" s="43"/>
      <c r="AF1620" s="43"/>
      <c r="AH1620" s="43"/>
      <c r="AJ1620" s="43"/>
      <c r="AL1620" s="43"/>
      <c r="AO1620" s="43"/>
      <c r="AP1620" s="1"/>
      <c r="AQ1620" s="43"/>
      <c r="AR1620" s="123"/>
      <c r="AS1620" s="1"/>
      <c r="AT1620" s="1"/>
    </row>
    <row r="1621">
      <c r="A1621" s="43"/>
      <c r="B1621" s="59"/>
      <c r="C1621" s="51"/>
      <c r="D1621" s="43"/>
      <c r="E1621" s="85"/>
      <c r="F1621" s="43"/>
      <c r="G1621" s="85"/>
      <c r="H1621" s="43"/>
      <c r="I1621" s="85"/>
      <c r="J1621" s="43"/>
      <c r="L1621" s="43"/>
      <c r="N1621" s="43"/>
      <c r="P1621" s="43"/>
      <c r="R1621" s="43"/>
      <c r="T1621" s="43"/>
      <c r="V1621" s="43"/>
      <c r="X1621" s="43"/>
      <c r="Z1621" s="43"/>
      <c r="AB1621" s="43"/>
      <c r="AD1621" s="43"/>
      <c r="AF1621" s="43"/>
      <c r="AH1621" s="43"/>
      <c r="AJ1621" s="43"/>
      <c r="AL1621" s="43"/>
      <c r="AO1621" s="43"/>
      <c r="AP1621" s="1"/>
      <c r="AQ1621" s="43"/>
      <c r="AR1621" s="123"/>
      <c r="AS1621" s="1"/>
      <c r="AT1621" s="1"/>
    </row>
    <row r="1622">
      <c r="A1622" s="43"/>
      <c r="B1622" s="59"/>
      <c r="C1622" s="51"/>
      <c r="D1622" s="43"/>
      <c r="E1622" s="85"/>
      <c r="F1622" s="43"/>
      <c r="G1622" s="85"/>
      <c r="H1622" s="43"/>
      <c r="I1622" s="85"/>
      <c r="J1622" s="43"/>
      <c r="L1622" s="43"/>
      <c r="N1622" s="43"/>
      <c r="P1622" s="43"/>
      <c r="R1622" s="43"/>
      <c r="T1622" s="43"/>
      <c r="V1622" s="43"/>
      <c r="X1622" s="43"/>
      <c r="Z1622" s="43"/>
      <c r="AB1622" s="43"/>
      <c r="AD1622" s="43"/>
      <c r="AF1622" s="43"/>
      <c r="AH1622" s="43"/>
      <c r="AJ1622" s="43"/>
      <c r="AL1622" s="43"/>
      <c r="AO1622" s="43"/>
      <c r="AP1622" s="1"/>
      <c r="AQ1622" s="43"/>
      <c r="AR1622" s="123"/>
      <c r="AS1622" s="1"/>
      <c r="AT1622" s="1"/>
    </row>
    <row r="1623">
      <c r="A1623" s="43"/>
      <c r="B1623" s="59"/>
      <c r="C1623" s="51"/>
      <c r="D1623" s="43"/>
      <c r="E1623" s="85"/>
      <c r="F1623" s="43"/>
      <c r="G1623" s="85"/>
      <c r="H1623" s="43"/>
      <c r="I1623" s="85"/>
      <c r="J1623" s="43"/>
      <c r="L1623" s="43"/>
      <c r="N1623" s="43"/>
      <c r="P1623" s="43"/>
      <c r="R1623" s="43"/>
      <c r="T1623" s="43"/>
      <c r="V1623" s="43"/>
      <c r="X1623" s="43"/>
      <c r="Z1623" s="43"/>
      <c r="AB1623" s="43"/>
      <c r="AD1623" s="43"/>
      <c r="AF1623" s="43"/>
      <c r="AH1623" s="43"/>
      <c r="AJ1623" s="43"/>
      <c r="AL1623" s="43"/>
      <c r="AO1623" s="43"/>
      <c r="AP1623" s="1"/>
      <c r="AQ1623" s="43"/>
      <c r="AR1623" s="123"/>
      <c r="AS1623" s="1"/>
      <c r="AT1623" s="1"/>
    </row>
    <row r="1624">
      <c r="A1624" s="43"/>
      <c r="B1624" s="59"/>
      <c r="C1624" s="51"/>
      <c r="D1624" s="43"/>
      <c r="E1624" s="85"/>
      <c r="F1624" s="43"/>
      <c r="G1624" s="85"/>
      <c r="H1624" s="43"/>
      <c r="I1624" s="85"/>
      <c r="J1624" s="43"/>
      <c r="L1624" s="43"/>
      <c r="N1624" s="43"/>
      <c r="P1624" s="43"/>
      <c r="R1624" s="43"/>
      <c r="T1624" s="43"/>
      <c r="V1624" s="43"/>
      <c r="X1624" s="43"/>
      <c r="Z1624" s="43"/>
      <c r="AB1624" s="43"/>
      <c r="AD1624" s="43"/>
      <c r="AF1624" s="43"/>
      <c r="AH1624" s="43"/>
      <c r="AJ1624" s="43"/>
      <c r="AL1624" s="43"/>
      <c r="AO1624" s="43"/>
      <c r="AP1624" s="1"/>
      <c r="AQ1624" s="43"/>
      <c r="AR1624" s="123"/>
      <c r="AS1624" s="1"/>
      <c r="AT1624" s="1"/>
    </row>
    <row r="1625">
      <c r="A1625" s="43"/>
      <c r="B1625" s="59"/>
      <c r="C1625" s="51"/>
      <c r="D1625" s="43"/>
      <c r="E1625" s="85"/>
      <c r="F1625" s="43"/>
      <c r="G1625" s="85"/>
      <c r="H1625" s="43"/>
      <c r="I1625" s="85"/>
      <c r="J1625" s="43"/>
      <c r="L1625" s="43"/>
      <c r="N1625" s="43"/>
      <c r="P1625" s="43"/>
      <c r="R1625" s="43"/>
      <c r="T1625" s="43"/>
      <c r="V1625" s="43"/>
      <c r="X1625" s="43"/>
      <c r="Z1625" s="43"/>
      <c r="AB1625" s="43"/>
      <c r="AD1625" s="43"/>
      <c r="AF1625" s="43"/>
      <c r="AH1625" s="43"/>
      <c r="AJ1625" s="43"/>
      <c r="AL1625" s="43"/>
      <c r="AO1625" s="43"/>
      <c r="AP1625" s="1"/>
      <c r="AQ1625" s="43"/>
      <c r="AR1625" s="123"/>
      <c r="AS1625" s="1"/>
      <c r="AT1625" s="1"/>
    </row>
    <row r="1626">
      <c r="A1626" s="43"/>
      <c r="B1626" s="59"/>
      <c r="C1626" s="51"/>
      <c r="D1626" s="43"/>
      <c r="E1626" s="85"/>
      <c r="F1626" s="43"/>
      <c r="G1626" s="85"/>
      <c r="H1626" s="43"/>
      <c r="I1626" s="85"/>
      <c r="J1626" s="43"/>
      <c r="L1626" s="43"/>
      <c r="N1626" s="43"/>
      <c r="P1626" s="43"/>
      <c r="R1626" s="43"/>
      <c r="T1626" s="43"/>
      <c r="V1626" s="43"/>
      <c r="X1626" s="43"/>
      <c r="Z1626" s="43"/>
      <c r="AB1626" s="43"/>
      <c r="AD1626" s="43"/>
      <c r="AF1626" s="43"/>
      <c r="AH1626" s="43"/>
      <c r="AJ1626" s="43"/>
      <c r="AL1626" s="43"/>
      <c r="AO1626" s="43"/>
      <c r="AP1626" s="1"/>
      <c r="AQ1626" s="43"/>
      <c r="AR1626" s="123"/>
      <c r="AS1626" s="1"/>
      <c r="AT1626" s="1"/>
    </row>
    <row r="1627">
      <c r="A1627" s="43"/>
      <c r="B1627" s="59"/>
      <c r="C1627" s="51"/>
      <c r="D1627" s="43"/>
      <c r="E1627" s="85"/>
      <c r="F1627" s="43"/>
      <c r="G1627" s="85"/>
      <c r="H1627" s="43"/>
      <c r="I1627" s="85"/>
      <c r="J1627" s="43"/>
      <c r="L1627" s="43"/>
      <c r="N1627" s="43"/>
      <c r="P1627" s="43"/>
      <c r="R1627" s="43"/>
      <c r="T1627" s="43"/>
      <c r="V1627" s="43"/>
      <c r="X1627" s="43"/>
      <c r="Z1627" s="43"/>
      <c r="AB1627" s="43"/>
      <c r="AD1627" s="43"/>
      <c r="AF1627" s="43"/>
      <c r="AH1627" s="43"/>
      <c r="AJ1627" s="43"/>
      <c r="AL1627" s="43"/>
      <c r="AO1627" s="43"/>
      <c r="AP1627" s="1"/>
      <c r="AQ1627" s="43"/>
      <c r="AR1627" s="123"/>
      <c r="AS1627" s="1"/>
      <c r="AT1627" s="1"/>
    </row>
    <row r="1628">
      <c r="A1628" s="43"/>
      <c r="B1628" s="59"/>
      <c r="C1628" s="51"/>
      <c r="D1628" s="43"/>
      <c r="E1628" s="85"/>
      <c r="F1628" s="43"/>
      <c r="G1628" s="85"/>
      <c r="H1628" s="43"/>
      <c r="I1628" s="85"/>
      <c r="J1628" s="43"/>
      <c r="L1628" s="43"/>
      <c r="N1628" s="43"/>
      <c r="P1628" s="43"/>
      <c r="R1628" s="43"/>
      <c r="T1628" s="43"/>
      <c r="V1628" s="43"/>
      <c r="X1628" s="43"/>
      <c r="Z1628" s="43"/>
      <c r="AB1628" s="43"/>
      <c r="AD1628" s="43"/>
      <c r="AF1628" s="43"/>
      <c r="AH1628" s="43"/>
      <c r="AJ1628" s="43"/>
      <c r="AL1628" s="43"/>
      <c r="AO1628" s="43"/>
      <c r="AP1628" s="1"/>
      <c r="AQ1628" s="43"/>
      <c r="AR1628" s="123"/>
      <c r="AS1628" s="1"/>
      <c r="AT1628" s="1"/>
    </row>
    <row r="1629">
      <c r="A1629" s="43"/>
      <c r="B1629" s="59"/>
      <c r="C1629" s="51"/>
      <c r="D1629" s="43"/>
      <c r="E1629" s="85"/>
      <c r="F1629" s="43"/>
      <c r="G1629" s="85"/>
      <c r="H1629" s="43"/>
      <c r="I1629" s="85"/>
      <c r="J1629" s="43"/>
      <c r="L1629" s="43"/>
      <c r="N1629" s="43"/>
      <c r="P1629" s="43"/>
      <c r="R1629" s="43"/>
      <c r="T1629" s="43"/>
      <c r="V1629" s="43"/>
      <c r="X1629" s="43"/>
      <c r="Z1629" s="43"/>
      <c r="AB1629" s="43"/>
      <c r="AD1629" s="43"/>
      <c r="AF1629" s="43"/>
      <c r="AH1629" s="43"/>
      <c r="AJ1629" s="43"/>
      <c r="AL1629" s="43"/>
      <c r="AO1629" s="43"/>
      <c r="AP1629" s="1"/>
      <c r="AQ1629" s="43"/>
      <c r="AR1629" s="123"/>
      <c r="AS1629" s="1"/>
      <c r="AT1629" s="1"/>
    </row>
    <row r="1630">
      <c r="A1630" s="43"/>
      <c r="B1630" s="59"/>
      <c r="C1630" s="51"/>
      <c r="D1630" s="43"/>
      <c r="E1630" s="85"/>
      <c r="F1630" s="43"/>
      <c r="G1630" s="85"/>
      <c r="H1630" s="43"/>
      <c r="I1630" s="85"/>
      <c r="J1630" s="43"/>
      <c r="L1630" s="43"/>
      <c r="N1630" s="43"/>
      <c r="P1630" s="43"/>
      <c r="R1630" s="43"/>
      <c r="T1630" s="43"/>
      <c r="V1630" s="43"/>
      <c r="X1630" s="43"/>
      <c r="Z1630" s="43"/>
      <c r="AB1630" s="43"/>
      <c r="AD1630" s="43"/>
      <c r="AF1630" s="43"/>
      <c r="AH1630" s="43"/>
      <c r="AJ1630" s="43"/>
      <c r="AL1630" s="43"/>
      <c r="AO1630" s="43"/>
      <c r="AP1630" s="1"/>
      <c r="AQ1630" s="43"/>
      <c r="AR1630" s="123"/>
      <c r="AS1630" s="1"/>
      <c r="AT1630" s="1"/>
    </row>
    <row r="1631">
      <c r="A1631" s="43"/>
      <c r="B1631" s="59"/>
      <c r="C1631" s="51"/>
      <c r="D1631" s="43"/>
      <c r="E1631" s="85"/>
      <c r="F1631" s="43"/>
      <c r="G1631" s="85"/>
      <c r="H1631" s="43"/>
      <c r="I1631" s="85"/>
      <c r="J1631" s="43"/>
      <c r="L1631" s="43"/>
      <c r="N1631" s="43"/>
      <c r="P1631" s="43"/>
      <c r="R1631" s="43"/>
      <c r="T1631" s="43"/>
      <c r="V1631" s="43"/>
      <c r="X1631" s="43"/>
      <c r="Z1631" s="43"/>
      <c r="AB1631" s="43"/>
      <c r="AD1631" s="43"/>
      <c r="AF1631" s="43"/>
      <c r="AH1631" s="43"/>
      <c r="AJ1631" s="43"/>
      <c r="AL1631" s="43"/>
      <c r="AO1631" s="43"/>
      <c r="AP1631" s="1"/>
      <c r="AQ1631" s="43"/>
      <c r="AR1631" s="123"/>
      <c r="AS1631" s="1"/>
      <c r="AT1631" s="1"/>
    </row>
    <row r="1632">
      <c r="A1632" s="43"/>
      <c r="B1632" s="59"/>
      <c r="C1632" s="51"/>
      <c r="D1632" s="43"/>
      <c r="E1632" s="85"/>
      <c r="F1632" s="43"/>
      <c r="G1632" s="85"/>
      <c r="H1632" s="43"/>
      <c r="I1632" s="85"/>
      <c r="J1632" s="43"/>
      <c r="L1632" s="43"/>
      <c r="N1632" s="43"/>
      <c r="P1632" s="43"/>
      <c r="R1632" s="43"/>
      <c r="T1632" s="43"/>
      <c r="V1632" s="43"/>
      <c r="X1632" s="43"/>
      <c r="Z1632" s="43"/>
      <c r="AB1632" s="43"/>
      <c r="AD1632" s="43"/>
      <c r="AF1632" s="43"/>
      <c r="AH1632" s="43"/>
      <c r="AJ1632" s="43"/>
      <c r="AL1632" s="43"/>
      <c r="AO1632" s="43"/>
      <c r="AP1632" s="1"/>
      <c r="AQ1632" s="43"/>
      <c r="AR1632" s="123"/>
      <c r="AS1632" s="1"/>
      <c r="AT1632" s="1"/>
    </row>
    <row r="1633">
      <c r="A1633" s="43"/>
      <c r="B1633" s="59"/>
      <c r="C1633" s="51"/>
      <c r="D1633" s="43"/>
      <c r="E1633" s="85"/>
      <c r="F1633" s="43"/>
      <c r="G1633" s="85"/>
      <c r="H1633" s="43"/>
      <c r="I1633" s="85"/>
      <c r="J1633" s="43"/>
      <c r="L1633" s="43"/>
      <c r="N1633" s="43"/>
      <c r="P1633" s="43"/>
      <c r="R1633" s="43"/>
      <c r="T1633" s="43"/>
      <c r="V1633" s="43"/>
      <c r="X1633" s="43"/>
      <c r="Z1633" s="43"/>
      <c r="AB1633" s="43"/>
      <c r="AD1633" s="43"/>
      <c r="AF1633" s="43"/>
      <c r="AH1633" s="43"/>
      <c r="AJ1633" s="43"/>
      <c r="AL1633" s="43"/>
      <c r="AO1633" s="43"/>
      <c r="AP1633" s="1"/>
      <c r="AQ1633" s="43"/>
      <c r="AR1633" s="123"/>
      <c r="AS1633" s="1"/>
      <c r="AT1633" s="1"/>
    </row>
    <row r="1634">
      <c r="A1634" s="43"/>
      <c r="B1634" s="59"/>
      <c r="C1634" s="51"/>
      <c r="D1634" s="43"/>
      <c r="E1634" s="85"/>
      <c r="F1634" s="43"/>
      <c r="G1634" s="85"/>
      <c r="H1634" s="43"/>
      <c r="I1634" s="85"/>
      <c r="J1634" s="43"/>
      <c r="L1634" s="43"/>
      <c r="N1634" s="43"/>
      <c r="P1634" s="43"/>
      <c r="R1634" s="43"/>
      <c r="T1634" s="43"/>
      <c r="V1634" s="43"/>
      <c r="X1634" s="43"/>
      <c r="Z1634" s="43"/>
      <c r="AB1634" s="43"/>
      <c r="AD1634" s="43"/>
      <c r="AF1634" s="43"/>
      <c r="AH1634" s="43"/>
      <c r="AJ1634" s="43"/>
      <c r="AL1634" s="43"/>
      <c r="AO1634" s="43"/>
      <c r="AP1634" s="1"/>
      <c r="AQ1634" s="43"/>
      <c r="AR1634" s="123"/>
      <c r="AS1634" s="1"/>
      <c r="AT1634" s="1"/>
    </row>
    <row r="1635">
      <c r="A1635" s="43"/>
      <c r="B1635" s="59"/>
      <c r="C1635" s="51"/>
      <c r="D1635" s="43"/>
      <c r="E1635" s="85"/>
      <c r="F1635" s="43"/>
      <c r="G1635" s="85"/>
      <c r="H1635" s="43"/>
      <c r="I1635" s="85"/>
      <c r="J1635" s="43"/>
      <c r="L1635" s="43"/>
      <c r="N1635" s="43"/>
      <c r="P1635" s="43"/>
      <c r="R1635" s="43"/>
      <c r="T1635" s="43"/>
      <c r="V1635" s="43"/>
      <c r="X1635" s="43"/>
      <c r="Z1635" s="43"/>
      <c r="AB1635" s="43"/>
      <c r="AD1635" s="43"/>
      <c r="AF1635" s="43"/>
      <c r="AH1635" s="43"/>
      <c r="AJ1635" s="43"/>
      <c r="AL1635" s="43"/>
      <c r="AO1635" s="43"/>
      <c r="AP1635" s="1"/>
      <c r="AQ1635" s="43"/>
      <c r="AR1635" s="123"/>
      <c r="AS1635" s="1"/>
      <c r="AT1635" s="1"/>
    </row>
    <row r="1636">
      <c r="A1636" s="43"/>
      <c r="B1636" s="59"/>
      <c r="C1636" s="51"/>
      <c r="D1636" s="43"/>
      <c r="E1636" s="85"/>
      <c r="F1636" s="43"/>
      <c r="G1636" s="85"/>
      <c r="H1636" s="43"/>
      <c r="I1636" s="85"/>
      <c r="J1636" s="43"/>
      <c r="L1636" s="43"/>
      <c r="N1636" s="43"/>
      <c r="P1636" s="43"/>
      <c r="R1636" s="43"/>
      <c r="T1636" s="43"/>
      <c r="V1636" s="43"/>
      <c r="X1636" s="43"/>
      <c r="Z1636" s="43"/>
      <c r="AB1636" s="43"/>
      <c r="AD1636" s="43"/>
      <c r="AF1636" s="43"/>
      <c r="AH1636" s="43"/>
      <c r="AJ1636" s="43"/>
      <c r="AL1636" s="43"/>
      <c r="AO1636" s="43"/>
      <c r="AP1636" s="1"/>
      <c r="AQ1636" s="43"/>
      <c r="AR1636" s="123"/>
      <c r="AS1636" s="1"/>
      <c r="AT1636" s="1"/>
    </row>
    <row r="1637">
      <c r="A1637" s="43"/>
      <c r="B1637" s="59"/>
      <c r="C1637" s="51"/>
      <c r="D1637" s="43"/>
      <c r="E1637" s="85"/>
      <c r="F1637" s="43"/>
      <c r="G1637" s="85"/>
      <c r="H1637" s="43"/>
      <c r="I1637" s="85"/>
      <c r="J1637" s="43"/>
      <c r="L1637" s="43"/>
      <c r="N1637" s="43"/>
      <c r="P1637" s="43"/>
      <c r="R1637" s="43"/>
      <c r="T1637" s="43"/>
      <c r="V1637" s="43"/>
      <c r="X1637" s="43"/>
      <c r="Z1637" s="43"/>
      <c r="AB1637" s="43"/>
      <c r="AD1637" s="43"/>
      <c r="AF1637" s="43"/>
      <c r="AH1637" s="43"/>
      <c r="AJ1637" s="43"/>
      <c r="AL1637" s="43"/>
      <c r="AO1637" s="43"/>
      <c r="AP1637" s="1"/>
      <c r="AQ1637" s="43"/>
      <c r="AR1637" s="123"/>
      <c r="AS1637" s="1"/>
      <c r="AT1637" s="1"/>
    </row>
    <row r="1638">
      <c r="A1638" s="43"/>
      <c r="B1638" s="59"/>
      <c r="C1638" s="51"/>
      <c r="D1638" s="43"/>
      <c r="E1638" s="85"/>
      <c r="F1638" s="43"/>
      <c r="G1638" s="85"/>
      <c r="H1638" s="43"/>
      <c r="I1638" s="85"/>
      <c r="J1638" s="43"/>
      <c r="L1638" s="43"/>
      <c r="N1638" s="43"/>
      <c r="P1638" s="43"/>
      <c r="R1638" s="43"/>
      <c r="T1638" s="43"/>
      <c r="V1638" s="43"/>
      <c r="X1638" s="43"/>
      <c r="Z1638" s="43"/>
      <c r="AB1638" s="43"/>
      <c r="AD1638" s="43"/>
      <c r="AF1638" s="43"/>
      <c r="AH1638" s="43"/>
      <c r="AJ1638" s="43"/>
      <c r="AL1638" s="43"/>
      <c r="AO1638" s="43"/>
      <c r="AP1638" s="1"/>
      <c r="AQ1638" s="43"/>
      <c r="AR1638" s="123"/>
      <c r="AS1638" s="1"/>
      <c r="AT1638" s="1"/>
    </row>
    <row r="1639">
      <c r="A1639" s="43"/>
      <c r="B1639" s="59"/>
      <c r="C1639" s="51"/>
      <c r="D1639" s="43"/>
      <c r="E1639" s="85"/>
      <c r="F1639" s="43"/>
      <c r="G1639" s="85"/>
      <c r="H1639" s="43"/>
      <c r="I1639" s="85"/>
      <c r="J1639" s="43"/>
      <c r="L1639" s="43"/>
      <c r="N1639" s="43"/>
      <c r="P1639" s="43"/>
      <c r="R1639" s="43"/>
      <c r="T1639" s="43"/>
      <c r="V1639" s="43"/>
      <c r="X1639" s="43"/>
      <c r="Z1639" s="43"/>
      <c r="AB1639" s="43"/>
      <c r="AD1639" s="43"/>
      <c r="AF1639" s="43"/>
      <c r="AH1639" s="43"/>
      <c r="AJ1639" s="43"/>
      <c r="AL1639" s="43"/>
      <c r="AO1639" s="43"/>
      <c r="AP1639" s="1"/>
      <c r="AQ1639" s="43"/>
      <c r="AR1639" s="123"/>
      <c r="AS1639" s="1"/>
      <c r="AT1639" s="1"/>
    </row>
    <row r="1640">
      <c r="A1640" s="43"/>
      <c r="B1640" s="59"/>
      <c r="C1640" s="51"/>
      <c r="D1640" s="43"/>
      <c r="E1640" s="85"/>
      <c r="F1640" s="43"/>
      <c r="G1640" s="85"/>
      <c r="H1640" s="43"/>
      <c r="I1640" s="85"/>
      <c r="J1640" s="43"/>
      <c r="L1640" s="43"/>
      <c r="N1640" s="43"/>
      <c r="P1640" s="43"/>
      <c r="R1640" s="43"/>
      <c r="T1640" s="43"/>
      <c r="V1640" s="43"/>
      <c r="X1640" s="43"/>
      <c r="Z1640" s="43"/>
      <c r="AB1640" s="43"/>
      <c r="AD1640" s="43"/>
      <c r="AF1640" s="43"/>
      <c r="AH1640" s="43"/>
      <c r="AJ1640" s="43"/>
      <c r="AL1640" s="43"/>
      <c r="AO1640" s="43"/>
      <c r="AP1640" s="1"/>
      <c r="AQ1640" s="43"/>
      <c r="AR1640" s="123"/>
      <c r="AS1640" s="1"/>
      <c r="AT1640" s="1"/>
    </row>
    <row r="1641">
      <c r="A1641" s="43"/>
      <c r="B1641" s="59"/>
      <c r="C1641" s="51"/>
      <c r="D1641" s="43"/>
      <c r="E1641" s="85"/>
      <c r="F1641" s="43"/>
      <c r="G1641" s="85"/>
      <c r="H1641" s="43"/>
      <c r="I1641" s="85"/>
      <c r="J1641" s="43"/>
      <c r="L1641" s="43"/>
      <c r="N1641" s="43"/>
      <c r="P1641" s="43"/>
      <c r="R1641" s="43"/>
      <c r="T1641" s="43"/>
      <c r="V1641" s="43"/>
      <c r="X1641" s="43"/>
      <c r="Z1641" s="43"/>
      <c r="AB1641" s="43"/>
      <c r="AD1641" s="43"/>
      <c r="AF1641" s="43"/>
      <c r="AH1641" s="43"/>
      <c r="AJ1641" s="43"/>
      <c r="AL1641" s="43"/>
      <c r="AO1641" s="43"/>
      <c r="AP1641" s="1"/>
      <c r="AQ1641" s="43"/>
      <c r="AR1641" s="123"/>
      <c r="AS1641" s="1"/>
      <c r="AT1641" s="1"/>
    </row>
    <row r="1642">
      <c r="A1642" s="43"/>
      <c r="B1642" s="59"/>
      <c r="C1642" s="51"/>
      <c r="D1642" s="43"/>
      <c r="E1642" s="85"/>
      <c r="F1642" s="43"/>
      <c r="G1642" s="85"/>
      <c r="H1642" s="43"/>
      <c r="I1642" s="85"/>
      <c r="J1642" s="43"/>
      <c r="L1642" s="43"/>
      <c r="N1642" s="43"/>
      <c r="P1642" s="43"/>
      <c r="R1642" s="43"/>
      <c r="T1642" s="43"/>
      <c r="V1642" s="43"/>
      <c r="X1642" s="43"/>
      <c r="Z1642" s="43"/>
      <c r="AB1642" s="43"/>
      <c r="AD1642" s="43"/>
      <c r="AF1642" s="43"/>
      <c r="AH1642" s="43"/>
      <c r="AJ1642" s="43"/>
      <c r="AL1642" s="43"/>
      <c r="AO1642" s="43"/>
      <c r="AP1642" s="1"/>
      <c r="AQ1642" s="43"/>
      <c r="AR1642" s="123"/>
      <c r="AS1642" s="1"/>
      <c r="AT1642" s="1"/>
    </row>
    <row r="1643">
      <c r="A1643" s="43"/>
      <c r="B1643" s="59"/>
      <c r="C1643" s="51"/>
      <c r="D1643" s="43"/>
      <c r="E1643" s="85"/>
      <c r="F1643" s="43"/>
      <c r="G1643" s="85"/>
      <c r="H1643" s="43"/>
      <c r="I1643" s="85"/>
      <c r="J1643" s="43"/>
      <c r="L1643" s="43"/>
      <c r="N1643" s="43"/>
      <c r="P1643" s="43"/>
      <c r="R1643" s="43"/>
      <c r="T1643" s="43"/>
      <c r="V1643" s="43"/>
      <c r="X1643" s="43"/>
      <c r="Z1643" s="43"/>
      <c r="AB1643" s="43"/>
      <c r="AD1643" s="43"/>
      <c r="AF1643" s="43"/>
      <c r="AH1643" s="43"/>
      <c r="AJ1643" s="43"/>
      <c r="AL1643" s="43"/>
      <c r="AO1643" s="43"/>
      <c r="AP1643" s="1"/>
      <c r="AQ1643" s="43"/>
      <c r="AR1643" s="123"/>
      <c r="AS1643" s="1"/>
      <c r="AT1643" s="1"/>
    </row>
    <row r="1644">
      <c r="A1644" s="43"/>
      <c r="B1644" s="59"/>
      <c r="C1644" s="51"/>
      <c r="D1644" s="43"/>
      <c r="E1644" s="85"/>
      <c r="F1644" s="43"/>
      <c r="G1644" s="85"/>
      <c r="H1644" s="43"/>
      <c r="I1644" s="85"/>
      <c r="J1644" s="43"/>
      <c r="L1644" s="43"/>
      <c r="N1644" s="43"/>
      <c r="P1644" s="43"/>
      <c r="R1644" s="43"/>
      <c r="T1644" s="43"/>
      <c r="V1644" s="43"/>
      <c r="X1644" s="43"/>
      <c r="Z1644" s="43"/>
      <c r="AB1644" s="43"/>
      <c r="AD1644" s="43"/>
      <c r="AF1644" s="43"/>
      <c r="AH1644" s="43"/>
      <c r="AJ1644" s="43"/>
      <c r="AL1644" s="43"/>
      <c r="AO1644" s="43"/>
      <c r="AP1644" s="1"/>
      <c r="AQ1644" s="43"/>
      <c r="AR1644" s="123"/>
      <c r="AS1644" s="1"/>
      <c r="AT1644" s="1"/>
    </row>
    <row r="1645">
      <c r="A1645" s="43"/>
      <c r="B1645" s="59"/>
      <c r="C1645" s="51"/>
      <c r="D1645" s="43"/>
      <c r="E1645" s="85"/>
      <c r="F1645" s="43"/>
      <c r="G1645" s="85"/>
      <c r="H1645" s="43"/>
      <c r="I1645" s="85"/>
      <c r="J1645" s="43"/>
      <c r="L1645" s="43"/>
      <c r="N1645" s="43"/>
      <c r="P1645" s="43"/>
      <c r="R1645" s="43"/>
      <c r="T1645" s="43"/>
      <c r="V1645" s="43"/>
      <c r="X1645" s="43"/>
      <c r="Z1645" s="43"/>
      <c r="AB1645" s="43"/>
      <c r="AD1645" s="43"/>
      <c r="AF1645" s="43"/>
      <c r="AH1645" s="43"/>
      <c r="AJ1645" s="43"/>
      <c r="AL1645" s="43"/>
      <c r="AO1645" s="43"/>
      <c r="AP1645" s="1"/>
      <c r="AQ1645" s="43"/>
      <c r="AR1645" s="123"/>
      <c r="AS1645" s="1"/>
      <c r="AT1645" s="1"/>
    </row>
    <row r="1646">
      <c r="A1646" s="43"/>
      <c r="B1646" s="59"/>
      <c r="C1646" s="51"/>
      <c r="D1646" s="43"/>
      <c r="E1646" s="85"/>
      <c r="F1646" s="43"/>
      <c r="G1646" s="85"/>
      <c r="H1646" s="43"/>
      <c r="I1646" s="85"/>
      <c r="J1646" s="43"/>
      <c r="L1646" s="43"/>
      <c r="N1646" s="43"/>
      <c r="P1646" s="43"/>
      <c r="R1646" s="43"/>
      <c r="T1646" s="43"/>
      <c r="V1646" s="43"/>
      <c r="X1646" s="43"/>
      <c r="Z1646" s="43"/>
      <c r="AB1646" s="43"/>
      <c r="AD1646" s="43"/>
      <c r="AF1646" s="43"/>
      <c r="AH1646" s="43"/>
      <c r="AJ1646" s="43"/>
      <c r="AL1646" s="43"/>
      <c r="AO1646" s="43"/>
      <c r="AP1646" s="1"/>
      <c r="AQ1646" s="43"/>
      <c r="AR1646" s="123"/>
      <c r="AS1646" s="1"/>
      <c r="AT1646" s="1"/>
    </row>
    <row r="1647">
      <c r="A1647" s="43"/>
      <c r="B1647" s="59"/>
      <c r="C1647" s="51"/>
      <c r="D1647" s="43"/>
      <c r="E1647" s="85"/>
      <c r="F1647" s="43"/>
      <c r="G1647" s="85"/>
      <c r="H1647" s="43"/>
      <c r="I1647" s="85"/>
      <c r="J1647" s="43"/>
      <c r="L1647" s="43"/>
      <c r="N1647" s="43"/>
      <c r="P1647" s="43"/>
      <c r="R1647" s="43"/>
      <c r="T1647" s="43"/>
      <c r="V1647" s="43"/>
      <c r="X1647" s="43"/>
      <c r="Z1647" s="43"/>
      <c r="AB1647" s="43"/>
      <c r="AD1647" s="43"/>
      <c r="AF1647" s="43"/>
      <c r="AH1647" s="43"/>
      <c r="AJ1647" s="43"/>
      <c r="AL1647" s="43"/>
      <c r="AO1647" s="43"/>
      <c r="AP1647" s="1"/>
      <c r="AQ1647" s="43"/>
      <c r="AR1647" s="123"/>
      <c r="AS1647" s="1"/>
      <c r="AT1647" s="1"/>
    </row>
    <row r="1648">
      <c r="A1648" s="43"/>
      <c r="B1648" s="59"/>
      <c r="C1648" s="51"/>
      <c r="D1648" s="43"/>
      <c r="E1648" s="85"/>
      <c r="F1648" s="43"/>
      <c r="G1648" s="85"/>
      <c r="H1648" s="43"/>
      <c r="I1648" s="85"/>
      <c r="J1648" s="43"/>
      <c r="L1648" s="43"/>
      <c r="N1648" s="43"/>
      <c r="P1648" s="43"/>
      <c r="R1648" s="43"/>
      <c r="T1648" s="43"/>
      <c r="V1648" s="43"/>
      <c r="X1648" s="43"/>
      <c r="Z1648" s="43"/>
      <c r="AB1648" s="43"/>
      <c r="AD1648" s="43"/>
      <c r="AF1648" s="43"/>
      <c r="AH1648" s="43"/>
      <c r="AJ1648" s="43"/>
      <c r="AL1648" s="43"/>
      <c r="AO1648" s="43"/>
      <c r="AP1648" s="1"/>
      <c r="AQ1648" s="43"/>
      <c r="AR1648" s="123"/>
      <c r="AS1648" s="1"/>
      <c r="AT1648" s="1"/>
    </row>
    <row r="1649">
      <c r="A1649" s="43"/>
      <c r="B1649" s="59"/>
      <c r="C1649" s="51"/>
      <c r="D1649" s="43"/>
      <c r="E1649" s="85"/>
      <c r="F1649" s="43"/>
      <c r="G1649" s="85"/>
      <c r="H1649" s="43"/>
      <c r="I1649" s="85"/>
      <c r="J1649" s="43"/>
      <c r="L1649" s="43"/>
      <c r="N1649" s="43"/>
      <c r="P1649" s="43"/>
      <c r="R1649" s="43"/>
      <c r="T1649" s="43"/>
      <c r="V1649" s="43"/>
      <c r="X1649" s="43"/>
      <c r="Z1649" s="43"/>
      <c r="AB1649" s="43"/>
      <c r="AD1649" s="43"/>
      <c r="AF1649" s="43"/>
      <c r="AH1649" s="43"/>
      <c r="AJ1649" s="43"/>
      <c r="AL1649" s="43"/>
      <c r="AO1649" s="43"/>
      <c r="AP1649" s="1"/>
      <c r="AQ1649" s="43"/>
      <c r="AR1649" s="123"/>
      <c r="AS1649" s="1"/>
      <c r="AT1649" s="1"/>
    </row>
    <row r="1650">
      <c r="A1650" s="43"/>
      <c r="B1650" s="59"/>
      <c r="C1650" s="51"/>
      <c r="D1650" s="43"/>
      <c r="E1650" s="85"/>
      <c r="F1650" s="43"/>
      <c r="G1650" s="85"/>
      <c r="H1650" s="43"/>
      <c r="I1650" s="85"/>
      <c r="J1650" s="43"/>
      <c r="L1650" s="43"/>
      <c r="N1650" s="43"/>
      <c r="P1650" s="43"/>
      <c r="R1650" s="43"/>
      <c r="T1650" s="43"/>
      <c r="V1650" s="43"/>
      <c r="X1650" s="43"/>
      <c r="Z1650" s="43"/>
      <c r="AB1650" s="43"/>
      <c r="AD1650" s="43"/>
      <c r="AF1650" s="43"/>
      <c r="AH1650" s="43"/>
      <c r="AJ1650" s="43"/>
      <c r="AL1650" s="43"/>
      <c r="AO1650" s="43"/>
      <c r="AP1650" s="1"/>
      <c r="AQ1650" s="43"/>
      <c r="AR1650" s="123"/>
      <c r="AS1650" s="1"/>
      <c r="AT1650" s="1"/>
    </row>
    <row r="1651">
      <c r="A1651" s="43"/>
      <c r="B1651" s="59"/>
      <c r="C1651" s="51"/>
      <c r="D1651" s="43"/>
      <c r="E1651" s="85"/>
      <c r="F1651" s="43"/>
      <c r="G1651" s="85"/>
      <c r="H1651" s="43"/>
      <c r="I1651" s="85"/>
      <c r="J1651" s="43"/>
      <c r="L1651" s="43"/>
      <c r="N1651" s="43"/>
      <c r="P1651" s="43"/>
      <c r="R1651" s="43"/>
      <c r="T1651" s="43"/>
      <c r="V1651" s="43"/>
      <c r="X1651" s="43"/>
      <c r="Z1651" s="43"/>
      <c r="AB1651" s="43"/>
      <c r="AD1651" s="43"/>
      <c r="AF1651" s="43"/>
      <c r="AH1651" s="43"/>
      <c r="AJ1651" s="43"/>
      <c r="AL1651" s="43"/>
      <c r="AO1651" s="43"/>
      <c r="AP1651" s="1"/>
      <c r="AQ1651" s="43"/>
      <c r="AR1651" s="123"/>
      <c r="AS1651" s="1"/>
      <c r="AT1651" s="1"/>
    </row>
    <row r="1652">
      <c r="A1652" s="43"/>
      <c r="B1652" s="59"/>
      <c r="C1652" s="51"/>
      <c r="D1652" s="43"/>
      <c r="E1652" s="85"/>
      <c r="F1652" s="43"/>
      <c r="G1652" s="85"/>
      <c r="H1652" s="43"/>
      <c r="I1652" s="85"/>
      <c r="J1652" s="43"/>
      <c r="L1652" s="43"/>
      <c r="N1652" s="43"/>
      <c r="P1652" s="43"/>
      <c r="R1652" s="43"/>
      <c r="T1652" s="43"/>
      <c r="V1652" s="43"/>
      <c r="X1652" s="43"/>
      <c r="Z1652" s="43"/>
      <c r="AB1652" s="43"/>
      <c r="AD1652" s="43"/>
      <c r="AF1652" s="43"/>
      <c r="AH1652" s="43"/>
      <c r="AJ1652" s="43"/>
      <c r="AL1652" s="43"/>
      <c r="AO1652" s="43"/>
      <c r="AP1652" s="1"/>
      <c r="AQ1652" s="43"/>
      <c r="AR1652" s="123"/>
      <c r="AS1652" s="1"/>
      <c r="AT1652" s="1"/>
    </row>
    <row r="1653">
      <c r="A1653" s="43"/>
      <c r="B1653" s="59"/>
      <c r="C1653" s="51"/>
      <c r="D1653" s="43"/>
      <c r="E1653" s="85"/>
      <c r="F1653" s="43"/>
      <c r="G1653" s="85"/>
      <c r="H1653" s="43"/>
      <c r="I1653" s="85"/>
      <c r="J1653" s="43"/>
      <c r="L1653" s="43"/>
      <c r="N1653" s="43"/>
      <c r="P1653" s="43"/>
      <c r="R1653" s="43"/>
      <c r="T1653" s="43"/>
      <c r="V1653" s="43"/>
      <c r="X1653" s="43"/>
      <c r="Z1653" s="43"/>
      <c r="AB1653" s="43"/>
      <c r="AD1653" s="43"/>
      <c r="AF1653" s="43"/>
      <c r="AH1653" s="43"/>
      <c r="AJ1653" s="43"/>
      <c r="AL1653" s="43"/>
      <c r="AO1653" s="43"/>
      <c r="AP1653" s="1"/>
      <c r="AQ1653" s="43"/>
      <c r="AR1653" s="123"/>
      <c r="AS1653" s="1"/>
      <c r="AT1653" s="1"/>
    </row>
    <row r="1654">
      <c r="A1654" s="43"/>
      <c r="B1654" s="59"/>
      <c r="C1654" s="51"/>
      <c r="D1654" s="43"/>
      <c r="E1654" s="85"/>
      <c r="F1654" s="43"/>
      <c r="G1654" s="85"/>
      <c r="H1654" s="43"/>
      <c r="I1654" s="85"/>
      <c r="J1654" s="43"/>
      <c r="L1654" s="43"/>
      <c r="N1654" s="43"/>
      <c r="P1654" s="43"/>
      <c r="R1654" s="43"/>
      <c r="T1654" s="43"/>
      <c r="V1654" s="43"/>
      <c r="X1654" s="43"/>
      <c r="Z1654" s="43"/>
      <c r="AB1654" s="43"/>
      <c r="AD1654" s="43"/>
      <c r="AF1654" s="43"/>
      <c r="AH1654" s="43"/>
      <c r="AJ1654" s="43"/>
      <c r="AL1654" s="43"/>
      <c r="AO1654" s="43"/>
      <c r="AP1654" s="1"/>
      <c r="AQ1654" s="43"/>
      <c r="AR1654" s="123"/>
      <c r="AS1654" s="1"/>
      <c r="AT1654" s="1"/>
    </row>
    <row r="1655">
      <c r="A1655" s="43"/>
      <c r="B1655" s="59"/>
      <c r="C1655" s="51"/>
      <c r="D1655" s="43"/>
      <c r="E1655" s="85"/>
      <c r="F1655" s="43"/>
      <c r="G1655" s="85"/>
      <c r="H1655" s="43"/>
      <c r="I1655" s="85"/>
      <c r="J1655" s="43"/>
      <c r="L1655" s="43"/>
      <c r="N1655" s="43"/>
      <c r="P1655" s="43"/>
      <c r="R1655" s="43"/>
      <c r="T1655" s="43"/>
      <c r="V1655" s="43"/>
      <c r="X1655" s="43"/>
      <c r="Z1655" s="43"/>
      <c r="AB1655" s="43"/>
      <c r="AD1655" s="43"/>
      <c r="AF1655" s="43"/>
      <c r="AH1655" s="43"/>
      <c r="AJ1655" s="43"/>
      <c r="AL1655" s="43"/>
      <c r="AO1655" s="43"/>
      <c r="AP1655" s="1"/>
      <c r="AQ1655" s="43"/>
      <c r="AR1655" s="123"/>
      <c r="AS1655" s="1"/>
      <c r="AT1655" s="1"/>
    </row>
    <row r="1656">
      <c r="A1656" s="43"/>
      <c r="B1656" s="59"/>
      <c r="C1656" s="51"/>
      <c r="D1656" s="43"/>
      <c r="E1656" s="85"/>
      <c r="F1656" s="43"/>
      <c r="G1656" s="85"/>
      <c r="H1656" s="43"/>
      <c r="I1656" s="85"/>
      <c r="J1656" s="43"/>
      <c r="L1656" s="43"/>
      <c r="N1656" s="43"/>
      <c r="P1656" s="43"/>
      <c r="R1656" s="43"/>
      <c r="T1656" s="43"/>
      <c r="V1656" s="43"/>
      <c r="X1656" s="43"/>
      <c r="Z1656" s="43"/>
      <c r="AB1656" s="43"/>
      <c r="AD1656" s="43"/>
      <c r="AF1656" s="43"/>
      <c r="AH1656" s="43"/>
      <c r="AJ1656" s="43"/>
      <c r="AL1656" s="43"/>
      <c r="AO1656" s="43"/>
      <c r="AP1656" s="1"/>
      <c r="AQ1656" s="43"/>
      <c r="AR1656" s="123"/>
      <c r="AS1656" s="1"/>
      <c r="AT1656" s="1"/>
    </row>
    <row r="1657">
      <c r="A1657" s="43"/>
      <c r="B1657" s="59"/>
      <c r="C1657" s="51"/>
      <c r="D1657" s="43"/>
      <c r="E1657" s="85"/>
      <c r="F1657" s="43"/>
      <c r="G1657" s="85"/>
      <c r="H1657" s="43"/>
      <c r="I1657" s="85"/>
      <c r="J1657" s="43"/>
      <c r="L1657" s="43"/>
      <c r="N1657" s="43"/>
      <c r="P1657" s="43"/>
      <c r="R1657" s="43"/>
      <c r="T1657" s="43"/>
      <c r="V1657" s="43"/>
      <c r="X1657" s="43"/>
      <c r="Z1657" s="43"/>
      <c r="AB1657" s="43"/>
      <c r="AD1657" s="43"/>
      <c r="AF1657" s="43"/>
      <c r="AH1657" s="43"/>
      <c r="AJ1657" s="43"/>
      <c r="AL1657" s="43"/>
      <c r="AO1657" s="43"/>
      <c r="AP1657" s="1"/>
      <c r="AQ1657" s="43"/>
      <c r="AR1657" s="123"/>
      <c r="AS1657" s="1"/>
      <c r="AT1657" s="1"/>
    </row>
    <row r="1658">
      <c r="A1658" s="43"/>
      <c r="B1658" s="59"/>
      <c r="C1658" s="51"/>
      <c r="D1658" s="43"/>
      <c r="E1658" s="85"/>
      <c r="F1658" s="43"/>
      <c r="G1658" s="85"/>
      <c r="H1658" s="43"/>
      <c r="I1658" s="85"/>
      <c r="J1658" s="43"/>
      <c r="L1658" s="43"/>
      <c r="N1658" s="43"/>
      <c r="P1658" s="43"/>
      <c r="R1658" s="43"/>
      <c r="T1658" s="43"/>
      <c r="V1658" s="43"/>
      <c r="X1658" s="43"/>
      <c r="Z1658" s="43"/>
      <c r="AB1658" s="43"/>
      <c r="AD1658" s="43"/>
      <c r="AF1658" s="43"/>
      <c r="AH1658" s="43"/>
      <c r="AJ1658" s="43"/>
      <c r="AL1658" s="43"/>
      <c r="AO1658" s="43"/>
      <c r="AP1658" s="1"/>
      <c r="AQ1658" s="43"/>
      <c r="AR1658" s="123"/>
      <c r="AS1658" s="1"/>
      <c r="AT1658" s="1"/>
    </row>
    <row r="1659">
      <c r="A1659" s="43"/>
      <c r="B1659" s="59"/>
      <c r="C1659" s="51"/>
      <c r="D1659" s="43"/>
      <c r="E1659" s="85"/>
      <c r="F1659" s="43"/>
      <c r="G1659" s="85"/>
      <c r="H1659" s="43"/>
      <c r="I1659" s="85"/>
      <c r="J1659" s="43"/>
      <c r="L1659" s="43"/>
      <c r="N1659" s="43"/>
      <c r="P1659" s="43"/>
      <c r="R1659" s="43"/>
      <c r="T1659" s="43"/>
      <c r="V1659" s="43"/>
      <c r="X1659" s="43"/>
      <c r="Z1659" s="43"/>
      <c r="AB1659" s="43"/>
      <c r="AD1659" s="43"/>
      <c r="AF1659" s="43"/>
      <c r="AH1659" s="43"/>
      <c r="AJ1659" s="43"/>
      <c r="AL1659" s="43"/>
      <c r="AO1659" s="43"/>
      <c r="AP1659" s="1"/>
      <c r="AQ1659" s="43"/>
      <c r="AR1659" s="123"/>
      <c r="AS1659" s="1"/>
      <c r="AT1659" s="1"/>
    </row>
    <row r="1660">
      <c r="A1660" s="43"/>
      <c r="B1660" s="59"/>
      <c r="C1660" s="51"/>
      <c r="D1660" s="43"/>
      <c r="E1660" s="85"/>
      <c r="F1660" s="43"/>
      <c r="G1660" s="85"/>
      <c r="H1660" s="43"/>
      <c r="I1660" s="85"/>
      <c r="J1660" s="43"/>
      <c r="L1660" s="43"/>
      <c r="N1660" s="43"/>
      <c r="P1660" s="43"/>
      <c r="R1660" s="43"/>
      <c r="T1660" s="43"/>
      <c r="V1660" s="43"/>
      <c r="X1660" s="43"/>
      <c r="Z1660" s="43"/>
      <c r="AB1660" s="43"/>
      <c r="AD1660" s="43"/>
      <c r="AF1660" s="43"/>
      <c r="AH1660" s="43"/>
      <c r="AJ1660" s="43"/>
      <c r="AL1660" s="43"/>
      <c r="AO1660" s="43"/>
      <c r="AP1660" s="1"/>
      <c r="AQ1660" s="43"/>
      <c r="AR1660" s="123"/>
      <c r="AS1660" s="1"/>
      <c r="AT1660" s="1"/>
    </row>
    <row r="1661">
      <c r="A1661" s="43"/>
      <c r="B1661" s="59"/>
      <c r="C1661" s="51"/>
      <c r="D1661" s="43"/>
      <c r="E1661" s="85"/>
      <c r="F1661" s="43"/>
      <c r="G1661" s="85"/>
      <c r="H1661" s="43"/>
      <c r="I1661" s="85"/>
      <c r="J1661" s="43"/>
      <c r="L1661" s="43"/>
      <c r="N1661" s="43"/>
      <c r="P1661" s="43"/>
      <c r="R1661" s="43"/>
      <c r="T1661" s="43"/>
      <c r="V1661" s="43"/>
      <c r="X1661" s="43"/>
      <c r="Z1661" s="43"/>
      <c r="AB1661" s="43"/>
      <c r="AD1661" s="43"/>
      <c r="AF1661" s="43"/>
      <c r="AH1661" s="43"/>
      <c r="AJ1661" s="43"/>
      <c r="AL1661" s="43"/>
      <c r="AO1661" s="43"/>
      <c r="AP1661" s="1"/>
      <c r="AQ1661" s="43"/>
      <c r="AR1661" s="123"/>
      <c r="AS1661" s="1"/>
      <c r="AT1661" s="1"/>
    </row>
    <row r="1662">
      <c r="A1662" s="43"/>
      <c r="B1662" s="59"/>
      <c r="C1662" s="51"/>
      <c r="D1662" s="43"/>
      <c r="E1662" s="85"/>
      <c r="F1662" s="43"/>
      <c r="G1662" s="85"/>
      <c r="H1662" s="43"/>
      <c r="I1662" s="85"/>
      <c r="J1662" s="43"/>
      <c r="L1662" s="43"/>
      <c r="N1662" s="43"/>
      <c r="P1662" s="43"/>
      <c r="R1662" s="43"/>
      <c r="T1662" s="43"/>
      <c r="V1662" s="43"/>
      <c r="X1662" s="43"/>
      <c r="Z1662" s="43"/>
      <c r="AB1662" s="43"/>
      <c r="AD1662" s="43"/>
      <c r="AF1662" s="43"/>
      <c r="AH1662" s="43"/>
      <c r="AJ1662" s="43"/>
      <c r="AL1662" s="43"/>
      <c r="AO1662" s="43"/>
      <c r="AP1662" s="1"/>
      <c r="AQ1662" s="43"/>
      <c r="AR1662" s="123"/>
      <c r="AS1662" s="1"/>
      <c r="AT1662" s="1"/>
    </row>
    <row r="1663">
      <c r="A1663" s="43"/>
      <c r="B1663" s="59"/>
      <c r="C1663" s="51"/>
      <c r="D1663" s="43"/>
      <c r="E1663" s="85"/>
      <c r="F1663" s="43"/>
      <c r="G1663" s="85"/>
      <c r="H1663" s="43"/>
      <c r="I1663" s="85"/>
      <c r="J1663" s="43"/>
      <c r="L1663" s="43"/>
      <c r="N1663" s="43"/>
      <c r="P1663" s="43"/>
      <c r="R1663" s="43"/>
      <c r="T1663" s="43"/>
      <c r="V1663" s="43"/>
      <c r="X1663" s="43"/>
      <c r="Z1663" s="43"/>
      <c r="AB1663" s="43"/>
      <c r="AD1663" s="43"/>
      <c r="AF1663" s="43"/>
      <c r="AH1663" s="43"/>
      <c r="AJ1663" s="43"/>
      <c r="AL1663" s="43"/>
      <c r="AO1663" s="43"/>
      <c r="AP1663" s="1"/>
      <c r="AQ1663" s="43"/>
      <c r="AR1663" s="123"/>
      <c r="AS1663" s="1"/>
      <c r="AT1663" s="1"/>
    </row>
    <row r="1664">
      <c r="A1664" s="43"/>
      <c r="B1664" s="59"/>
      <c r="C1664" s="51"/>
      <c r="D1664" s="43"/>
      <c r="E1664" s="85"/>
      <c r="F1664" s="43"/>
      <c r="G1664" s="85"/>
      <c r="H1664" s="43"/>
      <c r="I1664" s="85"/>
      <c r="J1664" s="43"/>
      <c r="L1664" s="43"/>
      <c r="N1664" s="43"/>
      <c r="P1664" s="43"/>
      <c r="R1664" s="43"/>
      <c r="T1664" s="43"/>
      <c r="V1664" s="43"/>
      <c r="X1664" s="43"/>
      <c r="Z1664" s="43"/>
      <c r="AB1664" s="43"/>
      <c r="AD1664" s="43"/>
      <c r="AF1664" s="43"/>
      <c r="AH1664" s="43"/>
      <c r="AJ1664" s="43"/>
      <c r="AL1664" s="43"/>
      <c r="AO1664" s="43"/>
      <c r="AP1664" s="1"/>
      <c r="AQ1664" s="43"/>
      <c r="AR1664" s="123"/>
      <c r="AS1664" s="1"/>
      <c r="AT1664" s="1"/>
    </row>
    <row r="1665">
      <c r="A1665" s="43"/>
      <c r="B1665" s="59"/>
      <c r="C1665" s="51"/>
      <c r="D1665" s="43"/>
      <c r="E1665" s="85"/>
      <c r="F1665" s="43"/>
      <c r="G1665" s="85"/>
      <c r="H1665" s="43"/>
      <c r="I1665" s="85"/>
      <c r="J1665" s="43"/>
      <c r="L1665" s="43"/>
      <c r="N1665" s="43"/>
      <c r="P1665" s="43"/>
      <c r="R1665" s="43"/>
      <c r="T1665" s="43"/>
      <c r="V1665" s="43"/>
      <c r="X1665" s="43"/>
      <c r="Z1665" s="43"/>
      <c r="AB1665" s="43"/>
      <c r="AD1665" s="43"/>
      <c r="AF1665" s="43"/>
      <c r="AH1665" s="43"/>
      <c r="AJ1665" s="43"/>
      <c r="AL1665" s="43"/>
      <c r="AO1665" s="43"/>
      <c r="AP1665" s="1"/>
      <c r="AQ1665" s="43"/>
      <c r="AR1665" s="123"/>
      <c r="AS1665" s="1"/>
      <c r="AT1665" s="1"/>
    </row>
    <row r="1666">
      <c r="A1666" s="43"/>
      <c r="B1666" s="59"/>
      <c r="C1666" s="51"/>
      <c r="D1666" s="43"/>
      <c r="E1666" s="85"/>
      <c r="F1666" s="43"/>
      <c r="G1666" s="85"/>
      <c r="H1666" s="43"/>
      <c r="I1666" s="85"/>
      <c r="J1666" s="43"/>
      <c r="L1666" s="43"/>
      <c r="N1666" s="43"/>
      <c r="P1666" s="43"/>
      <c r="R1666" s="43"/>
      <c r="T1666" s="43"/>
      <c r="V1666" s="43"/>
      <c r="X1666" s="43"/>
      <c r="Z1666" s="43"/>
      <c r="AB1666" s="43"/>
      <c r="AD1666" s="43"/>
      <c r="AF1666" s="43"/>
      <c r="AH1666" s="43"/>
      <c r="AJ1666" s="43"/>
      <c r="AL1666" s="43"/>
      <c r="AO1666" s="43"/>
      <c r="AP1666" s="1"/>
      <c r="AQ1666" s="43"/>
      <c r="AR1666" s="123"/>
      <c r="AS1666" s="1"/>
      <c r="AT1666" s="1"/>
    </row>
    <row r="1667">
      <c r="A1667" s="43"/>
      <c r="B1667" s="59"/>
      <c r="C1667" s="51"/>
      <c r="D1667" s="43"/>
      <c r="E1667" s="85"/>
      <c r="F1667" s="43"/>
      <c r="G1667" s="85"/>
      <c r="H1667" s="43"/>
      <c r="I1667" s="85"/>
      <c r="J1667" s="43"/>
      <c r="L1667" s="43"/>
      <c r="N1667" s="43"/>
      <c r="P1667" s="43"/>
      <c r="R1667" s="43"/>
      <c r="T1667" s="43"/>
      <c r="V1667" s="43"/>
      <c r="X1667" s="43"/>
      <c r="Z1667" s="43"/>
      <c r="AB1667" s="43"/>
      <c r="AD1667" s="43"/>
      <c r="AF1667" s="43"/>
      <c r="AH1667" s="43"/>
      <c r="AJ1667" s="43"/>
      <c r="AL1667" s="43"/>
      <c r="AO1667" s="43"/>
      <c r="AP1667" s="1"/>
      <c r="AQ1667" s="43"/>
      <c r="AR1667" s="123"/>
      <c r="AS1667" s="1"/>
      <c r="AT1667" s="1"/>
    </row>
    <row r="1668">
      <c r="A1668" s="43"/>
      <c r="B1668" s="59"/>
      <c r="C1668" s="51"/>
      <c r="D1668" s="43"/>
      <c r="E1668" s="85"/>
      <c r="F1668" s="43"/>
      <c r="G1668" s="85"/>
      <c r="H1668" s="43"/>
      <c r="I1668" s="85"/>
      <c r="J1668" s="43"/>
      <c r="L1668" s="43"/>
      <c r="N1668" s="43"/>
      <c r="P1668" s="43"/>
      <c r="R1668" s="43"/>
      <c r="T1668" s="43"/>
      <c r="V1668" s="43"/>
      <c r="X1668" s="43"/>
      <c r="Z1668" s="43"/>
      <c r="AB1668" s="43"/>
      <c r="AD1668" s="43"/>
      <c r="AF1668" s="43"/>
      <c r="AH1668" s="43"/>
      <c r="AJ1668" s="43"/>
      <c r="AL1668" s="43"/>
      <c r="AO1668" s="43"/>
      <c r="AP1668" s="1"/>
      <c r="AQ1668" s="43"/>
      <c r="AR1668" s="123"/>
      <c r="AS1668" s="1"/>
      <c r="AT1668" s="1"/>
    </row>
    <row r="1669">
      <c r="A1669" s="43"/>
      <c r="B1669" s="59"/>
      <c r="C1669" s="51"/>
      <c r="D1669" s="43"/>
      <c r="E1669" s="85"/>
      <c r="F1669" s="43"/>
      <c r="G1669" s="85"/>
      <c r="H1669" s="43"/>
      <c r="I1669" s="85"/>
      <c r="J1669" s="43"/>
      <c r="L1669" s="43"/>
      <c r="N1669" s="43"/>
      <c r="P1669" s="43"/>
      <c r="R1669" s="43"/>
      <c r="T1669" s="43"/>
      <c r="V1669" s="43"/>
      <c r="X1669" s="43"/>
      <c r="Z1669" s="43"/>
      <c r="AB1669" s="43"/>
      <c r="AD1669" s="43"/>
      <c r="AF1669" s="43"/>
      <c r="AH1669" s="43"/>
      <c r="AJ1669" s="43"/>
      <c r="AL1669" s="43"/>
      <c r="AO1669" s="43"/>
      <c r="AP1669" s="1"/>
      <c r="AQ1669" s="43"/>
      <c r="AR1669" s="123"/>
      <c r="AS1669" s="1"/>
      <c r="AT1669" s="1"/>
    </row>
    <row r="1670">
      <c r="A1670" s="43"/>
      <c r="B1670" s="59"/>
      <c r="C1670" s="51"/>
      <c r="D1670" s="43"/>
      <c r="E1670" s="85"/>
      <c r="F1670" s="43"/>
      <c r="G1670" s="85"/>
      <c r="H1670" s="43"/>
      <c r="I1670" s="85"/>
      <c r="J1670" s="43"/>
      <c r="L1670" s="43"/>
      <c r="N1670" s="43"/>
      <c r="P1670" s="43"/>
      <c r="R1670" s="43"/>
      <c r="T1670" s="43"/>
      <c r="V1670" s="43"/>
      <c r="X1670" s="43"/>
      <c r="Z1670" s="43"/>
      <c r="AB1670" s="43"/>
      <c r="AD1670" s="43"/>
      <c r="AF1670" s="43"/>
      <c r="AH1670" s="43"/>
      <c r="AJ1670" s="43"/>
      <c r="AL1670" s="43"/>
      <c r="AO1670" s="43"/>
      <c r="AP1670" s="1"/>
      <c r="AQ1670" s="43"/>
      <c r="AR1670" s="123"/>
      <c r="AS1670" s="1"/>
      <c r="AT1670" s="1"/>
    </row>
    <row r="1671">
      <c r="A1671" s="43"/>
      <c r="B1671" s="59"/>
      <c r="C1671" s="51"/>
      <c r="D1671" s="43"/>
      <c r="E1671" s="85"/>
      <c r="F1671" s="43"/>
      <c r="G1671" s="85"/>
      <c r="H1671" s="43"/>
      <c r="I1671" s="85"/>
      <c r="J1671" s="43"/>
      <c r="L1671" s="43"/>
      <c r="N1671" s="43"/>
      <c r="P1671" s="43"/>
      <c r="R1671" s="43"/>
      <c r="T1671" s="43"/>
      <c r="V1671" s="43"/>
      <c r="X1671" s="43"/>
      <c r="Z1671" s="43"/>
      <c r="AB1671" s="43"/>
      <c r="AD1671" s="43"/>
      <c r="AF1671" s="43"/>
      <c r="AH1671" s="43"/>
      <c r="AJ1671" s="43"/>
      <c r="AL1671" s="43"/>
      <c r="AO1671" s="43"/>
      <c r="AP1671" s="1"/>
      <c r="AQ1671" s="43"/>
      <c r="AR1671" s="123"/>
      <c r="AS1671" s="1"/>
      <c r="AT1671" s="1"/>
    </row>
    <row r="1672">
      <c r="A1672" s="43"/>
      <c r="B1672" s="59"/>
      <c r="C1672" s="51"/>
      <c r="D1672" s="43"/>
      <c r="E1672" s="85"/>
      <c r="F1672" s="43"/>
      <c r="G1672" s="85"/>
      <c r="H1672" s="43"/>
      <c r="I1672" s="85"/>
      <c r="J1672" s="43"/>
      <c r="L1672" s="43"/>
      <c r="N1672" s="43"/>
      <c r="P1672" s="43"/>
      <c r="R1672" s="43"/>
      <c r="T1672" s="43"/>
      <c r="V1672" s="43"/>
      <c r="X1672" s="43"/>
      <c r="Z1672" s="43"/>
      <c r="AB1672" s="43"/>
      <c r="AD1672" s="43"/>
      <c r="AF1672" s="43"/>
      <c r="AH1672" s="43"/>
      <c r="AJ1672" s="43"/>
      <c r="AL1672" s="43"/>
      <c r="AO1672" s="43"/>
      <c r="AP1672" s="1"/>
      <c r="AQ1672" s="43"/>
      <c r="AR1672" s="123"/>
      <c r="AS1672" s="1"/>
      <c r="AT1672" s="1"/>
    </row>
    <row r="1673">
      <c r="A1673" s="43"/>
      <c r="B1673" s="59"/>
      <c r="C1673" s="51"/>
      <c r="D1673" s="43"/>
      <c r="E1673" s="85"/>
      <c r="F1673" s="43"/>
      <c r="G1673" s="85"/>
      <c r="H1673" s="43"/>
      <c r="I1673" s="85"/>
      <c r="J1673" s="43"/>
      <c r="L1673" s="43"/>
      <c r="N1673" s="43"/>
      <c r="P1673" s="43"/>
      <c r="R1673" s="43"/>
      <c r="T1673" s="43"/>
      <c r="V1673" s="43"/>
      <c r="X1673" s="43"/>
      <c r="Z1673" s="43"/>
      <c r="AB1673" s="43"/>
      <c r="AD1673" s="43"/>
      <c r="AF1673" s="43"/>
      <c r="AH1673" s="43"/>
      <c r="AJ1673" s="43"/>
      <c r="AL1673" s="43"/>
      <c r="AO1673" s="43"/>
      <c r="AP1673" s="1"/>
      <c r="AQ1673" s="43"/>
      <c r="AR1673" s="123"/>
      <c r="AS1673" s="1"/>
      <c r="AT1673" s="1"/>
    </row>
    <row r="1674">
      <c r="A1674" s="43"/>
      <c r="B1674" s="59"/>
      <c r="C1674" s="51"/>
      <c r="D1674" s="43"/>
      <c r="E1674" s="85"/>
      <c r="F1674" s="43"/>
      <c r="G1674" s="85"/>
      <c r="H1674" s="43"/>
      <c r="I1674" s="85"/>
      <c r="J1674" s="43"/>
      <c r="L1674" s="43"/>
      <c r="N1674" s="43"/>
      <c r="P1674" s="43"/>
      <c r="R1674" s="43"/>
      <c r="T1674" s="43"/>
      <c r="V1674" s="43"/>
      <c r="X1674" s="43"/>
      <c r="Z1674" s="43"/>
      <c r="AB1674" s="43"/>
      <c r="AD1674" s="43"/>
      <c r="AF1674" s="43"/>
      <c r="AH1674" s="43"/>
      <c r="AJ1674" s="43"/>
      <c r="AL1674" s="43"/>
      <c r="AO1674" s="43"/>
      <c r="AP1674" s="1"/>
      <c r="AQ1674" s="43"/>
      <c r="AR1674" s="123"/>
      <c r="AS1674" s="1"/>
      <c r="AT1674" s="1"/>
    </row>
    <row r="1675">
      <c r="A1675" s="43"/>
      <c r="B1675" s="59"/>
      <c r="C1675" s="51"/>
      <c r="D1675" s="43"/>
      <c r="E1675" s="85"/>
      <c r="F1675" s="43"/>
      <c r="G1675" s="85"/>
      <c r="H1675" s="43"/>
      <c r="I1675" s="85"/>
      <c r="J1675" s="43"/>
      <c r="L1675" s="43"/>
      <c r="N1675" s="43"/>
      <c r="P1675" s="43"/>
      <c r="R1675" s="43"/>
      <c r="T1675" s="43"/>
      <c r="V1675" s="43"/>
      <c r="X1675" s="43"/>
      <c r="Z1675" s="43"/>
      <c r="AB1675" s="43"/>
      <c r="AD1675" s="43"/>
      <c r="AF1675" s="43"/>
      <c r="AH1675" s="43"/>
      <c r="AJ1675" s="43"/>
      <c r="AL1675" s="43"/>
      <c r="AO1675" s="43"/>
      <c r="AP1675" s="1"/>
      <c r="AQ1675" s="43"/>
      <c r="AR1675" s="123"/>
      <c r="AS1675" s="1"/>
      <c r="AT1675" s="1"/>
    </row>
    <row r="1676">
      <c r="A1676" s="43"/>
      <c r="B1676" s="59"/>
      <c r="C1676" s="51"/>
      <c r="D1676" s="43"/>
      <c r="E1676" s="85"/>
      <c r="F1676" s="43"/>
      <c r="G1676" s="85"/>
      <c r="H1676" s="43"/>
      <c r="I1676" s="85"/>
      <c r="J1676" s="43"/>
      <c r="L1676" s="43"/>
      <c r="N1676" s="43"/>
      <c r="P1676" s="43"/>
      <c r="R1676" s="43"/>
      <c r="T1676" s="43"/>
      <c r="V1676" s="43"/>
      <c r="X1676" s="43"/>
      <c r="Z1676" s="43"/>
      <c r="AB1676" s="43"/>
      <c r="AD1676" s="43"/>
      <c r="AF1676" s="43"/>
      <c r="AH1676" s="43"/>
      <c r="AJ1676" s="43"/>
      <c r="AL1676" s="43"/>
      <c r="AO1676" s="43"/>
      <c r="AP1676" s="1"/>
      <c r="AQ1676" s="43"/>
      <c r="AR1676" s="123"/>
      <c r="AS1676" s="1"/>
      <c r="AT1676" s="1"/>
    </row>
    <row r="1677">
      <c r="A1677" s="43"/>
      <c r="B1677" s="59"/>
      <c r="C1677" s="51"/>
      <c r="D1677" s="43"/>
      <c r="E1677" s="85"/>
      <c r="F1677" s="43"/>
      <c r="G1677" s="85"/>
      <c r="H1677" s="43"/>
      <c r="I1677" s="85"/>
      <c r="J1677" s="43"/>
      <c r="L1677" s="43"/>
      <c r="N1677" s="43"/>
      <c r="P1677" s="43"/>
      <c r="R1677" s="43"/>
      <c r="T1677" s="43"/>
      <c r="V1677" s="43"/>
      <c r="X1677" s="43"/>
      <c r="Z1677" s="43"/>
      <c r="AB1677" s="43"/>
      <c r="AD1677" s="43"/>
      <c r="AF1677" s="43"/>
      <c r="AH1677" s="43"/>
      <c r="AJ1677" s="43"/>
      <c r="AL1677" s="43"/>
      <c r="AO1677" s="43"/>
      <c r="AP1677" s="1"/>
      <c r="AQ1677" s="43"/>
      <c r="AR1677" s="123"/>
      <c r="AS1677" s="1"/>
      <c r="AT1677" s="1"/>
    </row>
    <row r="1678">
      <c r="A1678" s="43"/>
      <c r="B1678" s="59"/>
      <c r="C1678" s="51"/>
      <c r="D1678" s="43"/>
      <c r="E1678" s="85"/>
      <c r="F1678" s="43"/>
      <c r="G1678" s="85"/>
      <c r="H1678" s="43"/>
      <c r="I1678" s="85"/>
      <c r="J1678" s="43"/>
      <c r="L1678" s="43"/>
      <c r="N1678" s="43"/>
      <c r="P1678" s="43"/>
      <c r="R1678" s="43"/>
      <c r="T1678" s="43"/>
      <c r="V1678" s="43"/>
      <c r="X1678" s="43"/>
      <c r="Z1678" s="43"/>
      <c r="AB1678" s="43"/>
      <c r="AD1678" s="43"/>
      <c r="AF1678" s="43"/>
      <c r="AH1678" s="43"/>
      <c r="AJ1678" s="43"/>
      <c r="AL1678" s="43"/>
      <c r="AO1678" s="43"/>
      <c r="AP1678" s="1"/>
      <c r="AQ1678" s="43"/>
      <c r="AR1678" s="123"/>
      <c r="AS1678" s="1"/>
      <c r="AT1678" s="1"/>
    </row>
    <row r="1679">
      <c r="A1679" s="43"/>
      <c r="B1679" s="59"/>
      <c r="C1679" s="51"/>
      <c r="D1679" s="43"/>
      <c r="E1679" s="85"/>
      <c r="F1679" s="43"/>
      <c r="G1679" s="85"/>
      <c r="H1679" s="43"/>
      <c r="I1679" s="85"/>
      <c r="J1679" s="43"/>
      <c r="L1679" s="43"/>
      <c r="N1679" s="43"/>
      <c r="P1679" s="43"/>
      <c r="R1679" s="43"/>
      <c r="T1679" s="43"/>
      <c r="V1679" s="43"/>
      <c r="X1679" s="43"/>
      <c r="Z1679" s="43"/>
      <c r="AB1679" s="43"/>
      <c r="AD1679" s="43"/>
      <c r="AF1679" s="43"/>
      <c r="AH1679" s="43"/>
      <c r="AJ1679" s="43"/>
      <c r="AL1679" s="43"/>
      <c r="AO1679" s="43"/>
      <c r="AP1679" s="1"/>
      <c r="AQ1679" s="43"/>
      <c r="AR1679" s="123"/>
      <c r="AS1679" s="1"/>
      <c r="AT1679" s="1"/>
    </row>
    <row r="1680">
      <c r="A1680" s="43"/>
      <c r="B1680" s="59"/>
      <c r="C1680" s="51"/>
      <c r="D1680" s="43"/>
      <c r="E1680" s="85"/>
      <c r="F1680" s="43"/>
      <c r="G1680" s="85"/>
      <c r="H1680" s="43"/>
      <c r="I1680" s="85"/>
      <c r="J1680" s="43"/>
      <c r="L1680" s="43"/>
      <c r="N1680" s="43"/>
      <c r="P1680" s="43"/>
      <c r="R1680" s="43"/>
      <c r="T1680" s="43"/>
      <c r="V1680" s="43"/>
      <c r="X1680" s="43"/>
      <c r="Z1680" s="43"/>
      <c r="AB1680" s="43"/>
      <c r="AD1680" s="43"/>
      <c r="AF1680" s="43"/>
      <c r="AH1680" s="43"/>
      <c r="AJ1680" s="43"/>
      <c r="AL1680" s="43"/>
      <c r="AO1680" s="43"/>
      <c r="AP1680" s="1"/>
      <c r="AQ1680" s="43"/>
      <c r="AR1680" s="123"/>
      <c r="AS1680" s="1"/>
      <c r="AT1680" s="1"/>
    </row>
    <row r="1681">
      <c r="A1681" s="43"/>
      <c r="B1681" s="59"/>
      <c r="C1681" s="51"/>
      <c r="D1681" s="43"/>
      <c r="E1681" s="85"/>
      <c r="F1681" s="43"/>
      <c r="G1681" s="85"/>
      <c r="H1681" s="43"/>
      <c r="I1681" s="85"/>
      <c r="J1681" s="43"/>
      <c r="L1681" s="43"/>
      <c r="N1681" s="43"/>
      <c r="P1681" s="43"/>
      <c r="R1681" s="43"/>
      <c r="T1681" s="43"/>
      <c r="V1681" s="43"/>
      <c r="X1681" s="43"/>
      <c r="Z1681" s="43"/>
      <c r="AB1681" s="43"/>
      <c r="AD1681" s="43"/>
      <c r="AF1681" s="43"/>
      <c r="AH1681" s="43"/>
      <c r="AJ1681" s="43"/>
      <c r="AL1681" s="43"/>
      <c r="AO1681" s="43"/>
      <c r="AP1681" s="1"/>
      <c r="AQ1681" s="43"/>
      <c r="AR1681" s="123"/>
      <c r="AS1681" s="1"/>
      <c r="AT1681" s="1"/>
    </row>
    <row r="1682">
      <c r="A1682" s="43"/>
      <c r="B1682" s="59"/>
      <c r="C1682" s="51"/>
      <c r="D1682" s="43"/>
      <c r="E1682" s="85"/>
      <c r="F1682" s="43"/>
      <c r="G1682" s="85"/>
      <c r="H1682" s="43"/>
      <c r="I1682" s="85"/>
      <c r="J1682" s="43"/>
      <c r="L1682" s="43"/>
      <c r="N1682" s="43"/>
      <c r="P1682" s="43"/>
      <c r="R1682" s="43"/>
      <c r="T1682" s="43"/>
      <c r="V1682" s="43"/>
      <c r="X1682" s="43"/>
      <c r="Z1682" s="43"/>
      <c r="AB1682" s="43"/>
      <c r="AD1682" s="43"/>
      <c r="AF1682" s="43"/>
      <c r="AH1682" s="43"/>
      <c r="AJ1682" s="43"/>
      <c r="AL1682" s="43"/>
      <c r="AO1682" s="43"/>
      <c r="AP1682" s="1"/>
      <c r="AQ1682" s="43"/>
      <c r="AR1682" s="123"/>
      <c r="AS1682" s="1"/>
      <c r="AT1682" s="1"/>
    </row>
    <row r="1683">
      <c r="A1683" s="43"/>
      <c r="B1683" s="59"/>
      <c r="C1683" s="51"/>
      <c r="D1683" s="43"/>
      <c r="E1683" s="85"/>
      <c r="F1683" s="43"/>
      <c r="G1683" s="85"/>
      <c r="H1683" s="43"/>
      <c r="I1683" s="85"/>
      <c r="J1683" s="43"/>
      <c r="L1683" s="43"/>
      <c r="N1683" s="43"/>
      <c r="P1683" s="43"/>
      <c r="R1683" s="43"/>
      <c r="T1683" s="43"/>
      <c r="V1683" s="43"/>
      <c r="X1683" s="43"/>
      <c r="Z1683" s="43"/>
      <c r="AB1683" s="43"/>
      <c r="AD1683" s="43"/>
      <c r="AF1683" s="43"/>
      <c r="AH1683" s="43"/>
      <c r="AJ1683" s="43"/>
      <c r="AL1683" s="43"/>
      <c r="AO1683" s="43"/>
      <c r="AP1683" s="1"/>
      <c r="AQ1683" s="43"/>
      <c r="AR1683" s="123"/>
      <c r="AS1683" s="1"/>
      <c r="AT1683" s="1"/>
    </row>
    <row r="1684">
      <c r="A1684" s="43"/>
      <c r="B1684" s="59"/>
      <c r="C1684" s="51"/>
      <c r="D1684" s="43"/>
      <c r="E1684" s="85"/>
      <c r="F1684" s="43"/>
      <c r="G1684" s="85"/>
      <c r="H1684" s="43"/>
      <c r="I1684" s="85"/>
      <c r="J1684" s="43"/>
      <c r="L1684" s="43"/>
      <c r="N1684" s="43"/>
      <c r="P1684" s="43"/>
      <c r="R1684" s="43"/>
      <c r="T1684" s="43"/>
      <c r="V1684" s="43"/>
      <c r="X1684" s="43"/>
      <c r="Z1684" s="43"/>
      <c r="AB1684" s="43"/>
      <c r="AD1684" s="43"/>
      <c r="AF1684" s="43"/>
      <c r="AH1684" s="43"/>
      <c r="AJ1684" s="43"/>
      <c r="AL1684" s="43"/>
      <c r="AO1684" s="43"/>
      <c r="AP1684" s="1"/>
      <c r="AQ1684" s="43"/>
      <c r="AR1684" s="123"/>
      <c r="AS1684" s="1"/>
      <c r="AT1684" s="1"/>
    </row>
    <row r="1685">
      <c r="A1685" s="43"/>
      <c r="B1685" s="59"/>
      <c r="C1685" s="51"/>
      <c r="D1685" s="43"/>
      <c r="E1685" s="85"/>
      <c r="F1685" s="43"/>
      <c r="G1685" s="85"/>
      <c r="H1685" s="43"/>
      <c r="I1685" s="85"/>
      <c r="J1685" s="43"/>
      <c r="L1685" s="43"/>
      <c r="N1685" s="43"/>
      <c r="P1685" s="43"/>
      <c r="R1685" s="43"/>
      <c r="T1685" s="43"/>
      <c r="V1685" s="43"/>
      <c r="X1685" s="43"/>
      <c r="Z1685" s="43"/>
      <c r="AB1685" s="43"/>
      <c r="AD1685" s="43"/>
      <c r="AF1685" s="43"/>
      <c r="AH1685" s="43"/>
      <c r="AJ1685" s="43"/>
      <c r="AL1685" s="43"/>
      <c r="AO1685" s="43"/>
      <c r="AP1685" s="1"/>
      <c r="AQ1685" s="43"/>
      <c r="AR1685" s="123"/>
      <c r="AS1685" s="1"/>
      <c r="AT1685" s="1"/>
    </row>
    <row r="1686">
      <c r="A1686" s="43"/>
      <c r="B1686" s="59"/>
      <c r="C1686" s="51"/>
      <c r="D1686" s="43"/>
      <c r="E1686" s="85"/>
      <c r="F1686" s="43"/>
      <c r="G1686" s="85"/>
      <c r="H1686" s="43"/>
      <c r="I1686" s="85"/>
      <c r="J1686" s="43"/>
      <c r="L1686" s="43"/>
      <c r="N1686" s="43"/>
      <c r="P1686" s="43"/>
      <c r="R1686" s="43"/>
      <c r="T1686" s="43"/>
      <c r="V1686" s="43"/>
      <c r="X1686" s="43"/>
      <c r="Z1686" s="43"/>
      <c r="AB1686" s="43"/>
      <c r="AD1686" s="43"/>
      <c r="AF1686" s="43"/>
      <c r="AH1686" s="43"/>
      <c r="AJ1686" s="43"/>
      <c r="AL1686" s="43"/>
      <c r="AO1686" s="43"/>
      <c r="AP1686" s="1"/>
      <c r="AQ1686" s="43"/>
      <c r="AR1686" s="123"/>
      <c r="AS1686" s="1"/>
      <c r="AT1686" s="1"/>
    </row>
    <row r="1687">
      <c r="A1687" s="43"/>
      <c r="B1687" s="59"/>
      <c r="C1687" s="51"/>
      <c r="D1687" s="43"/>
      <c r="E1687" s="85"/>
      <c r="F1687" s="43"/>
      <c r="G1687" s="85"/>
      <c r="H1687" s="43"/>
      <c r="I1687" s="85"/>
      <c r="J1687" s="43"/>
      <c r="L1687" s="43"/>
      <c r="N1687" s="43"/>
      <c r="P1687" s="43"/>
      <c r="R1687" s="43"/>
      <c r="T1687" s="43"/>
      <c r="V1687" s="43"/>
      <c r="X1687" s="43"/>
      <c r="Z1687" s="43"/>
      <c r="AB1687" s="43"/>
      <c r="AD1687" s="43"/>
      <c r="AF1687" s="43"/>
      <c r="AH1687" s="43"/>
      <c r="AJ1687" s="43"/>
      <c r="AL1687" s="43"/>
      <c r="AO1687" s="43"/>
      <c r="AP1687" s="1"/>
      <c r="AQ1687" s="43"/>
      <c r="AR1687" s="123"/>
      <c r="AS1687" s="1"/>
      <c r="AT1687" s="1"/>
    </row>
    <row r="1688">
      <c r="A1688" s="43"/>
      <c r="B1688" s="59"/>
      <c r="C1688" s="51"/>
      <c r="D1688" s="43"/>
      <c r="E1688" s="85"/>
      <c r="F1688" s="43"/>
      <c r="G1688" s="85"/>
      <c r="H1688" s="43"/>
      <c r="I1688" s="85"/>
      <c r="J1688" s="43"/>
      <c r="L1688" s="43"/>
      <c r="N1688" s="43"/>
      <c r="P1688" s="43"/>
      <c r="R1688" s="43"/>
      <c r="T1688" s="43"/>
      <c r="V1688" s="43"/>
      <c r="X1688" s="43"/>
      <c r="Z1688" s="43"/>
      <c r="AB1688" s="43"/>
      <c r="AD1688" s="43"/>
      <c r="AF1688" s="43"/>
      <c r="AH1688" s="43"/>
      <c r="AJ1688" s="43"/>
      <c r="AL1688" s="43"/>
      <c r="AO1688" s="43"/>
      <c r="AP1688" s="1"/>
      <c r="AQ1688" s="43"/>
      <c r="AR1688" s="123"/>
      <c r="AS1688" s="1"/>
      <c r="AT1688" s="1"/>
    </row>
    <row r="1689">
      <c r="A1689" s="43"/>
      <c r="B1689" s="59"/>
      <c r="C1689" s="51"/>
      <c r="D1689" s="43"/>
      <c r="E1689" s="85"/>
      <c r="F1689" s="43"/>
      <c r="G1689" s="85"/>
      <c r="H1689" s="43"/>
      <c r="I1689" s="85"/>
      <c r="J1689" s="43"/>
      <c r="L1689" s="43"/>
      <c r="N1689" s="43"/>
      <c r="P1689" s="43"/>
      <c r="R1689" s="43"/>
      <c r="T1689" s="43"/>
      <c r="V1689" s="43"/>
      <c r="X1689" s="43"/>
      <c r="Z1689" s="43"/>
      <c r="AB1689" s="43"/>
      <c r="AD1689" s="43"/>
      <c r="AF1689" s="43"/>
      <c r="AH1689" s="43"/>
      <c r="AJ1689" s="43"/>
      <c r="AL1689" s="43"/>
      <c r="AO1689" s="43"/>
      <c r="AP1689" s="1"/>
      <c r="AQ1689" s="43"/>
      <c r="AR1689" s="123"/>
      <c r="AS1689" s="1"/>
      <c r="AT1689" s="1"/>
    </row>
    <row r="1690">
      <c r="A1690" s="43"/>
      <c r="B1690" s="59"/>
      <c r="C1690" s="51"/>
      <c r="D1690" s="43"/>
      <c r="E1690" s="85"/>
      <c r="F1690" s="43"/>
      <c r="G1690" s="85"/>
      <c r="H1690" s="43"/>
      <c r="I1690" s="85"/>
      <c r="J1690" s="43"/>
      <c r="L1690" s="43"/>
      <c r="N1690" s="43"/>
      <c r="P1690" s="43"/>
      <c r="R1690" s="43"/>
      <c r="T1690" s="43"/>
      <c r="V1690" s="43"/>
      <c r="X1690" s="43"/>
      <c r="Z1690" s="43"/>
      <c r="AB1690" s="43"/>
      <c r="AD1690" s="43"/>
      <c r="AF1690" s="43"/>
      <c r="AH1690" s="43"/>
      <c r="AJ1690" s="43"/>
      <c r="AL1690" s="43"/>
      <c r="AO1690" s="43"/>
      <c r="AP1690" s="1"/>
      <c r="AQ1690" s="43"/>
      <c r="AR1690" s="123"/>
      <c r="AS1690" s="1"/>
      <c r="AT1690" s="1"/>
    </row>
    <row r="1691">
      <c r="A1691" s="43"/>
      <c r="B1691" s="59"/>
      <c r="C1691" s="51"/>
      <c r="D1691" s="43"/>
      <c r="E1691" s="85"/>
      <c r="F1691" s="43"/>
      <c r="G1691" s="85"/>
      <c r="H1691" s="43"/>
      <c r="I1691" s="85"/>
      <c r="J1691" s="43"/>
      <c r="L1691" s="43"/>
      <c r="N1691" s="43"/>
      <c r="P1691" s="43"/>
      <c r="R1691" s="43"/>
      <c r="T1691" s="43"/>
      <c r="V1691" s="43"/>
      <c r="X1691" s="43"/>
      <c r="Z1691" s="43"/>
      <c r="AB1691" s="43"/>
      <c r="AD1691" s="43"/>
      <c r="AF1691" s="43"/>
      <c r="AH1691" s="43"/>
      <c r="AJ1691" s="43"/>
      <c r="AL1691" s="43"/>
      <c r="AO1691" s="43"/>
      <c r="AP1691" s="1"/>
      <c r="AQ1691" s="43"/>
      <c r="AR1691" s="123"/>
      <c r="AS1691" s="1"/>
      <c r="AT1691" s="1"/>
    </row>
    <row r="1692">
      <c r="A1692" s="43"/>
      <c r="B1692" s="59"/>
      <c r="C1692" s="51"/>
      <c r="D1692" s="43"/>
      <c r="E1692" s="85"/>
      <c r="F1692" s="43"/>
      <c r="G1692" s="85"/>
      <c r="H1692" s="43"/>
      <c r="I1692" s="85"/>
      <c r="J1692" s="43"/>
      <c r="L1692" s="43"/>
      <c r="N1692" s="43"/>
      <c r="P1692" s="43"/>
      <c r="R1692" s="43"/>
      <c r="T1692" s="43"/>
      <c r="V1692" s="43"/>
      <c r="X1692" s="43"/>
      <c r="Z1692" s="43"/>
      <c r="AB1692" s="43"/>
      <c r="AD1692" s="43"/>
      <c r="AF1692" s="43"/>
      <c r="AH1692" s="43"/>
      <c r="AJ1692" s="43"/>
      <c r="AL1692" s="43"/>
      <c r="AO1692" s="43"/>
      <c r="AP1692" s="1"/>
      <c r="AQ1692" s="43"/>
      <c r="AR1692" s="123"/>
      <c r="AS1692" s="1"/>
      <c r="AT1692" s="1"/>
    </row>
    <row r="1693">
      <c r="A1693" s="43"/>
      <c r="B1693" s="59"/>
      <c r="C1693" s="51"/>
      <c r="D1693" s="43"/>
      <c r="E1693" s="85"/>
      <c r="F1693" s="43"/>
      <c r="G1693" s="85"/>
      <c r="H1693" s="43"/>
      <c r="I1693" s="85"/>
      <c r="J1693" s="43"/>
      <c r="L1693" s="43"/>
      <c r="N1693" s="43"/>
      <c r="P1693" s="43"/>
      <c r="R1693" s="43"/>
      <c r="T1693" s="43"/>
      <c r="V1693" s="43"/>
      <c r="X1693" s="43"/>
      <c r="Z1693" s="43"/>
      <c r="AB1693" s="43"/>
      <c r="AD1693" s="43"/>
      <c r="AF1693" s="43"/>
      <c r="AH1693" s="43"/>
      <c r="AJ1693" s="43"/>
      <c r="AL1693" s="43"/>
      <c r="AO1693" s="43"/>
      <c r="AP1693" s="1"/>
      <c r="AQ1693" s="43"/>
      <c r="AR1693" s="123"/>
      <c r="AS1693" s="1"/>
      <c r="AT1693" s="1"/>
    </row>
    <row r="1694">
      <c r="A1694" s="43"/>
      <c r="B1694" s="59"/>
      <c r="C1694" s="51"/>
      <c r="D1694" s="43"/>
      <c r="E1694" s="85"/>
      <c r="F1694" s="43"/>
      <c r="G1694" s="85"/>
      <c r="H1694" s="43"/>
      <c r="I1694" s="85"/>
      <c r="J1694" s="43"/>
      <c r="L1694" s="43"/>
      <c r="N1694" s="43"/>
      <c r="P1694" s="43"/>
      <c r="R1694" s="43"/>
      <c r="T1694" s="43"/>
      <c r="V1694" s="43"/>
      <c r="X1694" s="43"/>
      <c r="Z1694" s="43"/>
      <c r="AB1694" s="43"/>
      <c r="AD1694" s="43"/>
      <c r="AF1694" s="43"/>
      <c r="AH1694" s="43"/>
      <c r="AJ1694" s="43"/>
      <c r="AL1694" s="43"/>
      <c r="AO1694" s="43"/>
      <c r="AP1694" s="1"/>
      <c r="AQ1694" s="43"/>
      <c r="AR1694" s="123"/>
      <c r="AS1694" s="1"/>
      <c r="AT1694" s="1"/>
    </row>
    <row r="1695">
      <c r="A1695" s="43"/>
      <c r="B1695" s="59"/>
      <c r="C1695" s="51"/>
      <c r="D1695" s="43"/>
      <c r="E1695" s="85"/>
      <c r="F1695" s="43"/>
      <c r="G1695" s="85"/>
      <c r="H1695" s="43"/>
      <c r="I1695" s="85"/>
      <c r="J1695" s="43"/>
      <c r="L1695" s="43"/>
      <c r="N1695" s="43"/>
      <c r="P1695" s="43"/>
      <c r="R1695" s="43"/>
      <c r="T1695" s="43"/>
      <c r="V1695" s="43"/>
      <c r="X1695" s="43"/>
      <c r="Z1695" s="43"/>
      <c r="AB1695" s="43"/>
      <c r="AD1695" s="43"/>
      <c r="AF1695" s="43"/>
      <c r="AH1695" s="43"/>
      <c r="AJ1695" s="43"/>
      <c r="AL1695" s="43"/>
      <c r="AO1695" s="43"/>
      <c r="AP1695" s="1"/>
      <c r="AQ1695" s="43"/>
      <c r="AR1695" s="123"/>
      <c r="AS1695" s="1"/>
      <c r="AT1695" s="1"/>
    </row>
    <row r="1696">
      <c r="A1696" s="43"/>
      <c r="B1696" s="59"/>
      <c r="C1696" s="51"/>
      <c r="D1696" s="43"/>
      <c r="E1696" s="85"/>
      <c r="F1696" s="43"/>
      <c r="G1696" s="85"/>
      <c r="H1696" s="43"/>
      <c r="I1696" s="85"/>
      <c r="J1696" s="43"/>
      <c r="L1696" s="43"/>
      <c r="N1696" s="43"/>
      <c r="P1696" s="43"/>
      <c r="R1696" s="43"/>
      <c r="T1696" s="43"/>
      <c r="V1696" s="43"/>
      <c r="X1696" s="43"/>
      <c r="Z1696" s="43"/>
      <c r="AB1696" s="43"/>
      <c r="AD1696" s="43"/>
      <c r="AF1696" s="43"/>
      <c r="AH1696" s="43"/>
      <c r="AJ1696" s="43"/>
      <c r="AL1696" s="43"/>
      <c r="AO1696" s="43"/>
      <c r="AP1696" s="1"/>
      <c r="AQ1696" s="43"/>
      <c r="AR1696" s="123"/>
      <c r="AS1696" s="1"/>
      <c r="AT1696" s="1"/>
    </row>
    <row r="1697">
      <c r="A1697" s="43"/>
      <c r="B1697" s="59"/>
      <c r="C1697" s="51"/>
      <c r="D1697" s="43"/>
      <c r="E1697" s="85"/>
      <c r="F1697" s="43"/>
      <c r="G1697" s="85"/>
      <c r="H1697" s="43"/>
      <c r="I1697" s="85"/>
      <c r="J1697" s="43"/>
      <c r="L1697" s="43"/>
      <c r="N1697" s="43"/>
      <c r="P1697" s="43"/>
      <c r="R1697" s="43"/>
      <c r="T1697" s="43"/>
      <c r="V1697" s="43"/>
      <c r="X1697" s="43"/>
      <c r="Z1697" s="43"/>
      <c r="AB1697" s="43"/>
      <c r="AD1697" s="43"/>
      <c r="AF1697" s="43"/>
      <c r="AH1697" s="43"/>
      <c r="AJ1697" s="43"/>
      <c r="AL1697" s="43"/>
      <c r="AO1697" s="43"/>
      <c r="AP1697" s="1"/>
      <c r="AQ1697" s="43"/>
      <c r="AR1697" s="123"/>
      <c r="AS1697" s="1"/>
      <c r="AT1697" s="1"/>
    </row>
    <row r="1698">
      <c r="A1698" s="43"/>
      <c r="B1698" s="59"/>
      <c r="C1698" s="51"/>
      <c r="D1698" s="43"/>
      <c r="E1698" s="85"/>
      <c r="F1698" s="43"/>
      <c r="G1698" s="85"/>
      <c r="H1698" s="43"/>
      <c r="I1698" s="85"/>
      <c r="J1698" s="43"/>
      <c r="L1698" s="43"/>
      <c r="N1698" s="43"/>
      <c r="P1698" s="43"/>
      <c r="R1698" s="43"/>
      <c r="T1698" s="43"/>
      <c r="V1698" s="43"/>
      <c r="X1698" s="43"/>
      <c r="Z1698" s="43"/>
      <c r="AB1698" s="43"/>
      <c r="AD1698" s="43"/>
      <c r="AF1698" s="43"/>
      <c r="AH1698" s="43"/>
      <c r="AJ1698" s="43"/>
      <c r="AL1698" s="43"/>
      <c r="AO1698" s="43"/>
      <c r="AP1698" s="1"/>
      <c r="AQ1698" s="43"/>
      <c r="AR1698" s="123"/>
      <c r="AS1698" s="1"/>
      <c r="AT1698" s="1"/>
    </row>
    <row r="1699">
      <c r="A1699" s="43"/>
      <c r="B1699" s="59"/>
      <c r="C1699" s="51"/>
      <c r="D1699" s="43"/>
      <c r="E1699" s="85"/>
      <c r="F1699" s="43"/>
      <c r="G1699" s="85"/>
      <c r="H1699" s="43"/>
      <c r="I1699" s="85"/>
      <c r="J1699" s="43"/>
      <c r="L1699" s="43"/>
      <c r="N1699" s="43"/>
      <c r="P1699" s="43"/>
      <c r="R1699" s="43"/>
      <c r="T1699" s="43"/>
      <c r="V1699" s="43"/>
      <c r="X1699" s="43"/>
      <c r="Z1699" s="43"/>
      <c r="AB1699" s="43"/>
      <c r="AD1699" s="43"/>
      <c r="AF1699" s="43"/>
      <c r="AH1699" s="43"/>
      <c r="AJ1699" s="43"/>
      <c r="AL1699" s="43"/>
      <c r="AO1699" s="43"/>
      <c r="AP1699" s="1"/>
      <c r="AQ1699" s="43"/>
      <c r="AR1699" s="123"/>
      <c r="AS1699" s="1"/>
      <c r="AT1699" s="1"/>
    </row>
    <row r="1700">
      <c r="A1700" s="43"/>
      <c r="B1700" s="59"/>
      <c r="C1700" s="51"/>
      <c r="D1700" s="43"/>
      <c r="E1700" s="85"/>
      <c r="F1700" s="43"/>
      <c r="G1700" s="85"/>
      <c r="H1700" s="43"/>
      <c r="I1700" s="85"/>
      <c r="J1700" s="43"/>
      <c r="L1700" s="43"/>
      <c r="N1700" s="43"/>
      <c r="P1700" s="43"/>
      <c r="R1700" s="43"/>
      <c r="T1700" s="43"/>
      <c r="V1700" s="43"/>
      <c r="X1700" s="43"/>
      <c r="Z1700" s="43"/>
      <c r="AB1700" s="43"/>
      <c r="AD1700" s="43"/>
      <c r="AF1700" s="43"/>
      <c r="AH1700" s="43"/>
      <c r="AJ1700" s="43"/>
      <c r="AL1700" s="43"/>
      <c r="AO1700" s="43"/>
      <c r="AP1700" s="1"/>
      <c r="AQ1700" s="43"/>
      <c r="AR1700" s="123"/>
      <c r="AS1700" s="1"/>
      <c r="AT1700" s="1"/>
    </row>
    <row r="1701">
      <c r="A1701" s="43"/>
      <c r="B1701" s="59"/>
      <c r="C1701" s="51"/>
      <c r="D1701" s="43"/>
      <c r="E1701" s="85"/>
      <c r="F1701" s="43"/>
      <c r="G1701" s="85"/>
      <c r="H1701" s="43"/>
      <c r="I1701" s="85"/>
      <c r="J1701" s="43"/>
      <c r="L1701" s="43"/>
      <c r="N1701" s="43"/>
      <c r="P1701" s="43"/>
      <c r="R1701" s="43"/>
      <c r="T1701" s="43"/>
      <c r="V1701" s="43"/>
      <c r="X1701" s="43"/>
      <c r="Z1701" s="43"/>
      <c r="AB1701" s="43"/>
      <c r="AD1701" s="43"/>
      <c r="AF1701" s="43"/>
      <c r="AH1701" s="43"/>
      <c r="AJ1701" s="43"/>
      <c r="AL1701" s="43"/>
      <c r="AO1701" s="43"/>
      <c r="AP1701" s="1"/>
      <c r="AQ1701" s="43"/>
      <c r="AR1701" s="123"/>
      <c r="AS1701" s="1"/>
      <c r="AT1701" s="1"/>
    </row>
    <row r="1702">
      <c r="A1702" s="43"/>
      <c r="B1702" s="59"/>
      <c r="C1702" s="51"/>
      <c r="D1702" s="43"/>
      <c r="E1702" s="85"/>
      <c r="F1702" s="43"/>
      <c r="G1702" s="85"/>
      <c r="H1702" s="43"/>
      <c r="I1702" s="85"/>
      <c r="J1702" s="43"/>
      <c r="L1702" s="43"/>
      <c r="N1702" s="43"/>
      <c r="P1702" s="43"/>
      <c r="R1702" s="43"/>
      <c r="T1702" s="43"/>
      <c r="V1702" s="43"/>
      <c r="X1702" s="43"/>
      <c r="Z1702" s="43"/>
      <c r="AB1702" s="43"/>
      <c r="AD1702" s="43"/>
      <c r="AF1702" s="43"/>
      <c r="AH1702" s="43"/>
      <c r="AJ1702" s="43"/>
      <c r="AL1702" s="43"/>
      <c r="AO1702" s="43"/>
      <c r="AP1702" s="1"/>
      <c r="AQ1702" s="43"/>
      <c r="AR1702" s="123"/>
      <c r="AS1702" s="1"/>
      <c r="AT1702" s="1"/>
    </row>
    <row r="1703">
      <c r="A1703" s="43"/>
      <c r="B1703" s="59"/>
      <c r="C1703" s="51"/>
      <c r="D1703" s="43"/>
      <c r="E1703" s="85"/>
      <c r="F1703" s="43"/>
      <c r="G1703" s="85"/>
      <c r="H1703" s="43"/>
      <c r="I1703" s="85"/>
      <c r="J1703" s="43"/>
      <c r="L1703" s="43"/>
      <c r="N1703" s="43"/>
      <c r="P1703" s="43"/>
      <c r="R1703" s="43"/>
      <c r="T1703" s="43"/>
      <c r="V1703" s="43"/>
      <c r="X1703" s="43"/>
      <c r="Z1703" s="43"/>
      <c r="AB1703" s="43"/>
      <c r="AD1703" s="43"/>
      <c r="AF1703" s="43"/>
      <c r="AH1703" s="43"/>
      <c r="AJ1703" s="43"/>
      <c r="AL1703" s="43"/>
      <c r="AO1703" s="43"/>
      <c r="AP1703" s="1"/>
      <c r="AQ1703" s="43"/>
      <c r="AR1703" s="123"/>
      <c r="AS1703" s="1"/>
      <c r="AT1703" s="1"/>
    </row>
    <row r="1704">
      <c r="A1704" s="43"/>
      <c r="B1704" s="59"/>
      <c r="C1704" s="51"/>
      <c r="D1704" s="43"/>
      <c r="E1704" s="85"/>
      <c r="F1704" s="43"/>
      <c r="G1704" s="85"/>
      <c r="H1704" s="43"/>
      <c r="I1704" s="85"/>
      <c r="J1704" s="43"/>
      <c r="L1704" s="43"/>
      <c r="N1704" s="43"/>
      <c r="P1704" s="43"/>
      <c r="R1704" s="43"/>
      <c r="T1704" s="43"/>
      <c r="V1704" s="43"/>
      <c r="X1704" s="43"/>
      <c r="Z1704" s="43"/>
      <c r="AB1704" s="43"/>
      <c r="AD1704" s="43"/>
      <c r="AF1704" s="43"/>
      <c r="AH1704" s="43"/>
      <c r="AJ1704" s="43"/>
      <c r="AL1704" s="43"/>
      <c r="AO1704" s="43"/>
      <c r="AP1704" s="1"/>
      <c r="AQ1704" s="43"/>
      <c r="AR1704" s="123"/>
      <c r="AS1704" s="1"/>
      <c r="AT1704" s="1"/>
    </row>
    <row r="1705">
      <c r="A1705" s="43"/>
      <c r="B1705" s="59"/>
      <c r="C1705" s="51"/>
      <c r="D1705" s="43"/>
      <c r="E1705" s="85"/>
      <c r="F1705" s="43"/>
      <c r="G1705" s="85"/>
      <c r="H1705" s="43"/>
      <c r="I1705" s="85"/>
      <c r="J1705" s="43"/>
      <c r="L1705" s="43"/>
      <c r="N1705" s="43"/>
      <c r="P1705" s="43"/>
      <c r="R1705" s="43"/>
      <c r="T1705" s="43"/>
      <c r="V1705" s="43"/>
      <c r="X1705" s="43"/>
      <c r="Z1705" s="43"/>
      <c r="AB1705" s="43"/>
      <c r="AD1705" s="43"/>
      <c r="AF1705" s="43"/>
      <c r="AH1705" s="43"/>
      <c r="AJ1705" s="43"/>
      <c r="AL1705" s="43"/>
      <c r="AO1705" s="43"/>
      <c r="AP1705" s="1"/>
      <c r="AQ1705" s="43"/>
      <c r="AR1705" s="123"/>
      <c r="AS1705" s="1"/>
      <c r="AT1705" s="1"/>
    </row>
    <row r="1706">
      <c r="A1706" s="43"/>
      <c r="B1706" s="59"/>
      <c r="C1706" s="51"/>
      <c r="D1706" s="43"/>
      <c r="E1706" s="85"/>
      <c r="F1706" s="43"/>
      <c r="G1706" s="85"/>
      <c r="H1706" s="43"/>
      <c r="I1706" s="85"/>
      <c r="J1706" s="43"/>
      <c r="L1706" s="43"/>
      <c r="N1706" s="43"/>
      <c r="P1706" s="43"/>
      <c r="R1706" s="43"/>
      <c r="T1706" s="43"/>
      <c r="V1706" s="43"/>
      <c r="X1706" s="43"/>
      <c r="Z1706" s="43"/>
      <c r="AB1706" s="43"/>
      <c r="AD1706" s="43"/>
      <c r="AF1706" s="43"/>
      <c r="AH1706" s="43"/>
      <c r="AJ1706" s="43"/>
      <c r="AL1706" s="43"/>
      <c r="AO1706" s="43"/>
      <c r="AP1706" s="1"/>
      <c r="AQ1706" s="43"/>
      <c r="AR1706" s="123"/>
      <c r="AS1706" s="1"/>
      <c r="AT1706" s="1"/>
    </row>
    <row r="1707">
      <c r="A1707" s="43"/>
      <c r="B1707" s="59"/>
      <c r="C1707" s="51"/>
      <c r="D1707" s="43"/>
      <c r="E1707" s="85"/>
      <c r="F1707" s="43"/>
      <c r="G1707" s="85"/>
      <c r="H1707" s="43"/>
      <c r="I1707" s="85"/>
      <c r="J1707" s="43"/>
      <c r="L1707" s="43"/>
      <c r="N1707" s="43"/>
      <c r="P1707" s="43"/>
      <c r="R1707" s="43"/>
      <c r="T1707" s="43"/>
      <c r="V1707" s="43"/>
      <c r="X1707" s="43"/>
      <c r="Z1707" s="43"/>
      <c r="AB1707" s="43"/>
      <c r="AD1707" s="43"/>
      <c r="AF1707" s="43"/>
      <c r="AH1707" s="43"/>
      <c r="AJ1707" s="43"/>
      <c r="AL1707" s="43"/>
      <c r="AO1707" s="43"/>
      <c r="AP1707" s="1"/>
      <c r="AQ1707" s="43"/>
      <c r="AR1707" s="123"/>
      <c r="AS1707" s="1"/>
      <c r="AT1707" s="1"/>
    </row>
    <row r="1708">
      <c r="A1708" s="43"/>
      <c r="B1708" s="59"/>
      <c r="C1708" s="51"/>
      <c r="D1708" s="43"/>
      <c r="E1708" s="85"/>
      <c r="F1708" s="43"/>
      <c r="G1708" s="85"/>
      <c r="H1708" s="43"/>
      <c r="I1708" s="85"/>
      <c r="J1708" s="43"/>
      <c r="L1708" s="43"/>
      <c r="N1708" s="43"/>
      <c r="P1708" s="43"/>
      <c r="R1708" s="43"/>
      <c r="T1708" s="43"/>
      <c r="V1708" s="43"/>
      <c r="X1708" s="43"/>
      <c r="Z1708" s="43"/>
      <c r="AB1708" s="43"/>
      <c r="AD1708" s="43"/>
      <c r="AF1708" s="43"/>
      <c r="AH1708" s="43"/>
      <c r="AJ1708" s="43"/>
      <c r="AL1708" s="43"/>
      <c r="AO1708" s="43"/>
      <c r="AP1708" s="1"/>
      <c r="AQ1708" s="43"/>
      <c r="AR1708" s="123"/>
      <c r="AS1708" s="1"/>
      <c r="AT1708" s="1"/>
    </row>
    <row r="1709">
      <c r="A1709" s="43"/>
      <c r="B1709" s="59"/>
      <c r="C1709" s="51"/>
      <c r="D1709" s="43"/>
      <c r="E1709" s="85"/>
      <c r="F1709" s="43"/>
      <c r="G1709" s="85"/>
      <c r="H1709" s="43"/>
      <c r="I1709" s="85"/>
      <c r="J1709" s="43"/>
      <c r="L1709" s="43"/>
      <c r="N1709" s="43"/>
      <c r="P1709" s="43"/>
      <c r="R1709" s="43"/>
      <c r="T1709" s="43"/>
      <c r="V1709" s="43"/>
      <c r="X1709" s="43"/>
      <c r="Z1709" s="43"/>
      <c r="AB1709" s="43"/>
      <c r="AD1709" s="43"/>
      <c r="AF1709" s="43"/>
      <c r="AH1709" s="43"/>
      <c r="AJ1709" s="43"/>
      <c r="AL1709" s="43"/>
      <c r="AO1709" s="43"/>
      <c r="AP1709" s="1"/>
      <c r="AQ1709" s="43"/>
      <c r="AR1709" s="123"/>
      <c r="AS1709" s="1"/>
      <c r="AT1709" s="1"/>
    </row>
    <row r="1710">
      <c r="A1710" s="43"/>
      <c r="B1710" s="59"/>
      <c r="C1710" s="51"/>
      <c r="D1710" s="43"/>
      <c r="E1710" s="85"/>
      <c r="F1710" s="43"/>
      <c r="G1710" s="85"/>
      <c r="H1710" s="43"/>
      <c r="I1710" s="85"/>
      <c r="J1710" s="43"/>
      <c r="L1710" s="43"/>
      <c r="N1710" s="43"/>
      <c r="P1710" s="43"/>
      <c r="R1710" s="43"/>
      <c r="T1710" s="43"/>
      <c r="V1710" s="43"/>
      <c r="X1710" s="43"/>
      <c r="Z1710" s="43"/>
      <c r="AB1710" s="43"/>
      <c r="AD1710" s="43"/>
      <c r="AF1710" s="43"/>
      <c r="AH1710" s="43"/>
      <c r="AJ1710" s="43"/>
      <c r="AL1710" s="43"/>
      <c r="AO1710" s="43"/>
      <c r="AP1710" s="1"/>
      <c r="AQ1710" s="43"/>
      <c r="AR1710" s="123"/>
      <c r="AS1710" s="1"/>
      <c r="AT1710" s="1"/>
    </row>
    <row r="1711">
      <c r="A1711" s="43"/>
      <c r="B1711" s="59"/>
      <c r="C1711" s="51"/>
      <c r="D1711" s="43"/>
      <c r="E1711" s="85"/>
      <c r="F1711" s="43"/>
      <c r="G1711" s="85"/>
      <c r="H1711" s="43"/>
      <c r="I1711" s="85"/>
      <c r="J1711" s="43"/>
      <c r="L1711" s="43"/>
      <c r="N1711" s="43"/>
      <c r="P1711" s="43"/>
      <c r="R1711" s="43"/>
      <c r="T1711" s="43"/>
      <c r="V1711" s="43"/>
      <c r="X1711" s="43"/>
      <c r="Z1711" s="43"/>
      <c r="AB1711" s="43"/>
      <c r="AD1711" s="43"/>
      <c r="AF1711" s="43"/>
      <c r="AH1711" s="43"/>
      <c r="AJ1711" s="43"/>
      <c r="AL1711" s="43"/>
      <c r="AO1711" s="43"/>
      <c r="AP1711" s="1"/>
      <c r="AQ1711" s="43"/>
      <c r="AR1711" s="123"/>
      <c r="AS1711" s="1"/>
      <c r="AT1711" s="1"/>
    </row>
    <row r="1712">
      <c r="A1712" s="43"/>
      <c r="B1712" s="59"/>
      <c r="C1712" s="51"/>
      <c r="D1712" s="43"/>
      <c r="E1712" s="85"/>
      <c r="F1712" s="43"/>
      <c r="G1712" s="85"/>
      <c r="H1712" s="43"/>
      <c r="I1712" s="85"/>
      <c r="J1712" s="43"/>
      <c r="L1712" s="43"/>
      <c r="N1712" s="43"/>
      <c r="P1712" s="43"/>
      <c r="R1712" s="43"/>
      <c r="T1712" s="43"/>
      <c r="V1712" s="43"/>
      <c r="X1712" s="43"/>
      <c r="Z1712" s="43"/>
      <c r="AB1712" s="43"/>
      <c r="AD1712" s="43"/>
      <c r="AF1712" s="43"/>
      <c r="AH1712" s="43"/>
      <c r="AJ1712" s="43"/>
      <c r="AL1712" s="43"/>
      <c r="AO1712" s="43"/>
      <c r="AP1712" s="1"/>
      <c r="AQ1712" s="43"/>
      <c r="AR1712" s="123"/>
      <c r="AS1712" s="1"/>
      <c r="AT1712" s="1"/>
    </row>
    <row r="1713">
      <c r="A1713" s="43"/>
      <c r="B1713" s="59"/>
      <c r="C1713" s="51"/>
      <c r="D1713" s="43"/>
      <c r="E1713" s="85"/>
      <c r="F1713" s="43"/>
      <c r="G1713" s="85"/>
      <c r="H1713" s="43"/>
      <c r="I1713" s="85"/>
      <c r="J1713" s="43"/>
      <c r="L1713" s="43"/>
      <c r="N1713" s="43"/>
      <c r="P1713" s="43"/>
      <c r="R1713" s="43"/>
      <c r="T1713" s="43"/>
      <c r="V1713" s="43"/>
      <c r="X1713" s="43"/>
      <c r="Z1713" s="43"/>
      <c r="AB1713" s="43"/>
      <c r="AD1713" s="43"/>
      <c r="AF1713" s="43"/>
      <c r="AH1713" s="43"/>
      <c r="AJ1713" s="43"/>
      <c r="AL1713" s="43"/>
      <c r="AO1713" s="43"/>
      <c r="AP1713" s="1"/>
      <c r="AQ1713" s="43"/>
      <c r="AR1713" s="123"/>
      <c r="AS1713" s="1"/>
      <c r="AT1713" s="1"/>
    </row>
    <row r="1714">
      <c r="A1714" s="43"/>
      <c r="B1714" s="59"/>
      <c r="C1714" s="51"/>
      <c r="D1714" s="43"/>
      <c r="E1714" s="85"/>
      <c r="F1714" s="43"/>
      <c r="G1714" s="85"/>
      <c r="H1714" s="43"/>
      <c r="I1714" s="85"/>
      <c r="J1714" s="43"/>
      <c r="L1714" s="43"/>
      <c r="N1714" s="43"/>
      <c r="P1714" s="43"/>
      <c r="R1714" s="43"/>
      <c r="T1714" s="43"/>
      <c r="V1714" s="43"/>
      <c r="X1714" s="43"/>
      <c r="Z1714" s="43"/>
      <c r="AB1714" s="43"/>
      <c r="AD1714" s="43"/>
      <c r="AF1714" s="43"/>
      <c r="AH1714" s="43"/>
      <c r="AJ1714" s="43"/>
      <c r="AL1714" s="43"/>
      <c r="AO1714" s="43"/>
      <c r="AP1714" s="1"/>
      <c r="AQ1714" s="43"/>
      <c r="AR1714" s="123"/>
      <c r="AS1714" s="1"/>
      <c r="AT1714" s="1"/>
    </row>
    <row r="1715">
      <c r="A1715" s="43"/>
      <c r="B1715" s="59"/>
      <c r="C1715" s="51"/>
      <c r="D1715" s="43"/>
      <c r="E1715" s="85"/>
      <c r="F1715" s="43"/>
      <c r="G1715" s="85"/>
      <c r="H1715" s="43"/>
      <c r="I1715" s="85"/>
      <c r="J1715" s="43"/>
      <c r="L1715" s="43"/>
      <c r="N1715" s="43"/>
      <c r="P1715" s="43"/>
      <c r="R1715" s="43"/>
      <c r="T1715" s="43"/>
      <c r="V1715" s="43"/>
      <c r="X1715" s="43"/>
      <c r="Z1715" s="43"/>
      <c r="AB1715" s="43"/>
      <c r="AD1715" s="43"/>
      <c r="AF1715" s="43"/>
      <c r="AH1715" s="43"/>
      <c r="AJ1715" s="43"/>
      <c r="AL1715" s="43"/>
      <c r="AO1715" s="43"/>
      <c r="AP1715" s="1"/>
      <c r="AQ1715" s="43"/>
      <c r="AR1715" s="123"/>
      <c r="AS1715" s="1"/>
      <c r="AT1715" s="1"/>
    </row>
    <row r="1716">
      <c r="A1716" s="43"/>
      <c r="B1716" s="59"/>
      <c r="C1716" s="51"/>
      <c r="D1716" s="43"/>
      <c r="E1716" s="85"/>
      <c r="F1716" s="43"/>
      <c r="G1716" s="85"/>
      <c r="H1716" s="43"/>
      <c r="I1716" s="85"/>
      <c r="J1716" s="43"/>
      <c r="L1716" s="43"/>
      <c r="N1716" s="43"/>
      <c r="P1716" s="43"/>
      <c r="R1716" s="43"/>
      <c r="T1716" s="43"/>
      <c r="V1716" s="43"/>
      <c r="X1716" s="43"/>
      <c r="Z1716" s="43"/>
      <c r="AB1716" s="43"/>
      <c r="AD1716" s="43"/>
      <c r="AF1716" s="43"/>
      <c r="AH1716" s="43"/>
      <c r="AJ1716" s="43"/>
      <c r="AL1716" s="43"/>
      <c r="AO1716" s="43"/>
      <c r="AP1716" s="1"/>
      <c r="AQ1716" s="43"/>
      <c r="AR1716" s="123"/>
      <c r="AS1716" s="1"/>
      <c r="AT1716" s="1"/>
    </row>
    <row r="1717">
      <c r="A1717" s="43"/>
      <c r="B1717" s="59"/>
      <c r="C1717" s="51"/>
      <c r="D1717" s="43"/>
      <c r="E1717" s="85"/>
      <c r="F1717" s="43"/>
      <c r="G1717" s="85"/>
      <c r="H1717" s="43"/>
      <c r="I1717" s="85"/>
      <c r="J1717" s="43"/>
      <c r="L1717" s="43"/>
      <c r="N1717" s="43"/>
      <c r="P1717" s="43"/>
      <c r="R1717" s="43"/>
      <c r="T1717" s="43"/>
      <c r="V1717" s="43"/>
      <c r="X1717" s="43"/>
      <c r="Z1717" s="43"/>
      <c r="AB1717" s="43"/>
      <c r="AD1717" s="43"/>
      <c r="AF1717" s="43"/>
      <c r="AH1717" s="43"/>
      <c r="AJ1717" s="43"/>
      <c r="AL1717" s="43"/>
      <c r="AO1717" s="43"/>
      <c r="AP1717" s="1"/>
      <c r="AQ1717" s="43"/>
      <c r="AR1717" s="123"/>
      <c r="AS1717" s="1"/>
      <c r="AT1717" s="1"/>
    </row>
    <row r="1718">
      <c r="A1718" s="43"/>
      <c r="B1718" s="59"/>
      <c r="C1718" s="51"/>
      <c r="D1718" s="43"/>
      <c r="E1718" s="85"/>
      <c r="F1718" s="43"/>
      <c r="G1718" s="85"/>
      <c r="H1718" s="43"/>
      <c r="I1718" s="85"/>
      <c r="J1718" s="43"/>
      <c r="L1718" s="43"/>
      <c r="N1718" s="43"/>
      <c r="P1718" s="43"/>
      <c r="R1718" s="43"/>
      <c r="T1718" s="43"/>
      <c r="V1718" s="43"/>
      <c r="X1718" s="43"/>
      <c r="Z1718" s="43"/>
      <c r="AB1718" s="43"/>
      <c r="AD1718" s="43"/>
      <c r="AF1718" s="43"/>
      <c r="AH1718" s="43"/>
      <c r="AJ1718" s="43"/>
      <c r="AL1718" s="43"/>
      <c r="AO1718" s="43"/>
      <c r="AP1718" s="1"/>
      <c r="AQ1718" s="43"/>
      <c r="AR1718" s="123"/>
      <c r="AS1718" s="1"/>
      <c r="AT1718" s="1"/>
    </row>
    <row r="1719">
      <c r="A1719" s="43"/>
      <c r="B1719" s="59"/>
      <c r="C1719" s="51"/>
      <c r="D1719" s="43"/>
      <c r="E1719" s="85"/>
      <c r="F1719" s="43"/>
      <c r="G1719" s="85"/>
      <c r="H1719" s="43"/>
      <c r="I1719" s="85"/>
      <c r="J1719" s="43"/>
      <c r="L1719" s="43"/>
      <c r="N1719" s="43"/>
      <c r="P1719" s="43"/>
      <c r="R1719" s="43"/>
      <c r="T1719" s="43"/>
      <c r="V1719" s="43"/>
      <c r="X1719" s="43"/>
      <c r="Z1719" s="43"/>
      <c r="AB1719" s="43"/>
      <c r="AD1719" s="43"/>
      <c r="AF1719" s="43"/>
      <c r="AH1719" s="43"/>
      <c r="AJ1719" s="43"/>
      <c r="AL1719" s="43"/>
      <c r="AO1719" s="43"/>
      <c r="AP1719" s="1"/>
      <c r="AQ1719" s="43"/>
      <c r="AR1719" s="123"/>
      <c r="AS1719" s="1"/>
      <c r="AT1719" s="1"/>
    </row>
    <row r="1720">
      <c r="A1720" s="43"/>
      <c r="B1720" s="59"/>
      <c r="C1720" s="51"/>
      <c r="D1720" s="43"/>
      <c r="E1720" s="85"/>
      <c r="F1720" s="43"/>
      <c r="G1720" s="85"/>
      <c r="H1720" s="43"/>
      <c r="I1720" s="85"/>
      <c r="J1720" s="43"/>
      <c r="L1720" s="43"/>
      <c r="N1720" s="43"/>
      <c r="P1720" s="43"/>
      <c r="R1720" s="43"/>
      <c r="T1720" s="43"/>
      <c r="V1720" s="43"/>
      <c r="X1720" s="43"/>
      <c r="Z1720" s="43"/>
      <c r="AB1720" s="43"/>
      <c r="AD1720" s="43"/>
      <c r="AF1720" s="43"/>
      <c r="AH1720" s="43"/>
      <c r="AJ1720" s="43"/>
      <c r="AL1720" s="43"/>
      <c r="AO1720" s="43"/>
      <c r="AP1720" s="1"/>
      <c r="AQ1720" s="43"/>
      <c r="AR1720" s="123"/>
      <c r="AS1720" s="1"/>
      <c r="AT1720" s="1"/>
    </row>
    <row r="1721">
      <c r="A1721" s="43"/>
      <c r="B1721" s="59"/>
      <c r="C1721" s="51"/>
      <c r="D1721" s="43"/>
      <c r="E1721" s="85"/>
      <c r="F1721" s="43"/>
      <c r="G1721" s="85"/>
      <c r="H1721" s="43"/>
      <c r="I1721" s="85"/>
      <c r="J1721" s="43"/>
      <c r="L1721" s="43"/>
      <c r="N1721" s="43"/>
      <c r="P1721" s="43"/>
      <c r="R1721" s="43"/>
      <c r="T1721" s="43"/>
      <c r="V1721" s="43"/>
      <c r="X1721" s="43"/>
      <c r="Z1721" s="43"/>
      <c r="AB1721" s="43"/>
      <c r="AD1721" s="43"/>
      <c r="AF1721" s="43"/>
      <c r="AH1721" s="43"/>
      <c r="AJ1721" s="43"/>
      <c r="AL1721" s="43"/>
      <c r="AO1721" s="43"/>
      <c r="AP1721" s="1"/>
      <c r="AQ1721" s="43"/>
      <c r="AR1721" s="123"/>
      <c r="AS1721" s="1"/>
      <c r="AT1721" s="1"/>
    </row>
    <row r="1722">
      <c r="A1722" s="43"/>
      <c r="B1722" s="59"/>
      <c r="C1722" s="51"/>
      <c r="D1722" s="43"/>
      <c r="E1722" s="85"/>
      <c r="F1722" s="43"/>
      <c r="G1722" s="85"/>
      <c r="H1722" s="43"/>
      <c r="I1722" s="85"/>
      <c r="J1722" s="43"/>
      <c r="L1722" s="43"/>
      <c r="N1722" s="43"/>
      <c r="P1722" s="43"/>
      <c r="R1722" s="43"/>
      <c r="T1722" s="43"/>
      <c r="V1722" s="43"/>
      <c r="X1722" s="43"/>
      <c r="Z1722" s="43"/>
      <c r="AB1722" s="43"/>
      <c r="AD1722" s="43"/>
      <c r="AF1722" s="43"/>
      <c r="AH1722" s="43"/>
      <c r="AJ1722" s="43"/>
      <c r="AL1722" s="43"/>
      <c r="AO1722" s="43"/>
      <c r="AP1722" s="1"/>
      <c r="AQ1722" s="43"/>
      <c r="AR1722" s="123"/>
      <c r="AS1722" s="1"/>
      <c r="AT1722" s="1"/>
    </row>
    <row r="1723">
      <c r="A1723" s="43"/>
      <c r="B1723" s="59"/>
      <c r="C1723" s="51"/>
      <c r="D1723" s="43"/>
      <c r="E1723" s="85"/>
      <c r="F1723" s="43"/>
      <c r="G1723" s="85"/>
      <c r="H1723" s="43"/>
      <c r="I1723" s="85"/>
      <c r="J1723" s="43"/>
      <c r="L1723" s="43"/>
      <c r="N1723" s="43"/>
      <c r="P1723" s="43"/>
      <c r="R1723" s="43"/>
      <c r="T1723" s="43"/>
      <c r="V1723" s="43"/>
      <c r="X1723" s="43"/>
      <c r="Z1723" s="43"/>
      <c r="AB1723" s="43"/>
      <c r="AD1723" s="43"/>
      <c r="AF1723" s="43"/>
      <c r="AH1723" s="43"/>
      <c r="AJ1723" s="43"/>
      <c r="AL1723" s="43"/>
      <c r="AO1723" s="43"/>
      <c r="AP1723" s="1"/>
      <c r="AQ1723" s="43"/>
      <c r="AR1723" s="123"/>
      <c r="AS1723" s="1"/>
      <c r="AT1723" s="1"/>
    </row>
    <row r="1724">
      <c r="A1724" s="43"/>
      <c r="B1724" s="59"/>
      <c r="C1724" s="51"/>
      <c r="D1724" s="43"/>
      <c r="E1724" s="85"/>
      <c r="F1724" s="43"/>
      <c r="G1724" s="85"/>
      <c r="H1724" s="43"/>
      <c r="I1724" s="85"/>
      <c r="J1724" s="43"/>
      <c r="L1724" s="43"/>
      <c r="N1724" s="43"/>
      <c r="P1724" s="43"/>
      <c r="R1724" s="43"/>
      <c r="T1724" s="43"/>
      <c r="V1724" s="43"/>
      <c r="X1724" s="43"/>
      <c r="Z1724" s="43"/>
      <c r="AB1724" s="43"/>
      <c r="AD1724" s="43"/>
      <c r="AF1724" s="43"/>
      <c r="AH1724" s="43"/>
      <c r="AJ1724" s="43"/>
      <c r="AL1724" s="43"/>
      <c r="AO1724" s="43"/>
      <c r="AP1724" s="1"/>
      <c r="AQ1724" s="43"/>
      <c r="AR1724" s="123"/>
      <c r="AS1724" s="1"/>
      <c r="AT1724" s="1"/>
    </row>
    <row r="1725">
      <c r="A1725" s="43"/>
      <c r="B1725" s="59"/>
      <c r="C1725" s="51"/>
      <c r="D1725" s="43"/>
      <c r="E1725" s="85"/>
      <c r="F1725" s="43"/>
      <c r="G1725" s="85"/>
      <c r="H1725" s="43"/>
      <c r="I1725" s="85"/>
      <c r="J1725" s="43"/>
      <c r="L1725" s="43"/>
      <c r="N1725" s="43"/>
      <c r="P1725" s="43"/>
      <c r="R1725" s="43"/>
      <c r="T1725" s="43"/>
      <c r="V1725" s="43"/>
      <c r="X1725" s="43"/>
      <c r="Z1725" s="43"/>
      <c r="AB1725" s="43"/>
      <c r="AD1725" s="43"/>
      <c r="AF1725" s="43"/>
      <c r="AH1725" s="43"/>
      <c r="AJ1725" s="43"/>
      <c r="AL1725" s="43"/>
      <c r="AO1725" s="43"/>
      <c r="AP1725" s="1"/>
      <c r="AQ1725" s="43"/>
      <c r="AR1725" s="123"/>
      <c r="AS1725" s="1"/>
      <c r="AT1725" s="1"/>
    </row>
    <row r="1726">
      <c r="A1726" s="43"/>
      <c r="B1726" s="59"/>
      <c r="C1726" s="51"/>
      <c r="D1726" s="43"/>
      <c r="E1726" s="85"/>
      <c r="F1726" s="43"/>
      <c r="G1726" s="85"/>
      <c r="H1726" s="43"/>
      <c r="I1726" s="85"/>
      <c r="J1726" s="43"/>
      <c r="L1726" s="43"/>
      <c r="N1726" s="43"/>
      <c r="P1726" s="43"/>
      <c r="R1726" s="43"/>
      <c r="T1726" s="43"/>
      <c r="V1726" s="43"/>
      <c r="X1726" s="43"/>
      <c r="Z1726" s="43"/>
      <c r="AB1726" s="43"/>
      <c r="AD1726" s="43"/>
      <c r="AF1726" s="43"/>
      <c r="AH1726" s="43"/>
      <c r="AJ1726" s="43"/>
      <c r="AL1726" s="43"/>
      <c r="AO1726" s="43"/>
      <c r="AP1726" s="1"/>
      <c r="AQ1726" s="43"/>
      <c r="AR1726" s="123"/>
      <c r="AS1726" s="1"/>
      <c r="AT1726" s="1"/>
    </row>
    <row r="1727">
      <c r="A1727" s="43"/>
      <c r="B1727" s="59"/>
      <c r="C1727" s="51"/>
      <c r="D1727" s="43"/>
      <c r="E1727" s="85"/>
      <c r="F1727" s="43"/>
      <c r="G1727" s="85"/>
      <c r="H1727" s="43"/>
      <c r="I1727" s="85"/>
      <c r="J1727" s="43"/>
      <c r="L1727" s="43"/>
      <c r="N1727" s="43"/>
      <c r="P1727" s="43"/>
      <c r="R1727" s="43"/>
      <c r="T1727" s="43"/>
      <c r="V1727" s="43"/>
      <c r="X1727" s="43"/>
      <c r="Z1727" s="43"/>
      <c r="AB1727" s="43"/>
      <c r="AD1727" s="43"/>
      <c r="AF1727" s="43"/>
      <c r="AH1727" s="43"/>
      <c r="AJ1727" s="43"/>
      <c r="AL1727" s="43"/>
      <c r="AO1727" s="43"/>
      <c r="AP1727" s="1"/>
      <c r="AQ1727" s="43"/>
      <c r="AR1727" s="123"/>
      <c r="AS1727" s="1"/>
      <c r="AT1727" s="1"/>
    </row>
    <row r="1728">
      <c r="A1728" s="43"/>
      <c r="B1728" s="59"/>
      <c r="C1728" s="51"/>
      <c r="D1728" s="43"/>
      <c r="E1728" s="85"/>
      <c r="F1728" s="43"/>
      <c r="G1728" s="85"/>
      <c r="H1728" s="43"/>
      <c r="I1728" s="85"/>
      <c r="J1728" s="43"/>
      <c r="L1728" s="43"/>
      <c r="N1728" s="43"/>
      <c r="P1728" s="43"/>
      <c r="R1728" s="43"/>
      <c r="T1728" s="43"/>
      <c r="V1728" s="43"/>
      <c r="X1728" s="43"/>
      <c r="Z1728" s="43"/>
      <c r="AB1728" s="43"/>
      <c r="AD1728" s="43"/>
      <c r="AF1728" s="43"/>
      <c r="AH1728" s="43"/>
      <c r="AJ1728" s="43"/>
      <c r="AL1728" s="43"/>
      <c r="AO1728" s="43"/>
      <c r="AP1728" s="1"/>
      <c r="AQ1728" s="43"/>
      <c r="AR1728" s="123"/>
      <c r="AS1728" s="1"/>
      <c r="AT1728" s="1"/>
    </row>
    <row r="1729">
      <c r="A1729" s="43"/>
      <c r="B1729" s="59"/>
      <c r="C1729" s="51"/>
      <c r="D1729" s="43"/>
      <c r="E1729" s="85"/>
      <c r="F1729" s="43"/>
      <c r="G1729" s="85"/>
      <c r="H1729" s="43"/>
      <c r="I1729" s="85"/>
      <c r="J1729" s="43"/>
      <c r="L1729" s="43"/>
      <c r="N1729" s="43"/>
      <c r="P1729" s="43"/>
      <c r="R1729" s="43"/>
      <c r="T1729" s="43"/>
      <c r="V1729" s="43"/>
      <c r="X1729" s="43"/>
      <c r="Z1729" s="43"/>
      <c r="AB1729" s="43"/>
      <c r="AD1729" s="43"/>
      <c r="AF1729" s="43"/>
      <c r="AH1729" s="43"/>
      <c r="AJ1729" s="43"/>
      <c r="AL1729" s="43"/>
      <c r="AO1729" s="43"/>
      <c r="AP1729" s="1"/>
      <c r="AQ1729" s="43"/>
      <c r="AR1729" s="123"/>
      <c r="AS1729" s="1"/>
      <c r="AT1729" s="1"/>
    </row>
    <row r="1730">
      <c r="A1730" s="43"/>
      <c r="B1730" s="59"/>
      <c r="C1730" s="51"/>
      <c r="D1730" s="43"/>
      <c r="E1730" s="85"/>
      <c r="F1730" s="43"/>
      <c r="G1730" s="85"/>
      <c r="H1730" s="43"/>
      <c r="I1730" s="85"/>
      <c r="J1730" s="43"/>
      <c r="L1730" s="43"/>
      <c r="N1730" s="43"/>
      <c r="P1730" s="43"/>
      <c r="R1730" s="43"/>
      <c r="T1730" s="43"/>
      <c r="V1730" s="43"/>
      <c r="X1730" s="43"/>
      <c r="Z1730" s="43"/>
      <c r="AB1730" s="43"/>
      <c r="AD1730" s="43"/>
      <c r="AF1730" s="43"/>
      <c r="AH1730" s="43"/>
      <c r="AJ1730" s="43"/>
      <c r="AL1730" s="43"/>
      <c r="AO1730" s="43"/>
      <c r="AP1730" s="1"/>
      <c r="AQ1730" s="43"/>
      <c r="AR1730" s="123"/>
      <c r="AS1730" s="1"/>
      <c r="AT1730" s="1"/>
    </row>
    <row r="1731">
      <c r="A1731" s="43"/>
      <c r="B1731" s="59"/>
      <c r="C1731" s="51"/>
      <c r="D1731" s="43"/>
      <c r="E1731" s="85"/>
      <c r="F1731" s="43"/>
      <c r="G1731" s="85"/>
      <c r="H1731" s="43"/>
      <c r="I1731" s="85"/>
      <c r="J1731" s="43"/>
      <c r="L1731" s="43"/>
      <c r="N1731" s="43"/>
      <c r="P1731" s="43"/>
      <c r="R1731" s="43"/>
      <c r="T1731" s="43"/>
      <c r="V1731" s="43"/>
      <c r="X1731" s="43"/>
      <c r="Z1731" s="43"/>
      <c r="AB1731" s="43"/>
      <c r="AD1731" s="43"/>
      <c r="AF1731" s="43"/>
      <c r="AH1731" s="43"/>
      <c r="AJ1731" s="43"/>
      <c r="AL1731" s="43"/>
      <c r="AO1731" s="43"/>
      <c r="AP1731" s="1"/>
      <c r="AQ1731" s="43"/>
      <c r="AR1731" s="123"/>
      <c r="AS1731" s="1"/>
      <c r="AT1731" s="1"/>
    </row>
    <row r="1732">
      <c r="A1732" s="43"/>
      <c r="B1732" s="59"/>
      <c r="C1732" s="51"/>
      <c r="D1732" s="43"/>
      <c r="E1732" s="85"/>
      <c r="F1732" s="43"/>
      <c r="G1732" s="85"/>
      <c r="H1732" s="43"/>
      <c r="I1732" s="85"/>
      <c r="J1732" s="43"/>
      <c r="L1732" s="43"/>
      <c r="N1732" s="43"/>
      <c r="P1732" s="43"/>
      <c r="R1732" s="43"/>
      <c r="T1732" s="43"/>
      <c r="V1732" s="43"/>
      <c r="X1732" s="43"/>
      <c r="Z1732" s="43"/>
      <c r="AB1732" s="43"/>
      <c r="AD1732" s="43"/>
      <c r="AF1732" s="43"/>
      <c r="AH1732" s="43"/>
      <c r="AJ1732" s="43"/>
      <c r="AL1732" s="43"/>
      <c r="AO1732" s="43"/>
      <c r="AP1732" s="1"/>
      <c r="AQ1732" s="43"/>
      <c r="AR1732" s="123"/>
      <c r="AS1732" s="1"/>
      <c r="AT1732" s="1"/>
    </row>
    <row r="1733">
      <c r="A1733" s="43"/>
      <c r="B1733" s="59"/>
      <c r="C1733" s="51"/>
      <c r="D1733" s="43"/>
      <c r="E1733" s="85"/>
      <c r="F1733" s="43"/>
      <c r="G1733" s="85"/>
      <c r="H1733" s="43"/>
      <c r="I1733" s="85"/>
      <c r="J1733" s="43"/>
      <c r="L1733" s="43"/>
      <c r="N1733" s="43"/>
      <c r="P1733" s="43"/>
      <c r="R1733" s="43"/>
      <c r="T1733" s="43"/>
      <c r="V1733" s="43"/>
      <c r="X1733" s="43"/>
      <c r="Z1733" s="43"/>
      <c r="AB1733" s="43"/>
      <c r="AD1733" s="43"/>
      <c r="AF1733" s="43"/>
      <c r="AH1733" s="43"/>
      <c r="AJ1733" s="43"/>
      <c r="AL1733" s="43"/>
      <c r="AO1733" s="43"/>
      <c r="AP1733" s="1"/>
      <c r="AQ1733" s="43"/>
      <c r="AR1733" s="123"/>
      <c r="AS1733" s="1"/>
      <c r="AT1733" s="1"/>
    </row>
    <row r="1734">
      <c r="A1734" s="43"/>
      <c r="B1734" s="59"/>
      <c r="C1734" s="51"/>
      <c r="D1734" s="43"/>
      <c r="E1734" s="85"/>
      <c r="F1734" s="43"/>
      <c r="G1734" s="85"/>
      <c r="H1734" s="43"/>
      <c r="I1734" s="85"/>
      <c r="J1734" s="43"/>
      <c r="L1734" s="43"/>
      <c r="N1734" s="43"/>
      <c r="P1734" s="43"/>
      <c r="R1734" s="43"/>
      <c r="T1734" s="43"/>
      <c r="V1734" s="43"/>
      <c r="X1734" s="43"/>
      <c r="Z1734" s="43"/>
      <c r="AB1734" s="43"/>
      <c r="AD1734" s="43"/>
      <c r="AF1734" s="43"/>
      <c r="AH1734" s="43"/>
      <c r="AJ1734" s="43"/>
      <c r="AL1734" s="43"/>
      <c r="AO1734" s="43"/>
      <c r="AP1734" s="1"/>
      <c r="AQ1734" s="43"/>
      <c r="AR1734" s="123"/>
      <c r="AS1734" s="1"/>
      <c r="AT1734" s="1"/>
    </row>
    <row r="1735">
      <c r="A1735" s="43"/>
      <c r="B1735" s="59"/>
      <c r="C1735" s="51"/>
      <c r="D1735" s="43"/>
      <c r="E1735" s="85"/>
      <c r="F1735" s="43"/>
      <c r="G1735" s="85"/>
      <c r="H1735" s="43"/>
      <c r="I1735" s="85"/>
      <c r="J1735" s="43"/>
      <c r="L1735" s="43"/>
      <c r="N1735" s="43"/>
      <c r="P1735" s="43"/>
      <c r="R1735" s="43"/>
      <c r="T1735" s="43"/>
      <c r="V1735" s="43"/>
      <c r="X1735" s="43"/>
      <c r="Z1735" s="43"/>
      <c r="AB1735" s="43"/>
      <c r="AD1735" s="43"/>
      <c r="AF1735" s="43"/>
      <c r="AH1735" s="43"/>
      <c r="AJ1735" s="43"/>
      <c r="AL1735" s="43"/>
      <c r="AO1735" s="43"/>
      <c r="AP1735" s="1"/>
      <c r="AQ1735" s="43"/>
      <c r="AR1735" s="123"/>
      <c r="AS1735" s="1"/>
      <c r="AT1735" s="1"/>
    </row>
    <row r="1736">
      <c r="A1736" s="43"/>
      <c r="B1736" s="59"/>
      <c r="C1736" s="51"/>
      <c r="D1736" s="43"/>
      <c r="E1736" s="85"/>
      <c r="F1736" s="43"/>
      <c r="G1736" s="85"/>
      <c r="H1736" s="43"/>
      <c r="I1736" s="85"/>
      <c r="J1736" s="43"/>
      <c r="L1736" s="43"/>
      <c r="N1736" s="43"/>
      <c r="P1736" s="43"/>
      <c r="R1736" s="43"/>
      <c r="T1736" s="43"/>
      <c r="V1736" s="43"/>
      <c r="X1736" s="43"/>
      <c r="Z1736" s="43"/>
      <c r="AB1736" s="43"/>
      <c r="AD1736" s="43"/>
      <c r="AF1736" s="43"/>
      <c r="AH1736" s="43"/>
      <c r="AJ1736" s="43"/>
      <c r="AL1736" s="43"/>
      <c r="AO1736" s="43"/>
      <c r="AP1736" s="1"/>
      <c r="AQ1736" s="43"/>
      <c r="AR1736" s="123"/>
      <c r="AS1736" s="1"/>
      <c r="AT1736" s="1"/>
    </row>
    <row r="1737">
      <c r="A1737" s="43"/>
      <c r="B1737" s="59"/>
      <c r="C1737" s="51"/>
      <c r="D1737" s="43"/>
      <c r="E1737" s="85"/>
      <c r="F1737" s="43"/>
      <c r="G1737" s="85"/>
      <c r="H1737" s="43"/>
      <c r="I1737" s="85"/>
      <c r="J1737" s="43"/>
      <c r="L1737" s="43"/>
      <c r="N1737" s="43"/>
      <c r="P1737" s="43"/>
      <c r="R1737" s="43"/>
      <c r="T1737" s="43"/>
      <c r="V1737" s="43"/>
      <c r="X1737" s="43"/>
      <c r="Z1737" s="43"/>
      <c r="AB1737" s="43"/>
      <c r="AD1737" s="43"/>
      <c r="AF1737" s="43"/>
      <c r="AH1737" s="43"/>
      <c r="AJ1737" s="43"/>
      <c r="AL1737" s="43"/>
      <c r="AO1737" s="43"/>
      <c r="AP1737" s="1"/>
      <c r="AQ1737" s="43"/>
      <c r="AR1737" s="123"/>
      <c r="AS1737" s="1"/>
      <c r="AT1737" s="1"/>
    </row>
    <row r="1738">
      <c r="A1738" s="43"/>
      <c r="B1738" s="59"/>
      <c r="C1738" s="51"/>
      <c r="D1738" s="43"/>
      <c r="E1738" s="85"/>
      <c r="F1738" s="43"/>
      <c r="G1738" s="85"/>
      <c r="H1738" s="43"/>
      <c r="I1738" s="85"/>
      <c r="J1738" s="43"/>
      <c r="L1738" s="43"/>
      <c r="N1738" s="43"/>
      <c r="P1738" s="43"/>
      <c r="R1738" s="43"/>
      <c r="T1738" s="43"/>
      <c r="V1738" s="43"/>
      <c r="X1738" s="43"/>
      <c r="Z1738" s="43"/>
      <c r="AB1738" s="43"/>
      <c r="AD1738" s="43"/>
      <c r="AF1738" s="43"/>
      <c r="AH1738" s="43"/>
      <c r="AJ1738" s="43"/>
      <c r="AL1738" s="43"/>
      <c r="AO1738" s="43"/>
      <c r="AP1738" s="1"/>
      <c r="AQ1738" s="43"/>
      <c r="AR1738" s="123"/>
      <c r="AS1738" s="1"/>
      <c r="AT1738" s="1"/>
    </row>
    <row r="1739">
      <c r="A1739" s="43"/>
      <c r="B1739" s="59"/>
      <c r="C1739" s="51"/>
      <c r="D1739" s="43"/>
      <c r="E1739" s="85"/>
      <c r="F1739" s="43"/>
      <c r="G1739" s="85"/>
      <c r="H1739" s="43"/>
      <c r="I1739" s="85"/>
      <c r="J1739" s="43"/>
      <c r="L1739" s="43"/>
      <c r="N1739" s="43"/>
      <c r="P1739" s="43"/>
      <c r="R1739" s="43"/>
      <c r="T1739" s="43"/>
      <c r="V1739" s="43"/>
      <c r="X1739" s="43"/>
      <c r="Z1739" s="43"/>
      <c r="AB1739" s="43"/>
      <c r="AD1739" s="43"/>
      <c r="AF1739" s="43"/>
      <c r="AH1739" s="43"/>
      <c r="AJ1739" s="43"/>
      <c r="AL1739" s="43"/>
      <c r="AO1739" s="43"/>
      <c r="AP1739" s="1"/>
      <c r="AQ1739" s="43"/>
      <c r="AR1739" s="123"/>
      <c r="AS1739" s="1"/>
      <c r="AT1739" s="1"/>
    </row>
    <row r="1740">
      <c r="A1740" s="43"/>
      <c r="B1740" s="59"/>
      <c r="C1740" s="51"/>
      <c r="D1740" s="43"/>
      <c r="E1740" s="85"/>
      <c r="F1740" s="43"/>
      <c r="G1740" s="85"/>
      <c r="H1740" s="43"/>
      <c r="I1740" s="85"/>
      <c r="J1740" s="43"/>
      <c r="L1740" s="43"/>
      <c r="N1740" s="43"/>
      <c r="P1740" s="43"/>
      <c r="R1740" s="43"/>
      <c r="T1740" s="43"/>
      <c r="V1740" s="43"/>
      <c r="X1740" s="43"/>
      <c r="Z1740" s="43"/>
      <c r="AB1740" s="43"/>
      <c r="AD1740" s="43"/>
      <c r="AF1740" s="43"/>
      <c r="AH1740" s="43"/>
      <c r="AJ1740" s="43"/>
      <c r="AL1740" s="43"/>
      <c r="AO1740" s="43"/>
      <c r="AP1740" s="1"/>
      <c r="AQ1740" s="43"/>
      <c r="AR1740" s="123"/>
      <c r="AS1740" s="1"/>
      <c r="AT1740" s="1"/>
    </row>
    <row r="1741">
      <c r="A1741" s="43"/>
      <c r="B1741" s="59"/>
      <c r="C1741" s="51"/>
      <c r="D1741" s="43"/>
      <c r="E1741" s="85"/>
      <c r="F1741" s="43"/>
      <c r="G1741" s="85"/>
      <c r="H1741" s="43"/>
      <c r="I1741" s="85"/>
      <c r="J1741" s="43"/>
      <c r="L1741" s="43"/>
      <c r="N1741" s="43"/>
      <c r="P1741" s="43"/>
      <c r="R1741" s="43"/>
      <c r="T1741" s="43"/>
      <c r="V1741" s="43"/>
      <c r="X1741" s="43"/>
      <c r="Z1741" s="43"/>
      <c r="AB1741" s="43"/>
      <c r="AD1741" s="43"/>
      <c r="AF1741" s="43"/>
      <c r="AH1741" s="43"/>
      <c r="AJ1741" s="43"/>
      <c r="AL1741" s="43"/>
      <c r="AO1741" s="43"/>
      <c r="AP1741" s="1"/>
      <c r="AQ1741" s="43"/>
      <c r="AR1741" s="123"/>
      <c r="AS1741" s="1"/>
      <c r="AT1741" s="1"/>
    </row>
    <row r="1742">
      <c r="A1742" s="43"/>
      <c r="B1742" s="59"/>
      <c r="C1742" s="51"/>
      <c r="D1742" s="43"/>
      <c r="E1742" s="85"/>
      <c r="F1742" s="43"/>
      <c r="G1742" s="85"/>
      <c r="H1742" s="43"/>
      <c r="I1742" s="85"/>
      <c r="J1742" s="43"/>
      <c r="L1742" s="43"/>
      <c r="N1742" s="43"/>
      <c r="P1742" s="43"/>
      <c r="R1742" s="43"/>
      <c r="T1742" s="43"/>
      <c r="V1742" s="43"/>
      <c r="X1742" s="43"/>
      <c r="Z1742" s="43"/>
      <c r="AB1742" s="43"/>
      <c r="AD1742" s="43"/>
      <c r="AF1742" s="43"/>
      <c r="AH1742" s="43"/>
      <c r="AJ1742" s="43"/>
      <c r="AL1742" s="43"/>
      <c r="AO1742" s="43"/>
      <c r="AP1742" s="1"/>
      <c r="AQ1742" s="43"/>
      <c r="AR1742" s="123"/>
      <c r="AS1742" s="1"/>
      <c r="AT1742" s="1"/>
    </row>
    <row r="1743">
      <c r="A1743" s="43"/>
      <c r="B1743" s="59"/>
      <c r="C1743" s="51"/>
      <c r="D1743" s="43"/>
      <c r="E1743" s="85"/>
      <c r="F1743" s="43"/>
      <c r="G1743" s="85"/>
      <c r="H1743" s="43"/>
      <c r="I1743" s="85"/>
      <c r="J1743" s="43"/>
      <c r="L1743" s="43"/>
      <c r="N1743" s="43"/>
      <c r="P1743" s="43"/>
      <c r="R1743" s="43"/>
      <c r="T1743" s="43"/>
      <c r="V1743" s="43"/>
      <c r="X1743" s="43"/>
      <c r="Z1743" s="43"/>
      <c r="AB1743" s="43"/>
      <c r="AD1743" s="43"/>
      <c r="AF1743" s="43"/>
      <c r="AH1743" s="43"/>
      <c r="AJ1743" s="43"/>
      <c r="AL1743" s="43"/>
      <c r="AO1743" s="43"/>
      <c r="AP1743" s="1"/>
      <c r="AQ1743" s="43"/>
      <c r="AR1743" s="123"/>
      <c r="AS1743" s="1"/>
      <c r="AT1743" s="1"/>
    </row>
    <row r="1744">
      <c r="A1744" s="43"/>
      <c r="B1744" s="59"/>
      <c r="C1744" s="51"/>
      <c r="D1744" s="43"/>
      <c r="E1744" s="85"/>
      <c r="F1744" s="43"/>
      <c r="G1744" s="85"/>
      <c r="H1744" s="43"/>
      <c r="I1744" s="85"/>
      <c r="J1744" s="43"/>
      <c r="L1744" s="43"/>
      <c r="N1744" s="43"/>
      <c r="P1744" s="43"/>
      <c r="R1744" s="43"/>
      <c r="T1744" s="43"/>
      <c r="V1744" s="43"/>
      <c r="X1744" s="43"/>
      <c r="Z1744" s="43"/>
      <c r="AB1744" s="43"/>
      <c r="AD1744" s="43"/>
      <c r="AF1744" s="43"/>
      <c r="AH1744" s="43"/>
      <c r="AJ1744" s="43"/>
      <c r="AL1744" s="43"/>
      <c r="AO1744" s="43"/>
      <c r="AP1744" s="1"/>
      <c r="AQ1744" s="43"/>
      <c r="AR1744" s="123"/>
      <c r="AS1744" s="1"/>
      <c r="AT1744" s="1"/>
    </row>
    <row r="1745">
      <c r="A1745" s="43"/>
      <c r="B1745" s="59"/>
      <c r="C1745" s="51"/>
      <c r="D1745" s="43"/>
      <c r="E1745" s="85"/>
      <c r="F1745" s="43"/>
      <c r="G1745" s="85"/>
      <c r="H1745" s="43"/>
      <c r="I1745" s="85"/>
      <c r="J1745" s="43"/>
      <c r="L1745" s="43"/>
      <c r="N1745" s="43"/>
      <c r="P1745" s="43"/>
      <c r="R1745" s="43"/>
      <c r="T1745" s="43"/>
      <c r="V1745" s="43"/>
      <c r="X1745" s="43"/>
      <c r="Z1745" s="43"/>
      <c r="AB1745" s="43"/>
      <c r="AD1745" s="43"/>
      <c r="AF1745" s="43"/>
      <c r="AH1745" s="43"/>
      <c r="AJ1745" s="43"/>
      <c r="AL1745" s="43"/>
      <c r="AO1745" s="43"/>
      <c r="AP1745" s="1"/>
      <c r="AQ1745" s="43"/>
      <c r="AR1745" s="123"/>
      <c r="AS1745" s="1"/>
      <c r="AT1745" s="1"/>
    </row>
    <row r="1746">
      <c r="A1746" s="43"/>
      <c r="B1746" s="59"/>
      <c r="C1746" s="51"/>
      <c r="D1746" s="43"/>
      <c r="E1746" s="85"/>
      <c r="F1746" s="43"/>
      <c r="G1746" s="85"/>
      <c r="H1746" s="43"/>
      <c r="I1746" s="85"/>
      <c r="J1746" s="43"/>
      <c r="L1746" s="43"/>
      <c r="N1746" s="43"/>
      <c r="P1746" s="43"/>
      <c r="R1746" s="43"/>
      <c r="T1746" s="43"/>
      <c r="V1746" s="43"/>
      <c r="X1746" s="43"/>
      <c r="Z1746" s="43"/>
      <c r="AB1746" s="43"/>
      <c r="AD1746" s="43"/>
      <c r="AF1746" s="43"/>
      <c r="AH1746" s="43"/>
      <c r="AJ1746" s="43"/>
      <c r="AL1746" s="43"/>
      <c r="AO1746" s="43"/>
      <c r="AP1746" s="1"/>
      <c r="AQ1746" s="43"/>
      <c r="AR1746" s="123"/>
      <c r="AS1746" s="1"/>
      <c r="AT1746" s="1"/>
    </row>
    <row r="1747">
      <c r="A1747" s="43"/>
      <c r="B1747" s="59"/>
      <c r="C1747" s="51"/>
      <c r="D1747" s="43"/>
      <c r="E1747" s="85"/>
      <c r="F1747" s="43"/>
      <c r="G1747" s="85"/>
      <c r="H1747" s="43"/>
      <c r="I1747" s="85"/>
      <c r="J1747" s="43"/>
      <c r="L1747" s="43"/>
      <c r="N1747" s="43"/>
      <c r="P1747" s="43"/>
      <c r="R1747" s="43"/>
      <c r="T1747" s="43"/>
      <c r="V1747" s="43"/>
      <c r="X1747" s="43"/>
      <c r="Z1747" s="43"/>
      <c r="AB1747" s="43"/>
      <c r="AD1747" s="43"/>
      <c r="AF1747" s="43"/>
      <c r="AH1747" s="43"/>
      <c r="AJ1747" s="43"/>
      <c r="AL1747" s="43"/>
      <c r="AO1747" s="43"/>
      <c r="AP1747" s="1"/>
      <c r="AQ1747" s="43"/>
      <c r="AR1747" s="123"/>
      <c r="AS1747" s="1"/>
      <c r="AT1747" s="1"/>
    </row>
    <row r="1748">
      <c r="A1748" s="43"/>
      <c r="B1748" s="59"/>
      <c r="C1748" s="51"/>
      <c r="D1748" s="43"/>
      <c r="E1748" s="85"/>
      <c r="F1748" s="43"/>
      <c r="G1748" s="85"/>
      <c r="H1748" s="43"/>
      <c r="I1748" s="85"/>
      <c r="J1748" s="43"/>
      <c r="L1748" s="43"/>
      <c r="N1748" s="43"/>
      <c r="P1748" s="43"/>
      <c r="R1748" s="43"/>
      <c r="T1748" s="43"/>
      <c r="V1748" s="43"/>
      <c r="X1748" s="43"/>
      <c r="Z1748" s="43"/>
      <c r="AB1748" s="43"/>
      <c r="AD1748" s="43"/>
      <c r="AF1748" s="43"/>
      <c r="AH1748" s="43"/>
      <c r="AJ1748" s="43"/>
      <c r="AL1748" s="43"/>
      <c r="AO1748" s="43"/>
      <c r="AP1748" s="1"/>
      <c r="AQ1748" s="43"/>
      <c r="AR1748" s="123"/>
      <c r="AS1748" s="1"/>
      <c r="AT1748" s="1"/>
    </row>
    <row r="1749">
      <c r="A1749" s="43"/>
      <c r="B1749" s="59"/>
      <c r="C1749" s="51"/>
      <c r="D1749" s="43"/>
      <c r="E1749" s="85"/>
      <c r="F1749" s="43"/>
      <c r="G1749" s="85"/>
      <c r="H1749" s="43"/>
      <c r="I1749" s="85"/>
      <c r="J1749" s="43"/>
      <c r="L1749" s="43"/>
      <c r="N1749" s="43"/>
      <c r="P1749" s="43"/>
      <c r="R1749" s="43"/>
      <c r="T1749" s="43"/>
      <c r="V1749" s="43"/>
      <c r="X1749" s="43"/>
      <c r="Z1749" s="43"/>
      <c r="AB1749" s="43"/>
      <c r="AD1749" s="43"/>
      <c r="AF1749" s="43"/>
      <c r="AH1749" s="43"/>
      <c r="AJ1749" s="43"/>
      <c r="AL1749" s="43"/>
      <c r="AO1749" s="43"/>
      <c r="AP1749" s="1"/>
      <c r="AQ1749" s="43"/>
      <c r="AR1749" s="123"/>
      <c r="AS1749" s="1"/>
      <c r="AT1749" s="1"/>
    </row>
    <row r="1750">
      <c r="A1750" s="43"/>
      <c r="B1750" s="59"/>
      <c r="C1750" s="51"/>
      <c r="D1750" s="43"/>
      <c r="E1750" s="85"/>
      <c r="F1750" s="43"/>
      <c r="G1750" s="85"/>
      <c r="H1750" s="43"/>
      <c r="I1750" s="85"/>
      <c r="J1750" s="43"/>
      <c r="L1750" s="43"/>
      <c r="N1750" s="43"/>
      <c r="P1750" s="43"/>
      <c r="R1750" s="43"/>
      <c r="T1750" s="43"/>
      <c r="V1750" s="43"/>
      <c r="X1750" s="43"/>
      <c r="Z1750" s="43"/>
      <c r="AB1750" s="43"/>
      <c r="AD1750" s="43"/>
      <c r="AF1750" s="43"/>
      <c r="AH1750" s="43"/>
      <c r="AJ1750" s="43"/>
      <c r="AL1750" s="43"/>
      <c r="AO1750" s="43"/>
      <c r="AP1750" s="1"/>
      <c r="AQ1750" s="43"/>
      <c r="AR1750" s="123"/>
      <c r="AS1750" s="1"/>
      <c r="AT1750" s="1"/>
    </row>
    <row r="1751">
      <c r="A1751" s="43"/>
      <c r="B1751" s="59"/>
      <c r="C1751" s="51"/>
      <c r="D1751" s="43"/>
      <c r="E1751" s="85"/>
      <c r="F1751" s="43"/>
      <c r="G1751" s="85"/>
      <c r="H1751" s="43"/>
      <c r="I1751" s="85"/>
      <c r="J1751" s="43"/>
      <c r="L1751" s="43"/>
      <c r="N1751" s="43"/>
      <c r="P1751" s="43"/>
      <c r="R1751" s="43"/>
      <c r="T1751" s="43"/>
      <c r="V1751" s="43"/>
      <c r="X1751" s="43"/>
      <c r="Z1751" s="43"/>
      <c r="AB1751" s="43"/>
      <c r="AD1751" s="43"/>
      <c r="AF1751" s="43"/>
      <c r="AH1751" s="43"/>
      <c r="AJ1751" s="43"/>
      <c r="AL1751" s="43"/>
      <c r="AO1751" s="43"/>
      <c r="AP1751" s="1"/>
      <c r="AQ1751" s="43"/>
      <c r="AR1751" s="123"/>
      <c r="AS1751" s="1"/>
      <c r="AT1751" s="1"/>
    </row>
    <row r="1752">
      <c r="A1752" s="43"/>
      <c r="B1752" s="59"/>
      <c r="C1752" s="51"/>
      <c r="D1752" s="43"/>
      <c r="E1752" s="85"/>
      <c r="F1752" s="43"/>
      <c r="G1752" s="85"/>
      <c r="H1752" s="43"/>
      <c r="I1752" s="85"/>
      <c r="J1752" s="43"/>
      <c r="L1752" s="43"/>
      <c r="N1752" s="43"/>
      <c r="P1752" s="43"/>
      <c r="R1752" s="43"/>
      <c r="T1752" s="43"/>
      <c r="V1752" s="43"/>
      <c r="X1752" s="43"/>
      <c r="Z1752" s="43"/>
      <c r="AB1752" s="43"/>
      <c r="AD1752" s="43"/>
      <c r="AF1752" s="43"/>
      <c r="AH1752" s="43"/>
      <c r="AJ1752" s="43"/>
      <c r="AL1752" s="43"/>
      <c r="AO1752" s="43"/>
      <c r="AP1752" s="1"/>
      <c r="AQ1752" s="43"/>
      <c r="AR1752" s="123"/>
      <c r="AS1752" s="1"/>
      <c r="AT1752" s="1"/>
    </row>
    <row r="1753">
      <c r="A1753" s="43"/>
      <c r="B1753" s="59"/>
      <c r="C1753" s="51"/>
      <c r="D1753" s="43"/>
      <c r="E1753" s="85"/>
      <c r="F1753" s="43"/>
      <c r="G1753" s="85"/>
      <c r="H1753" s="43"/>
      <c r="I1753" s="85"/>
      <c r="J1753" s="43"/>
      <c r="L1753" s="43"/>
      <c r="N1753" s="43"/>
      <c r="P1753" s="43"/>
      <c r="R1753" s="43"/>
      <c r="T1753" s="43"/>
      <c r="V1753" s="43"/>
      <c r="X1753" s="43"/>
      <c r="Z1753" s="43"/>
      <c r="AB1753" s="43"/>
      <c r="AD1753" s="43"/>
      <c r="AF1753" s="43"/>
      <c r="AH1753" s="43"/>
      <c r="AJ1753" s="43"/>
      <c r="AL1753" s="43"/>
      <c r="AO1753" s="43"/>
      <c r="AP1753" s="1"/>
      <c r="AQ1753" s="43"/>
      <c r="AR1753" s="123"/>
      <c r="AS1753" s="1"/>
      <c r="AT1753" s="1"/>
    </row>
    <row r="1754">
      <c r="A1754" s="43"/>
      <c r="B1754" s="59"/>
      <c r="C1754" s="51"/>
      <c r="D1754" s="43"/>
      <c r="E1754" s="85"/>
      <c r="F1754" s="43"/>
      <c r="G1754" s="85"/>
      <c r="H1754" s="43"/>
      <c r="I1754" s="85"/>
      <c r="J1754" s="43"/>
      <c r="L1754" s="43"/>
      <c r="N1754" s="43"/>
      <c r="P1754" s="43"/>
      <c r="R1754" s="43"/>
      <c r="T1754" s="43"/>
      <c r="V1754" s="43"/>
      <c r="X1754" s="43"/>
      <c r="Z1754" s="43"/>
      <c r="AB1754" s="43"/>
      <c r="AD1754" s="43"/>
      <c r="AF1754" s="43"/>
      <c r="AH1754" s="43"/>
      <c r="AJ1754" s="43"/>
      <c r="AL1754" s="43"/>
      <c r="AO1754" s="43"/>
      <c r="AP1754" s="1"/>
      <c r="AQ1754" s="43"/>
      <c r="AR1754" s="123"/>
      <c r="AS1754" s="1"/>
      <c r="AT1754" s="1"/>
    </row>
    <row r="1755">
      <c r="A1755" s="43"/>
      <c r="B1755" s="59"/>
      <c r="C1755" s="51"/>
      <c r="D1755" s="43"/>
      <c r="E1755" s="85"/>
      <c r="F1755" s="43"/>
      <c r="G1755" s="85"/>
      <c r="H1755" s="43"/>
      <c r="I1755" s="85"/>
      <c r="J1755" s="43"/>
      <c r="L1755" s="43"/>
      <c r="N1755" s="43"/>
      <c r="P1755" s="43"/>
      <c r="R1755" s="43"/>
      <c r="T1755" s="43"/>
      <c r="V1755" s="43"/>
      <c r="X1755" s="43"/>
      <c r="Z1755" s="43"/>
      <c r="AB1755" s="43"/>
      <c r="AD1755" s="43"/>
      <c r="AF1755" s="43"/>
      <c r="AH1755" s="43"/>
      <c r="AJ1755" s="43"/>
      <c r="AL1755" s="43"/>
      <c r="AO1755" s="43"/>
      <c r="AP1755" s="1"/>
      <c r="AQ1755" s="43"/>
      <c r="AR1755" s="123"/>
      <c r="AS1755" s="1"/>
      <c r="AT1755" s="1"/>
    </row>
    <row r="1756">
      <c r="A1756" s="43"/>
      <c r="B1756" s="59"/>
      <c r="C1756" s="51"/>
      <c r="D1756" s="43"/>
      <c r="E1756" s="85"/>
      <c r="F1756" s="43"/>
      <c r="G1756" s="85"/>
      <c r="H1756" s="43"/>
      <c r="I1756" s="85"/>
      <c r="J1756" s="43"/>
      <c r="L1756" s="43"/>
      <c r="N1756" s="43"/>
      <c r="P1756" s="43"/>
      <c r="R1756" s="43"/>
      <c r="T1756" s="43"/>
      <c r="V1756" s="43"/>
      <c r="X1756" s="43"/>
      <c r="Z1756" s="43"/>
      <c r="AB1756" s="43"/>
      <c r="AD1756" s="43"/>
      <c r="AF1756" s="43"/>
      <c r="AH1756" s="43"/>
      <c r="AJ1756" s="43"/>
      <c r="AL1756" s="43"/>
      <c r="AO1756" s="43"/>
      <c r="AP1756" s="1"/>
      <c r="AQ1756" s="43"/>
      <c r="AR1756" s="123"/>
      <c r="AS1756" s="1"/>
      <c r="AT1756" s="1"/>
    </row>
    <row r="1757">
      <c r="A1757" s="43"/>
      <c r="B1757" s="59"/>
      <c r="C1757" s="51"/>
      <c r="D1757" s="43"/>
      <c r="E1757" s="85"/>
      <c r="F1757" s="43"/>
      <c r="G1757" s="85"/>
      <c r="H1757" s="43"/>
      <c r="I1757" s="85"/>
      <c r="J1757" s="43"/>
      <c r="L1757" s="43"/>
      <c r="N1757" s="43"/>
      <c r="P1757" s="43"/>
      <c r="R1757" s="43"/>
      <c r="T1757" s="43"/>
      <c r="V1757" s="43"/>
      <c r="X1757" s="43"/>
      <c r="Z1757" s="43"/>
      <c r="AB1757" s="43"/>
      <c r="AD1757" s="43"/>
      <c r="AF1757" s="43"/>
      <c r="AH1757" s="43"/>
      <c r="AJ1757" s="43"/>
      <c r="AL1757" s="43"/>
      <c r="AO1757" s="43"/>
      <c r="AP1757" s="1"/>
      <c r="AQ1757" s="43"/>
      <c r="AR1757" s="123"/>
      <c r="AS1757" s="1"/>
      <c r="AT1757" s="1"/>
    </row>
    <row r="1758">
      <c r="A1758" s="43"/>
      <c r="B1758" s="59"/>
      <c r="C1758" s="51"/>
      <c r="D1758" s="43"/>
      <c r="E1758" s="85"/>
      <c r="F1758" s="43"/>
      <c r="G1758" s="85"/>
      <c r="H1758" s="43"/>
      <c r="I1758" s="85"/>
      <c r="J1758" s="43"/>
      <c r="L1758" s="43"/>
      <c r="N1758" s="43"/>
      <c r="P1758" s="43"/>
      <c r="R1758" s="43"/>
      <c r="T1758" s="43"/>
      <c r="V1758" s="43"/>
      <c r="X1758" s="43"/>
      <c r="Z1758" s="43"/>
      <c r="AB1758" s="43"/>
      <c r="AD1758" s="43"/>
      <c r="AF1758" s="43"/>
      <c r="AH1758" s="43"/>
      <c r="AJ1758" s="43"/>
      <c r="AL1758" s="43"/>
      <c r="AO1758" s="43"/>
      <c r="AP1758" s="1"/>
      <c r="AQ1758" s="43"/>
      <c r="AR1758" s="123"/>
      <c r="AS1758" s="1"/>
      <c r="AT1758" s="1"/>
    </row>
    <row r="1759">
      <c r="A1759" s="43"/>
      <c r="B1759" s="59"/>
      <c r="C1759" s="51"/>
      <c r="D1759" s="43"/>
      <c r="E1759" s="85"/>
      <c r="F1759" s="43"/>
      <c r="G1759" s="85"/>
      <c r="H1759" s="43"/>
      <c r="I1759" s="85"/>
      <c r="J1759" s="43"/>
      <c r="L1759" s="43"/>
      <c r="N1759" s="43"/>
      <c r="P1759" s="43"/>
      <c r="R1759" s="43"/>
      <c r="T1759" s="43"/>
      <c r="V1759" s="43"/>
      <c r="X1759" s="43"/>
      <c r="Z1759" s="43"/>
      <c r="AB1759" s="43"/>
      <c r="AD1759" s="43"/>
      <c r="AF1759" s="43"/>
      <c r="AH1759" s="43"/>
      <c r="AJ1759" s="43"/>
      <c r="AL1759" s="43"/>
      <c r="AO1759" s="43"/>
      <c r="AP1759" s="1"/>
      <c r="AQ1759" s="43"/>
      <c r="AR1759" s="123"/>
      <c r="AS1759" s="1"/>
      <c r="AT1759" s="1"/>
    </row>
    <row r="1760">
      <c r="A1760" s="43"/>
      <c r="B1760" s="59"/>
      <c r="C1760" s="51"/>
      <c r="D1760" s="43"/>
      <c r="E1760" s="85"/>
      <c r="F1760" s="43"/>
      <c r="G1760" s="85"/>
      <c r="H1760" s="43"/>
      <c r="I1760" s="85"/>
      <c r="J1760" s="43"/>
      <c r="L1760" s="43"/>
      <c r="N1760" s="43"/>
      <c r="P1760" s="43"/>
      <c r="R1760" s="43"/>
      <c r="T1760" s="43"/>
      <c r="V1760" s="43"/>
      <c r="X1760" s="43"/>
      <c r="Z1760" s="43"/>
      <c r="AB1760" s="43"/>
      <c r="AD1760" s="43"/>
      <c r="AF1760" s="43"/>
      <c r="AH1760" s="43"/>
      <c r="AJ1760" s="43"/>
      <c r="AL1760" s="43"/>
      <c r="AO1760" s="43"/>
      <c r="AP1760" s="1"/>
      <c r="AQ1760" s="43"/>
      <c r="AR1760" s="123"/>
      <c r="AS1760" s="1"/>
      <c r="AT1760" s="1"/>
    </row>
    <row r="1761">
      <c r="A1761" s="43"/>
      <c r="B1761" s="59"/>
      <c r="C1761" s="51"/>
      <c r="D1761" s="43"/>
      <c r="E1761" s="85"/>
      <c r="F1761" s="43"/>
      <c r="G1761" s="85"/>
      <c r="H1761" s="43"/>
      <c r="I1761" s="85"/>
      <c r="J1761" s="43"/>
      <c r="L1761" s="43"/>
      <c r="N1761" s="43"/>
      <c r="P1761" s="43"/>
      <c r="R1761" s="43"/>
      <c r="T1761" s="43"/>
      <c r="V1761" s="43"/>
      <c r="X1761" s="43"/>
      <c r="Z1761" s="43"/>
      <c r="AB1761" s="43"/>
      <c r="AD1761" s="43"/>
      <c r="AF1761" s="43"/>
      <c r="AH1761" s="43"/>
      <c r="AJ1761" s="43"/>
      <c r="AL1761" s="43"/>
      <c r="AO1761" s="43"/>
      <c r="AP1761" s="1"/>
      <c r="AQ1761" s="43"/>
      <c r="AR1761" s="123"/>
      <c r="AS1761" s="1"/>
      <c r="AT1761" s="1"/>
    </row>
    <row r="1762">
      <c r="A1762" s="43"/>
      <c r="B1762" s="59"/>
      <c r="C1762" s="51"/>
      <c r="D1762" s="43"/>
      <c r="E1762" s="85"/>
      <c r="F1762" s="43"/>
      <c r="G1762" s="85"/>
      <c r="H1762" s="43"/>
      <c r="I1762" s="85"/>
      <c r="J1762" s="43"/>
      <c r="L1762" s="43"/>
      <c r="N1762" s="43"/>
      <c r="P1762" s="43"/>
      <c r="R1762" s="43"/>
      <c r="T1762" s="43"/>
      <c r="V1762" s="43"/>
      <c r="X1762" s="43"/>
      <c r="Z1762" s="43"/>
      <c r="AB1762" s="43"/>
      <c r="AD1762" s="43"/>
      <c r="AF1762" s="43"/>
      <c r="AH1762" s="43"/>
      <c r="AJ1762" s="43"/>
      <c r="AL1762" s="43"/>
      <c r="AO1762" s="43"/>
      <c r="AP1762" s="1"/>
      <c r="AQ1762" s="43"/>
      <c r="AR1762" s="123"/>
      <c r="AS1762" s="1"/>
      <c r="AT1762" s="1"/>
    </row>
    <row r="1763">
      <c r="A1763" s="43"/>
      <c r="B1763" s="59"/>
      <c r="C1763" s="51"/>
      <c r="D1763" s="43"/>
      <c r="E1763" s="85"/>
      <c r="F1763" s="43"/>
      <c r="G1763" s="85"/>
      <c r="H1763" s="43"/>
      <c r="I1763" s="85"/>
      <c r="J1763" s="43"/>
      <c r="L1763" s="43"/>
      <c r="N1763" s="43"/>
      <c r="P1763" s="43"/>
      <c r="R1763" s="43"/>
      <c r="T1763" s="43"/>
      <c r="V1763" s="43"/>
      <c r="X1763" s="43"/>
      <c r="Z1763" s="43"/>
      <c r="AB1763" s="43"/>
      <c r="AD1763" s="43"/>
      <c r="AF1763" s="43"/>
      <c r="AH1763" s="43"/>
      <c r="AJ1763" s="43"/>
      <c r="AL1763" s="43"/>
      <c r="AO1763" s="43"/>
      <c r="AP1763" s="1"/>
      <c r="AQ1763" s="43"/>
      <c r="AR1763" s="123"/>
      <c r="AS1763" s="1"/>
      <c r="AT1763" s="1"/>
    </row>
    <row r="1764">
      <c r="A1764" s="43"/>
      <c r="B1764" s="59"/>
      <c r="C1764" s="51"/>
      <c r="D1764" s="43"/>
      <c r="E1764" s="85"/>
      <c r="F1764" s="43"/>
      <c r="G1764" s="85"/>
      <c r="H1764" s="43"/>
      <c r="I1764" s="85"/>
      <c r="J1764" s="43"/>
      <c r="L1764" s="43"/>
      <c r="N1764" s="43"/>
      <c r="P1764" s="43"/>
      <c r="R1764" s="43"/>
      <c r="T1764" s="43"/>
      <c r="V1764" s="43"/>
      <c r="X1764" s="43"/>
      <c r="Z1764" s="43"/>
      <c r="AB1764" s="43"/>
      <c r="AD1764" s="43"/>
      <c r="AF1764" s="43"/>
      <c r="AH1764" s="43"/>
      <c r="AJ1764" s="43"/>
      <c r="AL1764" s="43"/>
      <c r="AO1764" s="43"/>
      <c r="AP1764" s="1"/>
      <c r="AQ1764" s="43"/>
      <c r="AR1764" s="123"/>
      <c r="AS1764" s="1"/>
      <c r="AT1764" s="1"/>
    </row>
    <row r="1765">
      <c r="A1765" s="43"/>
      <c r="B1765" s="59"/>
      <c r="C1765" s="51"/>
      <c r="D1765" s="43"/>
      <c r="E1765" s="85"/>
      <c r="F1765" s="43"/>
      <c r="G1765" s="85"/>
      <c r="H1765" s="43"/>
      <c r="I1765" s="85"/>
      <c r="J1765" s="43"/>
      <c r="L1765" s="43"/>
      <c r="N1765" s="43"/>
      <c r="P1765" s="43"/>
      <c r="R1765" s="43"/>
      <c r="T1765" s="43"/>
      <c r="V1765" s="43"/>
      <c r="X1765" s="43"/>
      <c r="Z1765" s="43"/>
      <c r="AB1765" s="43"/>
      <c r="AD1765" s="43"/>
      <c r="AF1765" s="43"/>
      <c r="AH1765" s="43"/>
      <c r="AJ1765" s="43"/>
      <c r="AL1765" s="43"/>
      <c r="AO1765" s="43"/>
      <c r="AP1765" s="1"/>
      <c r="AQ1765" s="43"/>
      <c r="AR1765" s="123"/>
      <c r="AS1765" s="1"/>
      <c r="AT1765" s="1"/>
    </row>
    <row r="1766">
      <c r="A1766" s="43"/>
      <c r="B1766" s="59"/>
      <c r="C1766" s="51"/>
      <c r="D1766" s="43"/>
      <c r="E1766" s="85"/>
      <c r="F1766" s="43"/>
      <c r="G1766" s="85"/>
      <c r="H1766" s="43"/>
      <c r="I1766" s="85"/>
      <c r="J1766" s="43"/>
      <c r="L1766" s="43"/>
      <c r="N1766" s="43"/>
      <c r="P1766" s="43"/>
      <c r="R1766" s="43"/>
      <c r="T1766" s="43"/>
      <c r="V1766" s="43"/>
      <c r="X1766" s="43"/>
      <c r="Z1766" s="43"/>
      <c r="AB1766" s="43"/>
      <c r="AD1766" s="43"/>
      <c r="AF1766" s="43"/>
      <c r="AH1766" s="43"/>
      <c r="AJ1766" s="43"/>
      <c r="AL1766" s="43"/>
      <c r="AO1766" s="43"/>
      <c r="AP1766" s="1"/>
      <c r="AQ1766" s="43"/>
      <c r="AR1766" s="123"/>
      <c r="AS1766" s="1"/>
      <c r="AT1766" s="1"/>
    </row>
    <row r="1767">
      <c r="A1767" s="43"/>
      <c r="B1767" s="59"/>
      <c r="C1767" s="51"/>
      <c r="D1767" s="43"/>
      <c r="E1767" s="85"/>
      <c r="F1767" s="43"/>
      <c r="G1767" s="85"/>
      <c r="H1767" s="43"/>
      <c r="I1767" s="85"/>
      <c r="J1767" s="43"/>
      <c r="L1767" s="43"/>
      <c r="N1767" s="43"/>
      <c r="P1767" s="43"/>
      <c r="R1767" s="43"/>
      <c r="T1767" s="43"/>
      <c r="V1767" s="43"/>
      <c r="X1767" s="43"/>
      <c r="Z1767" s="43"/>
      <c r="AB1767" s="43"/>
      <c r="AD1767" s="43"/>
      <c r="AF1767" s="43"/>
      <c r="AH1767" s="43"/>
      <c r="AJ1767" s="43"/>
      <c r="AL1767" s="43"/>
      <c r="AO1767" s="43"/>
      <c r="AP1767" s="1"/>
      <c r="AQ1767" s="43"/>
      <c r="AR1767" s="123"/>
      <c r="AS1767" s="1"/>
      <c r="AT1767" s="1"/>
    </row>
    <row r="1768">
      <c r="A1768" s="43"/>
      <c r="B1768" s="59"/>
      <c r="C1768" s="51"/>
      <c r="D1768" s="43"/>
      <c r="E1768" s="85"/>
      <c r="F1768" s="43"/>
      <c r="G1768" s="85"/>
      <c r="H1768" s="43"/>
      <c r="I1768" s="85"/>
      <c r="J1768" s="43"/>
      <c r="L1768" s="43"/>
      <c r="N1768" s="43"/>
      <c r="P1768" s="43"/>
      <c r="R1768" s="43"/>
      <c r="T1768" s="43"/>
      <c r="V1768" s="43"/>
      <c r="X1768" s="43"/>
      <c r="Z1768" s="43"/>
      <c r="AB1768" s="43"/>
      <c r="AD1768" s="43"/>
      <c r="AF1768" s="43"/>
      <c r="AH1768" s="43"/>
      <c r="AJ1768" s="43"/>
      <c r="AL1768" s="43"/>
      <c r="AO1768" s="43"/>
      <c r="AP1768" s="1"/>
      <c r="AQ1768" s="43"/>
      <c r="AR1768" s="123"/>
      <c r="AS1768" s="1"/>
      <c r="AT1768" s="1"/>
    </row>
    <row r="1769">
      <c r="A1769" s="43"/>
      <c r="B1769" s="59"/>
      <c r="C1769" s="51"/>
      <c r="D1769" s="43"/>
      <c r="E1769" s="85"/>
      <c r="F1769" s="43"/>
      <c r="G1769" s="85"/>
      <c r="H1769" s="43"/>
      <c r="I1769" s="85"/>
      <c r="J1769" s="43"/>
      <c r="L1769" s="43"/>
      <c r="N1769" s="43"/>
      <c r="P1769" s="43"/>
      <c r="R1769" s="43"/>
      <c r="T1769" s="43"/>
      <c r="V1769" s="43"/>
      <c r="X1769" s="43"/>
      <c r="Z1769" s="43"/>
      <c r="AB1769" s="43"/>
      <c r="AD1769" s="43"/>
      <c r="AF1769" s="43"/>
      <c r="AH1769" s="43"/>
      <c r="AJ1769" s="43"/>
      <c r="AL1769" s="43"/>
      <c r="AO1769" s="43"/>
      <c r="AP1769" s="1"/>
      <c r="AQ1769" s="43"/>
      <c r="AR1769" s="123"/>
      <c r="AS1769" s="1"/>
      <c r="AT1769" s="1"/>
    </row>
    <row r="1770">
      <c r="A1770" s="43"/>
      <c r="B1770" s="59"/>
      <c r="C1770" s="51"/>
      <c r="D1770" s="43"/>
      <c r="E1770" s="85"/>
      <c r="F1770" s="43"/>
      <c r="G1770" s="85"/>
      <c r="H1770" s="43"/>
      <c r="I1770" s="85"/>
      <c r="J1770" s="43"/>
      <c r="L1770" s="43"/>
      <c r="N1770" s="43"/>
      <c r="P1770" s="43"/>
      <c r="R1770" s="43"/>
      <c r="T1770" s="43"/>
      <c r="V1770" s="43"/>
      <c r="X1770" s="43"/>
      <c r="Z1770" s="43"/>
      <c r="AB1770" s="43"/>
      <c r="AD1770" s="43"/>
      <c r="AF1770" s="43"/>
      <c r="AH1770" s="43"/>
      <c r="AJ1770" s="43"/>
      <c r="AL1770" s="43"/>
      <c r="AO1770" s="43"/>
      <c r="AP1770" s="1"/>
      <c r="AQ1770" s="43"/>
      <c r="AR1770" s="123"/>
      <c r="AS1770" s="1"/>
      <c r="AT1770" s="1"/>
    </row>
    <row r="1771">
      <c r="A1771" s="43"/>
      <c r="B1771" s="59"/>
      <c r="C1771" s="51"/>
      <c r="D1771" s="43"/>
      <c r="E1771" s="85"/>
      <c r="F1771" s="43"/>
      <c r="G1771" s="85"/>
      <c r="H1771" s="43"/>
      <c r="I1771" s="85"/>
      <c r="J1771" s="43"/>
      <c r="L1771" s="43"/>
      <c r="N1771" s="43"/>
      <c r="P1771" s="43"/>
      <c r="R1771" s="43"/>
      <c r="T1771" s="43"/>
      <c r="V1771" s="43"/>
      <c r="X1771" s="43"/>
      <c r="Z1771" s="43"/>
      <c r="AB1771" s="43"/>
      <c r="AD1771" s="43"/>
      <c r="AF1771" s="43"/>
      <c r="AH1771" s="43"/>
      <c r="AJ1771" s="43"/>
      <c r="AL1771" s="43"/>
      <c r="AO1771" s="43"/>
      <c r="AP1771" s="1"/>
      <c r="AQ1771" s="43"/>
      <c r="AR1771" s="123"/>
      <c r="AS1771" s="1"/>
      <c r="AT1771" s="1"/>
    </row>
    <row r="1772">
      <c r="A1772" s="43"/>
      <c r="B1772" s="59"/>
      <c r="C1772" s="51"/>
      <c r="D1772" s="43"/>
      <c r="E1772" s="85"/>
      <c r="F1772" s="43"/>
      <c r="G1772" s="85"/>
      <c r="H1772" s="43"/>
      <c r="I1772" s="85"/>
      <c r="J1772" s="43"/>
      <c r="L1772" s="43"/>
      <c r="N1772" s="43"/>
      <c r="P1772" s="43"/>
      <c r="R1772" s="43"/>
      <c r="T1772" s="43"/>
      <c r="V1772" s="43"/>
      <c r="X1772" s="43"/>
      <c r="Z1772" s="43"/>
      <c r="AB1772" s="43"/>
      <c r="AD1772" s="43"/>
      <c r="AF1772" s="43"/>
      <c r="AH1772" s="43"/>
      <c r="AJ1772" s="43"/>
      <c r="AL1772" s="43"/>
      <c r="AO1772" s="43"/>
      <c r="AP1772" s="1"/>
      <c r="AQ1772" s="43"/>
      <c r="AR1772" s="123"/>
      <c r="AS1772" s="1"/>
      <c r="AT1772" s="1"/>
    </row>
    <row r="1773">
      <c r="A1773" s="43"/>
      <c r="B1773" s="59"/>
      <c r="C1773" s="51"/>
      <c r="D1773" s="43"/>
      <c r="E1773" s="85"/>
      <c r="F1773" s="43"/>
      <c r="G1773" s="85"/>
      <c r="H1773" s="43"/>
      <c r="I1773" s="85"/>
      <c r="J1773" s="43"/>
      <c r="L1773" s="43"/>
      <c r="N1773" s="43"/>
      <c r="P1773" s="43"/>
      <c r="R1773" s="43"/>
      <c r="T1773" s="43"/>
      <c r="V1773" s="43"/>
      <c r="X1773" s="43"/>
      <c r="Z1773" s="43"/>
      <c r="AB1773" s="43"/>
      <c r="AD1773" s="43"/>
      <c r="AF1773" s="43"/>
      <c r="AH1773" s="43"/>
      <c r="AJ1773" s="43"/>
      <c r="AL1773" s="43"/>
      <c r="AO1773" s="43"/>
      <c r="AP1773" s="1"/>
      <c r="AQ1773" s="43"/>
      <c r="AR1773" s="123"/>
      <c r="AS1773" s="1"/>
      <c r="AT1773" s="1"/>
    </row>
    <row r="1774">
      <c r="A1774" s="43"/>
      <c r="B1774" s="59"/>
      <c r="C1774" s="51"/>
      <c r="D1774" s="43"/>
      <c r="E1774" s="85"/>
      <c r="F1774" s="43"/>
      <c r="G1774" s="85"/>
      <c r="H1774" s="43"/>
      <c r="I1774" s="85"/>
      <c r="J1774" s="43"/>
      <c r="L1774" s="43"/>
      <c r="N1774" s="43"/>
      <c r="P1774" s="43"/>
      <c r="R1774" s="43"/>
      <c r="T1774" s="43"/>
      <c r="V1774" s="43"/>
      <c r="X1774" s="43"/>
      <c r="Z1774" s="43"/>
      <c r="AB1774" s="43"/>
      <c r="AD1774" s="43"/>
      <c r="AF1774" s="43"/>
      <c r="AH1774" s="43"/>
      <c r="AJ1774" s="43"/>
      <c r="AL1774" s="43"/>
      <c r="AO1774" s="43"/>
      <c r="AP1774" s="1"/>
      <c r="AQ1774" s="43"/>
      <c r="AR1774" s="123"/>
      <c r="AS1774" s="1"/>
      <c r="AT1774" s="1"/>
    </row>
    <row r="1775">
      <c r="A1775" s="43"/>
      <c r="B1775" s="59"/>
      <c r="C1775" s="51"/>
      <c r="D1775" s="43"/>
      <c r="E1775" s="85"/>
      <c r="F1775" s="43"/>
      <c r="G1775" s="85"/>
      <c r="H1775" s="43"/>
      <c r="I1775" s="85"/>
      <c r="J1775" s="43"/>
      <c r="L1775" s="43"/>
      <c r="N1775" s="43"/>
      <c r="P1775" s="43"/>
      <c r="R1775" s="43"/>
      <c r="T1775" s="43"/>
      <c r="V1775" s="43"/>
      <c r="X1775" s="43"/>
      <c r="Z1775" s="43"/>
      <c r="AB1775" s="43"/>
      <c r="AD1775" s="43"/>
      <c r="AF1775" s="43"/>
      <c r="AH1775" s="43"/>
      <c r="AJ1775" s="43"/>
      <c r="AL1775" s="43"/>
      <c r="AO1775" s="43"/>
      <c r="AP1775" s="1"/>
      <c r="AQ1775" s="43"/>
      <c r="AR1775" s="123"/>
      <c r="AS1775" s="1"/>
      <c r="AT1775" s="1"/>
    </row>
    <row r="1776">
      <c r="A1776" s="43"/>
      <c r="B1776" s="59"/>
      <c r="C1776" s="51"/>
      <c r="D1776" s="43"/>
      <c r="E1776" s="85"/>
      <c r="F1776" s="43"/>
      <c r="G1776" s="85"/>
      <c r="H1776" s="43"/>
      <c r="I1776" s="85"/>
      <c r="J1776" s="43"/>
      <c r="L1776" s="43"/>
      <c r="N1776" s="43"/>
      <c r="P1776" s="43"/>
      <c r="R1776" s="43"/>
      <c r="T1776" s="43"/>
      <c r="V1776" s="43"/>
      <c r="X1776" s="43"/>
      <c r="Z1776" s="43"/>
      <c r="AB1776" s="43"/>
      <c r="AD1776" s="43"/>
      <c r="AF1776" s="43"/>
      <c r="AH1776" s="43"/>
      <c r="AJ1776" s="43"/>
      <c r="AL1776" s="43"/>
      <c r="AO1776" s="43"/>
      <c r="AP1776" s="1"/>
      <c r="AQ1776" s="43"/>
      <c r="AR1776" s="123"/>
      <c r="AS1776" s="1"/>
      <c r="AT1776" s="1"/>
    </row>
    <row r="1777">
      <c r="A1777" s="43"/>
      <c r="B1777" s="59"/>
      <c r="C1777" s="51"/>
      <c r="D1777" s="43"/>
      <c r="E1777" s="85"/>
      <c r="F1777" s="43"/>
      <c r="G1777" s="85"/>
      <c r="H1777" s="43"/>
      <c r="I1777" s="85"/>
      <c r="J1777" s="43"/>
      <c r="L1777" s="43"/>
      <c r="N1777" s="43"/>
      <c r="P1777" s="43"/>
      <c r="R1777" s="43"/>
      <c r="T1777" s="43"/>
      <c r="V1777" s="43"/>
      <c r="X1777" s="43"/>
      <c r="Z1777" s="43"/>
      <c r="AB1777" s="43"/>
      <c r="AD1777" s="43"/>
      <c r="AF1777" s="43"/>
      <c r="AH1777" s="43"/>
      <c r="AJ1777" s="43"/>
      <c r="AL1777" s="43"/>
      <c r="AO1777" s="43"/>
      <c r="AP1777" s="1"/>
      <c r="AQ1777" s="43"/>
      <c r="AR1777" s="123"/>
      <c r="AS1777" s="1"/>
      <c r="AT1777" s="1"/>
    </row>
    <row r="1778">
      <c r="A1778" s="43"/>
      <c r="B1778" s="59"/>
      <c r="C1778" s="51"/>
      <c r="D1778" s="43"/>
      <c r="E1778" s="85"/>
      <c r="F1778" s="43"/>
      <c r="G1778" s="85"/>
      <c r="H1778" s="43"/>
      <c r="I1778" s="85"/>
      <c r="J1778" s="43"/>
      <c r="L1778" s="43"/>
      <c r="N1778" s="43"/>
      <c r="P1778" s="43"/>
      <c r="R1778" s="43"/>
      <c r="T1778" s="43"/>
      <c r="V1778" s="43"/>
      <c r="X1778" s="43"/>
      <c r="Z1778" s="43"/>
      <c r="AB1778" s="43"/>
      <c r="AD1778" s="43"/>
      <c r="AF1778" s="43"/>
      <c r="AH1778" s="43"/>
      <c r="AJ1778" s="43"/>
      <c r="AL1778" s="43"/>
      <c r="AO1778" s="43"/>
      <c r="AP1778" s="1"/>
      <c r="AQ1778" s="43"/>
      <c r="AR1778" s="123"/>
      <c r="AS1778" s="1"/>
      <c r="AT1778" s="1"/>
    </row>
    <row r="1779">
      <c r="A1779" s="43"/>
      <c r="B1779" s="59"/>
      <c r="C1779" s="51"/>
      <c r="D1779" s="43"/>
      <c r="E1779" s="85"/>
      <c r="F1779" s="43"/>
      <c r="G1779" s="85"/>
      <c r="H1779" s="43"/>
      <c r="I1779" s="85"/>
      <c r="J1779" s="43"/>
      <c r="L1779" s="43"/>
      <c r="N1779" s="43"/>
      <c r="P1779" s="43"/>
      <c r="R1779" s="43"/>
      <c r="T1779" s="43"/>
      <c r="V1779" s="43"/>
      <c r="X1779" s="43"/>
      <c r="Z1779" s="43"/>
      <c r="AB1779" s="43"/>
      <c r="AD1779" s="43"/>
      <c r="AF1779" s="43"/>
      <c r="AH1779" s="43"/>
      <c r="AJ1779" s="43"/>
      <c r="AL1779" s="43"/>
      <c r="AO1779" s="43"/>
      <c r="AP1779" s="1"/>
      <c r="AQ1779" s="43"/>
      <c r="AR1779" s="123"/>
      <c r="AS1779" s="1"/>
      <c r="AT1779" s="1"/>
    </row>
    <row r="1780">
      <c r="A1780" s="43"/>
      <c r="B1780" s="59"/>
      <c r="C1780" s="51"/>
      <c r="D1780" s="43"/>
      <c r="E1780" s="85"/>
      <c r="F1780" s="43"/>
      <c r="G1780" s="85"/>
      <c r="H1780" s="43"/>
      <c r="I1780" s="85"/>
      <c r="J1780" s="43"/>
      <c r="L1780" s="43"/>
      <c r="N1780" s="43"/>
      <c r="P1780" s="43"/>
      <c r="R1780" s="43"/>
      <c r="T1780" s="43"/>
      <c r="V1780" s="43"/>
      <c r="X1780" s="43"/>
      <c r="Z1780" s="43"/>
      <c r="AB1780" s="43"/>
      <c r="AD1780" s="43"/>
      <c r="AF1780" s="43"/>
      <c r="AH1780" s="43"/>
      <c r="AJ1780" s="43"/>
      <c r="AL1780" s="43"/>
      <c r="AO1780" s="43"/>
      <c r="AP1780" s="1"/>
      <c r="AQ1780" s="43"/>
      <c r="AR1780" s="123"/>
      <c r="AS1780" s="1"/>
      <c r="AT1780" s="1"/>
    </row>
    <row r="1781">
      <c r="A1781" s="43"/>
      <c r="B1781" s="59"/>
      <c r="C1781" s="51"/>
      <c r="D1781" s="43"/>
      <c r="E1781" s="85"/>
      <c r="F1781" s="43"/>
      <c r="G1781" s="85"/>
      <c r="H1781" s="43"/>
      <c r="I1781" s="85"/>
      <c r="J1781" s="43"/>
      <c r="L1781" s="43"/>
      <c r="N1781" s="43"/>
      <c r="P1781" s="43"/>
      <c r="R1781" s="43"/>
      <c r="T1781" s="43"/>
      <c r="V1781" s="43"/>
      <c r="X1781" s="43"/>
      <c r="Z1781" s="43"/>
      <c r="AB1781" s="43"/>
      <c r="AD1781" s="43"/>
      <c r="AF1781" s="43"/>
      <c r="AH1781" s="43"/>
      <c r="AJ1781" s="43"/>
      <c r="AL1781" s="43"/>
      <c r="AO1781" s="43"/>
      <c r="AP1781" s="1"/>
      <c r="AQ1781" s="43"/>
      <c r="AR1781" s="123"/>
      <c r="AS1781" s="1"/>
      <c r="AT1781" s="1"/>
    </row>
    <row r="1782">
      <c r="A1782" s="43"/>
      <c r="B1782" s="59"/>
      <c r="C1782" s="51"/>
      <c r="D1782" s="43"/>
      <c r="E1782" s="85"/>
      <c r="F1782" s="43"/>
      <c r="G1782" s="85"/>
      <c r="H1782" s="43"/>
      <c r="I1782" s="85"/>
      <c r="J1782" s="43"/>
      <c r="L1782" s="43"/>
      <c r="N1782" s="43"/>
      <c r="P1782" s="43"/>
      <c r="R1782" s="43"/>
      <c r="T1782" s="43"/>
      <c r="V1782" s="43"/>
      <c r="X1782" s="43"/>
      <c r="Z1782" s="43"/>
      <c r="AB1782" s="43"/>
      <c r="AD1782" s="43"/>
      <c r="AF1782" s="43"/>
      <c r="AH1782" s="43"/>
      <c r="AJ1782" s="43"/>
      <c r="AL1782" s="43"/>
      <c r="AO1782" s="43"/>
      <c r="AP1782" s="1"/>
      <c r="AQ1782" s="43"/>
      <c r="AR1782" s="123"/>
      <c r="AS1782" s="1"/>
      <c r="AT1782" s="1"/>
    </row>
    <row r="1783">
      <c r="A1783" s="43"/>
      <c r="B1783" s="59"/>
      <c r="C1783" s="51"/>
      <c r="D1783" s="43"/>
      <c r="E1783" s="85"/>
      <c r="F1783" s="43"/>
      <c r="G1783" s="85"/>
      <c r="H1783" s="43"/>
      <c r="I1783" s="85"/>
      <c r="J1783" s="43"/>
      <c r="L1783" s="43"/>
      <c r="N1783" s="43"/>
      <c r="P1783" s="43"/>
      <c r="R1783" s="43"/>
      <c r="T1783" s="43"/>
      <c r="V1783" s="43"/>
      <c r="X1783" s="43"/>
      <c r="Z1783" s="43"/>
      <c r="AB1783" s="43"/>
      <c r="AD1783" s="43"/>
      <c r="AF1783" s="43"/>
      <c r="AH1783" s="43"/>
      <c r="AJ1783" s="43"/>
      <c r="AL1783" s="43"/>
      <c r="AO1783" s="43"/>
      <c r="AP1783" s="1"/>
      <c r="AQ1783" s="43"/>
      <c r="AR1783" s="123"/>
      <c r="AS1783" s="1"/>
      <c r="AT1783" s="1"/>
    </row>
    <row r="1784">
      <c r="A1784" s="43"/>
      <c r="B1784" s="59"/>
      <c r="C1784" s="51"/>
      <c r="D1784" s="43"/>
      <c r="E1784" s="85"/>
      <c r="F1784" s="43"/>
      <c r="G1784" s="85"/>
      <c r="H1784" s="43"/>
      <c r="I1784" s="85"/>
      <c r="J1784" s="43"/>
      <c r="L1784" s="43"/>
      <c r="N1784" s="43"/>
      <c r="P1784" s="43"/>
      <c r="R1784" s="43"/>
      <c r="T1784" s="43"/>
      <c r="V1784" s="43"/>
      <c r="X1784" s="43"/>
      <c r="Z1784" s="43"/>
      <c r="AB1784" s="43"/>
      <c r="AD1784" s="43"/>
      <c r="AF1784" s="43"/>
      <c r="AH1784" s="43"/>
      <c r="AJ1784" s="43"/>
      <c r="AL1784" s="43"/>
      <c r="AO1784" s="43"/>
      <c r="AP1784" s="1"/>
      <c r="AQ1784" s="43"/>
      <c r="AR1784" s="123"/>
      <c r="AS1784" s="1"/>
      <c r="AT1784" s="1"/>
    </row>
    <row r="1785">
      <c r="A1785" s="43"/>
      <c r="B1785" s="59"/>
      <c r="C1785" s="51"/>
      <c r="D1785" s="43"/>
      <c r="E1785" s="85"/>
      <c r="F1785" s="43"/>
      <c r="G1785" s="85"/>
      <c r="H1785" s="43"/>
      <c r="I1785" s="85"/>
      <c r="J1785" s="43"/>
      <c r="L1785" s="43"/>
      <c r="N1785" s="43"/>
      <c r="P1785" s="43"/>
      <c r="R1785" s="43"/>
      <c r="T1785" s="43"/>
      <c r="V1785" s="43"/>
      <c r="X1785" s="43"/>
      <c r="Z1785" s="43"/>
      <c r="AB1785" s="43"/>
      <c r="AD1785" s="43"/>
      <c r="AF1785" s="43"/>
      <c r="AH1785" s="43"/>
      <c r="AJ1785" s="43"/>
      <c r="AL1785" s="43"/>
      <c r="AO1785" s="43"/>
      <c r="AP1785" s="1"/>
      <c r="AQ1785" s="43"/>
      <c r="AR1785" s="123"/>
      <c r="AS1785" s="1"/>
      <c r="AT1785" s="1"/>
    </row>
    <row r="1786">
      <c r="A1786" s="43"/>
      <c r="B1786" s="59"/>
      <c r="C1786" s="51"/>
      <c r="D1786" s="43"/>
      <c r="E1786" s="85"/>
      <c r="F1786" s="43"/>
      <c r="G1786" s="85"/>
      <c r="H1786" s="43"/>
      <c r="I1786" s="85"/>
      <c r="J1786" s="43"/>
      <c r="L1786" s="43"/>
      <c r="N1786" s="43"/>
      <c r="P1786" s="43"/>
      <c r="R1786" s="43"/>
      <c r="T1786" s="43"/>
      <c r="V1786" s="43"/>
      <c r="X1786" s="43"/>
      <c r="Z1786" s="43"/>
      <c r="AB1786" s="43"/>
      <c r="AD1786" s="43"/>
      <c r="AF1786" s="43"/>
      <c r="AH1786" s="43"/>
      <c r="AJ1786" s="43"/>
      <c r="AL1786" s="43"/>
      <c r="AO1786" s="43"/>
      <c r="AP1786" s="1"/>
      <c r="AQ1786" s="43"/>
      <c r="AR1786" s="123"/>
      <c r="AS1786" s="1"/>
      <c r="AT1786" s="1"/>
    </row>
    <row r="1787">
      <c r="A1787" s="43"/>
      <c r="B1787" s="59"/>
      <c r="C1787" s="51"/>
      <c r="D1787" s="43"/>
      <c r="E1787" s="85"/>
      <c r="F1787" s="43"/>
      <c r="G1787" s="85"/>
      <c r="H1787" s="43"/>
      <c r="I1787" s="85"/>
      <c r="J1787" s="43"/>
      <c r="L1787" s="43"/>
      <c r="N1787" s="43"/>
      <c r="P1787" s="43"/>
      <c r="R1787" s="43"/>
      <c r="T1787" s="43"/>
      <c r="V1787" s="43"/>
      <c r="X1787" s="43"/>
      <c r="Z1787" s="43"/>
      <c r="AB1787" s="43"/>
      <c r="AD1787" s="43"/>
      <c r="AF1787" s="43"/>
      <c r="AH1787" s="43"/>
      <c r="AJ1787" s="43"/>
      <c r="AL1787" s="43"/>
      <c r="AO1787" s="43"/>
      <c r="AP1787" s="1"/>
      <c r="AQ1787" s="43"/>
      <c r="AR1787" s="123"/>
      <c r="AS1787" s="1"/>
      <c r="AT1787" s="1"/>
    </row>
    <row r="1788">
      <c r="A1788" s="43"/>
      <c r="B1788" s="59"/>
      <c r="C1788" s="51"/>
      <c r="D1788" s="43"/>
      <c r="E1788" s="85"/>
      <c r="F1788" s="43"/>
      <c r="G1788" s="85"/>
      <c r="H1788" s="43"/>
      <c r="I1788" s="85"/>
      <c r="J1788" s="43"/>
      <c r="L1788" s="43"/>
      <c r="N1788" s="43"/>
      <c r="P1788" s="43"/>
      <c r="R1788" s="43"/>
      <c r="T1788" s="43"/>
      <c r="V1788" s="43"/>
      <c r="X1788" s="43"/>
      <c r="Z1788" s="43"/>
      <c r="AB1788" s="43"/>
      <c r="AD1788" s="43"/>
      <c r="AF1788" s="43"/>
      <c r="AH1788" s="43"/>
      <c r="AJ1788" s="43"/>
      <c r="AL1788" s="43"/>
      <c r="AO1788" s="43"/>
      <c r="AP1788" s="1"/>
      <c r="AQ1788" s="43"/>
      <c r="AR1788" s="123"/>
      <c r="AS1788" s="1"/>
      <c r="AT1788" s="1"/>
    </row>
    <row r="1789">
      <c r="A1789" s="43"/>
      <c r="B1789" s="59"/>
      <c r="C1789" s="51"/>
      <c r="D1789" s="43"/>
      <c r="E1789" s="85"/>
      <c r="F1789" s="43"/>
      <c r="G1789" s="85"/>
      <c r="H1789" s="43"/>
      <c r="I1789" s="85"/>
      <c r="J1789" s="43"/>
      <c r="L1789" s="43"/>
      <c r="N1789" s="43"/>
      <c r="P1789" s="43"/>
      <c r="R1789" s="43"/>
      <c r="T1789" s="43"/>
      <c r="V1789" s="43"/>
      <c r="X1789" s="43"/>
      <c r="Z1789" s="43"/>
      <c r="AB1789" s="43"/>
      <c r="AD1789" s="43"/>
      <c r="AF1789" s="43"/>
      <c r="AH1789" s="43"/>
      <c r="AJ1789" s="43"/>
      <c r="AL1789" s="43"/>
      <c r="AO1789" s="43"/>
      <c r="AP1789" s="1"/>
      <c r="AQ1789" s="43"/>
      <c r="AR1789" s="123"/>
      <c r="AS1789" s="1"/>
      <c r="AT1789" s="1"/>
    </row>
    <row r="1790">
      <c r="A1790" s="43"/>
      <c r="B1790" s="59"/>
      <c r="C1790" s="51"/>
      <c r="D1790" s="43"/>
      <c r="E1790" s="85"/>
      <c r="F1790" s="43"/>
      <c r="G1790" s="85"/>
      <c r="H1790" s="43"/>
      <c r="I1790" s="85"/>
      <c r="J1790" s="43"/>
      <c r="L1790" s="43"/>
      <c r="N1790" s="43"/>
      <c r="P1790" s="43"/>
      <c r="R1790" s="43"/>
      <c r="T1790" s="43"/>
      <c r="V1790" s="43"/>
      <c r="X1790" s="43"/>
      <c r="Z1790" s="43"/>
      <c r="AB1790" s="43"/>
      <c r="AD1790" s="43"/>
      <c r="AF1790" s="43"/>
      <c r="AH1790" s="43"/>
      <c r="AJ1790" s="43"/>
      <c r="AL1790" s="43"/>
      <c r="AO1790" s="43"/>
      <c r="AP1790" s="1"/>
      <c r="AQ1790" s="43"/>
      <c r="AR1790" s="123"/>
      <c r="AS1790" s="1"/>
      <c r="AT1790" s="1"/>
    </row>
    <row r="1791">
      <c r="A1791" s="43"/>
      <c r="B1791" s="59"/>
      <c r="C1791" s="51"/>
      <c r="D1791" s="43"/>
      <c r="E1791" s="85"/>
      <c r="F1791" s="43"/>
      <c r="G1791" s="85"/>
      <c r="H1791" s="43"/>
      <c r="I1791" s="85"/>
      <c r="J1791" s="43"/>
      <c r="L1791" s="43"/>
      <c r="N1791" s="43"/>
      <c r="P1791" s="43"/>
      <c r="R1791" s="43"/>
      <c r="T1791" s="43"/>
      <c r="V1791" s="43"/>
      <c r="X1791" s="43"/>
      <c r="Z1791" s="43"/>
      <c r="AB1791" s="43"/>
      <c r="AD1791" s="43"/>
      <c r="AF1791" s="43"/>
      <c r="AH1791" s="43"/>
      <c r="AJ1791" s="43"/>
      <c r="AL1791" s="43"/>
      <c r="AO1791" s="43"/>
      <c r="AP1791" s="1"/>
      <c r="AQ1791" s="43"/>
      <c r="AR1791" s="123"/>
      <c r="AS1791" s="1"/>
      <c r="AT1791" s="1"/>
    </row>
    <row r="1792">
      <c r="A1792" s="43"/>
      <c r="B1792" s="59"/>
      <c r="C1792" s="51"/>
      <c r="D1792" s="43"/>
      <c r="E1792" s="85"/>
      <c r="F1792" s="43"/>
      <c r="G1792" s="85"/>
      <c r="H1792" s="43"/>
      <c r="I1792" s="85"/>
      <c r="J1792" s="43"/>
      <c r="L1792" s="43"/>
      <c r="N1792" s="43"/>
      <c r="P1792" s="43"/>
      <c r="R1792" s="43"/>
      <c r="T1792" s="43"/>
      <c r="V1792" s="43"/>
      <c r="X1792" s="43"/>
      <c r="Z1792" s="43"/>
      <c r="AB1792" s="43"/>
      <c r="AD1792" s="43"/>
      <c r="AF1792" s="43"/>
      <c r="AH1792" s="43"/>
      <c r="AJ1792" s="43"/>
      <c r="AL1792" s="43"/>
      <c r="AO1792" s="43"/>
      <c r="AP1792" s="1"/>
      <c r="AQ1792" s="43"/>
      <c r="AR1792" s="123"/>
      <c r="AS1792" s="1"/>
      <c r="AT1792" s="1"/>
    </row>
    <row r="1793">
      <c r="A1793" s="43"/>
      <c r="B1793" s="59"/>
      <c r="C1793" s="51"/>
      <c r="D1793" s="43"/>
      <c r="E1793" s="85"/>
      <c r="F1793" s="43"/>
      <c r="G1793" s="85"/>
      <c r="H1793" s="43"/>
      <c r="I1793" s="85"/>
      <c r="J1793" s="43"/>
      <c r="L1793" s="43"/>
      <c r="N1793" s="43"/>
      <c r="P1793" s="43"/>
      <c r="R1793" s="43"/>
      <c r="T1793" s="43"/>
      <c r="V1793" s="43"/>
      <c r="X1793" s="43"/>
      <c r="Z1793" s="43"/>
      <c r="AB1793" s="43"/>
      <c r="AD1793" s="43"/>
      <c r="AF1793" s="43"/>
      <c r="AH1793" s="43"/>
      <c r="AJ1793" s="43"/>
      <c r="AL1793" s="43"/>
      <c r="AO1793" s="43"/>
      <c r="AP1793" s="1"/>
      <c r="AQ1793" s="43"/>
      <c r="AR1793" s="123"/>
      <c r="AS1793" s="1"/>
      <c r="AT1793" s="1"/>
    </row>
    <row r="1794">
      <c r="A1794" s="43"/>
      <c r="B1794" s="59"/>
      <c r="C1794" s="51"/>
      <c r="D1794" s="43"/>
      <c r="E1794" s="85"/>
      <c r="F1794" s="43"/>
      <c r="G1794" s="85"/>
      <c r="H1794" s="43"/>
      <c r="I1794" s="85"/>
      <c r="J1794" s="43"/>
      <c r="L1794" s="43"/>
      <c r="N1794" s="43"/>
      <c r="P1794" s="43"/>
      <c r="R1794" s="43"/>
      <c r="T1794" s="43"/>
      <c r="V1794" s="43"/>
      <c r="X1794" s="43"/>
      <c r="Z1794" s="43"/>
      <c r="AB1794" s="43"/>
      <c r="AD1794" s="43"/>
      <c r="AF1794" s="43"/>
      <c r="AH1794" s="43"/>
      <c r="AJ1794" s="43"/>
      <c r="AL1794" s="43"/>
      <c r="AO1794" s="43"/>
      <c r="AP1794" s="1"/>
      <c r="AQ1794" s="43"/>
      <c r="AR1794" s="123"/>
      <c r="AS1794" s="1"/>
      <c r="AT1794" s="1"/>
    </row>
    <row r="1795">
      <c r="A1795" s="43"/>
      <c r="B1795" s="59"/>
      <c r="C1795" s="51"/>
      <c r="D1795" s="43"/>
      <c r="E1795" s="85"/>
      <c r="F1795" s="43"/>
      <c r="G1795" s="85"/>
      <c r="H1795" s="43"/>
      <c r="I1795" s="85"/>
      <c r="J1795" s="43"/>
      <c r="L1795" s="43"/>
      <c r="N1795" s="43"/>
      <c r="P1795" s="43"/>
      <c r="R1795" s="43"/>
      <c r="T1795" s="43"/>
      <c r="V1795" s="43"/>
      <c r="X1795" s="43"/>
      <c r="Z1795" s="43"/>
      <c r="AB1795" s="43"/>
      <c r="AD1795" s="43"/>
      <c r="AF1795" s="43"/>
      <c r="AH1795" s="43"/>
      <c r="AJ1795" s="43"/>
      <c r="AL1795" s="43"/>
      <c r="AO1795" s="43"/>
      <c r="AP1795" s="1"/>
      <c r="AQ1795" s="43"/>
      <c r="AR1795" s="123"/>
      <c r="AS1795" s="1"/>
      <c r="AT1795" s="1"/>
    </row>
    <row r="1796">
      <c r="A1796" s="43"/>
      <c r="B1796" s="59"/>
      <c r="C1796" s="51"/>
      <c r="D1796" s="43"/>
      <c r="E1796" s="85"/>
      <c r="F1796" s="43"/>
      <c r="G1796" s="85"/>
      <c r="H1796" s="43"/>
      <c r="I1796" s="85"/>
      <c r="J1796" s="43"/>
      <c r="L1796" s="43"/>
      <c r="N1796" s="43"/>
      <c r="P1796" s="43"/>
      <c r="R1796" s="43"/>
      <c r="T1796" s="43"/>
      <c r="V1796" s="43"/>
      <c r="X1796" s="43"/>
      <c r="Z1796" s="43"/>
      <c r="AB1796" s="43"/>
      <c r="AD1796" s="43"/>
      <c r="AF1796" s="43"/>
      <c r="AH1796" s="43"/>
      <c r="AJ1796" s="43"/>
      <c r="AL1796" s="43"/>
      <c r="AO1796" s="43"/>
      <c r="AP1796" s="1"/>
      <c r="AQ1796" s="43"/>
      <c r="AR1796" s="123"/>
      <c r="AS1796" s="1"/>
      <c r="AT1796" s="1"/>
    </row>
    <row r="1797">
      <c r="A1797" s="43"/>
      <c r="B1797" s="59"/>
      <c r="C1797" s="51"/>
      <c r="D1797" s="43"/>
      <c r="E1797" s="85"/>
      <c r="F1797" s="43"/>
      <c r="G1797" s="85"/>
      <c r="H1797" s="43"/>
      <c r="I1797" s="85"/>
      <c r="J1797" s="43"/>
      <c r="L1797" s="43"/>
      <c r="N1797" s="43"/>
      <c r="P1797" s="43"/>
      <c r="R1797" s="43"/>
      <c r="T1797" s="43"/>
      <c r="V1797" s="43"/>
      <c r="X1797" s="43"/>
      <c r="Z1797" s="43"/>
      <c r="AB1797" s="43"/>
      <c r="AD1797" s="43"/>
      <c r="AF1797" s="43"/>
      <c r="AH1797" s="43"/>
      <c r="AJ1797" s="43"/>
      <c r="AL1797" s="43"/>
      <c r="AO1797" s="43"/>
      <c r="AP1797" s="1"/>
      <c r="AQ1797" s="43"/>
      <c r="AR1797" s="123"/>
      <c r="AS1797" s="1"/>
      <c r="AT1797" s="1"/>
    </row>
    <row r="1798">
      <c r="A1798" s="43"/>
      <c r="B1798" s="59"/>
      <c r="C1798" s="51"/>
      <c r="D1798" s="43"/>
      <c r="E1798" s="85"/>
      <c r="F1798" s="43"/>
      <c r="G1798" s="85"/>
      <c r="H1798" s="43"/>
      <c r="I1798" s="85"/>
      <c r="J1798" s="43"/>
      <c r="L1798" s="43"/>
      <c r="N1798" s="43"/>
      <c r="P1798" s="43"/>
      <c r="R1798" s="43"/>
      <c r="T1798" s="43"/>
      <c r="V1798" s="43"/>
      <c r="X1798" s="43"/>
      <c r="Z1798" s="43"/>
      <c r="AB1798" s="43"/>
      <c r="AD1798" s="43"/>
      <c r="AF1798" s="43"/>
      <c r="AH1798" s="43"/>
      <c r="AJ1798" s="43"/>
      <c r="AL1798" s="43"/>
      <c r="AO1798" s="43"/>
      <c r="AP1798" s="1"/>
      <c r="AQ1798" s="43"/>
      <c r="AR1798" s="123"/>
      <c r="AS1798" s="1"/>
      <c r="AT1798" s="1"/>
    </row>
    <row r="1799">
      <c r="A1799" s="43"/>
      <c r="B1799" s="59"/>
      <c r="C1799" s="51"/>
      <c r="D1799" s="43"/>
      <c r="E1799" s="85"/>
      <c r="F1799" s="43"/>
      <c r="G1799" s="85"/>
      <c r="H1799" s="43"/>
      <c r="I1799" s="85"/>
      <c r="J1799" s="43"/>
      <c r="L1799" s="43"/>
      <c r="N1799" s="43"/>
      <c r="P1799" s="43"/>
      <c r="R1799" s="43"/>
      <c r="T1799" s="43"/>
      <c r="V1799" s="43"/>
      <c r="X1799" s="43"/>
      <c r="Z1799" s="43"/>
      <c r="AB1799" s="43"/>
      <c r="AD1799" s="43"/>
      <c r="AF1799" s="43"/>
      <c r="AH1799" s="43"/>
      <c r="AJ1799" s="43"/>
      <c r="AL1799" s="43"/>
      <c r="AO1799" s="43"/>
      <c r="AP1799" s="1"/>
      <c r="AQ1799" s="43"/>
      <c r="AR1799" s="123"/>
      <c r="AS1799" s="1"/>
      <c r="AT1799" s="1"/>
    </row>
    <row r="1800">
      <c r="A1800" s="43"/>
      <c r="B1800" s="59"/>
      <c r="C1800" s="51"/>
      <c r="D1800" s="43"/>
      <c r="E1800" s="85"/>
      <c r="F1800" s="43"/>
      <c r="G1800" s="85"/>
      <c r="H1800" s="43"/>
      <c r="I1800" s="85"/>
      <c r="J1800" s="43"/>
      <c r="L1800" s="43"/>
      <c r="N1800" s="43"/>
      <c r="P1800" s="43"/>
      <c r="R1800" s="43"/>
      <c r="T1800" s="43"/>
      <c r="V1800" s="43"/>
      <c r="X1800" s="43"/>
      <c r="Z1800" s="43"/>
      <c r="AB1800" s="43"/>
      <c r="AD1800" s="43"/>
      <c r="AF1800" s="43"/>
      <c r="AH1800" s="43"/>
      <c r="AJ1800" s="43"/>
      <c r="AL1800" s="43"/>
      <c r="AO1800" s="43"/>
      <c r="AP1800" s="1"/>
      <c r="AQ1800" s="43"/>
      <c r="AR1800" s="123"/>
      <c r="AS1800" s="1"/>
      <c r="AT1800" s="1"/>
    </row>
    <row r="1801">
      <c r="A1801" s="43"/>
      <c r="B1801" s="59"/>
      <c r="C1801" s="51"/>
      <c r="D1801" s="43"/>
      <c r="E1801" s="85"/>
      <c r="F1801" s="43"/>
      <c r="G1801" s="85"/>
      <c r="H1801" s="43"/>
      <c r="I1801" s="85"/>
      <c r="J1801" s="43"/>
      <c r="L1801" s="43"/>
      <c r="N1801" s="43"/>
      <c r="P1801" s="43"/>
      <c r="R1801" s="43"/>
      <c r="T1801" s="43"/>
      <c r="V1801" s="43"/>
      <c r="X1801" s="43"/>
      <c r="Z1801" s="43"/>
      <c r="AB1801" s="43"/>
      <c r="AD1801" s="43"/>
      <c r="AF1801" s="43"/>
      <c r="AH1801" s="43"/>
      <c r="AJ1801" s="43"/>
      <c r="AL1801" s="43"/>
      <c r="AO1801" s="43"/>
      <c r="AP1801" s="1"/>
      <c r="AQ1801" s="43"/>
      <c r="AR1801" s="123"/>
      <c r="AS1801" s="1"/>
      <c r="AT1801" s="1"/>
    </row>
    <row r="1802">
      <c r="A1802" s="43"/>
      <c r="B1802" s="59"/>
      <c r="C1802" s="51"/>
      <c r="D1802" s="43"/>
      <c r="E1802" s="85"/>
      <c r="F1802" s="43"/>
      <c r="G1802" s="85"/>
      <c r="H1802" s="43"/>
      <c r="I1802" s="85"/>
      <c r="J1802" s="43"/>
      <c r="L1802" s="43"/>
      <c r="N1802" s="43"/>
      <c r="P1802" s="43"/>
      <c r="R1802" s="43"/>
      <c r="T1802" s="43"/>
      <c r="V1802" s="43"/>
      <c r="X1802" s="43"/>
      <c r="Z1802" s="43"/>
      <c r="AB1802" s="43"/>
      <c r="AD1802" s="43"/>
      <c r="AF1802" s="43"/>
      <c r="AH1802" s="43"/>
      <c r="AJ1802" s="43"/>
      <c r="AL1802" s="43"/>
      <c r="AO1802" s="43"/>
      <c r="AP1802" s="1"/>
      <c r="AQ1802" s="43"/>
      <c r="AR1802" s="123"/>
      <c r="AS1802" s="1"/>
      <c r="AT1802" s="1"/>
    </row>
    <row r="1803">
      <c r="A1803" s="43"/>
      <c r="B1803" s="59"/>
      <c r="C1803" s="51"/>
      <c r="D1803" s="43"/>
      <c r="E1803" s="85"/>
      <c r="F1803" s="43"/>
      <c r="G1803" s="85"/>
      <c r="H1803" s="43"/>
      <c r="I1803" s="85"/>
      <c r="J1803" s="43"/>
      <c r="L1803" s="43"/>
      <c r="N1803" s="43"/>
      <c r="P1803" s="43"/>
      <c r="R1803" s="43"/>
      <c r="T1803" s="43"/>
      <c r="V1803" s="43"/>
      <c r="X1803" s="43"/>
      <c r="Z1803" s="43"/>
      <c r="AB1803" s="43"/>
      <c r="AD1803" s="43"/>
      <c r="AF1803" s="43"/>
      <c r="AH1803" s="43"/>
      <c r="AJ1803" s="43"/>
      <c r="AL1803" s="43"/>
      <c r="AO1803" s="43"/>
      <c r="AP1803" s="1"/>
      <c r="AQ1803" s="43"/>
      <c r="AR1803" s="123"/>
      <c r="AS1803" s="1"/>
      <c r="AT1803" s="1"/>
    </row>
    <row r="1804">
      <c r="A1804" s="43"/>
      <c r="B1804" s="59"/>
      <c r="C1804" s="51"/>
      <c r="D1804" s="43"/>
      <c r="E1804" s="85"/>
      <c r="F1804" s="43"/>
      <c r="G1804" s="85"/>
      <c r="H1804" s="43"/>
      <c r="I1804" s="85"/>
      <c r="J1804" s="43"/>
      <c r="L1804" s="43"/>
      <c r="N1804" s="43"/>
      <c r="P1804" s="43"/>
      <c r="R1804" s="43"/>
      <c r="T1804" s="43"/>
      <c r="V1804" s="43"/>
      <c r="X1804" s="43"/>
      <c r="Z1804" s="43"/>
      <c r="AB1804" s="43"/>
      <c r="AD1804" s="43"/>
      <c r="AF1804" s="43"/>
      <c r="AH1804" s="43"/>
      <c r="AJ1804" s="43"/>
      <c r="AL1804" s="43"/>
      <c r="AO1804" s="43"/>
      <c r="AP1804" s="1"/>
      <c r="AQ1804" s="43"/>
      <c r="AR1804" s="123"/>
      <c r="AS1804" s="1"/>
      <c r="AT1804" s="1"/>
    </row>
    <row r="1805">
      <c r="A1805" s="43"/>
      <c r="B1805" s="59"/>
      <c r="C1805" s="51"/>
      <c r="D1805" s="43"/>
      <c r="E1805" s="85"/>
      <c r="F1805" s="43"/>
      <c r="G1805" s="85"/>
      <c r="H1805" s="43"/>
      <c r="I1805" s="85"/>
      <c r="J1805" s="43"/>
      <c r="L1805" s="43"/>
      <c r="N1805" s="43"/>
      <c r="P1805" s="43"/>
      <c r="R1805" s="43"/>
      <c r="T1805" s="43"/>
      <c r="V1805" s="43"/>
      <c r="X1805" s="43"/>
      <c r="Z1805" s="43"/>
      <c r="AB1805" s="43"/>
      <c r="AD1805" s="43"/>
      <c r="AF1805" s="43"/>
      <c r="AH1805" s="43"/>
      <c r="AJ1805" s="43"/>
      <c r="AL1805" s="43"/>
      <c r="AO1805" s="43"/>
      <c r="AP1805" s="1"/>
      <c r="AQ1805" s="43"/>
      <c r="AR1805" s="123"/>
      <c r="AS1805" s="1"/>
      <c r="AT1805" s="1"/>
    </row>
    <row r="1806">
      <c r="A1806" s="43"/>
      <c r="B1806" s="59"/>
      <c r="C1806" s="51"/>
      <c r="D1806" s="43"/>
      <c r="E1806" s="85"/>
      <c r="F1806" s="43"/>
      <c r="G1806" s="85"/>
      <c r="H1806" s="43"/>
      <c r="I1806" s="85"/>
      <c r="J1806" s="43"/>
      <c r="L1806" s="43"/>
      <c r="N1806" s="43"/>
      <c r="P1806" s="43"/>
      <c r="R1806" s="43"/>
      <c r="T1806" s="43"/>
      <c r="V1806" s="43"/>
      <c r="X1806" s="43"/>
      <c r="Z1806" s="43"/>
      <c r="AB1806" s="43"/>
      <c r="AD1806" s="43"/>
      <c r="AF1806" s="43"/>
      <c r="AH1806" s="43"/>
      <c r="AJ1806" s="43"/>
      <c r="AL1806" s="43"/>
      <c r="AO1806" s="43"/>
      <c r="AP1806" s="1"/>
      <c r="AQ1806" s="43"/>
      <c r="AR1806" s="123"/>
      <c r="AS1806" s="1"/>
      <c r="AT1806" s="1"/>
    </row>
    <row r="1807">
      <c r="A1807" s="43"/>
      <c r="B1807" s="59"/>
      <c r="C1807" s="51"/>
      <c r="D1807" s="43"/>
      <c r="E1807" s="85"/>
      <c r="F1807" s="43"/>
      <c r="G1807" s="85"/>
      <c r="H1807" s="43"/>
      <c r="I1807" s="85"/>
      <c r="J1807" s="43"/>
      <c r="L1807" s="43"/>
      <c r="N1807" s="43"/>
      <c r="P1807" s="43"/>
      <c r="R1807" s="43"/>
      <c r="T1807" s="43"/>
      <c r="V1807" s="43"/>
      <c r="X1807" s="43"/>
      <c r="Z1807" s="43"/>
      <c r="AB1807" s="43"/>
      <c r="AD1807" s="43"/>
      <c r="AF1807" s="43"/>
      <c r="AH1807" s="43"/>
      <c r="AJ1807" s="43"/>
      <c r="AL1807" s="43"/>
      <c r="AO1807" s="43"/>
      <c r="AP1807" s="1"/>
      <c r="AQ1807" s="43"/>
      <c r="AR1807" s="123"/>
      <c r="AS1807" s="1"/>
      <c r="AT1807" s="1"/>
    </row>
    <row r="1808">
      <c r="A1808" s="43"/>
      <c r="B1808" s="59"/>
      <c r="C1808" s="51"/>
      <c r="D1808" s="43"/>
      <c r="E1808" s="85"/>
      <c r="F1808" s="43"/>
      <c r="G1808" s="85"/>
      <c r="H1808" s="43"/>
      <c r="I1808" s="85"/>
      <c r="J1808" s="43"/>
      <c r="L1808" s="43"/>
      <c r="N1808" s="43"/>
      <c r="P1808" s="43"/>
      <c r="R1808" s="43"/>
      <c r="T1808" s="43"/>
      <c r="V1808" s="43"/>
      <c r="X1808" s="43"/>
      <c r="Z1808" s="43"/>
      <c r="AB1808" s="43"/>
      <c r="AD1808" s="43"/>
      <c r="AF1808" s="43"/>
      <c r="AH1808" s="43"/>
      <c r="AJ1808" s="43"/>
      <c r="AL1808" s="43"/>
      <c r="AO1808" s="43"/>
      <c r="AP1808" s="1"/>
      <c r="AQ1808" s="43"/>
      <c r="AR1808" s="123"/>
      <c r="AS1808" s="1"/>
      <c r="AT1808" s="1"/>
    </row>
    <row r="1809">
      <c r="A1809" s="43"/>
      <c r="B1809" s="59"/>
      <c r="C1809" s="51"/>
      <c r="D1809" s="43"/>
      <c r="E1809" s="85"/>
      <c r="F1809" s="43"/>
      <c r="G1809" s="85"/>
      <c r="H1809" s="43"/>
      <c r="I1809" s="85"/>
      <c r="J1809" s="43"/>
      <c r="L1809" s="43"/>
      <c r="N1809" s="43"/>
      <c r="P1809" s="43"/>
      <c r="R1809" s="43"/>
      <c r="T1809" s="43"/>
      <c r="V1809" s="43"/>
      <c r="X1809" s="43"/>
      <c r="Z1809" s="43"/>
      <c r="AB1809" s="43"/>
      <c r="AD1809" s="43"/>
      <c r="AF1809" s="43"/>
      <c r="AH1809" s="43"/>
      <c r="AJ1809" s="43"/>
      <c r="AL1809" s="43"/>
      <c r="AO1809" s="43"/>
      <c r="AP1809" s="1"/>
      <c r="AQ1809" s="43"/>
      <c r="AR1809" s="123"/>
      <c r="AS1809" s="1"/>
      <c r="AT1809" s="1"/>
    </row>
    <row r="1810">
      <c r="A1810" s="43"/>
      <c r="B1810" s="59"/>
      <c r="C1810" s="51"/>
      <c r="D1810" s="43"/>
      <c r="E1810" s="85"/>
      <c r="F1810" s="43"/>
      <c r="G1810" s="85"/>
      <c r="H1810" s="43"/>
      <c r="I1810" s="85"/>
      <c r="J1810" s="43"/>
      <c r="L1810" s="43"/>
      <c r="N1810" s="43"/>
      <c r="P1810" s="43"/>
      <c r="R1810" s="43"/>
      <c r="T1810" s="43"/>
      <c r="V1810" s="43"/>
      <c r="X1810" s="43"/>
      <c r="Z1810" s="43"/>
      <c r="AB1810" s="43"/>
      <c r="AD1810" s="43"/>
      <c r="AF1810" s="43"/>
      <c r="AH1810" s="43"/>
      <c r="AJ1810" s="43"/>
      <c r="AL1810" s="43"/>
      <c r="AO1810" s="43"/>
      <c r="AP1810" s="1"/>
      <c r="AQ1810" s="43"/>
      <c r="AR1810" s="123"/>
      <c r="AS1810" s="1"/>
      <c r="AT1810" s="1"/>
    </row>
    <row r="1811">
      <c r="A1811" s="43"/>
      <c r="B1811" s="59"/>
      <c r="C1811" s="51"/>
      <c r="D1811" s="43"/>
      <c r="E1811" s="85"/>
      <c r="F1811" s="43"/>
      <c r="G1811" s="85"/>
      <c r="H1811" s="43"/>
      <c r="I1811" s="85"/>
      <c r="J1811" s="43"/>
      <c r="L1811" s="43"/>
      <c r="N1811" s="43"/>
      <c r="P1811" s="43"/>
      <c r="R1811" s="43"/>
      <c r="T1811" s="43"/>
      <c r="V1811" s="43"/>
      <c r="X1811" s="43"/>
      <c r="Z1811" s="43"/>
      <c r="AB1811" s="43"/>
      <c r="AD1811" s="43"/>
      <c r="AF1811" s="43"/>
      <c r="AH1811" s="43"/>
      <c r="AJ1811" s="43"/>
      <c r="AL1811" s="43"/>
      <c r="AO1811" s="43"/>
      <c r="AP1811" s="1"/>
      <c r="AQ1811" s="43"/>
      <c r="AR1811" s="123"/>
      <c r="AS1811" s="1"/>
      <c r="AT1811" s="1"/>
    </row>
    <row r="1812">
      <c r="A1812" s="43"/>
      <c r="B1812" s="59"/>
      <c r="C1812" s="51"/>
      <c r="D1812" s="43"/>
      <c r="E1812" s="85"/>
      <c r="F1812" s="43"/>
      <c r="G1812" s="85"/>
      <c r="H1812" s="43"/>
      <c r="I1812" s="85"/>
      <c r="J1812" s="43"/>
      <c r="L1812" s="43"/>
      <c r="N1812" s="43"/>
      <c r="P1812" s="43"/>
      <c r="R1812" s="43"/>
      <c r="T1812" s="43"/>
      <c r="V1812" s="43"/>
      <c r="X1812" s="43"/>
      <c r="Z1812" s="43"/>
      <c r="AB1812" s="43"/>
      <c r="AD1812" s="43"/>
      <c r="AF1812" s="43"/>
      <c r="AH1812" s="43"/>
      <c r="AJ1812" s="43"/>
      <c r="AL1812" s="43"/>
      <c r="AO1812" s="43"/>
      <c r="AP1812" s="1"/>
      <c r="AQ1812" s="43"/>
      <c r="AR1812" s="123"/>
      <c r="AS1812" s="1"/>
      <c r="AT1812" s="1"/>
    </row>
    <row r="1813">
      <c r="A1813" s="43"/>
      <c r="B1813" s="59"/>
      <c r="C1813" s="51"/>
      <c r="D1813" s="43"/>
      <c r="E1813" s="85"/>
      <c r="F1813" s="43"/>
      <c r="G1813" s="85"/>
      <c r="H1813" s="43"/>
      <c r="I1813" s="85"/>
      <c r="J1813" s="43"/>
      <c r="L1813" s="43"/>
      <c r="N1813" s="43"/>
      <c r="P1813" s="43"/>
      <c r="R1813" s="43"/>
      <c r="T1813" s="43"/>
      <c r="V1813" s="43"/>
      <c r="X1813" s="43"/>
      <c r="Z1813" s="43"/>
      <c r="AB1813" s="43"/>
      <c r="AD1813" s="43"/>
      <c r="AF1813" s="43"/>
      <c r="AH1813" s="43"/>
      <c r="AJ1813" s="43"/>
      <c r="AL1813" s="43"/>
      <c r="AO1813" s="43"/>
      <c r="AP1813" s="1"/>
      <c r="AQ1813" s="43"/>
      <c r="AR1813" s="123"/>
      <c r="AS1813" s="1"/>
      <c r="AT1813" s="1"/>
    </row>
    <row r="1814">
      <c r="A1814" s="43"/>
      <c r="B1814" s="59"/>
      <c r="C1814" s="51"/>
      <c r="D1814" s="43"/>
      <c r="E1814" s="85"/>
      <c r="F1814" s="43"/>
      <c r="G1814" s="85"/>
      <c r="H1814" s="43"/>
      <c r="I1814" s="85"/>
      <c r="J1814" s="43"/>
      <c r="L1814" s="43"/>
      <c r="N1814" s="43"/>
      <c r="P1814" s="43"/>
      <c r="R1814" s="43"/>
      <c r="T1814" s="43"/>
      <c r="V1814" s="43"/>
      <c r="X1814" s="43"/>
      <c r="Z1814" s="43"/>
      <c r="AB1814" s="43"/>
      <c r="AD1814" s="43"/>
      <c r="AF1814" s="43"/>
      <c r="AH1814" s="43"/>
      <c r="AJ1814" s="43"/>
      <c r="AL1814" s="43"/>
      <c r="AO1814" s="43"/>
      <c r="AP1814" s="1"/>
      <c r="AQ1814" s="43"/>
      <c r="AR1814" s="123"/>
      <c r="AS1814" s="1"/>
      <c r="AT1814" s="1"/>
    </row>
    <row r="1815">
      <c r="A1815" s="43"/>
      <c r="B1815" s="59"/>
      <c r="C1815" s="51"/>
      <c r="D1815" s="43"/>
      <c r="E1815" s="85"/>
      <c r="F1815" s="43"/>
      <c r="G1815" s="85"/>
      <c r="H1815" s="43"/>
      <c r="I1815" s="85"/>
      <c r="J1815" s="43"/>
      <c r="L1815" s="43"/>
      <c r="N1815" s="43"/>
      <c r="P1815" s="43"/>
      <c r="R1815" s="43"/>
      <c r="T1815" s="43"/>
      <c r="V1815" s="43"/>
      <c r="X1815" s="43"/>
      <c r="Z1815" s="43"/>
      <c r="AB1815" s="43"/>
      <c r="AD1815" s="43"/>
      <c r="AF1815" s="43"/>
      <c r="AH1815" s="43"/>
      <c r="AJ1815" s="43"/>
      <c r="AL1815" s="43"/>
      <c r="AO1815" s="43"/>
      <c r="AP1815" s="1"/>
      <c r="AQ1815" s="43"/>
      <c r="AR1815" s="123"/>
      <c r="AS1815" s="1"/>
      <c r="AT1815" s="1"/>
    </row>
    <row r="1816">
      <c r="A1816" s="43"/>
      <c r="B1816" s="59"/>
      <c r="C1816" s="51"/>
      <c r="D1816" s="43"/>
      <c r="E1816" s="85"/>
      <c r="F1816" s="43"/>
      <c r="G1816" s="85"/>
      <c r="H1816" s="43"/>
      <c r="I1816" s="85"/>
      <c r="J1816" s="43"/>
      <c r="L1816" s="43"/>
      <c r="N1816" s="43"/>
      <c r="P1816" s="43"/>
      <c r="R1816" s="43"/>
      <c r="T1816" s="43"/>
      <c r="V1816" s="43"/>
      <c r="X1816" s="43"/>
      <c r="Z1816" s="43"/>
      <c r="AB1816" s="43"/>
      <c r="AD1816" s="43"/>
      <c r="AF1816" s="43"/>
      <c r="AH1816" s="43"/>
      <c r="AJ1816" s="43"/>
      <c r="AL1816" s="43"/>
      <c r="AO1816" s="43"/>
      <c r="AP1816" s="1"/>
      <c r="AQ1816" s="43"/>
      <c r="AR1816" s="123"/>
      <c r="AS1816" s="1"/>
      <c r="AT1816" s="1"/>
    </row>
    <row r="1817">
      <c r="A1817" s="43"/>
      <c r="B1817" s="59"/>
      <c r="C1817" s="51"/>
      <c r="D1817" s="43"/>
      <c r="E1817" s="85"/>
      <c r="F1817" s="43"/>
      <c r="G1817" s="85"/>
      <c r="H1817" s="43"/>
      <c r="I1817" s="85"/>
      <c r="J1817" s="43"/>
      <c r="L1817" s="43"/>
      <c r="N1817" s="43"/>
      <c r="P1817" s="43"/>
      <c r="R1817" s="43"/>
      <c r="T1817" s="43"/>
      <c r="V1817" s="43"/>
      <c r="X1817" s="43"/>
      <c r="Z1817" s="43"/>
      <c r="AB1817" s="43"/>
      <c r="AD1817" s="43"/>
      <c r="AF1817" s="43"/>
      <c r="AH1817" s="43"/>
      <c r="AJ1817" s="43"/>
      <c r="AL1817" s="43"/>
      <c r="AO1817" s="43"/>
      <c r="AP1817" s="1"/>
      <c r="AQ1817" s="43"/>
      <c r="AR1817" s="123"/>
      <c r="AS1817" s="1"/>
      <c r="AT1817" s="1"/>
    </row>
    <row r="1818">
      <c r="A1818" s="43"/>
      <c r="B1818" s="59"/>
      <c r="C1818" s="51"/>
      <c r="D1818" s="43"/>
      <c r="E1818" s="85"/>
      <c r="F1818" s="43"/>
      <c r="G1818" s="85"/>
      <c r="H1818" s="43"/>
      <c r="I1818" s="85"/>
      <c r="J1818" s="43"/>
      <c r="L1818" s="43"/>
      <c r="N1818" s="43"/>
      <c r="P1818" s="43"/>
      <c r="R1818" s="43"/>
      <c r="T1818" s="43"/>
      <c r="V1818" s="43"/>
      <c r="X1818" s="43"/>
      <c r="Z1818" s="43"/>
      <c r="AB1818" s="43"/>
      <c r="AD1818" s="43"/>
      <c r="AF1818" s="43"/>
      <c r="AH1818" s="43"/>
      <c r="AJ1818" s="43"/>
      <c r="AL1818" s="43"/>
      <c r="AO1818" s="43"/>
      <c r="AP1818" s="1"/>
      <c r="AQ1818" s="43"/>
      <c r="AR1818" s="123"/>
      <c r="AS1818" s="1"/>
      <c r="AT1818" s="1"/>
    </row>
    <row r="1819">
      <c r="A1819" s="43"/>
      <c r="B1819" s="59"/>
      <c r="C1819" s="51"/>
      <c r="D1819" s="43"/>
      <c r="E1819" s="85"/>
      <c r="F1819" s="43"/>
      <c r="G1819" s="85"/>
      <c r="H1819" s="43"/>
      <c r="I1819" s="85"/>
      <c r="J1819" s="43"/>
      <c r="L1819" s="43"/>
      <c r="N1819" s="43"/>
      <c r="P1819" s="43"/>
      <c r="R1819" s="43"/>
      <c r="T1819" s="43"/>
      <c r="V1819" s="43"/>
      <c r="X1819" s="43"/>
      <c r="Z1819" s="43"/>
      <c r="AB1819" s="43"/>
      <c r="AD1819" s="43"/>
      <c r="AF1819" s="43"/>
      <c r="AH1819" s="43"/>
      <c r="AJ1819" s="43"/>
      <c r="AL1819" s="43"/>
      <c r="AO1819" s="43"/>
      <c r="AP1819" s="1"/>
      <c r="AQ1819" s="43"/>
      <c r="AR1819" s="123"/>
      <c r="AS1819" s="1"/>
      <c r="AT1819" s="1"/>
    </row>
    <row r="1820">
      <c r="A1820" s="43"/>
      <c r="B1820" s="59"/>
      <c r="C1820" s="51"/>
      <c r="D1820" s="43"/>
      <c r="E1820" s="85"/>
      <c r="F1820" s="43"/>
      <c r="G1820" s="85"/>
      <c r="H1820" s="43"/>
      <c r="I1820" s="85"/>
      <c r="J1820" s="43"/>
      <c r="L1820" s="43"/>
      <c r="N1820" s="43"/>
      <c r="P1820" s="43"/>
      <c r="R1820" s="43"/>
      <c r="T1820" s="43"/>
      <c r="V1820" s="43"/>
      <c r="X1820" s="43"/>
      <c r="Z1820" s="43"/>
      <c r="AB1820" s="43"/>
      <c r="AD1820" s="43"/>
      <c r="AF1820" s="43"/>
      <c r="AH1820" s="43"/>
      <c r="AJ1820" s="43"/>
      <c r="AL1820" s="43"/>
      <c r="AO1820" s="43"/>
      <c r="AP1820" s="1"/>
      <c r="AQ1820" s="43"/>
      <c r="AR1820" s="123"/>
      <c r="AS1820" s="1"/>
      <c r="AT1820" s="1"/>
    </row>
    <row r="1821">
      <c r="A1821" s="43"/>
      <c r="B1821" s="59"/>
      <c r="C1821" s="51"/>
      <c r="D1821" s="43"/>
      <c r="E1821" s="85"/>
      <c r="F1821" s="43"/>
      <c r="G1821" s="85"/>
      <c r="H1821" s="43"/>
      <c r="I1821" s="85"/>
      <c r="J1821" s="43"/>
      <c r="L1821" s="43"/>
      <c r="N1821" s="43"/>
      <c r="P1821" s="43"/>
      <c r="R1821" s="43"/>
      <c r="T1821" s="43"/>
      <c r="V1821" s="43"/>
      <c r="X1821" s="43"/>
      <c r="Z1821" s="43"/>
      <c r="AB1821" s="43"/>
      <c r="AD1821" s="43"/>
      <c r="AF1821" s="43"/>
      <c r="AH1821" s="43"/>
      <c r="AJ1821" s="43"/>
      <c r="AL1821" s="43"/>
      <c r="AO1821" s="43"/>
      <c r="AP1821" s="1"/>
      <c r="AQ1821" s="43"/>
      <c r="AR1821" s="123"/>
      <c r="AS1821" s="1"/>
      <c r="AT1821" s="1"/>
    </row>
    <row r="1822">
      <c r="A1822" s="43"/>
      <c r="B1822" s="59"/>
      <c r="C1822" s="51"/>
      <c r="D1822" s="43"/>
      <c r="E1822" s="85"/>
      <c r="F1822" s="43"/>
      <c r="G1822" s="85"/>
      <c r="H1822" s="43"/>
      <c r="I1822" s="85"/>
      <c r="J1822" s="43"/>
      <c r="L1822" s="43"/>
      <c r="N1822" s="43"/>
      <c r="P1822" s="43"/>
      <c r="R1822" s="43"/>
      <c r="T1822" s="43"/>
      <c r="V1822" s="43"/>
      <c r="X1822" s="43"/>
      <c r="Z1822" s="43"/>
      <c r="AB1822" s="43"/>
      <c r="AD1822" s="43"/>
      <c r="AF1822" s="43"/>
      <c r="AH1822" s="43"/>
      <c r="AJ1822" s="43"/>
      <c r="AL1822" s="43"/>
      <c r="AO1822" s="43"/>
      <c r="AP1822" s="1"/>
      <c r="AQ1822" s="43"/>
      <c r="AR1822" s="123"/>
      <c r="AS1822" s="1"/>
      <c r="AT1822" s="1"/>
    </row>
    <row r="1823">
      <c r="A1823" s="43"/>
      <c r="B1823" s="59"/>
      <c r="C1823" s="51"/>
      <c r="D1823" s="43"/>
      <c r="E1823" s="85"/>
      <c r="F1823" s="43"/>
      <c r="G1823" s="85"/>
      <c r="H1823" s="43"/>
      <c r="I1823" s="85"/>
      <c r="J1823" s="43"/>
      <c r="L1823" s="43"/>
      <c r="N1823" s="43"/>
      <c r="P1823" s="43"/>
      <c r="R1823" s="43"/>
      <c r="T1823" s="43"/>
      <c r="V1823" s="43"/>
      <c r="X1823" s="43"/>
      <c r="Z1823" s="43"/>
      <c r="AB1823" s="43"/>
      <c r="AD1823" s="43"/>
      <c r="AF1823" s="43"/>
      <c r="AH1823" s="43"/>
      <c r="AJ1823" s="43"/>
      <c r="AL1823" s="43"/>
      <c r="AO1823" s="43"/>
      <c r="AP1823" s="1"/>
      <c r="AQ1823" s="43"/>
      <c r="AR1823" s="123"/>
      <c r="AS1823" s="1"/>
      <c r="AT1823" s="1"/>
    </row>
    <row r="1824">
      <c r="A1824" s="43"/>
      <c r="B1824" s="59"/>
      <c r="C1824" s="51"/>
      <c r="D1824" s="43"/>
      <c r="E1824" s="85"/>
      <c r="F1824" s="43"/>
      <c r="G1824" s="85"/>
      <c r="H1824" s="43"/>
      <c r="I1824" s="85"/>
      <c r="J1824" s="43"/>
      <c r="L1824" s="43"/>
      <c r="N1824" s="43"/>
      <c r="P1824" s="43"/>
      <c r="R1824" s="43"/>
      <c r="T1824" s="43"/>
      <c r="V1824" s="43"/>
      <c r="X1824" s="43"/>
      <c r="Z1824" s="43"/>
      <c r="AB1824" s="43"/>
      <c r="AD1824" s="43"/>
      <c r="AF1824" s="43"/>
      <c r="AH1824" s="43"/>
      <c r="AJ1824" s="43"/>
      <c r="AL1824" s="43"/>
      <c r="AO1824" s="43"/>
      <c r="AP1824" s="1"/>
      <c r="AQ1824" s="43"/>
      <c r="AR1824" s="123"/>
      <c r="AS1824" s="1"/>
      <c r="AT1824" s="1"/>
    </row>
    <row r="1825">
      <c r="A1825" s="43"/>
      <c r="B1825" s="59"/>
      <c r="C1825" s="51"/>
      <c r="D1825" s="43"/>
      <c r="E1825" s="85"/>
      <c r="F1825" s="43"/>
      <c r="G1825" s="85"/>
      <c r="H1825" s="43"/>
      <c r="I1825" s="85"/>
      <c r="J1825" s="43"/>
      <c r="L1825" s="43"/>
      <c r="N1825" s="43"/>
      <c r="P1825" s="43"/>
      <c r="R1825" s="43"/>
      <c r="T1825" s="43"/>
      <c r="V1825" s="43"/>
      <c r="X1825" s="43"/>
      <c r="Z1825" s="43"/>
      <c r="AB1825" s="43"/>
      <c r="AD1825" s="43"/>
      <c r="AF1825" s="43"/>
      <c r="AH1825" s="43"/>
      <c r="AJ1825" s="43"/>
      <c r="AL1825" s="43"/>
      <c r="AO1825" s="43"/>
      <c r="AP1825" s="1"/>
      <c r="AQ1825" s="43"/>
      <c r="AR1825" s="123"/>
      <c r="AS1825" s="1"/>
      <c r="AT1825" s="1"/>
    </row>
    <row r="1826">
      <c r="A1826" s="43"/>
      <c r="B1826" s="59"/>
      <c r="C1826" s="51"/>
      <c r="D1826" s="43"/>
      <c r="E1826" s="85"/>
      <c r="F1826" s="43"/>
      <c r="G1826" s="85"/>
      <c r="H1826" s="43"/>
      <c r="I1826" s="85"/>
      <c r="J1826" s="43"/>
      <c r="L1826" s="43"/>
      <c r="N1826" s="43"/>
      <c r="P1826" s="43"/>
      <c r="R1826" s="43"/>
      <c r="T1826" s="43"/>
      <c r="V1826" s="43"/>
      <c r="X1826" s="43"/>
      <c r="Z1826" s="43"/>
      <c r="AB1826" s="43"/>
      <c r="AD1826" s="43"/>
      <c r="AF1826" s="43"/>
      <c r="AH1826" s="43"/>
      <c r="AJ1826" s="43"/>
      <c r="AL1826" s="43"/>
      <c r="AO1826" s="43"/>
      <c r="AP1826" s="1"/>
      <c r="AQ1826" s="43"/>
      <c r="AR1826" s="123"/>
      <c r="AS1826" s="1"/>
      <c r="AT1826" s="1"/>
    </row>
    <row r="1827">
      <c r="A1827" s="43"/>
      <c r="B1827" s="59"/>
      <c r="C1827" s="51"/>
      <c r="D1827" s="43"/>
      <c r="E1827" s="85"/>
      <c r="F1827" s="43"/>
      <c r="G1827" s="85"/>
      <c r="H1827" s="43"/>
      <c r="I1827" s="85"/>
      <c r="J1827" s="43"/>
      <c r="L1827" s="43"/>
      <c r="N1827" s="43"/>
      <c r="P1827" s="43"/>
      <c r="R1827" s="43"/>
      <c r="T1827" s="43"/>
      <c r="V1827" s="43"/>
      <c r="X1827" s="43"/>
      <c r="Z1827" s="43"/>
      <c r="AB1827" s="43"/>
      <c r="AD1827" s="43"/>
      <c r="AF1827" s="43"/>
      <c r="AH1827" s="43"/>
      <c r="AJ1827" s="43"/>
      <c r="AL1827" s="43"/>
      <c r="AO1827" s="43"/>
      <c r="AP1827" s="1"/>
      <c r="AQ1827" s="43"/>
      <c r="AR1827" s="123"/>
      <c r="AS1827" s="1"/>
      <c r="AT1827" s="1"/>
    </row>
    <row r="1828">
      <c r="A1828" s="43"/>
      <c r="B1828" s="59"/>
      <c r="C1828" s="51"/>
      <c r="D1828" s="43"/>
      <c r="E1828" s="85"/>
      <c r="F1828" s="43"/>
      <c r="G1828" s="85"/>
      <c r="H1828" s="43"/>
      <c r="I1828" s="85"/>
      <c r="J1828" s="43"/>
      <c r="L1828" s="43"/>
      <c r="N1828" s="43"/>
      <c r="P1828" s="43"/>
      <c r="R1828" s="43"/>
      <c r="T1828" s="43"/>
      <c r="V1828" s="43"/>
      <c r="X1828" s="43"/>
      <c r="Z1828" s="43"/>
      <c r="AB1828" s="43"/>
      <c r="AD1828" s="43"/>
      <c r="AF1828" s="43"/>
      <c r="AH1828" s="43"/>
      <c r="AJ1828" s="43"/>
      <c r="AL1828" s="43"/>
      <c r="AO1828" s="43"/>
      <c r="AP1828" s="1"/>
      <c r="AQ1828" s="43"/>
      <c r="AR1828" s="123"/>
      <c r="AS1828" s="1"/>
      <c r="AT1828" s="1"/>
    </row>
    <row r="1829">
      <c r="A1829" s="43"/>
      <c r="B1829" s="59"/>
      <c r="C1829" s="51"/>
      <c r="D1829" s="43"/>
      <c r="E1829" s="85"/>
      <c r="F1829" s="43"/>
      <c r="G1829" s="85"/>
      <c r="H1829" s="43"/>
      <c r="I1829" s="85"/>
      <c r="J1829" s="43"/>
      <c r="L1829" s="43"/>
      <c r="N1829" s="43"/>
      <c r="P1829" s="43"/>
      <c r="R1829" s="43"/>
      <c r="T1829" s="43"/>
      <c r="V1829" s="43"/>
      <c r="X1829" s="43"/>
      <c r="Z1829" s="43"/>
      <c r="AB1829" s="43"/>
      <c r="AD1829" s="43"/>
      <c r="AF1829" s="43"/>
      <c r="AH1829" s="43"/>
      <c r="AJ1829" s="43"/>
      <c r="AL1829" s="43"/>
      <c r="AO1829" s="43"/>
      <c r="AP1829" s="1"/>
      <c r="AQ1829" s="43"/>
      <c r="AR1829" s="123"/>
      <c r="AS1829" s="1"/>
      <c r="AT1829" s="1"/>
    </row>
    <row r="1830">
      <c r="A1830" s="43"/>
      <c r="B1830" s="59"/>
      <c r="C1830" s="51"/>
      <c r="D1830" s="43"/>
      <c r="E1830" s="85"/>
      <c r="F1830" s="43"/>
      <c r="G1830" s="85"/>
      <c r="H1830" s="43"/>
      <c r="I1830" s="85"/>
      <c r="J1830" s="43"/>
      <c r="L1830" s="43"/>
      <c r="N1830" s="43"/>
      <c r="P1830" s="43"/>
      <c r="R1830" s="43"/>
      <c r="T1830" s="43"/>
      <c r="V1830" s="43"/>
      <c r="X1830" s="43"/>
      <c r="Z1830" s="43"/>
      <c r="AB1830" s="43"/>
      <c r="AD1830" s="43"/>
      <c r="AF1830" s="43"/>
      <c r="AH1830" s="43"/>
      <c r="AJ1830" s="43"/>
      <c r="AL1830" s="43"/>
      <c r="AO1830" s="43"/>
      <c r="AP1830" s="1"/>
      <c r="AQ1830" s="43"/>
      <c r="AR1830" s="123"/>
      <c r="AS1830" s="1"/>
      <c r="AT1830" s="1"/>
    </row>
    <row r="1831">
      <c r="A1831" s="43"/>
      <c r="B1831" s="59"/>
      <c r="C1831" s="51"/>
      <c r="D1831" s="43"/>
      <c r="E1831" s="85"/>
      <c r="F1831" s="43"/>
      <c r="G1831" s="85"/>
      <c r="H1831" s="43"/>
      <c r="I1831" s="85"/>
      <c r="J1831" s="43"/>
      <c r="L1831" s="43"/>
      <c r="N1831" s="43"/>
      <c r="P1831" s="43"/>
      <c r="R1831" s="43"/>
      <c r="T1831" s="43"/>
      <c r="V1831" s="43"/>
      <c r="X1831" s="43"/>
      <c r="Z1831" s="43"/>
      <c r="AB1831" s="43"/>
      <c r="AD1831" s="43"/>
      <c r="AF1831" s="43"/>
      <c r="AH1831" s="43"/>
      <c r="AJ1831" s="43"/>
      <c r="AL1831" s="43"/>
      <c r="AO1831" s="43"/>
      <c r="AP1831" s="1"/>
      <c r="AQ1831" s="43"/>
      <c r="AR1831" s="123"/>
      <c r="AS1831" s="1"/>
      <c r="AT1831" s="1"/>
    </row>
    <row r="1832">
      <c r="A1832" s="43"/>
      <c r="B1832" s="59"/>
      <c r="C1832" s="51"/>
      <c r="D1832" s="43"/>
      <c r="E1832" s="85"/>
      <c r="F1832" s="43"/>
      <c r="G1832" s="85"/>
      <c r="H1832" s="43"/>
      <c r="I1832" s="85"/>
      <c r="J1832" s="43"/>
      <c r="L1832" s="43"/>
      <c r="N1832" s="43"/>
      <c r="P1832" s="43"/>
      <c r="R1832" s="43"/>
      <c r="T1832" s="43"/>
      <c r="V1832" s="43"/>
      <c r="X1832" s="43"/>
      <c r="Z1832" s="43"/>
      <c r="AB1832" s="43"/>
      <c r="AD1832" s="43"/>
      <c r="AF1832" s="43"/>
      <c r="AH1832" s="43"/>
      <c r="AJ1832" s="43"/>
      <c r="AL1832" s="43"/>
      <c r="AO1832" s="43"/>
      <c r="AP1832" s="1"/>
      <c r="AQ1832" s="43"/>
      <c r="AR1832" s="123"/>
      <c r="AS1832" s="1"/>
      <c r="AT1832" s="1"/>
    </row>
    <row r="1833">
      <c r="A1833" s="43"/>
      <c r="B1833" s="59"/>
      <c r="C1833" s="51"/>
      <c r="D1833" s="43"/>
      <c r="E1833" s="85"/>
      <c r="F1833" s="43"/>
      <c r="G1833" s="85"/>
      <c r="H1833" s="43"/>
      <c r="I1833" s="85"/>
      <c r="J1833" s="43"/>
      <c r="L1833" s="43"/>
      <c r="N1833" s="43"/>
      <c r="P1833" s="43"/>
      <c r="R1833" s="43"/>
      <c r="T1833" s="43"/>
      <c r="V1833" s="43"/>
      <c r="X1833" s="43"/>
      <c r="Z1833" s="43"/>
      <c r="AB1833" s="43"/>
      <c r="AD1833" s="43"/>
      <c r="AF1833" s="43"/>
      <c r="AH1833" s="43"/>
      <c r="AJ1833" s="43"/>
      <c r="AL1833" s="43"/>
      <c r="AO1833" s="43"/>
      <c r="AP1833" s="1"/>
      <c r="AQ1833" s="43"/>
      <c r="AR1833" s="123"/>
      <c r="AS1833" s="1"/>
      <c r="AT1833" s="1"/>
    </row>
    <row r="1834">
      <c r="A1834" s="43"/>
      <c r="B1834" s="59"/>
      <c r="C1834" s="51"/>
      <c r="D1834" s="43"/>
      <c r="E1834" s="85"/>
      <c r="F1834" s="43"/>
      <c r="G1834" s="85"/>
      <c r="H1834" s="43"/>
      <c r="I1834" s="85"/>
      <c r="J1834" s="43"/>
      <c r="L1834" s="43"/>
      <c r="N1834" s="43"/>
      <c r="P1834" s="43"/>
      <c r="R1834" s="43"/>
      <c r="T1834" s="43"/>
      <c r="V1834" s="43"/>
      <c r="X1834" s="43"/>
      <c r="Z1834" s="43"/>
      <c r="AB1834" s="43"/>
      <c r="AD1834" s="43"/>
      <c r="AF1834" s="43"/>
      <c r="AH1834" s="43"/>
      <c r="AJ1834" s="43"/>
      <c r="AL1834" s="43"/>
      <c r="AO1834" s="43"/>
      <c r="AP1834" s="1"/>
      <c r="AQ1834" s="43"/>
      <c r="AR1834" s="123"/>
      <c r="AS1834" s="1"/>
      <c r="AT1834" s="1"/>
    </row>
    <row r="1835">
      <c r="A1835" s="43"/>
      <c r="B1835" s="59"/>
      <c r="C1835" s="51"/>
      <c r="D1835" s="43"/>
      <c r="E1835" s="85"/>
      <c r="F1835" s="43"/>
      <c r="G1835" s="85"/>
      <c r="H1835" s="43"/>
      <c r="I1835" s="85"/>
      <c r="J1835" s="43"/>
      <c r="L1835" s="43"/>
      <c r="N1835" s="43"/>
      <c r="P1835" s="43"/>
      <c r="R1835" s="43"/>
      <c r="T1835" s="43"/>
      <c r="V1835" s="43"/>
      <c r="X1835" s="43"/>
      <c r="Z1835" s="43"/>
      <c r="AB1835" s="43"/>
      <c r="AD1835" s="43"/>
      <c r="AF1835" s="43"/>
      <c r="AH1835" s="43"/>
      <c r="AJ1835" s="43"/>
      <c r="AL1835" s="43"/>
      <c r="AO1835" s="43"/>
      <c r="AP1835" s="1"/>
      <c r="AQ1835" s="43"/>
      <c r="AR1835" s="123"/>
      <c r="AS1835" s="1"/>
      <c r="AT1835" s="1"/>
    </row>
    <row r="1836">
      <c r="A1836" s="43"/>
      <c r="B1836" s="59"/>
      <c r="C1836" s="51"/>
      <c r="D1836" s="43"/>
      <c r="E1836" s="85"/>
      <c r="F1836" s="43"/>
      <c r="G1836" s="85"/>
      <c r="H1836" s="43"/>
      <c r="I1836" s="85"/>
      <c r="J1836" s="43"/>
      <c r="L1836" s="43"/>
      <c r="N1836" s="43"/>
      <c r="P1836" s="43"/>
      <c r="R1836" s="43"/>
      <c r="T1836" s="43"/>
      <c r="V1836" s="43"/>
      <c r="X1836" s="43"/>
      <c r="Z1836" s="43"/>
      <c r="AB1836" s="43"/>
      <c r="AD1836" s="43"/>
      <c r="AF1836" s="43"/>
      <c r="AH1836" s="43"/>
      <c r="AJ1836" s="43"/>
      <c r="AL1836" s="43"/>
      <c r="AO1836" s="43"/>
      <c r="AP1836" s="1"/>
      <c r="AQ1836" s="43"/>
      <c r="AR1836" s="123"/>
      <c r="AS1836" s="1"/>
      <c r="AT1836" s="1"/>
    </row>
    <row r="1837">
      <c r="A1837" s="43"/>
      <c r="B1837" s="59"/>
      <c r="C1837" s="51"/>
      <c r="D1837" s="43"/>
      <c r="E1837" s="85"/>
      <c r="F1837" s="43"/>
      <c r="G1837" s="85"/>
      <c r="H1837" s="43"/>
      <c r="I1837" s="85"/>
      <c r="J1837" s="43"/>
      <c r="L1837" s="43"/>
      <c r="N1837" s="43"/>
      <c r="P1837" s="43"/>
      <c r="R1837" s="43"/>
      <c r="T1837" s="43"/>
      <c r="V1837" s="43"/>
      <c r="X1837" s="43"/>
      <c r="Z1837" s="43"/>
      <c r="AB1837" s="43"/>
      <c r="AD1837" s="43"/>
      <c r="AF1837" s="43"/>
      <c r="AH1837" s="43"/>
      <c r="AJ1837" s="43"/>
      <c r="AL1837" s="43"/>
      <c r="AO1837" s="43"/>
      <c r="AP1837" s="1"/>
      <c r="AQ1837" s="43"/>
      <c r="AR1837" s="123"/>
      <c r="AS1837" s="1"/>
      <c r="AT1837" s="1"/>
    </row>
    <row r="1838">
      <c r="A1838" s="43"/>
      <c r="B1838" s="59"/>
      <c r="C1838" s="51"/>
      <c r="D1838" s="43"/>
      <c r="E1838" s="85"/>
      <c r="F1838" s="43"/>
      <c r="G1838" s="85"/>
      <c r="H1838" s="43"/>
      <c r="I1838" s="85"/>
      <c r="J1838" s="43"/>
      <c r="L1838" s="43"/>
      <c r="N1838" s="43"/>
      <c r="P1838" s="43"/>
      <c r="R1838" s="43"/>
      <c r="T1838" s="43"/>
      <c r="V1838" s="43"/>
      <c r="X1838" s="43"/>
      <c r="Z1838" s="43"/>
      <c r="AB1838" s="43"/>
      <c r="AD1838" s="43"/>
      <c r="AF1838" s="43"/>
      <c r="AH1838" s="43"/>
      <c r="AJ1838" s="43"/>
      <c r="AL1838" s="43"/>
      <c r="AO1838" s="43"/>
      <c r="AP1838" s="1"/>
      <c r="AQ1838" s="43"/>
      <c r="AR1838" s="123"/>
      <c r="AS1838" s="1"/>
      <c r="AT1838" s="1"/>
    </row>
    <row r="1839">
      <c r="A1839" s="43"/>
      <c r="B1839" s="59"/>
      <c r="C1839" s="51"/>
      <c r="D1839" s="43"/>
      <c r="E1839" s="85"/>
      <c r="F1839" s="43"/>
      <c r="G1839" s="85"/>
      <c r="H1839" s="43"/>
      <c r="I1839" s="85"/>
      <c r="J1839" s="43"/>
      <c r="L1839" s="43"/>
      <c r="N1839" s="43"/>
      <c r="P1839" s="43"/>
      <c r="R1839" s="43"/>
      <c r="T1839" s="43"/>
      <c r="V1839" s="43"/>
      <c r="X1839" s="43"/>
      <c r="Z1839" s="43"/>
      <c r="AB1839" s="43"/>
      <c r="AD1839" s="43"/>
      <c r="AF1839" s="43"/>
      <c r="AH1839" s="43"/>
      <c r="AJ1839" s="43"/>
      <c r="AL1839" s="43"/>
      <c r="AO1839" s="43"/>
      <c r="AP1839" s="1"/>
      <c r="AQ1839" s="43"/>
      <c r="AR1839" s="123"/>
      <c r="AS1839" s="1"/>
      <c r="AT1839" s="1"/>
    </row>
    <row r="1840">
      <c r="A1840" s="43"/>
      <c r="B1840" s="59"/>
      <c r="C1840" s="51"/>
      <c r="D1840" s="43"/>
      <c r="E1840" s="85"/>
      <c r="F1840" s="43"/>
      <c r="G1840" s="85"/>
      <c r="H1840" s="43"/>
      <c r="I1840" s="85"/>
      <c r="J1840" s="43"/>
      <c r="L1840" s="43"/>
      <c r="N1840" s="43"/>
      <c r="P1840" s="43"/>
      <c r="R1840" s="43"/>
      <c r="T1840" s="43"/>
      <c r="V1840" s="43"/>
      <c r="X1840" s="43"/>
      <c r="Z1840" s="43"/>
      <c r="AB1840" s="43"/>
      <c r="AD1840" s="43"/>
      <c r="AF1840" s="43"/>
      <c r="AH1840" s="43"/>
      <c r="AJ1840" s="43"/>
      <c r="AL1840" s="43"/>
      <c r="AO1840" s="43"/>
      <c r="AP1840" s="1"/>
      <c r="AQ1840" s="43"/>
      <c r="AR1840" s="123"/>
      <c r="AS1840" s="1"/>
      <c r="AT1840" s="1"/>
    </row>
    <row r="1841">
      <c r="A1841" s="43"/>
      <c r="B1841" s="59"/>
      <c r="C1841" s="51"/>
      <c r="D1841" s="43"/>
      <c r="E1841" s="85"/>
      <c r="F1841" s="43"/>
      <c r="G1841" s="85"/>
      <c r="H1841" s="43"/>
      <c r="I1841" s="85"/>
      <c r="J1841" s="43"/>
      <c r="L1841" s="43"/>
      <c r="N1841" s="43"/>
      <c r="P1841" s="43"/>
      <c r="R1841" s="43"/>
      <c r="T1841" s="43"/>
      <c r="V1841" s="43"/>
      <c r="X1841" s="43"/>
      <c r="Z1841" s="43"/>
      <c r="AB1841" s="43"/>
      <c r="AD1841" s="43"/>
      <c r="AF1841" s="43"/>
      <c r="AH1841" s="43"/>
      <c r="AJ1841" s="43"/>
      <c r="AL1841" s="43"/>
      <c r="AO1841" s="43"/>
      <c r="AP1841" s="1"/>
      <c r="AQ1841" s="43"/>
      <c r="AR1841" s="123"/>
      <c r="AS1841" s="1"/>
      <c r="AT1841" s="1"/>
    </row>
    <row r="1842">
      <c r="A1842" s="43"/>
      <c r="B1842" s="59"/>
      <c r="C1842" s="51"/>
      <c r="D1842" s="43"/>
      <c r="E1842" s="85"/>
      <c r="F1842" s="43"/>
      <c r="G1842" s="85"/>
      <c r="H1842" s="43"/>
      <c r="I1842" s="85"/>
      <c r="J1842" s="43"/>
      <c r="L1842" s="43"/>
      <c r="N1842" s="43"/>
      <c r="P1842" s="43"/>
      <c r="R1842" s="43"/>
      <c r="T1842" s="43"/>
      <c r="V1842" s="43"/>
      <c r="X1842" s="43"/>
      <c r="Z1842" s="43"/>
      <c r="AB1842" s="43"/>
      <c r="AD1842" s="43"/>
      <c r="AF1842" s="43"/>
      <c r="AH1842" s="43"/>
      <c r="AJ1842" s="43"/>
      <c r="AL1842" s="43"/>
      <c r="AO1842" s="43"/>
      <c r="AP1842" s="1"/>
      <c r="AQ1842" s="43"/>
      <c r="AR1842" s="123"/>
      <c r="AS1842" s="1"/>
      <c r="AT1842" s="1"/>
    </row>
    <row r="1843">
      <c r="A1843" s="43"/>
      <c r="B1843" s="59"/>
      <c r="C1843" s="51"/>
      <c r="D1843" s="43"/>
      <c r="E1843" s="85"/>
      <c r="F1843" s="43"/>
      <c r="G1843" s="85"/>
      <c r="H1843" s="43"/>
      <c r="I1843" s="85"/>
      <c r="J1843" s="43"/>
      <c r="L1843" s="43"/>
      <c r="N1843" s="43"/>
      <c r="P1843" s="43"/>
      <c r="R1843" s="43"/>
      <c r="T1843" s="43"/>
      <c r="V1843" s="43"/>
      <c r="X1843" s="43"/>
      <c r="Z1843" s="43"/>
      <c r="AB1843" s="43"/>
      <c r="AD1843" s="43"/>
      <c r="AF1843" s="43"/>
      <c r="AH1843" s="43"/>
      <c r="AJ1843" s="43"/>
      <c r="AL1843" s="43"/>
      <c r="AO1843" s="43"/>
      <c r="AP1843" s="1"/>
      <c r="AQ1843" s="43"/>
      <c r="AR1843" s="123"/>
      <c r="AS1843" s="1"/>
      <c r="AT1843" s="1"/>
    </row>
    <row r="1844">
      <c r="A1844" s="43"/>
      <c r="B1844" s="59"/>
      <c r="C1844" s="51"/>
      <c r="D1844" s="43"/>
      <c r="E1844" s="85"/>
      <c r="F1844" s="43"/>
      <c r="G1844" s="85"/>
      <c r="H1844" s="43"/>
      <c r="I1844" s="85"/>
      <c r="J1844" s="43"/>
      <c r="L1844" s="43"/>
      <c r="N1844" s="43"/>
      <c r="P1844" s="43"/>
      <c r="R1844" s="43"/>
      <c r="T1844" s="43"/>
      <c r="V1844" s="43"/>
      <c r="X1844" s="43"/>
      <c r="Z1844" s="43"/>
      <c r="AB1844" s="43"/>
      <c r="AD1844" s="43"/>
      <c r="AF1844" s="43"/>
      <c r="AH1844" s="43"/>
      <c r="AJ1844" s="43"/>
      <c r="AL1844" s="43"/>
      <c r="AO1844" s="43"/>
      <c r="AP1844" s="1"/>
      <c r="AQ1844" s="43"/>
      <c r="AR1844" s="123"/>
      <c r="AS1844" s="1"/>
      <c r="AT1844" s="1"/>
    </row>
    <row r="1845">
      <c r="A1845" s="43"/>
      <c r="B1845" s="59"/>
      <c r="C1845" s="51"/>
      <c r="D1845" s="43"/>
      <c r="E1845" s="85"/>
      <c r="F1845" s="43"/>
      <c r="G1845" s="85"/>
      <c r="H1845" s="43"/>
      <c r="I1845" s="85"/>
      <c r="J1845" s="43"/>
      <c r="L1845" s="43"/>
      <c r="N1845" s="43"/>
      <c r="P1845" s="43"/>
      <c r="R1845" s="43"/>
      <c r="T1845" s="43"/>
      <c r="V1845" s="43"/>
      <c r="X1845" s="43"/>
      <c r="Z1845" s="43"/>
      <c r="AB1845" s="43"/>
      <c r="AD1845" s="43"/>
      <c r="AF1845" s="43"/>
      <c r="AH1845" s="43"/>
      <c r="AJ1845" s="43"/>
      <c r="AL1845" s="43"/>
      <c r="AO1845" s="43"/>
      <c r="AP1845" s="1"/>
      <c r="AQ1845" s="43"/>
      <c r="AR1845" s="123"/>
      <c r="AS1845" s="1"/>
      <c r="AT1845" s="1"/>
    </row>
    <row r="1846">
      <c r="A1846" s="43"/>
      <c r="B1846" s="59"/>
      <c r="C1846" s="51"/>
      <c r="D1846" s="43"/>
      <c r="E1846" s="85"/>
      <c r="F1846" s="43"/>
      <c r="G1846" s="85"/>
      <c r="H1846" s="43"/>
      <c r="I1846" s="85"/>
      <c r="J1846" s="43"/>
      <c r="L1846" s="43"/>
      <c r="N1846" s="43"/>
      <c r="P1846" s="43"/>
      <c r="R1846" s="43"/>
      <c r="T1846" s="43"/>
      <c r="V1846" s="43"/>
      <c r="X1846" s="43"/>
      <c r="Z1846" s="43"/>
      <c r="AB1846" s="43"/>
      <c r="AD1846" s="43"/>
      <c r="AF1846" s="43"/>
      <c r="AH1846" s="43"/>
      <c r="AJ1846" s="43"/>
      <c r="AL1846" s="43"/>
      <c r="AO1846" s="43"/>
      <c r="AP1846" s="1"/>
      <c r="AQ1846" s="43"/>
      <c r="AR1846" s="123"/>
      <c r="AS1846" s="1"/>
      <c r="AT1846" s="1"/>
    </row>
    <row r="1847">
      <c r="A1847" s="43"/>
      <c r="B1847" s="59"/>
      <c r="C1847" s="51"/>
      <c r="D1847" s="43"/>
      <c r="E1847" s="85"/>
      <c r="F1847" s="43"/>
      <c r="G1847" s="85"/>
      <c r="H1847" s="43"/>
      <c r="I1847" s="85"/>
      <c r="J1847" s="43"/>
      <c r="L1847" s="43"/>
      <c r="N1847" s="43"/>
      <c r="P1847" s="43"/>
      <c r="R1847" s="43"/>
      <c r="T1847" s="43"/>
      <c r="V1847" s="43"/>
      <c r="X1847" s="43"/>
      <c r="Z1847" s="43"/>
      <c r="AB1847" s="43"/>
      <c r="AD1847" s="43"/>
      <c r="AF1847" s="43"/>
      <c r="AH1847" s="43"/>
      <c r="AJ1847" s="43"/>
      <c r="AL1847" s="43"/>
      <c r="AO1847" s="43"/>
      <c r="AP1847" s="1"/>
      <c r="AQ1847" s="43"/>
      <c r="AR1847" s="123"/>
      <c r="AS1847" s="1"/>
      <c r="AT1847" s="1"/>
    </row>
    <row r="1848">
      <c r="A1848" s="43"/>
      <c r="B1848" s="59"/>
      <c r="C1848" s="51"/>
      <c r="D1848" s="43"/>
      <c r="E1848" s="85"/>
      <c r="F1848" s="43"/>
      <c r="G1848" s="85"/>
      <c r="H1848" s="43"/>
      <c r="I1848" s="85"/>
      <c r="J1848" s="43"/>
      <c r="L1848" s="43"/>
      <c r="N1848" s="43"/>
      <c r="P1848" s="43"/>
      <c r="R1848" s="43"/>
      <c r="T1848" s="43"/>
      <c r="V1848" s="43"/>
      <c r="X1848" s="43"/>
      <c r="Z1848" s="43"/>
      <c r="AB1848" s="43"/>
      <c r="AD1848" s="43"/>
      <c r="AF1848" s="43"/>
      <c r="AH1848" s="43"/>
      <c r="AJ1848" s="43"/>
      <c r="AL1848" s="43"/>
      <c r="AO1848" s="43"/>
      <c r="AP1848" s="1"/>
      <c r="AQ1848" s="43"/>
      <c r="AR1848" s="123"/>
      <c r="AS1848" s="1"/>
      <c r="AT1848" s="1"/>
    </row>
    <row r="1849">
      <c r="A1849" s="43"/>
      <c r="B1849" s="59"/>
      <c r="C1849" s="51"/>
      <c r="D1849" s="43"/>
      <c r="E1849" s="85"/>
      <c r="F1849" s="43"/>
      <c r="G1849" s="85"/>
      <c r="H1849" s="43"/>
      <c r="I1849" s="85"/>
      <c r="J1849" s="43"/>
      <c r="L1849" s="43"/>
      <c r="N1849" s="43"/>
      <c r="P1849" s="43"/>
      <c r="R1849" s="43"/>
      <c r="T1849" s="43"/>
      <c r="V1849" s="43"/>
      <c r="X1849" s="43"/>
      <c r="Z1849" s="43"/>
      <c r="AB1849" s="43"/>
      <c r="AD1849" s="43"/>
      <c r="AF1849" s="43"/>
      <c r="AH1849" s="43"/>
      <c r="AJ1849" s="43"/>
      <c r="AL1849" s="43"/>
      <c r="AO1849" s="43"/>
      <c r="AP1849" s="1"/>
      <c r="AQ1849" s="43"/>
      <c r="AR1849" s="123"/>
      <c r="AS1849" s="1"/>
      <c r="AT1849" s="1"/>
    </row>
    <row r="1850">
      <c r="A1850" s="43"/>
      <c r="B1850" s="59"/>
      <c r="C1850" s="51"/>
      <c r="D1850" s="43"/>
      <c r="E1850" s="85"/>
      <c r="F1850" s="43"/>
      <c r="G1850" s="85"/>
      <c r="H1850" s="43"/>
      <c r="I1850" s="85"/>
      <c r="J1850" s="43"/>
      <c r="L1850" s="43"/>
      <c r="N1850" s="43"/>
      <c r="P1850" s="43"/>
      <c r="R1850" s="43"/>
      <c r="T1850" s="43"/>
      <c r="V1850" s="43"/>
      <c r="X1850" s="43"/>
      <c r="Z1850" s="43"/>
      <c r="AB1850" s="43"/>
      <c r="AD1850" s="43"/>
      <c r="AF1850" s="43"/>
      <c r="AH1850" s="43"/>
      <c r="AJ1850" s="43"/>
      <c r="AL1850" s="43"/>
      <c r="AO1850" s="43"/>
      <c r="AP1850" s="1"/>
      <c r="AQ1850" s="43"/>
      <c r="AR1850" s="123"/>
      <c r="AS1850" s="1"/>
      <c r="AT1850" s="1"/>
    </row>
    <row r="1851">
      <c r="A1851" s="43"/>
      <c r="B1851" s="59"/>
      <c r="C1851" s="51"/>
      <c r="D1851" s="43"/>
      <c r="E1851" s="85"/>
      <c r="F1851" s="43"/>
      <c r="G1851" s="85"/>
      <c r="H1851" s="43"/>
      <c r="I1851" s="85"/>
      <c r="J1851" s="43"/>
      <c r="L1851" s="43"/>
      <c r="N1851" s="43"/>
      <c r="P1851" s="43"/>
      <c r="R1851" s="43"/>
      <c r="T1851" s="43"/>
      <c r="V1851" s="43"/>
      <c r="X1851" s="43"/>
      <c r="Z1851" s="43"/>
      <c r="AB1851" s="43"/>
      <c r="AD1851" s="43"/>
      <c r="AF1851" s="43"/>
      <c r="AH1851" s="43"/>
      <c r="AJ1851" s="43"/>
      <c r="AL1851" s="43"/>
      <c r="AO1851" s="43"/>
      <c r="AP1851" s="1"/>
      <c r="AQ1851" s="43"/>
      <c r="AR1851" s="123"/>
      <c r="AS1851" s="1"/>
      <c r="AT1851" s="1"/>
    </row>
    <row r="1852">
      <c r="A1852" s="43"/>
      <c r="B1852" s="59"/>
      <c r="C1852" s="51"/>
      <c r="D1852" s="43"/>
      <c r="E1852" s="85"/>
      <c r="F1852" s="43"/>
      <c r="G1852" s="85"/>
      <c r="H1852" s="43"/>
      <c r="I1852" s="85"/>
      <c r="J1852" s="43"/>
      <c r="L1852" s="43"/>
      <c r="N1852" s="43"/>
      <c r="P1852" s="43"/>
      <c r="R1852" s="43"/>
      <c r="T1852" s="43"/>
      <c r="V1852" s="43"/>
      <c r="X1852" s="43"/>
      <c r="Z1852" s="43"/>
      <c r="AB1852" s="43"/>
      <c r="AD1852" s="43"/>
      <c r="AF1852" s="43"/>
      <c r="AH1852" s="43"/>
      <c r="AJ1852" s="43"/>
      <c r="AL1852" s="43"/>
      <c r="AO1852" s="43"/>
      <c r="AP1852" s="1"/>
      <c r="AQ1852" s="43"/>
      <c r="AR1852" s="123"/>
      <c r="AS1852" s="1"/>
      <c r="AT1852" s="1"/>
    </row>
    <row r="1853">
      <c r="A1853" s="43"/>
      <c r="B1853" s="59"/>
      <c r="C1853" s="51"/>
      <c r="D1853" s="43"/>
      <c r="E1853" s="85"/>
      <c r="F1853" s="43"/>
      <c r="G1853" s="85"/>
      <c r="H1853" s="43"/>
      <c r="I1853" s="85"/>
      <c r="J1853" s="43"/>
      <c r="L1853" s="43"/>
      <c r="N1853" s="43"/>
      <c r="P1853" s="43"/>
      <c r="R1853" s="43"/>
      <c r="T1853" s="43"/>
      <c r="V1853" s="43"/>
      <c r="X1853" s="43"/>
      <c r="Z1853" s="43"/>
      <c r="AB1853" s="43"/>
      <c r="AD1853" s="43"/>
      <c r="AF1853" s="43"/>
      <c r="AH1853" s="43"/>
      <c r="AJ1853" s="43"/>
      <c r="AL1853" s="43"/>
      <c r="AO1853" s="43"/>
      <c r="AP1853" s="1"/>
      <c r="AQ1853" s="43"/>
      <c r="AR1853" s="123"/>
      <c r="AS1853" s="1"/>
      <c r="AT1853" s="1"/>
    </row>
    <row r="1854">
      <c r="A1854" s="43"/>
      <c r="B1854" s="59"/>
      <c r="C1854" s="51"/>
      <c r="D1854" s="43"/>
      <c r="E1854" s="85"/>
      <c r="F1854" s="43"/>
      <c r="G1854" s="85"/>
      <c r="H1854" s="43"/>
      <c r="I1854" s="85"/>
      <c r="J1854" s="43"/>
      <c r="L1854" s="43"/>
      <c r="N1854" s="43"/>
      <c r="P1854" s="43"/>
      <c r="R1854" s="43"/>
      <c r="T1854" s="43"/>
      <c r="V1854" s="43"/>
      <c r="X1854" s="43"/>
      <c r="Z1854" s="43"/>
      <c r="AB1854" s="43"/>
      <c r="AD1854" s="43"/>
      <c r="AF1854" s="43"/>
      <c r="AH1854" s="43"/>
      <c r="AJ1854" s="43"/>
      <c r="AL1854" s="43"/>
      <c r="AO1854" s="43"/>
      <c r="AP1854" s="1"/>
      <c r="AQ1854" s="43"/>
      <c r="AR1854" s="123"/>
      <c r="AS1854" s="1"/>
      <c r="AT1854" s="1"/>
    </row>
    <row r="1855">
      <c r="A1855" s="43"/>
      <c r="B1855" s="59"/>
      <c r="C1855" s="51"/>
      <c r="D1855" s="43"/>
      <c r="E1855" s="85"/>
      <c r="F1855" s="43"/>
      <c r="G1855" s="85"/>
      <c r="H1855" s="43"/>
      <c r="I1855" s="85"/>
      <c r="J1855" s="43"/>
      <c r="L1855" s="43"/>
      <c r="N1855" s="43"/>
      <c r="P1855" s="43"/>
      <c r="R1855" s="43"/>
      <c r="T1855" s="43"/>
      <c r="V1855" s="43"/>
      <c r="X1855" s="43"/>
      <c r="Z1855" s="43"/>
      <c r="AB1855" s="43"/>
      <c r="AD1855" s="43"/>
      <c r="AF1855" s="43"/>
      <c r="AH1855" s="43"/>
      <c r="AJ1855" s="43"/>
      <c r="AL1855" s="43"/>
      <c r="AO1855" s="43"/>
      <c r="AP1855" s="1"/>
      <c r="AQ1855" s="43"/>
      <c r="AR1855" s="123"/>
      <c r="AS1855" s="1"/>
      <c r="AT1855" s="1"/>
    </row>
    <row r="1856">
      <c r="A1856" s="43"/>
      <c r="B1856" s="59"/>
      <c r="C1856" s="51"/>
      <c r="D1856" s="43"/>
      <c r="E1856" s="85"/>
      <c r="F1856" s="43"/>
      <c r="G1856" s="85"/>
      <c r="H1856" s="43"/>
      <c r="I1856" s="85"/>
      <c r="J1856" s="43"/>
      <c r="L1856" s="43"/>
      <c r="N1856" s="43"/>
      <c r="P1856" s="43"/>
      <c r="R1856" s="43"/>
      <c r="T1856" s="43"/>
      <c r="V1856" s="43"/>
      <c r="X1856" s="43"/>
      <c r="Z1856" s="43"/>
      <c r="AB1856" s="43"/>
      <c r="AD1856" s="43"/>
      <c r="AF1856" s="43"/>
      <c r="AH1856" s="43"/>
      <c r="AJ1856" s="43"/>
      <c r="AL1856" s="43"/>
      <c r="AO1856" s="43"/>
      <c r="AP1856" s="1"/>
      <c r="AQ1856" s="43"/>
      <c r="AR1856" s="123"/>
      <c r="AS1856" s="1"/>
      <c r="AT1856" s="1"/>
    </row>
    <row r="1857">
      <c r="A1857" s="43"/>
      <c r="B1857" s="59"/>
      <c r="C1857" s="51"/>
      <c r="D1857" s="43"/>
      <c r="E1857" s="85"/>
      <c r="F1857" s="43"/>
      <c r="G1857" s="85"/>
      <c r="H1857" s="43"/>
      <c r="I1857" s="85"/>
      <c r="J1857" s="43"/>
      <c r="L1857" s="43"/>
      <c r="N1857" s="43"/>
      <c r="P1857" s="43"/>
      <c r="R1857" s="43"/>
      <c r="T1857" s="43"/>
      <c r="V1857" s="43"/>
      <c r="X1857" s="43"/>
      <c r="Z1857" s="43"/>
      <c r="AB1857" s="43"/>
      <c r="AD1857" s="43"/>
      <c r="AF1857" s="43"/>
      <c r="AH1857" s="43"/>
      <c r="AJ1857" s="43"/>
      <c r="AL1857" s="43"/>
      <c r="AO1857" s="43"/>
      <c r="AP1857" s="1"/>
      <c r="AQ1857" s="43"/>
      <c r="AR1857" s="123"/>
      <c r="AS1857" s="1"/>
      <c r="AT1857" s="1"/>
    </row>
    <row r="1858">
      <c r="A1858" s="43"/>
      <c r="B1858" s="59"/>
      <c r="C1858" s="51"/>
      <c r="D1858" s="43"/>
      <c r="E1858" s="85"/>
      <c r="F1858" s="43"/>
      <c r="G1858" s="85"/>
      <c r="H1858" s="43"/>
      <c r="I1858" s="85"/>
      <c r="J1858" s="43"/>
      <c r="L1858" s="43"/>
      <c r="N1858" s="43"/>
      <c r="P1858" s="43"/>
      <c r="R1858" s="43"/>
      <c r="T1858" s="43"/>
      <c r="V1858" s="43"/>
      <c r="X1858" s="43"/>
      <c r="Z1858" s="43"/>
      <c r="AB1858" s="43"/>
      <c r="AD1858" s="43"/>
      <c r="AF1858" s="43"/>
      <c r="AH1858" s="43"/>
      <c r="AJ1858" s="43"/>
      <c r="AL1858" s="43"/>
      <c r="AO1858" s="43"/>
      <c r="AP1858" s="1"/>
      <c r="AQ1858" s="43"/>
      <c r="AR1858" s="123"/>
      <c r="AS1858" s="1"/>
      <c r="AT1858" s="1"/>
    </row>
    <row r="1859">
      <c r="A1859" s="43"/>
      <c r="B1859" s="59"/>
      <c r="C1859" s="51"/>
      <c r="D1859" s="43"/>
      <c r="E1859" s="85"/>
      <c r="F1859" s="43"/>
      <c r="G1859" s="85"/>
      <c r="H1859" s="43"/>
      <c r="I1859" s="85"/>
      <c r="J1859" s="43"/>
      <c r="L1859" s="43"/>
      <c r="N1859" s="43"/>
      <c r="P1859" s="43"/>
      <c r="R1859" s="43"/>
      <c r="T1859" s="43"/>
      <c r="V1859" s="43"/>
      <c r="X1859" s="43"/>
      <c r="Z1859" s="43"/>
      <c r="AB1859" s="43"/>
      <c r="AD1859" s="43"/>
      <c r="AF1859" s="43"/>
      <c r="AH1859" s="43"/>
      <c r="AJ1859" s="43"/>
      <c r="AL1859" s="43"/>
      <c r="AO1859" s="43"/>
      <c r="AP1859" s="1"/>
      <c r="AQ1859" s="43"/>
      <c r="AR1859" s="123"/>
      <c r="AS1859" s="1"/>
      <c r="AT1859" s="1"/>
    </row>
    <row r="1860">
      <c r="A1860" s="43"/>
      <c r="B1860" s="59"/>
      <c r="C1860" s="51"/>
      <c r="D1860" s="43"/>
      <c r="E1860" s="85"/>
      <c r="F1860" s="43"/>
      <c r="G1860" s="85"/>
      <c r="H1860" s="43"/>
      <c r="I1860" s="85"/>
      <c r="J1860" s="43"/>
      <c r="L1860" s="43"/>
      <c r="N1860" s="43"/>
      <c r="P1860" s="43"/>
      <c r="R1860" s="43"/>
      <c r="T1860" s="43"/>
      <c r="V1860" s="43"/>
      <c r="X1860" s="43"/>
      <c r="Z1860" s="43"/>
      <c r="AB1860" s="43"/>
      <c r="AD1860" s="43"/>
      <c r="AF1860" s="43"/>
      <c r="AH1860" s="43"/>
      <c r="AJ1860" s="43"/>
      <c r="AL1860" s="43"/>
      <c r="AO1860" s="43"/>
      <c r="AP1860" s="1"/>
      <c r="AQ1860" s="43"/>
      <c r="AR1860" s="123"/>
      <c r="AS1860" s="1"/>
      <c r="AT1860" s="1"/>
    </row>
    <row r="1861">
      <c r="A1861" s="43"/>
      <c r="B1861" s="59"/>
      <c r="C1861" s="51"/>
      <c r="D1861" s="43"/>
      <c r="E1861" s="85"/>
      <c r="F1861" s="43"/>
      <c r="G1861" s="85"/>
      <c r="H1861" s="43"/>
      <c r="I1861" s="85"/>
      <c r="J1861" s="43"/>
      <c r="L1861" s="43"/>
      <c r="N1861" s="43"/>
      <c r="P1861" s="43"/>
      <c r="R1861" s="43"/>
      <c r="T1861" s="43"/>
      <c r="V1861" s="43"/>
      <c r="X1861" s="43"/>
      <c r="Z1861" s="43"/>
      <c r="AB1861" s="43"/>
      <c r="AD1861" s="43"/>
      <c r="AF1861" s="43"/>
      <c r="AH1861" s="43"/>
      <c r="AJ1861" s="43"/>
      <c r="AL1861" s="43"/>
      <c r="AO1861" s="43"/>
      <c r="AP1861" s="1"/>
      <c r="AQ1861" s="43"/>
      <c r="AR1861" s="123"/>
      <c r="AS1861" s="1"/>
      <c r="AT1861" s="1"/>
    </row>
    <row r="1862">
      <c r="A1862" s="43"/>
      <c r="B1862" s="59"/>
      <c r="C1862" s="51"/>
      <c r="D1862" s="43"/>
      <c r="E1862" s="85"/>
      <c r="F1862" s="43"/>
      <c r="G1862" s="85"/>
      <c r="H1862" s="43"/>
      <c r="I1862" s="85"/>
      <c r="J1862" s="43"/>
      <c r="L1862" s="43"/>
      <c r="N1862" s="43"/>
      <c r="P1862" s="43"/>
      <c r="R1862" s="43"/>
      <c r="T1862" s="43"/>
      <c r="V1862" s="43"/>
      <c r="X1862" s="43"/>
      <c r="Z1862" s="43"/>
      <c r="AB1862" s="43"/>
      <c r="AD1862" s="43"/>
      <c r="AF1862" s="43"/>
      <c r="AH1862" s="43"/>
      <c r="AJ1862" s="43"/>
      <c r="AL1862" s="43"/>
      <c r="AO1862" s="43"/>
      <c r="AP1862" s="1"/>
      <c r="AQ1862" s="43"/>
      <c r="AR1862" s="123"/>
      <c r="AS1862" s="1"/>
      <c r="AT1862" s="1"/>
    </row>
    <row r="1863">
      <c r="A1863" s="43"/>
      <c r="B1863" s="59"/>
      <c r="C1863" s="51"/>
      <c r="D1863" s="43"/>
      <c r="E1863" s="85"/>
      <c r="F1863" s="43"/>
      <c r="G1863" s="85"/>
      <c r="H1863" s="43"/>
      <c r="I1863" s="85"/>
      <c r="J1863" s="43"/>
      <c r="L1863" s="43"/>
      <c r="N1863" s="43"/>
      <c r="P1863" s="43"/>
      <c r="R1863" s="43"/>
      <c r="T1863" s="43"/>
      <c r="V1863" s="43"/>
      <c r="X1863" s="43"/>
      <c r="Z1863" s="43"/>
      <c r="AB1863" s="43"/>
      <c r="AD1863" s="43"/>
      <c r="AF1863" s="43"/>
      <c r="AH1863" s="43"/>
      <c r="AJ1863" s="43"/>
      <c r="AL1863" s="43"/>
      <c r="AO1863" s="43"/>
      <c r="AP1863" s="1"/>
      <c r="AQ1863" s="43"/>
      <c r="AR1863" s="123"/>
      <c r="AS1863" s="1"/>
      <c r="AT1863" s="1"/>
    </row>
    <row r="1864">
      <c r="A1864" s="43"/>
      <c r="B1864" s="59"/>
      <c r="C1864" s="51"/>
      <c r="D1864" s="43"/>
      <c r="E1864" s="85"/>
      <c r="F1864" s="43"/>
      <c r="G1864" s="85"/>
      <c r="H1864" s="43"/>
      <c r="I1864" s="85"/>
      <c r="J1864" s="43"/>
      <c r="L1864" s="43"/>
      <c r="N1864" s="43"/>
      <c r="P1864" s="43"/>
      <c r="R1864" s="43"/>
      <c r="T1864" s="43"/>
      <c r="V1864" s="43"/>
      <c r="X1864" s="43"/>
      <c r="Z1864" s="43"/>
      <c r="AB1864" s="43"/>
      <c r="AD1864" s="43"/>
      <c r="AF1864" s="43"/>
      <c r="AH1864" s="43"/>
      <c r="AJ1864" s="43"/>
      <c r="AL1864" s="43"/>
      <c r="AO1864" s="43"/>
      <c r="AP1864" s="1"/>
      <c r="AQ1864" s="43"/>
      <c r="AR1864" s="123"/>
      <c r="AS1864" s="1"/>
      <c r="AT1864" s="1"/>
    </row>
    <row r="1865">
      <c r="A1865" s="43"/>
      <c r="B1865" s="59"/>
      <c r="C1865" s="51"/>
      <c r="D1865" s="43"/>
      <c r="E1865" s="85"/>
      <c r="F1865" s="43"/>
      <c r="G1865" s="85"/>
      <c r="H1865" s="43"/>
      <c r="I1865" s="85"/>
      <c r="J1865" s="43"/>
      <c r="L1865" s="43"/>
      <c r="N1865" s="43"/>
      <c r="P1865" s="43"/>
      <c r="R1865" s="43"/>
      <c r="T1865" s="43"/>
      <c r="V1865" s="43"/>
      <c r="X1865" s="43"/>
      <c r="Z1865" s="43"/>
      <c r="AB1865" s="43"/>
      <c r="AD1865" s="43"/>
      <c r="AF1865" s="43"/>
      <c r="AH1865" s="43"/>
      <c r="AJ1865" s="43"/>
      <c r="AL1865" s="43"/>
      <c r="AO1865" s="43"/>
      <c r="AP1865" s="1"/>
      <c r="AQ1865" s="43"/>
      <c r="AR1865" s="123"/>
      <c r="AS1865" s="1"/>
      <c r="AT1865" s="1"/>
    </row>
    <row r="1866">
      <c r="A1866" s="43"/>
      <c r="B1866" s="59"/>
      <c r="C1866" s="51"/>
      <c r="D1866" s="43"/>
      <c r="E1866" s="85"/>
      <c r="F1866" s="43"/>
      <c r="G1866" s="85"/>
      <c r="H1866" s="43"/>
      <c r="I1866" s="85"/>
      <c r="J1866" s="43"/>
      <c r="L1866" s="43"/>
      <c r="N1866" s="43"/>
      <c r="P1866" s="43"/>
      <c r="R1866" s="43"/>
      <c r="T1866" s="43"/>
      <c r="V1866" s="43"/>
      <c r="X1866" s="43"/>
      <c r="Z1866" s="43"/>
      <c r="AB1866" s="43"/>
      <c r="AD1866" s="43"/>
      <c r="AF1866" s="43"/>
      <c r="AH1866" s="43"/>
      <c r="AJ1866" s="43"/>
      <c r="AL1866" s="43"/>
      <c r="AO1866" s="43"/>
      <c r="AP1866" s="1"/>
      <c r="AQ1866" s="43"/>
      <c r="AR1866" s="123"/>
      <c r="AS1866" s="1"/>
      <c r="AT1866" s="1"/>
    </row>
    <row r="1867">
      <c r="A1867" s="43"/>
      <c r="B1867" s="59"/>
      <c r="C1867" s="51"/>
      <c r="D1867" s="43"/>
      <c r="E1867" s="85"/>
      <c r="F1867" s="43"/>
      <c r="G1867" s="85"/>
      <c r="H1867" s="43"/>
      <c r="I1867" s="85"/>
      <c r="J1867" s="43"/>
      <c r="L1867" s="43"/>
      <c r="N1867" s="43"/>
      <c r="P1867" s="43"/>
      <c r="R1867" s="43"/>
      <c r="T1867" s="43"/>
      <c r="V1867" s="43"/>
      <c r="X1867" s="43"/>
      <c r="Z1867" s="43"/>
      <c r="AB1867" s="43"/>
      <c r="AD1867" s="43"/>
      <c r="AF1867" s="43"/>
      <c r="AH1867" s="43"/>
      <c r="AJ1867" s="43"/>
      <c r="AL1867" s="43"/>
      <c r="AO1867" s="43"/>
      <c r="AP1867" s="1"/>
      <c r="AQ1867" s="43"/>
      <c r="AR1867" s="123"/>
      <c r="AS1867" s="1"/>
      <c r="AT1867" s="1"/>
    </row>
    <row r="1868">
      <c r="A1868" s="43"/>
      <c r="B1868" s="59"/>
      <c r="C1868" s="51"/>
      <c r="D1868" s="43"/>
      <c r="E1868" s="85"/>
      <c r="F1868" s="43"/>
      <c r="G1868" s="85"/>
      <c r="H1868" s="43"/>
      <c r="I1868" s="85"/>
      <c r="J1868" s="43"/>
      <c r="L1868" s="43"/>
      <c r="N1868" s="43"/>
      <c r="P1868" s="43"/>
      <c r="R1868" s="43"/>
      <c r="T1868" s="43"/>
      <c r="V1868" s="43"/>
      <c r="X1868" s="43"/>
      <c r="Z1868" s="43"/>
      <c r="AB1868" s="43"/>
      <c r="AD1868" s="43"/>
      <c r="AF1868" s="43"/>
      <c r="AH1868" s="43"/>
      <c r="AJ1868" s="43"/>
      <c r="AL1868" s="43"/>
      <c r="AO1868" s="43"/>
      <c r="AP1868" s="1"/>
      <c r="AQ1868" s="43"/>
      <c r="AR1868" s="123"/>
      <c r="AS1868" s="1"/>
      <c r="AT1868" s="1"/>
    </row>
    <row r="1869">
      <c r="A1869" s="43"/>
      <c r="B1869" s="59"/>
      <c r="C1869" s="51"/>
      <c r="D1869" s="43"/>
      <c r="E1869" s="85"/>
      <c r="F1869" s="43"/>
      <c r="G1869" s="85"/>
      <c r="H1869" s="43"/>
      <c r="I1869" s="85"/>
      <c r="J1869" s="43"/>
      <c r="L1869" s="43"/>
      <c r="N1869" s="43"/>
      <c r="P1869" s="43"/>
      <c r="R1869" s="43"/>
      <c r="T1869" s="43"/>
      <c r="V1869" s="43"/>
      <c r="X1869" s="43"/>
      <c r="Z1869" s="43"/>
      <c r="AB1869" s="43"/>
      <c r="AD1869" s="43"/>
      <c r="AF1869" s="43"/>
      <c r="AH1869" s="43"/>
      <c r="AJ1869" s="43"/>
      <c r="AL1869" s="43"/>
      <c r="AO1869" s="43"/>
      <c r="AP1869" s="1"/>
      <c r="AQ1869" s="43"/>
      <c r="AR1869" s="123"/>
      <c r="AS1869" s="1"/>
      <c r="AT1869" s="1"/>
    </row>
    <row r="1870">
      <c r="A1870" s="43"/>
      <c r="B1870" s="59"/>
      <c r="C1870" s="51"/>
      <c r="D1870" s="43"/>
      <c r="E1870" s="85"/>
      <c r="F1870" s="43"/>
      <c r="G1870" s="85"/>
      <c r="H1870" s="43"/>
      <c r="I1870" s="85"/>
      <c r="J1870" s="43"/>
      <c r="L1870" s="43"/>
      <c r="N1870" s="43"/>
      <c r="P1870" s="43"/>
      <c r="R1870" s="43"/>
      <c r="T1870" s="43"/>
      <c r="V1870" s="43"/>
      <c r="X1870" s="43"/>
      <c r="Z1870" s="43"/>
      <c r="AB1870" s="43"/>
      <c r="AD1870" s="43"/>
      <c r="AF1870" s="43"/>
      <c r="AH1870" s="43"/>
      <c r="AJ1870" s="43"/>
      <c r="AL1870" s="43"/>
      <c r="AO1870" s="43"/>
      <c r="AP1870" s="1"/>
      <c r="AQ1870" s="43"/>
      <c r="AR1870" s="123"/>
      <c r="AS1870" s="1"/>
      <c r="AT1870" s="1"/>
    </row>
    <row r="1871">
      <c r="A1871" s="43"/>
      <c r="B1871" s="59"/>
      <c r="C1871" s="51"/>
      <c r="D1871" s="43"/>
      <c r="E1871" s="85"/>
      <c r="F1871" s="43"/>
      <c r="G1871" s="85"/>
      <c r="H1871" s="43"/>
      <c r="I1871" s="85"/>
      <c r="J1871" s="43"/>
      <c r="L1871" s="43"/>
      <c r="N1871" s="43"/>
      <c r="P1871" s="43"/>
      <c r="R1871" s="43"/>
      <c r="T1871" s="43"/>
      <c r="V1871" s="43"/>
      <c r="X1871" s="43"/>
      <c r="Z1871" s="43"/>
      <c r="AB1871" s="43"/>
      <c r="AD1871" s="43"/>
      <c r="AF1871" s="43"/>
      <c r="AH1871" s="43"/>
      <c r="AJ1871" s="43"/>
      <c r="AL1871" s="43"/>
      <c r="AO1871" s="43"/>
      <c r="AP1871" s="1"/>
      <c r="AQ1871" s="43"/>
      <c r="AR1871" s="123"/>
      <c r="AS1871" s="1"/>
      <c r="AT1871" s="1"/>
    </row>
    <row r="1872">
      <c r="A1872" s="43"/>
      <c r="B1872" s="59"/>
      <c r="C1872" s="51"/>
      <c r="D1872" s="43"/>
      <c r="E1872" s="85"/>
      <c r="F1872" s="43"/>
      <c r="G1872" s="85"/>
      <c r="H1872" s="43"/>
      <c r="I1872" s="85"/>
      <c r="J1872" s="43"/>
      <c r="L1872" s="43"/>
      <c r="N1872" s="43"/>
      <c r="P1872" s="43"/>
      <c r="R1872" s="43"/>
      <c r="T1872" s="43"/>
      <c r="V1872" s="43"/>
      <c r="X1872" s="43"/>
      <c r="Z1872" s="43"/>
      <c r="AB1872" s="43"/>
      <c r="AD1872" s="43"/>
      <c r="AF1872" s="43"/>
      <c r="AH1872" s="43"/>
      <c r="AJ1872" s="43"/>
      <c r="AL1872" s="43"/>
      <c r="AO1872" s="43"/>
      <c r="AP1872" s="1"/>
      <c r="AQ1872" s="43"/>
      <c r="AR1872" s="123"/>
      <c r="AS1872" s="1"/>
      <c r="AT1872" s="1"/>
    </row>
    <row r="1873">
      <c r="A1873" s="43"/>
      <c r="B1873" s="59"/>
      <c r="C1873" s="51"/>
      <c r="D1873" s="43"/>
      <c r="E1873" s="85"/>
      <c r="F1873" s="43"/>
      <c r="G1873" s="85"/>
      <c r="H1873" s="43"/>
      <c r="I1873" s="85"/>
      <c r="J1873" s="43"/>
      <c r="L1873" s="43"/>
      <c r="N1873" s="43"/>
      <c r="P1873" s="43"/>
      <c r="R1873" s="43"/>
      <c r="T1873" s="43"/>
      <c r="V1873" s="43"/>
      <c r="X1873" s="43"/>
      <c r="Z1873" s="43"/>
      <c r="AB1873" s="43"/>
      <c r="AD1873" s="43"/>
      <c r="AF1873" s="43"/>
      <c r="AH1873" s="43"/>
      <c r="AJ1873" s="43"/>
      <c r="AL1873" s="43"/>
      <c r="AO1873" s="43"/>
      <c r="AP1873" s="1"/>
      <c r="AQ1873" s="43"/>
      <c r="AR1873" s="123"/>
      <c r="AS1873" s="1"/>
      <c r="AT1873" s="1"/>
    </row>
    <row r="1874">
      <c r="A1874" s="43"/>
      <c r="B1874" s="59"/>
      <c r="C1874" s="51"/>
      <c r="D1874" s="43"/>
      <c r="E1874" s="85"/>
      <c r="F1874" s="43"/>
      <c r="G1874" s="85"/>
      <c r="H1874" s="43"/>
      <c r="I1874" s="85"/>
      <c r="J1874" s="43"/>
      <c r="L1874" s="43"/>
      <c r="N1874" s="43"/>
      <c r="P1874" s="43"/>
      <c r="R1874" s="43"/>
      <c r="T1874" s="43"/>
      <c r="V1874" s="43"/>
      <c r="X1874" s="43"/>
      <c r="Z1874" s="43"/>
      <c r="AB1874" s="43"/>
      <c r="AD1874" s="43"/>
      <c r="AF1874" s="43"/>
      <c r="AH1874" s="43"/>
      <c r="AJ1874" s="43"/>
      <c r="AL1874" s="43"/>
      <c r="AO1874" s="43"/>
      <c r="AP1874" s="1"/>
      <c r="AQ1874" s="43"/>
      <c r="AR1874" s="123"/>
      <c r="AS1874" s="1"/>
      <c r="AT1874" s="1"/>
    </row>
    <row r="1875">
      <c r="A1875" s="43"/>
      <c r="B1875" s="59"/>
      <c r="C1875" s="51"/>
      <c r="D1875" s="43"/>
      <c r="E1875" s="85"/>
      <c r="F1875" s="43"/>
      <c r="G1875" s="85"/>
      <c r="H1875" s="43"/>
      <c r="I1875" s="85"/>
      <c r="J1875" s="43"/>
      <c r="L1875" s="43"/>
      <c r="N1875" s="43"/>
      <c r="P1875" s="43"/>
      <c r="R1875" s="43"/>
      <c r="T1875" s="43"/>
      <c r="V1875" s="43"/>
      <c r="X1875" s="43"/>
      <c r="Z1875" s="43"/>
      <c r="AB1875" s="43"/>
      <c r="AD1875" s="43"/>
      <c r="AF1875" s="43"/>
      <c r="AH1875" s="43"/>
      <c r="AJ1875" s="43"/>
      <c r="AL1875" s="43"/>
      <c r="AO1875" s="43"/>
      <c r="AP1875" s="1"/>
      <c r="AQ1875" s="43"/>
      <c r="AR1875" s="123"/>
      <c r="AS1875" s="1"/>
      <c r="AT1875" s="1"/>
    </row>
    <row r="1876">
      <c r="A1876" s="43"/>
      <c r="B1876" s="59"/>
      <c r="C1876" s="51"/>
      <c r="D1876" s="43"/>
      <c r="E1876" s="85"/>
      <c r="F1876" s="43"/>
      <c r="G1876" s="85"/>
      <c r="H1876" s="43"/>
      <c r="I1876" s="85"/>
      <c r="J1876" s="43"/>
      <c r="L1876" s="43"/>
      <c r="N1876" s="43"/>
      <c r="P1876" s="43"/>
      <c r="R1876" s="43"/>
      <c r="T1876" s="43"/>
      <c r="V1876" s="43"/>
      <c r="X1876" s="43"/>
      <c r="Z1876" s="43"/>
      <c r="AB1876" s="43"/>
      <c r="AD1876" s="43"/>
      <c r="AF1876" s="43"/>
      <c r="AH1876" s="43"/>
      <c r="AJ1876" s="43"/>
      <c r="AL1876" s="43"/>
      <c r="AO1876" s="43"/>
      <c r="AP1876" s="1"/>
      <c r="AQ1876" s="43"/>
      <c r="AR1876" s="123"/>
      <c r="AS1876" s="1"/>
      <c r="AT1876" s="1"/>
    </row>
    <row r="1877">
      <c r="A1877" s="43"/>
      <c r="B1877" s="59"/>
      <c r="C1877" s="51"/>
      <c r="D1877" s="43"/>
      <c r="E1877" s="85"/>
      <c r="F1877" s="43"/>
      <c r="G1877" s="85"/>
      <c r="H1877" s="43"/>
      <c r="I1877" s="85"/>
      <c r="J1877" s="43"/>
      <c r="L1877" s="43"/>
      <c r="N1877" s="43"/>
      <c r="P1877" s="43"/>
      <c r="R1877" s="43"/>
      <c r="T1877" s="43"/>
      <c r="V1877" s="43"/>
      <c r="X1877" s="43"/>
      <c r="Z1877" s="43"/>
      <c r="AB1877" s="43"/>
      <c r="AD1877" s="43"/>
      <c r="AF1877" s="43"/>
      <c r="AH1877" s="43"/>
      <c r="AJ1877" s="43"/>
      <c r="AL1877" s="43"/>
      <c r="AO1877" s="43"/>
      <c r="AP1877" s="1"/>
      <c r="AQ1877" s="43"/>
      <c r="AR1877" s="123"/>
      <c r="AS1877" s="1"/>
      <c r="AT1877" s="1"/>
    </row>
    <row r="1878">
      <c r="A1878" s="43"/>
      <c r="B1878" s="59"/>
      <c r="C1878" s="51"/>
      <c r="D1878" s="43"/>
      <c r="E1878" s="85"/>
      <c r="F1878" s="43"/>
      <c r="G1878" s="85"/>
      <c r="H1878" s="43"/>
      <c r="I1878" s="85"/>
      <c r="J1878" s="43"/>
      <c r="L1878" s="43"/>
      <c r="N1878" s="43"/>
      <c r="P1878" s="43"/>
      <c r="R1878" s="43"/>
      <c r="T1878" s="43"/>
      <c r="V1878" s="43"/>
      <c r="X1878" s="43"/>
      <c r="Z1878" s="43"/>
      <c r="AB1878" s="43"/>
      <c r="AD1878" s="43"/>
      <c r="AF1878" s="43"/>
      <c r="AH1878" s="43"/>
      <c r="AJ1878" s="43"/>
      <c r="AL1878" s="43"/>
      <c r="AO1878" s="43"/>
      <c r="AP1878" s="1"/>
      <c r="AQ1878" s="43"/>
      <c r="AR1878" s="123"/>
      <c r="AS1878" s="1"/>
      <c r="AT1878" s="1"/>
    </row>
    <row r="1879">
      <c r="A1879" s="43"/>
      <c r="B1879" s="59"/>
      <c r="C1879" s="51"/>
      <c r="D1879" s="43"/>
      <c r="E1879" s="85"/>
      <c r="F1879" s="43"/>
      <c r="G1879" s="85"/>
      <c r="H1879" s="43"/>
      <c r="I1879" s="85"/>
      <c r="J1879" s="43"/>
      <c r="L1879" s="43"/>
      <c r="N1879" s="43"/>
      <c r="P1879" s="43"/>
      <c r="R1879" s="43"/>
      <c r="T1879" s="43"/>
      <c r="V1879" s="43"/>
      <c r="X1879" s="43"/>
      <c r="Z1879" s="43"/>
      <c r="AB1879" s="43"/>
      <c r="AD1879" s="43"/>
      <c r="AF1879" s="43"/>
      <c r="AH1879" s="43"/>
      <c r="AJ1879" s="43"/>
      <c r="AL1879" s="43"/>
      <c r="AO1879" s="43"/>
      <c r="AP1879" s="1"/>
      <c r="AQ1879" s="43"/>
      <c r="AR1879" s="123"/>
      <c r="AS1879" s="1"/>
      <c r="AT1879" s="1"/>
    </row>
    <row r="1880">
      <c r="A1880" s="43"/>
      <c r="B1880" s="59"/>
      <c r="C1880" s="51"/>
      <c r="D1880" s="43"/>
      <c r="E1880" s="85"/>
      <c r="F1880" s="43"/>
      <c r="G1880" s="85"/>
      <c r="H1880" s="43"/>
      <c r="I1880" s="85"/>
      <c r="J1880" s="43"/>
      <c r="L1880" s="43"/>
      <c r="N1880" s="43"/>
      <c r="P1880" s="43"/>
      <c r="R1880" s="43"/>
      <c r="T1880" s="43"/>
      <c r="V1880" s="43"/>
      <c r="X1880" s="43"/>
      <c r="Z1880" s="43"/>
      <c r="AB1880" s="43"/>
      <c r="AD1880" s="43"/>
      <c r="AF1880" s="43"/>
      <c r="AH1880" s="43"/>
      <c r="AJ1880" s="43"/>
      <c r="AL1880" s="43"/>
      <c r="AO1880" s="43"/>
      <c r="AP1880" s="1"/>
      <c r="AQ1880" s="43"/>
      <c r="AR1880" s="123"/>
      <c r="AS1880" s="1"/>
      <c r="AT1880" s="1"/>
    </row>
    <row r="1881">
      <c r="A1881" s="43"/>
      <c r="B1881" s="59"/>
      <c r="C1881" s="51"/>
      <c r="D1881" s="43"/>
      <c r="E1881" s="85"/>
      <c r="F1881" s="43"/>
      <c r="G1881" s="85"/>
      <c r="H1881" s="43"/>
      <c r="I1881" s="85"/>
      <c r="J1881" s="43"/>
      <c r="L1881" s="43"/>
      <c r="N1881" s="43"/>
      <c r="P1881" s="43"/>
      <c r="R1881" s="43"/>
      <c r="T1881" s="43"/>
      <c r="V1881" s="43"/>
      <c r="X1881" s="43"/>
      <c r="Z1881" s="43"/>
      <c r="AB1881" s="43"/>
      <c r="AD1881" s="43"/>
      <c r="AF1881" s="43"/>
      <c r="AH1881" s="43"/>
      <c r="AJ1881" s="43"/>
      <c r="AL1881" s="43"/>
      <c r="AO1881" s="43"/>
      <c r="AP1881" s="1"/>
      <c r="AQ1881" s="43"/>
      <c r="AR1881" s="123"/>
      <c r="AS1881" s="1"/>
      <c r="AT1881" s="1"/>
    </row>
    <row r="1882">
      <c r="A1882" s="43"/>
      <c r="B1882" s="59"/>
      <c r="C1882" s="51"/>
      <c r="D1882" s="43"/>
      <c r="E1882" s="85"/>
      <c r="F1882" s="43"/>
      <c r="G1882" s="85"/>
      <c r="H1882" s="43"/>
      <c r="I1882" s="85"/>
      <c r="J1882" s="43"/>
      <c r="L1882" s="43"/>
      <c r="N1882" s="43"/>
      <c r="P1882" s="43"/>
      <c r="R1882" s="43"/>
      <c r="T1882" s="43"/>
      <c r="V1882" s="43"/>
      <c r="X1882" s="43"/>
      <c r="Z1882" s="43"/>
      <c r="AB1882" s="43"/>
      <c r="AD1882" s="43"/>
      <c r="AF1882" s="43"/>
      <c r="AH1882" s="43"/>
      <c r="AJ1882" s="43"/>
      <c r="AL1882" s="43"/>
      <c r="AO1882" s="43"/>
      <c r="AP1882" s="1"/>
      <c r="AQ1882" s="43"/>
      <c r="AR1882" s="123"/>
      <c r="AS1882" s="1"/>
      <c r="AT1882" s="1"/>
    </row>
    <row r="1883">
      <c r="A1883" s="43"/>
      <c r="B1883" s="59"/>
      <c r="C1883" s="51"/>
      <c r="D1883" s="43"/>
      <c r="E1883" s="85"/>
      <c r="F1883" s="43"/>
      <c r="G1883" s="85"/>
      <c r="H1883" s="43"/>
      <c r="I1883" s="85"/>
      <c r="J1883" s="43"/>
      <c r="L1883" s="43"/>
      <c r="N1883" s="43"/>
      <c r="P1883" s="43"/>
      <c r="R1883" s="43"/>
      <c r="T1883" s="43"/>
      <c r="V1883" s="43"/>
      <c r="X1883" s="43"/>
      <c r="Z1883" s="43"/>
      <c r="AB1883" s="43"/>
      <c r="AD1883" s="43"/>
      <c r="AF1883" s="43"/>
      <c r="AH1883" s="43"/>
      <c r="AJ1883" s="43"/>
      <c r="AL1883" s="43"/>
      <c r="AO1883" s="43"/>
      <c r="AP1883" s="1"/>
      <c r="AQ1883" s="43"/>
      <c r="AR1883" s="123"/>
      <c r="AS1883" s="1"/>
      <c r="AT1883" s="1"/>
    </row>
    <row r="1884">
      <c r="A1884" s="43"/>
      <c r="B1884" s="59"/>
      <c r="C1884" s="51"/>
      <c r="D1884" s="43"/>
      <c r="E1884" s="85"/>
      <c r="F1884" s="43"/>
      <c r="G1884" s="85"/>
      <c r="H1884" s="43"/>
      <c r="I1884" s="85"/>
      <c r="J1884" s="43"/>
      <c r="L1884" s="43"/>
      <c r="N1884" s="43"/>
      <c r="P1884" s="43"/>
      <c r="R1884" s="43"/>
      <c r="T1884" s="43"/>
      <c r="V1884" s="43"/>
      <c r="X1884" s="43"/>
      <c r="Z1884" s="43"/>
      <c r="AB1884" s="43"/>
      <c r="AD1884" s="43"/>
      <c r="AF1884" s="43"/>
      <c r="AH1884" s="43"/>
      <c r="AJ1884" s="43"/>
      <c r="AL1884" s="43"/>
      <c r="AO1884" s="43"/>
      <c r="AP1884" s="1"/>
      <c r="AQ1884" s="43"/>
      <c r="AR1884" s="123"/>
      <c r="AS1884" s="1"/>
      <c r="AT1884" s="1"/>
    </row>
    <row r="1885">
      <c r="A1885" s="43"/>
      <c r="B1885" s="59"/>
      <c r="C1885" s="51"/>
      <c r="D1885" s="43"/>
      <c r="E1885" s="85"/>
      <c r="F1885" s="43"/>
      <c r="G1885" s="85"/>
      <c r="H1885" s="43"/>
      <c r="I1885" s="85"/>
      <c r="J1885" s="43"/>
      <c r="L1885" s="43"/>
      <c r="N1885" s="43"/>
      <c r="P1885" s="43"/>
      <c r="R1885" s="43"/>
      <c r="T1885" s="43"/>
      <c r="V1885" s="43"/>
      <c r="X1885" s="43"/>
      <c r="Z1885" s="43"/>
      <c r="AB1885" s="43"/>
      <c r="AD1885" s="43"/>
      <c r="AF1885" s="43"/>
      <c r="AH1885" s="43"/>
      <c r="AJ1885" s="43"/>
      <c r="AL1885" s="43"/>
      <c r="AO1885" s="43"/>
      <c r="AP1885" s="1"/>
      <c r="AQ1885" s="43"/>
      <c r="AR1885" s="123"/>
      <c r="AS1885" s="1"/>
      <c r="AT1885" s="1"/>
    </row>
    <row r="1886">
      <c r="A1886" s="43"/>
      <c r="B1886" s="59"/>
      <c r="C1886" s="51"/>
      <c r="D1886" s="43"/>
      <c r="E1886" s="85"/>
      <c r="F1886" s="43"/>
      <c r="G1886" s="85"/>
      <c r="H1886" s="43"/>
      <c r="I1886" s="85"/>
      <c r="J1886" s="43"/>
      <c r="L1886" s="43"/>
      <c r="N1886" s="43"/>
      <c r="P1886" s="43"/>
      <c r="R1886" s="43"/>
      <c r="T1886" s="43"/>
      <c r="V1886" s="43"/>
      <c r="X1886" s="43"/>
      <c r="Z1886" s="43"/>
      <c r="AB1886" s="43"/>
      <c r="AD1886" s="43"/>
      <c r="AF1886" s="43"/>
      <c r="AH1886" s="43"/>
      <c r="AJ1886" s="43"/>
      <c r="AL1886" s="43"/>
      <c r="AO1886" s="43"/>
      <c r="AP1886" s="1"/>
      <c r="AQ1886" s="43"/>
      <c r="AR1886" s="123"/>
      <c r="AS1886" s="1"/>
      <c r="AT1886" s="1"/>
    </row>
    <row r="1887">
      <c r="A1887" s="43"/>
      <c r="B1887" s="59"/>
      <c r="C1887" s="51"/>
      <c r="D1887" s="43"/>
      <c r="E1887" s="85"/>
      <c r="F1887" s="43"/>
      <c r="G1887" s="85"/>
      <c r="H1887" s="43"/>
      <c r="I1887" s="85"/>
      <c r="J1887" s="43"/>
      <c r="L1887" s="43"/>
      <c r="N1887" s="43"/>
      <c r="P1887" s="43"/>
      <c r="R1887" s="43"/>
      <c r="T1887" s="43"/>
      <c r="V1887" s="43"/>
      <c r="X1887" s="43"/>
      <c r="Z1887" s="43"/>
      <c r="AB1887" s="43"/>
      <c r="AD1887" s="43"/>
      <c r="AF1887" s="43"/>
      <c r="AH1887" s="43"/>
      <c r="AJ1887" s="43"/>
      <c r="AL1887" s="43"/>
      <c r="AO1887" s="43"/>
      <c r="AP1887" s="1"/>
      <c r="AQ1887" s="43"/>
      <c r="AR1887" s="123"/>
      <c r="AS1887" s="1"/>
      <c r="AT1887" s="1"/>
    </row>
    <row r="1888">
      <c r="A1888" s="43"/>
      <c r="B1888" s="59"/>
      <c r="C1888" s="51"/>
      <c r="D1888" s="43"/>
      <c r="E1888" s="85"/>
      <c r="F1888" s="43"/>
      <c r="G1888" s="85"/>
      <c r="H1888" s="43"/>
      <c r="I1888" s="85"/>
      <c r="J1888" s="43"/>
      <c r="L1888" s="43"/>
      <c r="N1888" s="43"/>
      <c r="P1888" s="43"/>
      <c r="R1888" s="43"/>
      <c r="T1888" s="43"/>
      <c r="V1888" s="43"/>
      <c r="X1888" s="43"/>
      <c r="Z1888" s="43"/>
      <c r="AB1888" s="43"/>
      <c r="AD1888" s="43"/>
      <c r="AF1888" s="43"/>
      <c r="AH1888" s="43"/>
      <c r="AJ1888" s="43"/>
      <c r="AL1888" s="43"/>
      <c r="AO1888" s="43"/>
      <c r="AP1888" s="1"/>
      <c r="AQ1888" s="43"/>
      <c r="AR1888" s="123"/>
      <c r="AS1888" s="1"/>
      <c r="AT1888" s="1"/>
    </row>
    <row r="1889">
      <c r="A1889" s="43"/>
      <c r="B1889" s="59"/>
      <c r="C1889" s="51"/>
      <c r="D1889" s="43"/>
      <c r="E1889" s="85"/>
      <c r="F1889" s="43"/>
      <c r="G1889" s="85"/>
      <c r="H1889" s="43"/>
      <c r="I1889" s="85"/>
      <c r="J1889" s="43"/>
      <c r="L1889" s="43"/>
      <c r="N1889" s="43"/>
      <c r="P1889" s="43"/>
      <c r="R1889" s="43"/>
      <c r="T1889" s="43"/>
      <c r="V1889" s="43"/>
      <c r="X1889" s="43"/>
      <c r="Z1889" s="43"/>
      <c r="AB1889" s="43"/>
      <c r="AD1889" s="43"/>
      <c r="AF1889" s="43"/>
      <c r="AH1889" s="43"/>
      <c r="AJ1889" s="43"/>
      <c r="AL1889" s="43"/>
      <c r="AO1889" s="43"/>
      <c r="AP1889" s="1"/>
      <c r="AQ1889" s="43"/>
      <c r="AR1889" s="123"/>
      <c r="AS1889" s="1"/>
      <c r="AT1889" s="1"/>
    </row>
    <row r="1890">
      <c r="A1890" s="43"/>
      <c r="B1890" s="59"/>
      <c r="C1890" s="51"/>
      <c r="D1890" s="43"/>
      <c r="E1890" s="85"/>
      <c r="F1890" s="43"/>
      <c r="G1890" s="85"/>
      <c r="H1890" s="43"/>
      <c r="I1890" s="85"/>
      <c r="J1890" s="43"/>
      <c r="L1890" s="43"/>
      <c r="N1890" s="43"/>
      <c r="P1890" s="43"/>
      <c r="R1890" s="43"/>
      <c r="T1890" s="43"/>
      <c r="V1890" s="43"/>
      <c r="X1890" s="43"/>
      <c r="Z1890" s="43"/>
      <c r="AB1890" s="43"/>
      <c r="AD1890" s="43"/>
      <c r="AF1890" s="43"/>
      <c r="AH1890" s="43"/>
      <c r="AJ1890" s="43"/>
      <c r="AL1890" s="43"/>
      <c r="AO1890" s="43"/>
      <c r="AP1890" s="1"/>
      <c r="AQ1890" s="43"/>
      <c r="AR1890" s="123"/>
      <c r="AS1890" s="1"/>
      <c r="AT1890" s="1"/>
    </row>
    <row r="1891">
      <c r="A1891" s="43"/>
      <c r="B1891" s="59"/>
      <c r="C1891" s="51"/>
      <c r="D1891" s="43"/>
      <c r="E1891" s="85"/>
      <c r="F1891" s="43"/>
      <c r="G1891" s="85"/>
      <c r="H1891" s="43"/>
      <c r="I1891" s="85"/>
      <c r="J1891" s="43"/>
      <c r="L1891" s="43"/>
      <c r="N1891" s="43"/>
      <c r="P1891" s="43"/>
      <c r="R1891" s="43"/>
      <c r="T1891" s="43"/>
      <c r="V1891" s="43"/>
      <c r="X1891" s="43"/>
      <c r="Z1891" s="43"/>
      <c r="AB1891" s="43"/>
      <c r="AD1891" s="43"/>
      <c r="AF1891" s="43"/>
      <c r="AH1891" s="43"/>
      <c r="AJ1891" s="43"/>
      <c r="AL1891" s="43"/>
      <c r="AO1891" s="43"/>
      <c r="AP1891" s="1"/>
      <c r="AQ1891" s="43"/>
      <c r="AR1891" s="123"/>
      <c r="AS1891" s="1"/>
      <c r="AT1891" s="1"/>
    </row>
    <row r="1892">
      <c r="A1892" s="43"/>
      <c r="B1892" s="59"/>
      <c r="C1892" s="51"/>
      <c r="D1892" s="43"/>
      <c r="E1892" s="85"/>
      <c r="F1892" s="43"/>
      <c r="G1892" s="85"/>
      <c r="H1892" s="43"/>
      <c r="I1892" s="85"/>
      <c r="J1892" s="43"/>
      <c r="L1892" s="43"/>
      <c r="N1892" s="43"/>
      <c r="P1892" s="43"/>
      <c r="R1892" s="43"/>
      <c r="T1892" s="43"/>
      <c r="V1892" s="43"/>
      <c r="X1892" s="43"/>
      <c r="Z1892" s="43"/>
      <c r="AB1892" s="43"/>
      <c r="AD1892" s="43"/>
      <c r="AF1892" s="43"/>
      <c r="AH1892" s="43"/>
      <c r="AJ1892" s="43"/>
      <c r="AL1892" s="43"/>
      <c r="AO1892" s="43"/>
      <c r="AP1892" s="1"/>
      <c r="AQ1892" s="43"/>
      <c r="AR1892" s="123"/>
      <c r="AS1892" s="1"/>
      <c r="AT1892" s="1"/>
    </row>
    <row r="1893">
      <c r="A1893" s="43"/>
      <c r="B1893" s="59"/>
      <c r="C1893" s="51"/>
      <c r="D1893" s="43"/>
      <c r="E1893" s="85"/>
      <c r="F1893" s="43"/>
      <c r="G1893" s="85"/>
      <c r="H1893" s="43"/>
      <c r="I1893" s="85"/>
      <c r="J1893" s="43"/>
      <c r="L1893" s="43"/>
      <c r="N1893" s="43"/>
      <c r="P1893" s="43"/>
      <c r="R1893" s="43"/>
      <c r="T1893" s="43"/>
      <c r="V1893" s="43"/>
      <c r="X1893" s="43"/>
      <c r="Z1893" s="43"/>
      <c r="AB1893" s="43"/>
      <c r="AD1893" s="43"/>
      <c r="AF1893" s="43"/>
      <c r="AH1893" s="43"/>
      <c r="AJ1893" s="43"/>
      <c r="AL1893" s="43"/>
      <c r="AO1893" s="43"/>
      <c r="AP1893" s="1"/>
      <c r="AQ1893" s="43"/>
      <c r="AR1893" s="123"/>
      <c r="AS1893" s="1"/>
      <c r="AT1893" s="1"/>
    </row>
    <row r="1894">
      <c r="A1894" s="43"/>
      <c r="B1894" s="59"/>
      <c r="C1894" s="51"/>
      <c r="D1894" s="43"/>
      <c r="E1894" s="85"/>
      <c r="F1894" s="43"/>
      <c r="G1894" s="85"/>
      <c r="H1894" s="43"/>
      <c r="I1894" s="85"/>
      <c r="J1894" s="43"/>
      <c r="L1894" s="43"/>
      <c r="N1894" s="43"/>
      <c r="P1894" s="43"/>
      <c r="R1894" s="43"/>
      <c r="T1894" s="43"/>
      <c r="V1894" s="43"/>
      <c r="X1894" s="43"/>
      <c r="Z1894" s="43"/>
      <c r="AB1894" s="43"/>
      <c r="AD1894" s="43"/>
      <c r="AF1894" s="43"/>
      <c r="AH1894" s="43"/>
      <c r="AJ1894" s="43"/>
      <c r="AL1894" s="43"/>
      <c r="AO1894" s="43"/>
      <c r="AP1894" s="1"/>
      <c r="AQ1894" s="43"/>
      <c r="AR1894" s="123"/>
      <c r="AS1894" s="1"/>
      <c r="AT1894" s="1"/>
    </row>
    <row r="1895">
      <c r="A1895" s="43"/>
      <c r="B1895" s="59"/>
      <c r="C1895" s="51"/>
      <c r="D1895" s="43"/>
      <c r="E1895" s="85"/>
      <c r="F1895" s="43"/>
      <c r="G1895" s="85"/>
      <c r="H1895" s="43"/>
      <c r="I1895" s="85"/>
      <c r="J1895" s="43"/>
      <c r="L1895" s="43"/>
      <c r="N1895" s="43"/>
      <c r="P1895" s="43"/>
      <c r="R1895" s="43"/>
      <c r="T1895" s="43"/>
      <c r="V1895" s="43"/>
      <c r="X1895" s="43"/>
      <c r="Z1895" s="43"/>
      <c r="AB1895" s="43"/>
      <c r="AD1895" s="43"/>
      <c r="AF1895" s="43"/>
      <c r="AH1895" s="43"/>
      <c r="AJ1895" s="43"/>
      <c r="AL1895" s="43"/>
      <c r="AO1895" s="43"/>
      <c r="AP1895" s="1"/>
      <c r="AQ1895" s="43"/>
      <c r="AR1895" s="123"/>
      <c r="AS1895" s="1"/>
      <c r="AT1895" s="1"/>
    </row>
    <row r="1896">
      <c r="A1896" s="43"/>
      <c r="B1896" s="59"/>
      <c r="C1896" s="51"/>
      <c r="D1896" s="43"/>
      <c r="E1896" s="85"/>
      <c r="F1896" s="43"/>
      <c r="G1896" s="85"/>
      <c r="H1896" s="43"/>
      <c r="I1896" s="85"/>
      <c r="J1896" s="43"/>
      <c r="L1896" s="43"/>
      <c r="N1896" s="43"/>
      <c r="P1896" s="43"/>
      <c r="R1896" s="43"/>
      <c r="T1896" s="43"/>
      <c r="V1896" s="43"/>
      <c r="X1896" s="43"/>
      <c r="Z1896" s="43"/>
      <c r="AB1896" s="43"/>
      <c r="AD1896" s="43"/>
      <c r="AF1896" s="43"/>
      <c r="AH1896" s="43"/>
      <c r="AJ1896" s="43"/>
      <c r="AL1896" s="43"/>
      <c r="AO1896" s="43"/>
      <c r="AP1896" s="1"/>
      <c r="AQ1896" s="43"/>
      <c r="AR1896" s="123"/>
      <c r="AS1896" s="1"/>
      <c r="AT1896" s="1"/>
    </row>
    <row r="1897">
      <c r="A1897" s="43"/>
      <c r="B1897" s="59"/>
      <c r="C1897" s="51"/>
      <c r="D1897" s="43"/>
      <c r="E1897" s="85"/>
      <c r="F1897" s="43"/>
      <c r="G1897" s="85"/>
      <c r="H1897" s="43"/>
      <c r="I1897" s="85"/>
      <c r="J1897" s="43"/>
      <c r="L1897" s="43"/>
      <c r="N1897" s="43"/>
      <c r="P1897" s="43"/>
      <c r="R1897" s="43"/>
      <c r="T1897" s="43"/>
      <c r="V1897" s="43"/>
      <c r="X1897" s="43"/>
      <c r="Z1897" s="43"/>
      <c r="AB1897" s="43"/>
      <c r="AD1897" s="43"/>
      <c r="AF1897" s="43"/>
      <c r="AH1897" s="43"/>
      <c r="AJ1897" s="43"/>
      <c r="AL1897" s="43"/>
      <c r="AO1897" s="43"/>
      <c r="AP1897" s="1"/>
      <c r="AQ1897" s="43"/>
      <c r="AR1897" s="123"/>
      <c r="AS1897" s="1"/>
      <c r="AT1897" s="1"/>
    </row>
    <row r="1898">
      <c r="A1898" s="43"/>
      <c r="B1898" s="59"/>
      <c r="C1898" s="51"/>
      <c r="D1898" s="43"/>
      <c r="E1898" s="85"/>
      <c r="F1898" s="43"/>
      <c r="G1898" s="85"/>
      <c r="H1898" s="43"/>
      <c r="I1898" s="85"/>
      <c r="J1898" s="43"/>
      <c r="L1898" s="43"/>
      <c r="N1898" s="43"/>
      <c r="P1898" s="43"/>
      <c r="R1898" s="43"/>
      <c r="T1898" s="43"/>
      <c r="V1898" s="43"/>
      <c r="X1898" s="43"/>
      <c r="Z1898" s="43"/>
      <c r="AB1898" s="43"/>
      <c r="AD1898" s="43"/>
      <c r="AF1898" s="43"/>
      <c r="AH1898" s="43"/>
      <c r="AJ1898" s="43"/>
      <c r="AL1898" s="43"/>
      <c r="AO1898" s="43"/>
      <c r="AP1898" s="1"/>
      <c r="AQ1898" s="43"/>
      <c r="AR1898" s="123"/>
      <c r="AS1898" s="1"/>
      <c r="AT1898" s="1"/>
    </row>
    <row r="1899">
      <c r="A1899" s="43"/>
      <c r="B1899" s="59"/>
      <c r="C1899" s="51"/>
      <c r="D1899" s="43"/>
      <c r="E1899" s="85"/>
      <c r="F1899" s="43"/>
      <c r="G1899" s="85"/>
      <c r="H1899" s="43"/>
      <c r="I1899" s="85"/>
      <c r="J1899" s="43"/>
      <c r="L1899" s="43"/>
      <c r="N1899" s="43"/>
      <c r="P1899" s="43"/>
      <c r="R1899" s="43"/>
      <c r="T1899" s="43"/>
      <c r="V1899" s="43"/>
      <c r="X1899" s="43"/>
      <c r="Z1899" s="43"/>
      <c r="AB1899" s="43"/>
      <c r="AD1899" s="43"/>
      <c r="AF1899" s="43"/>
      <c r="AH1899" s="43"/>
      <c r="AJ1899" s="43"/>
      <c r="AL1899" s="43"/>
      <c r="AO1899" s="43"/>
      <c r="AP1899" s="1"/>
      <c r="AQ1899" s="43"/>
      <c r="AR1899" s="123"/>
      <c r="AS1899" s="1"/>
      <c r="AT1899" s="1"/>
    </row>
    <row r="1900">
      <c r="A1900" s="43"/>
      <c r="B1900" s="59"/>
      <c r="C1900" s="51"/>
      <c r="D1900" s="43"/>
      <c r="E1900" s="85"/>
      <c r="F1900" s="43"/>
      <c r="G1900" s="85"/>
      <c r="H1900" s="43"/>
      <c r="I1900" s="85"/>
      <c r="J1900" s="43"/>
      <c r="L1900" s="43"/>
      <c r="N1900" s="43"/>
      <c r="P1900" s="43"/>
      <c r="R1900" s="43"/>
      <c r="T1900" s="43"/>
      <c r="V1900" s="43"/>
      <c r="X1900" s="43"/>
      <c r="Z1900" s="43"/>
      <c r="AB1900" s="43"/>
      <c r="AD1900" s="43"/>
      <c r="AF1900" s="43"/>
      <c r="AH1900" s="43"/>
      <c r="AJ1900" s="43"/>
      <c r="AL1900" s="43"/>
      <c r="AO1900" s="43"/>
      <c r="AP1900" s="1"/>
      <c r="AQ1900" s="43"/>
      <c r="AR1900" s="123"/>
      <c r="AS1900" s="1"/>
      <c r="AT1900" s="1"/>
    </row>
    <row r="1901">
      <c r="A1901" s="43"/>
      <c r="B1901" s="59"/>
      <c r="C1901" s="51"/>
      <c r="D1901" s="43"/>
      <c r="E1901" s="85"/>
      <c r="F1901" s="43"/>
      <c r="G1901" s="85"/>
      <c r="H1901" s="43"/>
      <c r="I1901" s="85"/>
      <c r="J1901" s="43"/>
      <c r="L1901" s="43"/>
      <c r="N1901" s="43"/>
      <c r="P1901" s="43"/>
      <c r="R1901" s="43"/>
      <c r="T1901" s="43"/>
      <c r="V1901" s="43"/>
      <c r="X1901" s="43"/>
      <c r="Z1901" s="43"/>
      <c r="AB1901" s="43"/>
      <c r="AD1901" s="43"/>
      <c r="AF1901" s="43"/>
      <c r="AH1901" s="43"/>
      <c r="AJ1901" s="43"/>
      <c r="AL1901" s="43"/>
      <c r="AO1901" s="43"/>
      <c r="AP1901" s="1"/>
      <c r="AQ1901" s="43"/>
      <c r="AR1901" s="123"/>
      <c r="AS1901" s="1"/>
      <c r="AT1901" s="1"/>
    </row>
    <row r="1902">
      <c r="A1902" s="43"/>
      <c r="B1902" s="59"/>
      <c r="C1902" s="51"/>
      <c r="D1902" s="43"/>
      <c r="E1902" s="85"/>
      <c r="F1902" s="43"/>
      <c r="G1902" s="85"/>
      <c r="H1902" s="43"/>
      <c r="I1902" s="85"/>
      <c r="J1902" s="43"/>
      <c r="L1902" s="43"/>
      <c r="N1902" s="43"/>
      <c r="P1902" s="43"/>
      <c r="R1902" s="43"/>
      <c r="T1902" s="43"/>
      <c r="V1902" s="43"/>
      <c r="X1902" s="43"/>
      <c r="Z1902" s="43"/>
      <c r="AB1902" s="43"/>
      <c r="AD1902" s="43"/>
      <c r="AF1902" s="43"/>
      <c r="AH1902" s="43"/>
      <c r="AJ1902" s="43"/>
      <c r="AL1902" s="43"/>
      <c r="AO1902" s="43"/>
      <c r="AP1902" s="1"/>
      <c r="AQ1902" s="43"/>
      <c r="AR1902" s="123"/>
      <c r="AS1902" s="1"/>
      <c r="AT1902" s="1"/>
    </row>
    <row r="1903">
      <c r="A1903" s="43"/>
      <c r="B1903" s="59"/>
      <c r="C1903" s="51"/>
      <c r="D1903" s="43"/>
      <c r="E1903" s="85"/>
      <c r="F1903" s="43"/>
      <c r="G1903" s="85"/>
      <c r="H1903" s="43"/>
      <c r="I1903" s="85"/>
      <c r="J1903" s="43"/>
      <c r="L1903" s="43"/>
      <c r="N1903" s="43"/>
      <c r="P1903" s="43"/>
      <c r="R1903" s="43"/>
      <c r="T1903" s="43"/>
      <c r="V1903" s="43"/>
      <c r="X1903" s="43"/>
      <c r="Z1903" s="43"/>
      <c r="AB1903" s="43"/>
      <c r="AD1903" s="43"/>
      <c r="AF1903" s="43"/>
      <c r="AH1903" s="43"/>
      <c r="AJ1903" s="43"/>
      <c r="AL1903" s="43"/>
      <c r="AO1903" s="43"/>
      <c r="AP1903" s="1"/>
      <c r="AQ1903" s="43"/>
      <c r="AR1903" s="123"/>
      <c r="AS1903" s="1"/>
      <c r="AT1903" s="1"/>
    </row>
    <row r="1904">
      <c r="A1904" s="43"/>
      <c r="B1904" s="59"/>
      <c r="C1904" s="51"/>
      <c r="D1904" s="43"/>
      <c r="E1904" s="85"/>
      <c r="F1904" s="43"/>
      <c r="G1904" s="85"/>
      <c r="H1904" s="43"/>
      <c r="I1904" s="85"/>
      <c r="J1904" s="43"/>
      <c r="L1904" s="43"/>
      <c r="N1904" s="43"/>
      <c r="P1904" s="43"/>
      <c r="R1904" s="43"/>
      <c r="T1904" s="43"/>
      <c r="V1904" s="43"/>
      <c r="X1904" s="43"/>
      <c r="Z1904" s="43"/>
      <c r="AB1904" s="43"/>
      <c r="AD1904" s="43"/>
      <c r="AF1904" s="43"/>
      <c r="AH1904" s="43"/>
      <c r="AJ1904" s="43"/>
      <c r="AL1904" s="43"/>
      <c r="AO1904" s="43"/>
      <c r="AP1904" s="1"/>
      <c r="AQ1904" s="43"/>
      <c r="AR1904" s="123"/>
      <c r="AS1904" s="1"/>
      <c r="AT1904" s="1"/>
    </row>
    <row r="1905">
      <c r="A1905" s="43"/>
      <c r="B1905" s="59"/>
      <c r="C1905" s="51"/>
      <c r="D1905" s="43"/>
      <c r="E1905" s="85"/>
      <c r="F1905" s="43"/>
      <c r="G1905" s="85"/>
      <c r="H1905" s="43"/>
      <c r="I1905" s="85"/>
      <c r="J1905" s="43"/>
      <c r="L1905" s="43"/>
      <c r="N1905" s="43"/>
      <c r="P1905" s="43"/>
      <c r="R1905" s="43"/>
      <c r="T1905" s="43"/>
      <c r="V1905" s="43"/>
      <c r="X1905" s="43"/>
      <c r="Z1905" s="43"/>
      <c r="AB1905" s="43"/>
      <c r="AD1905" s="43"/>
      <c r="AF1905" s="43"/>
      <c r="AH1905" s="43"/>
      <c r="AJ1905" s="43"/>
      <c r="AL1905" s="43"/>
      <c r="AO1905" s="43"/>
      <c r="AP1905" s="1"/>
      <c r="AQ1905" s="43"/>
      <c r="AR1905" s="123"/>
      <c r="AS1905" s="1"/>
      <c r="AT1905" s="1"/>
    </row>
    <row r="1906">
      <c r="A1906" s="43"/>
      <c r="B1906" s="59"/>
      <c r="C1906" s="51"/>
      <c r="D1906" s="43"/>
      <c r="E1906" s="85"/>
      <c r="F1906" s="43"/>
      <c r="G1906" s="85"/>
      <c r="H1906" s="43"/>
      <c r="I1906" s="85"/>
      <c r="J1906" s="43"/>
      <c r="L1906" s="43"/>
      <c r="N1906" s="43"/>
      <c r="P1906" s="43"/>
      <c r="R1906" s="43"/>
      <c r="T1906" s="43"/>
      <c r="V1906" s="43"/>
      <c r="X1906" s="43"/>
      <c r="Z1906" s="43"/>
      <c r="AB1906" s="43"/>
      <c r="AD1906" s="43"/>
      <c r="AF1906" s="43"/>
      <c r="AH1906" s="43"/>
      <c r="AJ1906" s="43"/>
      <c r="AL1906" s="43"/>
      <c r="AO1906" s="43"/>
      <c r="AP1906" s="1"/>
      <c r="AQ1906" s="43"/>
      <c r="AR1906" s="123"/>
      <c r="AS1906" s="1"/>
      <c r="AT1906" s="1"/>
    </row>
    <row r="1907">
      <c r="A1907" s="43"/>
      <c r="B1907" s="59"/>
      <c r="C1907" s="51"/>
      <c r="D1907" s="43"/>
      <c r="E1907" s="85"/>
      <c r="F1907" s="43"/>
      <c r="G1907" s="85"/>
      <c r="H1907" s="43"/>
      <c r="I1907" s="85"/>
      <c r="J1907" s="43"/>
      <c r="L1907" s="43"/>
      <c r="N1907" s="43"/>
      <c r="P1907" s="43"/>
      <c r="R1907" s="43"/>
      <c r="T1907" s="43"/>
      <c r="V1907" s="43"/>
      <c r="X1907" s="43"/>
      <c r="Z1907" s="43"/>
      <c r="AB1907" s="43"/>
      <c r="AD1907" s="43"/>
      <c r="AF1907" s="43"/>
      <c r="AH1907" s="43"/>
      <c r="AJ1907" s="43"/>
      <c r="AL1907" s="43"/>
      <c r="AO1907" s="43"/>
      <c r="AP1907" s="1"/>
      <c r="AQ1907" s="43"/>
      <c r="AR1907" s="123"/>
      <c r="AS1907" s="1"/>
      <c r="AT1907" s="1"/>
    </row>
    <row r="1908">
      <c r="A1908" s="43"/>
      <c r="B1908" s="59"/>
      <c r="C1908" s="51"/>
      <c r="D1908" s="43"/>
      <c r="E1908" s="85"/>
      <c r="F1908" s="43"/>
      <c r="G1908" s="85"/>
      <c r="H1908" s="43"/>
      <c r="I1908" s="85"/>
      <c r="J1908" s="43"/>
      <c r="L1908" s="43"/>
      <c r="N1908" s="43"/>
      <c r="P1908" s="43"/>
      <c r="R1908" s="43"/>
      <c r="T1908" s="43"/>
      <c r="V1908" s="43"/>
      <c r="X1908" s="43"/>
      <c r="Z1908" s="43"/>
      <c r="AB1908" s="43"/>
      <c r="AD1908" s="43"/>
      <c r="AF1908" s="43"/>
      <c r="AH1908" s="43"/>
      <c r="AJ1908" s="43"/>
      <c r="AL1908" s="43"/>
      <c r="AO1908" s="43"/>
      <c r="AP1908" s="1"/>
      <c r="AQ1908" s="43"/>
      <c r="AR1908" s="123"/>
      <c r="AS1908" s="1"/>
      <c r="AT1908" s="1"/>
    </row>
    <row r="1909">
      <c r="A1909" s="43"/>
      <c r="B1909" s="59"/>
      <c r="C1909" s="51"/>
      <c r="D1909" s="43"/>
      <c r="E1909" s="85"/>
      <c r="F1909" s="43"/>
      <c r="G1909" s="85"/>
      <c r="H1909" s="43"/>
      <c r="I1909" s="85"/>
      <c r="J1909" s="43"/>
      <c r="L1909" s="43"/>
      <c r="N1909" s="43"/>
      <c r="P1909" s="43"/>
      <c r="R1909" s="43"/>
      <c r="T1909" s="43"/>
      <c r="V1909" s="43"/>
      <c r="X1909" s="43"/>
      <c r="Z1909" s="43"/>
      <c r="AB1909" s="43"/>
      <c r="AD1909" s="43"/>
      <c r="AF1909" s="43"/>
      <c r="AH1909" s="43"/>
      <c r="AJ1909" s="43"/>
      <c r="AL1909" s="43"/>
      <c r="AO1909" s="43"/>
      <c r="AP1909" s="1"/>
      <c r="AQ1909" s="43"/>
      <c r="AR1909" s="123"/>
      <c r="AS1909" s="1"/>
      <c r="AT1909" s="1"/>
    </row>
    <row r="1910">
      <c r="A1910" s="43"/>
      <c r="B1910" s="59"/>
      <c r="C1910" s="51"/>
      <c r="D1910" s="43"/>
      <c r="E1910" s="85"/>
      <c r="F1910" s="43"/>
      <c r="G1910" s="85"/>
      <c r="H1910" s="43"/>
      <c r="I1910" s="85"/>
      <c r="J1910" s="43"/>
      <c r="L1910" s="43"/>
      <c r="N1910" s="43"/>
      <c r="P1910" s="43"/>
      <c r="R1910" s="43"/>
      <c r="T1910" s="43"/>
      <c r="V1910" s="43"/>
      <c r="X1910" s="43"/>
      <c r="Z1910" s="43"/>
      <c r="AB1910" s="43"/>
      <c r="AD1910" s="43"/>
      <c r="AF1910" s="43"/>
      <c r="AH1910" s="43"/>
      <c r="AJ1910" s="43"/>
      <c r="AL1910" s="43"/>
      <c r="AO1910" s="43"/>
      <c r="AP1910" s="1"/>
      <c r="AQ1910" s="43"/>
      <c r="AR1910" s="123"/>
      <c r="AS1910" s="1"/>
      <c r="AT1910" s="1"/>
    </row>
    <row r="1911">
      <c r="A1911" s="43"/>
      <c r="B1911" s="59"/>
      <c r="C1911" s="51"/>
      <c r="D1911" s="43"/>
      <c r="E1911" s="85"/>
      <c r="F1911" s="43"/>
      <c r="G1911" s="85"/>
      <c r="H1911" s="43"/>
      <c r="I1911" s="85"/>
      <c r="J1911" s="43"/>
      <c r="L1911" s="43"/>
      <c r="N1911" s="43"/>
      <c r="P1911" s="43"/>
      <c r="R1911" s="43"/>
      <c r="T1911" s="43"/>
      <c r="V1911" s="43"/>
      <c r="X1911" s="43"/>
      <c r="Z1911" s="43"/>
      <c r="AB1911" s="43"/>
      <c r="AD1911" s="43"/>
      <c r="AF1911" s="43"/>
      <c r="AH1911" s="43"/>
      <c r="AJ1911" s="43"/>
      <c r="AL1911" s="43"/>
      <c r="AO1911" s="43"/>
      <c r="AP1911" s="1"/>
      <c r="AQ1911" s="43"/>
      <c r="AR1911" s="123"/>
      <c r="AS1911" s="1"/>
      <c r="AT1911" s="1"/>
    </row>
    <row r="1912">
      <c r="A1912" s="43"/>
      <c r="B1912" s="59"/>
      <c r="C1912" s="51"/>
      <c r="D1912" s="43"/>
      <c r="E1912" s="85"/>
      <c r="F1912" s="43"/>
      <c r="G1912" s="85"/>
      <c r="H1912" s="43"/>
      <c r="I1912" s="85"/>
      <c r="J1912" s="43"/>
      <c r="L1912" s="43"/>
      <c r="N1912" s="43"/>
      <c r="P1912" s="43"/>
      <c r="R1912" s="43"/>
      <c r="T1912" s="43"/>
      <c r="V1912" s="43"/>
      <c r="X1912" s="43"/>
      <c r="Z1912" s="43"/>
      <c r="AB1912" s="43"/>
      <c r="AD1912" s="43"/>
      <c r="AF1912" s="43"/>
      <c r="AH1912" s="43"/>
      <c r="AJ1912" s="43"/>
      <c r="AL1912" s="43"/>
      <c r="AO1912" s="43"/>
      <c r="AP1912" s="1"/>
      <c r="AQ1912" s="43"/>
      <c r="AR1912" s="123"/>
      <c r="AS1912" s="1"/>
      <c r="AT1912" s="1"/>
    </row>
    <row r="1913">
      <c r="A1913" s="43"/>
      <c r="B1913" s="59"/>
      <c r="C1913" s="51"/>
      <c r="D1913" s="43"/>
      <c r="E1913" s="85"/>
      <c r="F1913" s="43"/>
      <c r="G1913" s="85"/>
      <c r="H1913" s="43"/>
      <c r="I1913" s="85"/>
      <c r="J1913" s="43"/>
      <c r="L1913" s="43"/>
      <c r="N1913" s="43"/>
      <c r="P1913" s="43"/>
      <c r="R1913" s="43"/>
      <c r="T1913" s="43"/>
      <c r="V1913" s="43"/>
      <c r="X1913" s="43"/>
      <c r="Z1913" s="43"/>
      <c r="AB1913" s="43"/>
      <c r="AD1913" s="43"/>
      <c r="AF1913" s="43"/>
      <c r="AH1913" s="43"/>
      <c r="AJ1913" s="43"/>
      <c r="AL1913" s="43"/>
      <c r="AO1913" s="43"/>
      <c r="AP1913" s="1"/>
      <c r="AQ1913" s="43"/>
      <c r="AR1913" s="123"/>
      <c r="AS1913" s="1"/>
      <c r="AT1913" s="1"/>
    </row>
    <row r="1914">
      <c r="A1914" s="43"/>
      <c r="B1914" s="59"/>
      <c r="C1914" s="51"/>
      <c r="D1914" s="43"/>
      <c r="E1914" s="85"/>
      <c r="F1914" s="43"/>
      <c r="G1914" s="85"/>
      <c r="H1914" s="43"/>
      <c r="I1914" s="85"/>
      <c r="J1914" s="43"/>
      <c r="L1914" s="43"/>
      <c r="N1914" s="43"/>
      <c r="P1914" s="43"/>
      <c r="R1914" s="43"/>
      <c r="T1914" s="43"/>
      <c r="V1914" s="43"/>
      <c r="X1914" s="43"/>
      <c r="Z1914" s="43"/>
      <c r="AB1914" s="43"/>
      <c r="AD1914" s="43"/>
      <c r="AF1914" s="43"/>
      <c r="AH1914" s="43"/>
      <c r="AJ1914" s="43"/>
      <c r="AL1914" s="43"/>
      <c r="AO1914" s="43"/>
      <c r="AP1914" s="1"/>
      <c r="AQ1914" s="43"/>
      <c r="AR1914" s="123"/>
      <c r="AS1914" s="1"/>
      <c r="AT1914" s="1"/>
    </row>
    <row r="1915">
      <c r="A1915" s="43"/>
      <c r="B1915" s="59"/>
      <c r="C1915" s="51"/>
      <c r="D1915" s="43"/>
      <c r="E1915" s="85"/>
      <c r="F1915" s="43"/>
      <c r="G1915" s="85"/>
      <c r="H1915" s="43"/>
      <c r="I1915" s="85"/>
      <c r="J1915" s="43"/>
      <c r="L1915" s="43"/>
      <c r="N1915" s="43"/>
      <c r="P1915" s="43"/>
      <c r="R1915" s="43"/>
      <c r="T1915" s="43"/>
      <c r="V1915" s="43"/>
      <c r="X1915" s="43"/>
      <c r="Z1915" s="43"/>
      <c r="AB1915" s="43"/>
      <c r="AD1915" s="43"/>
      <c r="AF1915" s="43"/>
      <c r="AH1915" s="43"/>
      <c r="AJ1915" s="43"/>
      <c r="AL1915" s="43"/>
      <c r="AO1915" s="43"/>
      <c r="AP1915" s="1"/>
      <c r="AQ1915" s="43"/>
      <c r="AR1915" s="123"/>
      <c r="AS1915" s="1"/>
      <c r="AT1915" s="1"/>
    </row>
    <row r="1916">
      <c r="A1916" s="43"/>
      <c r="B1916" s="59"/>
      <c r="C1916" s="51"/>
      <c r="D1916" s="43"/>
      <c r="E1916" s="85"/>
      <c r="F1916" s="43"/>
      <c r="G1916" s="85"/>
      <c r="H1916" s="43"/>
      <c r="I1916" s="85"/>
      <c r="J1916" s="43"/>
      <c r="L1916" s="43"/>
      <c r="N1916" s="43"/>
      <c r="P1916" s="43"/>
      <c r="R1916" s="43"/>
      <c r="T1916" s="43"/>
      <c r="V1916" s="43"/>
      <c r="X1916" s="43"/>
      <c r="Z1916" s="43"/>
      <c r="AB1916" s="43"/>
      <c r="AD1916" s="43"/>
      <c r="AF1916" s="43"/>
      <c r="AH1916" s="43"/>
      <c r="AJ1916" s="43"/>
      <c r="AL1916" s="43"/>
      <c r="AO1916" s="43"/>
      <c r="AP1916" s="1"/>
      <c r="AQ1916" s="43"/>
      <c r="AR1916" s="123"/>
      <c r="AS1916" s="1"/>
      <c r="AT1916" s="1"/>
    </row>
    <row r="1917">
      <c r="A1917" s="43"/>
      <c r="B1917" s="59"/>
      <c r="C1917" s="51"/>
      <c r="D1917" s="43"/>
      <c r="E1917" s="85"/>
      <c r="F1917" s="43"/>
      <c r="G1917" s="85"/>
      <c r="H1917" s="43"/>
      <c r="I1917" s="85"/>
      <c r="J1917" s="43"/>
      <c r="L1917" s="43"/>
      <c r="N1917" s="43"/>
      <c r="P1917" s="43"/>
      <c r="R1917" s="43"/>
      <c r="T1917" s="43"/>
      <c r="V1917" s="43"/>
      <c r="X1917" s="43"/>
      <c r="Z1917" s="43"/>
      <c r="AB1917" s="43"/>
      <c r="AD1917" s="43"/>
      <c r="AF1917" s="43"/>
      <c r="AH1917" s="43"/>
      <c r="AJ1917" s="43"/>
      <c r="AL1917" s="43"/>
      <c r="AO1917" s="43"/>
      <c r="AP1917" s="1"/>
      <c r="AQ1917" s="43"/>
      <c r="AR1917" s="123"/>
      <c r="AS1917" s="1"/>
      <c r="AT1917" s="1"/>
    </row>
    <row r="1918">
      <c r="A1918" s="43"/>
      <c r="B1918" s="59"/>
      <c r="C1918" s="51"/>
      <c r="D1918" s="43"/>
      <c r="E1918" s="85"/>
      <c r="F1918" s="43"/>
      <c r="G1918" s="85"/>
      <c r="H1918" s="43"/>
      <c r="I1918" s="85"/>
      <c r="J1918" s="43"/>
      <c r="L1918" s="43"/>
      <c r="N1918" s="43"/>
      <c r="P1918" s="43"/>
      <c r="R1918" s="43"/>
      <c r="T1918" s="43"/>
      <c r="V1918" s="43"/>
      <c r="X1918" s="43"/>
      <c r="Z1918" s="43"/>
      <c r="AB1918" s="43"/>
      <c r="AD1918" s="43"/>
      <c r="AF1918" s="43"/>
      <c r="AH1918" s="43"/>
      <c r="AJ1918" s="43"/>
      <c r="AL1918" s="43"/>
      <c r="AO1918" s="43"/>
      <c r="AP1918" s="1"/>
      <c r="AQ1918" s="43"/>
      <c r="AR1918" s="123"/>
      <c r="AS1918" s="1"/>
      <c r="AT1918" s="1"/>
    </row>
    <row r="1919">
      <c r="A1919" s="43"/>
      <c r="B1919" s="59"/>
      <c r="C1919" s="51"/>
      <c r="D1919" s="43"/>
      <c r="E1919" s="85"/>
      <c r="F1919" s="43"/>
      <c r="G1919" s="85"/>
      <c r="H1919" s="43"/>
      <c r="I1919" s="85"/>
      <c r="J1919" s="43"/>
      <c r="L1919" s="43"/>
      <c r="N1919" s="43"/>
      <c r="P1919" s="43"/>
      <c r="R1919" s="43"/>
      <c r="T1919" s="43"/>
      <c r="V1919" s="43"/>
      <c r="X1919" s="43"/>
      <c r="Z1919" s="43"/>
      <c r="AB1919" s="43"/>
      <c r="AD1919" s="43"/>
      <c r="AF1919" s="43"/>
      <c r="AH1919" s="43"/>
      <c r="AJ1919" s="43"/>
      <c r="AL1919" s="43"/>
      <c r="AO1919" s="43"/>
      <c r="AP1919" s="1"/>
      <c r="AQ1919" s="43"/>
      <c r="AR1919" s="123"/>
      <c r="AS1919" s="1"/>
      <c r="AT1919" s="1"/>
    </row>
    <row r="1920">
      <c r="A1920" s="43"/>
      <c r="B1920" s="59"/>
      <c r="C1920" s="51"/>
      <c r="D1920" s="43"/>
      <c r="E1920" s="85"/>
      <c r="F1920" s="43"/>
      <c r="G1920" s="85"/>
      <c r="H1920" s="43"/>
      <c r="I1920" s="85"/>
      <c r="J1920" s="43"/>
      <c r="L1920" s="43"/>
      <c r="N1920" s="43"/>
      <c r="P1920" s="43"/>
      <c r="R1920" s="43"/>
      <c r="T1920" s="43"/>
      <c r="V1920" s="43"/>
      <c r="X1920" s="43"/>
      <c r="Z1920" s="43"/>
      <c r="AB1920" s="43"/>
      <c r="AD1920" s="43"/>
      <c r="AF1920" s="43"/>
      <c r="AH1920" s="43"/>
      <c r="AJ1920" s="43"/>
      <c r="AL1920" s="43"/>
      <c r="AO1920" s="43"/>
      <c r="AP1920" s="1"/>
      <c r="AQ1920" s="43"/>
      <c r="AR1920" s="123"/>
      <c r="AS1920" s="1"/>
      <c r="AT1920" s="1"/>
    </row>
    <row r="1921">
      <c r="A1921" s="43"/>
      <c r="B1921" s="59"/>
      <c r="C1921" s="51"/>
      <c r="D1921" s="43"/>
      <c r="E1921" s="85"/>
      <c r="F1921" s="43"/>
      <c r="G1921" s="85"/>
      <c r="H1921" s="43"/>
      <c r="I1921" s="85"/>
      <c r="J1921" s="43"/>
      <c r="L1921" s="43"/>
      <c r="N1921" s="43"/>
      <c r="P1921" s="43"/>
      <c r="R1921" s="43"/>
      <c r="T1921" s="43"/>
      <c r="V1921" s="43"/>
      <c r="X1921" s="43"/>
      <c r="Z1921" s="43"/>
      <c r="AB1921" s="43"/>
      <c r="AD1921" s="43"/>
      <c r="AF1921" s="43"/>
      <c r="AH1921" s="43"/>
      <c r="AJ1921" s="43"/>
      <c r="AL1921" s="43"/>
      <c r="AO1921" s="43"/>
      <c r="AP1921" s="1"/>
      <c r="AQ1921" s="43"/>
      <c r="AR1921" s="123"/>
      <c r="AS1921" s="1"/>
      <c r="AT1921" s="1"/>
    </row>
    <row r="1922">
      <c r="A1922" s="43"/>
      <c r="B1922" s="59"/>
      <c r="C1922" s="51"/>
      <c r="D1922" s="43"/>
      <c r="E1922" s="85"/>
      <c r="F1922" s="43"/>
      <c r="G1922" s="85"/>
      <c r="H1922" s="43"/>
      <c r="I1922" s="85"/>
      <c r="J1922" s="43"/>
      <c r="L1922" s="43"/>
      <c r="N1922" s="43"/>
      <c r="P1922" s="43"/>
      <c r="R1922" s="43"/>
      <c r="T1922" s="43"/>
      <c r="V1922" s="43"/>
      <c r="X1922" s="43"/>
      <c r="Z1922" s="43"/>
      <c r="AB1922" s="43"/>
      <c r="AD1922" s="43"/>
      <c r="AF1922" s="43"/>
      <c r="AH1922" s="43"/>
      <c r="AJ1922" s="43"/>
      <c r="AL1922" s="43"/>
      <c r="AO1922" s="43"/>
      <c r="AP1922" s="1"/>
      <c r="AQ1922" s="43"/>
      <c r="AR1922" s="123"/>
      <c r="AS1922" s="1"/>
      <c r="AT1922" s="1"/>
    </row>
    <row r="1923">
      <c r="A1923" s="43"/>
      <c r="B1923" s="59"/>
      <c r="C1923" s="51"/>
      <c r="D1923" s="43"/>
      <c r="E1923" s="85"/>
      <c r="F1923" s="43"/>
      <c r="G1923" s="85"/>
      <c r="H1923" s="43"/>
      <c r="I1923" s="85"/>
      <c r="J1923" s="43"/>
      <c r="L1923" s="43"/>
      <c r="N1923" s="43"/>
      <c r="P1923" s="43"/>
      <c r="R1923" s="43"/>
      <c r="T1923" s="43"/>
      <c r="V1923" s="43"/>
      <c r="X1923" s="43"/>
      <c r="Z1923" s="43"/>
      <c r="AB1923" s="43"/>
      <c r="AD1923" s="43"/>
      <c r="AF1923" s="43"/>
      <c r="AH1923" s="43"/>
      <c r="AJ1923" s="43"/>
      <c r="AL1923" s="43"/>
      <c r="AO1923" s="43"/>
      <c r="AP1923" s="1"/>
      <c r="AQ1923" s="43"/>
      <c r="AR1923" s="123"/>
      <c r="AS1923" s="1"/>
      <c r="AT1923" s="1"/>
    </row>
    <row r="1924">
      <c r="A1924" s="43"/>
      <c r="B1924" s="59"/>
      <c r="C1924" s="51"/>
      <c r="D1924" s="43"/>
      <c r="E1924" s="85"/>
      <c r="F1924" s="43"/>
      <c r="G1924" s="85"/>
      <c r="H1924" s="43"/>
      <c r="I1924" s="85"/>
      <c r="J1924" s="43"/>
      <c r="L1924" s="43"/>
      <c r="N1924" s="43"/>
      <c r="P1924" s="43"/>
      <c r="R1924" s="43"/>
      <c r="T1924" s="43"/>
      <c r="V1924" s="43"/>
      <c r="X1924" s="43"/>
      <c r="Z1924" s="43"/>
      <c r="AB1924" s="43"/>
      <c r="AD1924" s="43"/>
      <c r="AF1924" s="43"/>
      <c r="AH1924" s="43"/>
      <c r="AJ1924" s="43"/>
      <c r="AL1924" s="43"/>
      <c r="AO1924" s="43"/>
      <c r="AP1924" s="1"/>
      <c r="AQ1924" s="43"/>
      <c r="AR1924" s="123"/>
      <c r="AS1924" s="1"/>
      <c r="AT1924" s="1"/>
    </row>
    <row r="1925">
      <c r="A1925" s="43"/>
      <c r="B1925" s="59"/>
      <c r="C1925" s="51"/>
      <c r="D1925" s="43"/>
      <c r="E1925" s="85"/>
      <c r="F1925" s="43"/>
      <c r="G1925" s="85"/>
      <c r="H1925" s="43"/>
      <c r="I1925" s="85"/>
      <c r="J1925" s="43"/>
      <c r="L1925" s="43"/>
      <c r="N1925" s="43"/>
      <c r="P1925" s="43"/>
      <c r="R1925" s="43"/>
      <c r="T1925" s="43"/>
      <c r="V1925" s="43"/>
      <c r="X1925" s="43"/>
      <c r="Z1925" s="43"/>
      <c r="AB1925" s="43"/>
      <c r="AD1925" s="43"/>
      <c r="AF1925" s="43"/>
      <c r="AH1925" s="43"/>
      <c r="AJ1925" s="43"/>
      <c r="AL1925" s="43"/>
      <c r="AO1925" s="43"/>
      <c r="AP1925" s="1"/>
      <c r="AQ1925" s="43"/>
      <c r="AR1925" s="123"/>
      <c r="AS1925" s="1"/>
      <c r="AT1925" s="1"/>
    </row>
    <row r="1926">
      <c r="A1926" s="43"/>
      <c r="B1926" s="59"/>
      <c r="C1926" s="51"/>
      <c r="D1926" s="43"/>
      <c r="E1926" s="85"/>
      <c r="F1926" s="43"/>
      <c r="G1926" s="85"/>
      <c r="H1926" s="43"/>
      <c r="I1926" s="85"/>
      <c r="J1926" s="43"/>
      <c r="L1926" s="43"/>
      <c r="N1926" s="43"/>
      <c r="P1926" s="43"/>
      <c r="R1926" s="43"/>
      <c r="T1926" s="43"/>
      <c r="V1926" s="43"/>
      <c r="X1926" s="43"/>
      <c r="Z1926" s="43"/>
      <c r="AB1926" s="43"/>
      <c r="AD1926" s="43"/>
      <c r="AF1926" s="43"/>
      <c r="AH1926" s="43"/>
      <c r="AJ1926" s="43"/>
      <c r="AL1926" s="43"/>
      <c r="AO1926" s="43"/>
      <c r="AP1926" s="1"/>
      <c r="AQ1926" s="43"/>
      <c r="AR1926" s="123"/>
      <c r="AS1926" s="1"/>
      <c r="AT1926" s="1"/>
    </row>
    <row r="1927">
      <c r="A1927" s="43"/>
      <c r="B1927" s="59"/>
      <c r="C1927" s="51"/>
      <c r="D1927" s="43"/>
      <c r="E1927" s="85"/>
      <c r="F1927" s="43"/>
      <c r="G1927" s="85"/>
      <c r="H1927" s="43"/>
      <c r="I1927" s="85"/>
      <c r="J1927" s="43"/>
      <c r="L1927" s="43"/>
      <c r="N1927" s="43"/>
      <c r="P1927" s="43"/>
      <c r="R1927" s="43"/>
      <c r="T1927" s="43"/>
      <c r="V1927" s="43"/>
      <c r="X1927" s="43"/>
      <c r="Z1927" s="43"/>
      <c r="AB1927" s="43"/>
      <c r="AD1927" s="43"/>
      <c r="AF1927" s="43"/>
      <c r="AH1927" s="43"/>
      <c r="AJ1927" s="43"/>
      <c r="AL1927" s="43"/>
      <c r="AO1927" s="43"/>
      <c r="AP1927" s="1"/>
      <c r="AQ1927" s="43"/>
      <c r="AR1927" s="123"/>
      <c r="AS1927" s="1"/>
      <c r="AT1927" s="1"/>
    </row>
    <row r="1928">
      <c r="A1928" s="43"/>
      <c r="B1928" s="59"/>
      <c r="C1928" s="51"/>
      <c r="D1928" s="43"/>
      <c r="E1928" s="85"/>
      <c r="F1928" s="43"/>
      <c r="G1928" s="85"/>
      <c r="H1928" s="43"/>
      <c r="I1928" s="85"/>
      <c r="J1928" s="43"/>
      <c r="L1928" s="43"/>
      <c r="N1928" s="43"/>
      <c r="P1928" s="43"/>
      <c r="R1928" s="43"/>
      <c r="T1928" s="43"/>
      <c r="V1928" s="43"/>
      <c r="X1928" s="43"/>
      <c r="Z1928" s="43"/>
      <c r="AB1928" s="43"/>
      <c r="AD1928" s="43"/>
      <c r="AF1928" s="43"/>
      <c r="AH1928" s="43"/>
      <c r="AJ1928" s="43"/>
      <c r="AL1928" s="43"/>
      <c r="AO1928" s="43"/>
      <c r="AP1928" s="1"/>
      <c r="AQ1928" s="43"/>
      <c r="AR1928" s="123"/>
      <c r="AS1928" s="1"/>
      <c r="AT1928" s="1"/>
    </row>
    <row r="1929">
      <c r="A1929" s="43"/>
      <c r="B1929" s="59"/>
      <c r="C1929" s="51"/>
      <c r="D1929" s="43"/>
      <c r="E1929" s="85"/>
      <c r="F1929" s="43"/>
      <c r="G1929" s="85"/>
      <c r="H1929" s="43"/>
      <c r="I1929" s="85"/>
      <c r="J1929" s="43"/>
      <c r="L1929" s="43"/>
      <c r="N1929" s="43"/>
      <c r="P1929" s="43"/>
      <c r="R1929" s="43"/>
      <c r="T1929" s="43"/>
      <c r="V1929" s="43"/>
      <c r="X1929" s="43"/>
      <c r="Z1929" s="43"/>
      <c r="AB1929" s="43"/>
      <c r="AD1929" s="43"/>
      <c r="AF1929" s="43"/>
      <c r="AH1929" s="43"/>
      <c r="AJ1929" s="43"/>
      <c r="AL1929" s="43"/>
      <c r="AO1929" s="43"/>
      <c r="AP1929" s="1"/>
      <c r="AQ1929" s="43"/>
      <c r="AR1929" s="123"/>
      <c r="AS1929" s="1"/>
      <c r="AT1929" s="1"/>
    </row>
    <row r="1930">
      <c r="A1930" s="43"/>
      <c r="B1930" s="59"/>
      <c r="C1930" s="51"/>
      <c r="D1930" s="43"/>
      <c r="E1930" s="85"/>
      <c r="F1930" s="43"/>
      <c r="G1930" s="85"/>
      <c r="H1930" s="43"/>
      <c r="I1930" s="85"/>
      <c r="J1930" s="43"/>
      <c r="L1930" s="43"/>
      <c r="N1930" s="43"/>
      <c r="P1930" s="43"/>
      <c r="R1930" s="43"/>
      <c r="T1930" s="43"/>
      <c r="V1930" s="43"/>
      <c r="X1930" s="43"/>
      <c r="Z1930" s="43"/>
      <c r="AB1930" s="43"/>
      <c r="AD1930" s="43"/>
      <c r="AF1930" s="43"/>
      <c r="AH1930" s="43"/>
      <c r="AJ1930" s="43"/>
      <c r="AL1930" s="43"/>
      <c r="AO1930" s="43"/>
      <c r="AP1930" s="1"/>
      <c r="AQ1930" s="43"/>
      <c r="AR1930" s="123"/>
      <c r="AS1930" s="1"/>
      <c r="AT1930" s="1"/>
    </row>
    <row r="1931">
      <c r="A1931" s="43"/>
      <c r="B1931" s="59"/>
      <c r="C1931" s="51"/>
      <c r="D1931" s="43"/>
      <c r="E1931" s="85"/>
      <c r="F1931" s="43"/>
      <c r="G1931" s="85"/>
      <c r="H1931" s="43"/>
      <c r="I1931" s="85"/>
      <c r="J1931" s="43"/>
      <c r="L1931" s="43"/>
      <c r="N1931" s="43"/>
      <c r="P1931" s="43"/>
      <c r="R1931" s="43"/>
      <c r="T1931" s="43"/>
      <c r="V1931" s="43"/>
      <c r="X1931" s="43"/>
      <c r="Z1931" s="43"/>
      <c r="AB1931" s="43"/>
      <c r="AD1931" s="43"/>
      <c r="AF1931" s="43"/>
      <c r="AH1931" s="43"/>
      <c r="AJ1931" s="43"/>
      <c r="AL1931" s="43"/>
      <c r="AO1931" s="43"/>
      <c r="AP1931" s="1"/>
      <c r="AQ1931" s="43"/>
      <c r="AR1931" s="123"/>
      <c r="AS1931" s="1"/>
      <c r="AT1931" s="1"/>
    </row>
    <row r="1932">
      <c r="A1932" s="43"/>
      <c r="B1932" s="59"/>
      <c r="C1932" s="51"/>
      <c r="D1932" s="43"/>
      <c r="E1932" s="85"/>
      <c r="F1932" s="43"/>
      <c r="G1932" s="85"/>
      <c r="H1932" s="43"/>
      <c r="I1932" s="85"/>
      <c r="J1932" s="43"/>
      <c r="L1932" s="43"/>
      <c r="N1932" s="43"/>
      <c r="P1932" s="43"/>
      <c r="R1932" s="43"/>
      <c r="T1932" s="43"/>
      <c r="V1932" s="43"/>
      <c r="X1932" s="43"/>
      <c r="Z1932" s="43"/>
      <c r="AB1932" s="43"/>
      <c r="AD1932" s="43"/>
      <c r="AF1932" s="43"/>
      <c r="AH1932" s="43"/>
      <c r="AJ1932" s="43"/>
      <c r="AL1932" s="43"/>
      <c r="AO1932" s="43"/>
      <c r="AP1932" s="1"/>
      <c r="AQ1932" s="43"/>
      <c r="AR1932" s="123"/>
      <c r="AS1932" s="1"/>
      <c r="AT1932" s="1"/>
    </row>
    <row r="1933">
      <c r="A1933" s="43"/>
      <c r="B1933" s="59"/>
      <c r="C1933" s="51"/>
      <c r="D1933" s="43"/>
      <c r="E1933" s="85"/>
      <c r="F1933" s="43"/>
      <c r="G1933" s="85"/>
      <c r="H1933" s="43"/>
      <c r="I1933" s="85"/>
      <c r="J1933" s="43"/>
      <c r="L1933" s="43"/>
      <c r="N1933" s="43"/>
      <c r="P1933" s="43"/>
      <c r="R1933" s="43"/>
      <c r="T1933" s="43"/>
      <c r="V1933" s="43"/>
      <c r="X1933" s="43"/>
      <c r="Z1933" s="43"/>
      <c r="AB1933" s="43"/>
      <c r="AD1933" s="43"/>
      <c r="AF1933" s="43"/>
      <c r="AH1933" s="43"/>
      <c r="AJ1933" s="43"/>
      <c r="AL1933" s="43"/>
      <c r="AO1933" s="43"/>
      <c r="AP1933" s="1"/>
      <c r="AQ1933" s="43"/>
      <c r="AR1933" s="123"/>
      <c r="AS1933" s="1"/>
      <c r="AT1933" s="1"/>
    </row>
    <row r="1934">
      <c r="A1934" s="43"/>
      <c r="B1934" s="59"/>
      <c r="C1934" s="51"/>
      <c r="D1934" s="43"/>
      <c r="E1934" s="85"/>
      <c r="F1934" s="43"/>
      <c r="G1934" s="85"/>
      <c r="H1934" s="43"/>
      <c r="I1934" s="85"/>
      <c r="J1934" s="43"/>
      <c r="L1934" s="43"/>
      <c r="N1934" s="43"/>
      <c r="P1934" s="43"/>
      <c r="R1934" s="43"/>
      <c r="T1934" s="43"/>
      <c r="V1934" s="43"/>
      <c r="X1934" s="43"/>
      <c r="Z1934" s="43"/>
      <c r="AB1934" s="43"/>
      <c r="AD1934" s="43"/>
      <c r="AF1934" s="43"/>
      <c r="AH1934" s="43"/>
      <c r="AJ1934" s="43"/>
      <c r="AL1934" s="43"/>
      <c r="AO1934" s="43"/>
      <c r="AP1934" s="1"/>
      <c r="AQ1934" s="43"/>
      <c r="AR1934" s="123"/>
      <c r="AS1934" s="1"/>
      <c r="AT1934" s="1"/>
    </row>
    <row r="1935">
      <c r="A1935" s="43"/>
      <c r="B1935" s="59"/>
      <c r="C1935" s="51"/>
      <c r="D1935" s="43"/>
      <c r="E1935" s="85"/>
      <c r="F1935" s="43"/>
      <c r="G1935" s="85"/>
      <c r="H1935" s="43"/>
      <c r="I1935" s="85"/>
      <c r="J1935" s="43"/>
      <c r="L1935" s="43"/>
      <c r="N1935" s="43"/>
      <c r="P1935" s="43"/>
      <c r="R1935" s="43"/>
      <c r="T1935" s="43"/>
      <c r="V1935" s="43"/>
      <c r="X1935" s="43"/>
      <c r="Z1935" s="43"/>
      <c r="AB1935" s="43"/>
      <c r="AD1935" s="43"/>
      <c r="AF1935" s="43"/>
      <c r="AH1935" s="43"/>
      <c r="AJ1935" s="43"/>
      <c r="AL1935" s="43"/>
      <c r="AO1935" s="43"/>
      <c r="AP1935" s="1"/>
      <c r="AQ1935" s="43"/>
      <c r="AR1935" s="123"/>
      <c r="AS1935" s="1"/>
      <c r="AT1935" s="1"/>
    </row>
    <row r="1936">
      <c r="A1936" s="43"/>
      <c r="B1936" s="59"/>
      <c r="C1936" s="51"/>
      <c r="D1936" s="43"/>
      <c r="E1936" s="85"/>
      <c r="F1936" s="43"/>
      <c r="G1936" s="85"/>
      <c r="H1936" s="43"/>
      <c r="I1936" s="85"/>
      <c r="J1936" s="43"/>
      <c r="L1936" s="43"/>
      <c r="N1936" s="43"/>
      <c r="P1936" s="43"/>
      <c r="R1936" s="43"/>
      <c r="T1936" s="43"/>
      <c r="V1936" s="43"/>
      <c r="X1936" s="43"/>
      <c r="Z1936" s="43"/>
      <c r="AB1936" s="43"/>
      <c r="AD1936" s="43"/>
      <c r="AF1936" s="43"/>
      <c r="AH1936" s="43"/>
      <c r="AJ1936" s="43"/>
      <c r="AL1936" s="43"/>
      <c r="AO1936" s="43"/>
      <c r="AP1936" s="1"/>
      <c r="AQ1936" s="43"/>
      <c r="AR1936" s="123"/>
      <c r="AS1936" s="1"/>
      <c r="AT1936" s="1"/>
    </row>
    <row r="1937">
      <c r="A1937" s="43"/>
      <c r="B1937" s="59"/>
      <c r="C1937" s="51"/>
      <c r="D1937" s="43"/>
      <c r="E1937" s="85"/>
      <c r="F1937" s="43"/>
      <c r="G1937" s="85"/>
      <c r="H1937" s="43"/>
      <c r="I1937" s="85"/>
      <c r="J1937" s="43"/>
      <c r="L1937" s="43"/>
      <c r="N1937" s="43"/>
      <c r="P1937" s="43"/>
      <c r="R1937" s="43"/>
      <c r="T1937" s="43"/>
      <c r="V1937" s="43"/>
      <c r="X1937" s="43"/>
      <c r="Z1937" s="43"/>
      <c r="AB1937" s="43"/>
      <c r="AD1937" s="43"/>
      <c r="AF1937" s="43"/>
      <c r="AH1937" s="43"/>
      <c r="AJ1937" s="43"/>
      <c r="AL1937" s="43"/>
      <c r="AO1937" s="43"/>
      <c r="AP1937" s="1"/>
      <c r="AQ1937" s="43"/>
      <c r="AR1937" s="123"/>
      <c r="AS1937" s="1"/>
      <c r="AT1937" s="1"/>
    </row>
    <row r="1938">
      <c r="A1938" s="43"/>
      <c r="B1938" s="59"/>
      <c r="C1938" s="51"/>
      <c r="D1938" s="43"/>
      <c r="E1938" s="85"/>
      <c r="F1938" s="43"/>
      <c r="G1938" s="85"/>
      <c r="H1938" s="43"/>
      <c r="I1938" s="85"/>
      <c r="J1938" s="43"/>
      <c r="L1938" s="43"/>
      <c r="N1938" s="43"/>
      <c r="P1938" s="43"/>
      <c r="R1938" s="43"/>
      <c r="T1938" s="43"/>
      <c r="V1938" s="43"/>
      <c r="X1938" s="43"/>
      <c r="Z1938" s="43"/>
      <c r="AB1938" s="43"/>
      <c r="AD1938" s="43"/>
      <c r="AF1938" s="43"/>
      <c r="AH1938" s="43"/>
      <c r="AJ1938" s="43"/>
      <c r="AL1938" s="43"/>
      <c r="AO1938" s="43"/>
      <c r="AP1938" s="1"/>
      <c r="AQ1938" s="43"/>
      <c r="AR1938" s="123"/>
      <c r="AS1938" s="1"/>
      <c r="AT1938" s="1"/>
    </row>
    <row r="1939">
      <c r="A1939" s="43"/>
      <c r="B1939" s="59"/>
      <c r="C1939" s="51"/>
      <c r="D1939" s="43"/>
      <c r="E1939" s="85"/>
      <c r="F1939" s="43"/>
      <c r="G1939" s="85"/>
      <c r="H1939" s="43"/>
      <c r="I1939" s="85"/>
      <c r="J1939" s="43"/>
      <c r="L1939" s="43"/>
      <c r="N1939" s="43"/>
      <c r="P1939" s="43"/>
      <c r="R1939" s="43"/>
      <c r="T1939" s="43"/>
      <c r="V1939" s="43"/>
      <c r="X1939" s="43"/>
      <c r="Z1939" s="43"/>
      <c r="AB1939" s="43"/>
      <c r="AD1939" s="43"/>
      <c r="AF1939" s="43"/>
      <c r="AH1939" s="43"/>
      <c r="AJ1939" s="43"/>
      <c r="AL1939" s="43"/>
      <c r="AO1939" s="43"/>
      <c r="AP1939" s="1"/>
      <c r="AQ1939" s="43"/>
      <c r="AR1939" s="123"/>
      <c r="AS1939" s="1"/>
      <c r="AT1939" s="1"/>
    </row>
    <row r="1940">
      <c r="A1940" s="43"/>
      <c r="B1940" s="59"/>
      <c r="C1940" s="51"/>
      <c r="D1940" s="43"/>
      <c r="E1940" s="85"/>
      <c r="F1940" s="43"/>
      <c r="G1940" s="85"/>
      <c r="H1940" s="43"/>
      <c r="I1940" s="85"/>
      <c r="J1940" s="43"/>
      <c r="L1940" s="43"/>
      <c r="N1940" s="43"/>
      <c r="P1940" s="43"/>
      <c r="R1940" s="43"/>
      <c r="T1940" s="43"/>
      <c r="V1940" s="43"/>
      <c r="X1940" s="43"/>
      <c r="Z1940" s="43"/>
      <c r="AB1940" s="43"/>
      <c r="AD1940" s="43"/>
      <c r="AF1940" s="43"/>
      <c r="AH1940" s="43"/>
      <c r="AJ1940" s="43"/>
      <c r="AL1940" s="43"/>
      <c r="AO1940" s="43"/>
      <c r="AP1940" s="1"/>
      <c r="AQ1940" s="43"/>
      <c r="AR1940" s="123"/>
      <c r="AS1940" s="1"/>
      <c r="AT1940" s="1"/>
    </row>
    <row r="1941">
      <c r="A1941" s="43"/>
      <c r="B1941" s="59"/>
      <c r="C1941" s="51"/>
      <c r="D1941" s="43"/>
      <c r="E1941" s="85"/>
      <c r="F1941" s="43"/>
      <c r="G1941" s="85"/>
      <c r="H1941" s="43"/>
      <c r="I1941" s="85"/>
      <c r="J1941" s="43"/>
      <c r="L1941" s="43"/>
      <c r="N1941" s="43"/>
      <c r="P1941" s="43"/>
      <c r="R1941" s="43"/>
      <c r="T1941" s="43"/>
      <c r="V1941" s="43"/>
      <c r="X1941" s="43"/>
      <c r="Z1941" s="43"/>
      <c r="AB1941" s="43"/>
      <c r="AD1941" s="43"/>
      <c r="AF1941" s="43"/>
      <c r="AH1941" s="43"/>
      <c r="AJ1941" s="43"/>
      <c r="AL1941" s="43"/>
      <c r="AO1941" s="43"/>
      <c r="AP1941" s="1"/>
      <c r="AQ1941" s="43"/>
      <c r="AR1941" s="123"/>
      <c r="AS1941" s="1"/>
      <c r="AT1941" s="1"/>
    </row>
    <row r="1942">
      <c r="A1942" s="43"/>
      <c r="B1942" s="59"/>
      <c r="C1942" s="51"/>
      <c r="D1942" s="43"/>
      <c r="E1942" s="85"/>
      <c r="F1942" s="43"/>
      <c r="G1942" s="85"/>
      <c r="H1942" s="43"/>
      <c r="I1942" s="85"/>
      <c r="J1942" s="43"/>
      <c r="L1942" s="43"/>
      <c r="N1942" s="43"/>
      <c r="P1942" s="43"/>
      <c r="R1942" s="43"/>
      <c r="T1942" s="43"/>
      <c r="V1942" s="43"/>
      <c r="X1942" s="43"/>
      <c r="Z1942" s="43"/>
      <c r="AB1942" s="43"/>
      <c r="AD1942" s="43"/>
      <c r="AF1942" s="43"/>
      <c r="AH1942" s="43"/>
      <c r="AJ1942" s="43"/>
      <c r="AL1942" s="43"/>
      <c r="AO1942" s="43"/>
      <c r="AP1942" s="1"/>
      <c r="AQ1942" s="43"/>
      <c r="AR1942" s="123"/>
      <c r="AS1942" s="1"/>
      <c r="AT1942" s="1"/>
    </row>
    <row r="1943">
      <c r="A1943" s="43"/>
      <c r="B1943" s="59"/>
      <c r="C1943" s="51"/>
      <c r="D1943" s="43"/>
      <c r="E1943" s="85"/>
      <c r="F1943" s="43"/>
      <c r="G1943" s="85"/>
      <c r="H1943" s="43"/>
      <c r="I1943" s="85"/>
      <c r="J1943" s="43"/>
      <c r="L1943" s="43"/>
      <c r="N1943" s="43"/>
      <c r="P1943" s="43"/>
      <c r="R1943" s="43"/>
      <c r="T1943" s="43"/>
      <c r="V1943" s="43"/>
      <c r="X1943" s="43"/>
      <c r="Z1943" s="43"/>
      <c r="AB1943" s="43"/>
      <c r="AD1943" s="43"/>
      <c r="AF1943" s="43"/>
      <c r="AH1943" s="43"/>
      <c r="AJ1943" s="43"/>
      <c r="AL1943" s="43"/>
      <c r="AO1943" s="43"/>
      <c r="AP1943" s="1"/>
      <c r="AQ1943" s="43"/>
      <c r="AR1943" s="123"/>
      <c r="AS1943" s="1"/>
      <c r="AT1943" s="1"/>
    </row>
    <row r="1944">
      <c r="A1944" s="43"/>
      <c r="B1944" s="59"/>
      <c r="C1944" s="51"/>
      <c r="D1944" s="43"/>
      <c r="E1944" s="85"/>
      <c r="F1944" s="43"/>
      <c r="G1944" s="85"/>
      <c r="H1944" s="43"/>
      <c r="I1944" s="85"/>
      <c r="J1944" s="43"/>
      <c r="L1944" s="43"/>
      <c r="N1944" s="43"/>
      <c r="P1944" s="43"/>
      <c r="R1944" s="43"/>
      <c r="T1944" s="43"/>
      <c r="V1944" s="43"/>
      <c r="X1944" s="43"/>
      <c r="Z1944" s="43"/>
      <c r="AB1944" s="43"/>
      <c r="AD1944" s="43"/>
      <c r="AF1944" s="43"/>
      <c r="AH1944" s="43"/>
      <c r="AJ1944" s="43"/>
      <c r="AL1944" s="43"/>
      <c r="AO1944" s="43"/>
      <c r="AP1944" s="1"/>
      <c r="AQ1944" s="43"/>
      <c r="AR1944" s="123"/>
      <c r="AS1944" s="1"/>
      <c r="AT1944" s="1"/>
    </row>
    <row r="1945">
      <c r="A1945" s="43"/>
      <c r="B1945" s="59"/>
      <c r="C1945" s="51"/>
      <c r="D1945" s="43"/>
      <c r="E1945" s="85"/>
      <c r="F1945" s="43"/>
      <c r="G1945" s="85"/>
      <c r="H1945" s="43"/>
      <c r="I1945" s="85"/>
      <c r="J1945" s="43"/>
      <c r="L1945" s="43"/>
      <c r="N1945" s="43"/>
      <c r="P1945" s="43"/>
      <c r="R1945" s="43"/>
      <c r="T1945" s="43"/>
      <c r="V1945" s="43"/>
      <c r="X1945" s="43"/>
      <c r="Z1945" s="43"/>
      <c r="AB1945" s="43"/>
      <c r="AD1945" s="43"/>
      <c r="AF1945" s="43"/>
      <c r="AH1945" s="43"/>
      <c r="AJ1945" s="43"/>
      <c r="AL1945" s="43"/>
      <c r="AO1945" s="43"/>
      <c r="AP1945" s="1"/>
      <c r="AQ1945" s="43"/>
      <c r="AR1945" s="123"/>
      <c r="AS1945" s="1"/>
      <c r="AT1945" s="1"/>
    </row>
    <row r="1946">
      <c r="A1946" s="43"/>
      <c r="B1946" s="59"/>
      <c r="C1946" s="51"/>
      <c r="D1946" s="43"/>
      <c r="E1946" s="85"/>
      <c r="F1946" s="43"/>
      <c r="G1946" s="85"/>
      <c r="H1946" s="43"/>
      <c r="I1946" s="85"/>
      <c r="J1946" s="43"/>
      <c r="L1946" s="43"/>
      <c r="N1946" s="43"/>
      <c r="P1946" s="43"/>
      <c r="R1946" s="43"/>
      <c r="T1946" s="43"/>
      <c r="V1946" s="43"/>
      <c r="X1946" s="43"/>
      <c r="Z1946" s="43"/>
      <c r="AB1946" s="43"/>
      <c r="AD1946" s="43"/>
      <c r="AF1946" s="43"/>
      <c r="AH1946" s="43"/>
      <c r="AJ1946" s="43"/>
      <c r="AL1946" s="43"/>
      <c r="AO1946" s="43"/>
      <c r="AP1946" s="1"/>
      <c r="AQ1946" s="43"/>
      <c r="AR1946" s="123"/>
      <c r="AS1946" s="1"/>
      <c r="AT1946" s="1"/>
    </row>
    <row r="1947">
      <c r="A1947" s="43"/>
      <c r="B1947" s="59"/>
      <c r="C1947" s="51"/>
      <c r="D1947" s="43"/>
      <c r="E1947" s="85"/>
      <c r="F1947" s="43"/>
      <c r="G1947" s="85"/>
      <c r="H1947" s="43"/>
      <c r="I1947" s="85"/>
      <c r="J1947" s="43"/>
      <c r="L1947" s="43"/>
      <c r="N1947" s="43"/>
      <c r="P1947" s="43"/>
      <c r="R1947" s="43"/>
      <c r="T1947" s="43"/>
      <c r="V1947" s="43"/>
      <c r="X1947" s="43"/>
      <c r="Z1947" s="43"/>
      <c r="AB1947" s="43"/>
      <c r="AD1947" s="43"/>
      <c r="AF1947" s="43"/>
      <c r="AH1947" s="43"/>
      <c r="AJ1947" s="43"/>
      <c r="AL1947" s="43"/>
      <c r="AO1947" s="43"/>
      <c r="AP1947" s="1"/>
      <c r="AQ1947" s="43"/>
      <c r="AR1947" s="123"/>
      <c r="AS1947" s="1"/>
      <c r="AT1947" s="1"/>
    </row>
    <row r="1948">
      <c r="A1948" s="43"/>
      <c r="B1948" s="59"/>
      <c r="C1948" s="51"/>
      <c r="D1948" s="43"/>
      <c r="E1948" s="85"/>
      <c r="F1948" s="43"/>
      <c r="G1948" s="85"/>
      <c r="H1948" s="43"/>
      <c r="I1948" s="85"/>
      <c r="J1948" s="43"/>
      <c r="L1948" s="43"/>
      <c r="N1948" s="43"/>
      <c r="P1948" s="43"/>
      <c r="R1948" s="43"/>
      <c r="T1948" s="43"/>
      <c r="V1948" s="43"/>
      <c r="X1948" s="43"/>
      <c r="Z1948" s="43"/>
      <c r="AB1948" s="43"/>
      <c r="AD1948" s="43"/>
      <c r="AF1948" s="43"/>
      <c r="AH1948" s="43"/>
      <c r="AJ1948" s="43"/>
      <c r="AL1948" s="43"/>
      <c r="AO1948" s="43"/>
      <c r="AP1948" s="1"/>
      <c r="AQ1948" s="43"/>
      <c r="AR1948" s="123"/>
      <c r="AS1948" s="1"/>
      <c r="AT1948" s="1"/>
    </row>
    <row r="1949">
      <c r="A1949" s="43"/>
      <c r="B1949" s="59"/>
      <c r="C1949" s="51"/>
      <c r="D1949" s="43"/>
      <c r="E1949" s="85"/>
      <c r="F1949" s="43"/>
      <c r="G1949" s="85"/>
      <c r="H1949" s="43"/>
      <c r="I1949" s="85"/>
      <c r="J1949" s="43"/>
      <c r="L1949" s="43"/>
      <c r="N1949" s="43"/>
      <c r="P1949" s="43"/>
      <c r="R1949" s="43"/>
      <c r="T1949" s="43"/>
      <c r="V1949" s="43"/>
      <c r="X1949" s="43"/>
      <c r="Z1949" s="43"/>
      <c r="AB1949" s="43"/>
      <c r="AD1949" s="43"/>
      <c r="AF1949" s="43"/>
      <c r="AH1949" s="43"/>
      <c r="AJ1949" s="43"/>
      <c r="AL1949" s="43"/>
      <c r="AO1949" s="43"/>
      <c r="AP1949" s="1"/>
      <c r="AQ1949" s="43"/>
      <c r="AR1949" s="123"/>
      <c r="AS1949" s="1"/>
      <c r="AT1949" s="1"/>
    </row>
    <row r="1950">
      <c r="A1950" s="43"/>
      <c r="B1950" s="59"/>
      <c r="C1950" s="51"/>
      <c r="D1950" s="43"/>
      <c r="E1950" s="85"/>
      <c r="F1950" s="43"/>
      <c r="G1950" s="85"/>
      <c r="H1950" s="43"/>
      <c r="I1950" s="85"/>
      <c r="J1950" s="43"/>
      <c r="L1950" s="43"/>
      <c r="N1950" s="43"/>
      <c r="P1950" s="43"/>
      <c r="R1950" s="43"/>
      <c r="T1950" s="43"/>
      <c r="V1950" s="43"/>
      <c r="X1950" s="43"/>
      <c r="Z1950" s="43"/>
      <c r="AB1950" s="43"/>
      <c r="AD1950" s="43"/>
      <c r="AF1950" s="43"/>
      <c r="AH1950" s="43"/>
      <c r="AJ1950" s="43"/>
      <c r="AL1950" s="43"/>
      <c r="AO1950" s="43"/>
      <c r="AP1950" s="1"/>
      <c r="AQ1950" s="43"/>
      <c r="AR1950" s="123"/>
      <c r="AS1950" s="1"/>
      <c r="AT1950" s="1"/>
    </row>
    <row r="1951">
      <c r="A1951" s="43"/>
      <c r="B1951" s="59"/>
      <c r="C1951" s="51"/>
      <c r="D1951" s="43"/>
      <c r="E1951" s="85"/>
      <c r="F1951" s="43"/>
      <c r="G1951" s="85"/>
      <c r="H1951" s="43"/>
      <c r="I1951" s="85"/>
      <c r="J1951" s="43"/>
      <c r="L1951" s="43"/>
      <c r="N1951" s="43"/>
      <c r="P1951" s="43"/>
      <c r="R1951" s="43"/>
      <c r="T1951" s="43"/>
      <c r="V1951" s="43"/>
      <c r="X1951" s="43"/>
      <c r="Z1951" s="43"/>
      <c r="AB1951" s="43"/>
      <c r="AD1951" s="43"/>
      <c r="AF1951" s="43"/>
      <c r="AH1951" s="43"/>
      <c r="AJ1951" s="43"/>
      <c r="AL1951" s="43"/>
      <c r="AO1951" s="43"/>
      <c r="AP1951" s="1"/>
      <c r="AQ1951" s="43"/>
      <c r="AR1951" s="123"/>
      <c r="AS1951" s="1"/>
      <c r="AT1951" s="1"/>
    </row>
    <row r="1952">
      <c r="A1952" s="43"/>
      <c r="B1952" s="59"/>
      <c r="C1952" s="51"/>
      <c r="D1952" s="43"/>
      <c r="E1952" s="85"/>
      <c r="F1952" s="43"/>
      <c r="G1952" s="85"/>
      <c r="H1952" s="43"/>
      <c r="I1952" s="85"/>
      <c r="J1952" s="43"/>
      <c r="L1952" s="43"/>
      <c r="N1952" s="43"/>
      <c r="P1952" s="43"/>
      <c r="R1952" s="43"/>
      <c r="T1952" s="43"/>
      <c r="V1952" s="43"/>
      <c r="X1952" s="43"/>
      <c r="Z1952" s="43"/>
      <c r="AB1952" s="43"/>
      <c r="AD1952" s="43"/>
      <c r="AF1952" s="43"/>
      <c r="AH1952" s="43"/>
      <c r="AJ1952" s="43"/>
      <c r="AL1952" s="43"/>
      <c r="AO1952" s="43"/>
      <c r="AP1952" s="1"/>
      <c r="AQ1952" s="43"/>
      <c r="AR1952" s="123"/>
      <c r="AS1952" s="1"/>
      <c r="AT1952" s="1"/>
    </row>
    <row r="1953">
      <c r="A1953" s="43"/>
      <c r="B1953" s="59"/>
      <c r="C1953" s="51"/>
      <c r="D1953" s="43"/>
      <c r="E1953" s="85"/>
      <c r="F1953" s="43"/>
      <c r="G1953" s="85"/>
      <c r="H1953" s="43"/>
      <c r="I1953" s="85"/>
      <c r="J1953" s="43"/>
      <c r="L1953" s="43"/>
      <c r="N1953" s="43"/>
      <c r="P1953" s="43"/>
      <c r="R1953" s="43"/>
      <c r="T1953" s="43"/>
      <c r="V1953" s="43"/>
      <c r="X1953" s="43"/>
      <c r="Z1953" s="43"/>
      <c r="AB1953" s="43"/>
      <c r="AD1953" s="43"/>
      <c r="AF1953" s="43"/>
      <c r="AH1953" s="43"/>
      <c r="AJ1953" s="43"/>
      <c r="AL1953" s="43"/>
      <c r="AO1953" s="43"/>
      <c r="AP1953" s="1"/>
      <c r="AQ1953" s="43"/>
      <c r="AR1953" s="123"/>
      <c r="AS1953" s="1"/>
      <c r="AT1953" s="1"/>
    </row>
    <row r="1954">
      <c r="A1954" s="43"/>
      <c r="B1954" s="59"/>
      <c r="C1954" s="51"/>
      <c r="D1954" s="43"/>
      <c r="E1954" s="85"/>
      <c r="F1954" s="43"/>
      <c r="G1954" s="85"/>
      <c r="H1954" s="43"/>
      <c r="I1954" s="85"/>
      <c r="J1954" s="43"/>
      <c r="L1954" s="43"/>
      <c r="N1954" s="43"/>
      <c r="P1954" s="43"/>
      <c r="R1954" s="43"/>
      <c r="T1954" s="43"/>
      <c r="V1954" s="43"/>
      <c r="X1954" s="43"/>
      <c r="Z1954" s="43"/>
      <c r="AB1954" s="43"/>
      <c r="AD1954" s="43"/>
      <c r="AF1954" s="43"/>
      <c r="AH1954" s="43"/>
      <c r="AJ1954" s="43"/>
      <c r="AL1954" s="43"/>
      <c r="AO1954" s="43"/>
      <c r="AP1954" s="1"/>
      <c r="AQ1954" s="43"/>
      <c r="AR1954" s="123"/>
      <c r="AS1954" s="1"/>
      <c r="AT1954" s="1"/>
    </row>
    <row r="1955">
      <c r="A1955" s="43"/>
      <c r="B1955" s="59"/>
      <c r="C1955" s="51"/>
      <c r="D1955" s="43"/>
      <c r="E1955" s="85"/>
      <c r="F1955" s="43"/>
      <c r="G1955" s="85"/>
      <c r="H1955" s="43"/>
      <c r="I1955" s="85"/>
      <c r="J1955" s="43"/>
      <c r="L1955" s="43"/>
      <c r="N1955" s="43"/>
      <c r="P1955" s="43"/>
      <c r="R1955" s="43"/>
      <c r="T1955" s="43"/>
      <c r="V1955" s="43"/>
      <c r="X1955" s="43"/>
      <c r="Z1955" s="43"/>
      <c r="AB1955" s="43"/>
      <c r="AD1955" s="43"/>
      <c r="AF1955" s="43"/>
      <c r="AH1955" s="43"/>
      <c r="AJ1955" s="43"/>
      <c r="AL1955" s="43"/>
      <c r="AO1955" s="43"/>
      <c r="AP1955" s="1"/>
      <c r="AQ1955" s="43"/>
      <c r="AR1955" s="123"/>
      <c r="AS1955" s="1"/>
      <c r="AT1955" s="1"/>
    </row>
    <row r="1956">
      <c r="A1956" s="43"/>
      <c r="B1956" s="59"/>
      <c r="C1956" s="51"/>
      <c r="D1956" s="43"/>
      <c r="E1956" s="85"/>
      <c r="F1956" s="43"/>
      <c r="G1956" s="85"/>
      <c r="H1956" s="43"/>
      <c r="I1956" s="85"/>
      <c r="J1956" s="43"/>
      <c r="L1956" s="43"/>
      <c r="N1956" s="43"/>
      <c r="P1956" s="43"/>
      <c r="R1956" s="43"/>
      <c r="T1956" s="43"/>
      <c r="V1956" s="43"/>
      <c r="X1956" s="43"/>
      <c r="Z1956" s="43"/>
      <c r="AB1956" s="43"/>
      <c r="AD1956" s="43"/>
      <c r="AF1956" s="43"/>
      <c r="AH1956" s="43"/>
      <c r="AJ1956" s="43"/>
      <c r="AL1956" s="43"/>
      <c r="AO1956" s="43"/>
      <c r="AP1956" s="1"/>
      <c r="AQ1956" s="43"/>
      <c r="AR1956" s="123"/>
      <c r="AS1956" s="1"/>
      <c r="AT1956" s="1"/>
    </row>
    <row r="1957">
      <c r="A1957" s="43"/>
      <c r="B1957" s="59"/>
      <c r="C1957" s="51"/>
      <c r="D1957" s="43"/>
      <c r="E1957" s="85"/>
      <c r="F1957" s="43"/>
      <c r="G1957" s="85"/>
      <c r="H1957" s="43"/>
      <c r="I1957" s="85"/>
      <c r="J1957" s="43"/>
      <c r="L1957" s="43"/>
      <c r="N1957" s="43"/>
      <c r="P1957" s="43"/>
      <c r="R1957" s="43"/>
      <c r="T1957" s="43"/>
      <c r="V1957" s="43"/>
      <c r="X1957" s="43"/>
      <c r="Z1957" s="43"/>
      <c r="AB1957" s="43"/>
      <c r="AD1957" s="43"/>
      <c r="AF1957" s="43"/>
      <c r="AH1957" s="43"/>
      <c r="AJ1957" s="43"/>
      <c r="AL1957" s="43"/>
      <c r="AO1957" s="43"/>
      <c r="AP1957" s="1"/>
      <c r="AQ1957" s="43"/>
      <c r="AR1957" s="123"/>
      <c r="AS1957" s="1"/>
      <c r="AT1957" s="1"/>
    </row>
    <row r="1958">
      <c r="A1958" s="43"/>
      <c r="B1958" s="59"/>
      <c r="C1958" s="51"/>
      <c r="D1958" s="43"/>
      <c r="E1958" s="85"/>
      <c r="F1958" s="43"/>
      <c r="G1958" s="85"/>
      <c r="H1958" s="43"/>
      <c r="I1958" s="85"/>
      <c r="J1958" s="43"/>
      <c r="L1958" s="43"/>
      <c r="N1958" s="43"/>
      <c r="P1958" s="43"/>
      <c r="R1958" s="43"/>
      <c r="T1958" s="43"/>
      <c r="V1958" s="43"/>
      <c r="X1958" s="43"/>
      <c r="Z1958" s="43"/>
      <c r="AB1958" s="43"/>
      <c r="AD1958" s="43"/>
      <c r="AF1958" s="43"/>
      <c r="AH1958" s="43"/>
      <c r="AJ1958" s="43"/>
      <c r="AL1958" s="43"/>
      <c r="AO1958" s="43"/>
      <c r="AP1958" s="1"/>
      <c r="AQ1958" s="43"/>
      <c r="AR1958" s="123"/>
      <c r="AS1958" s="1"/>
      <c r="AT1958" s="1"/>
    </row>
    <row r="1959">
      <c r="A1959" s="43"/>
      <c r="B1959" s="59"/>
      <c r="C1959" s="51"/>
      <c r="D1959" s="43"/>
      <c r="E1959" s="85"/>
      <c r="F1959" s="43"/>
      <c r="G1959" s="85"/>
      <c r="H1959" s="43"/>
      <c r="I1959" s="85"/>
      <c r="J1959" s="43"/>
      <c r="L1959" s="43"/>
      <c r="N1959" s="43"/>
      <c r="P1959" s="43"/>
      <c r="R1959" s="43"/>
      <c r="T1959" s="43"/>
      <c r="V1959" s="43"/>
      <c r="X1959" s="43"/>
      <c r="Z1959" s="43"/>
      <c r="AB1959" s="43"/>
      <c r="AD1959" s="43"/>
      <c r="AF1959" s="43"/>
      <c r="AH1959" s="43"/>
      <c r="AJ1959" s="43"/>
      <c r="AL1959" s="43"/>
      <c r="AO1959" s="43"/>
      <c r="AP1959" s="1"/>
      <c r="AQ1959" s="43"/>
      <c r="AR1959" s="123"/>
      <c r="AS1959" s="1"/>
      <c r="AT1959" s="1"/>
    </row>
    <row r="1960">
      <c r="A1960" s="43"/>
      <c r="B1960" s="59"/>
      <c r="C1960" s="51"/>
      <c r="D1960" s="43"/>
      <c r="E1960" s="85"/>
      <c r="F1960" s="43"/>
      <c r="G1960" s="85"/>
      <c r="H1960" s="43"/>
      <c r="I1960" s="85"/>
      <c r="J1960" s="43"/>
      <c r="L1960" s="43"/>
      <c r="N1960" s="43"/>
      <c r="P1960" s="43"/>
      <c r="R1960" s="43"/>
      <c r="T1960" s="43"/>
      <c r="V1960" s="43"/>
      <c r="X1960" s="43"/>
      <c r="Z1960" s="43"/>
      <c r="AB1960" s="43"/>
      <c r="AD1960" s="43"/>
      <c r="AF1960" s="43"/>
      <c r="AH1960" s="43"/>
      <c r="AJ1960" s="43"/>
      <c r="AL1960" s="43"/>
      <c r="AO1960" s="43"/>
      <c r="AP1960" s="1"/>
      <c r="AQ1960" s="43"/>
      <c r="AR1960" s="123"/>
      <c r="AS1960" s="1"/>
      <c r="AT1960" s="1"/>
    </row>
    <row r="1961">
      <c r="A1961" s="43"/>
      <c r="B1961" s="59"/>
      <c r="C1961" s="51"/>
      <c r="D1961" s="43"/>
      <c r="E1961" s="85"/>
      <c r="F1961" s="43"/>
      <c r="G1961" s="85"/>
      <c r="H1961" s="43"/>
      <c r="I1961" s="85"/>
      <c r="J1961" s="43"/>
      <c r="L1961" s="43"/>
      <c r="N1961" s="43"/>
      <c r="P1961" s="43"/>
      <c r="R1961" s="43"/>
      <c r="T1961" s="43"/>
      <c r="V1961" s="43"/>
      <c r="X1961" s="43"/>
      <c r="Z1961" s="43"/>
      <c r="AB1961" s="43"/>
      <c r="AD1961" s="43"/>
      <c r="AF1961" s="43"/>
      <c r="AH1961" s="43"/>
      <c r="AJ1961" s="43"/>
      <c r="AL1961" s="43"/>
      <c r="AO1961" s="43"/>
      <c r="AP1961" s="1"/>
      <c r="AQ1961" s="43"/>
      <c r="AR1961" s="123"/>
      <c r="AS1961" s="1"/>
      <c r="AT1961" s="1"/>
    </row>
    <row r="1962">
      <c r="A1962" s="43"/>
      <c r="B1962" s="59"/>
      <c r="C1962" s="51"/>
      <c r="D1962" s="43"/>
      <c r="E1962" s="85"/>
      <c r="F1962" s="43"/>
      <c r="G1962" s="85"/>
      <c r="H1962" s="43"/>
      <c r="I1962" s="85"/>
      <c r="J1962" s="43"/>
      <c r="L1962" s="43"/>
      <c r="N1962" s="43"/>
      <c r="P1962" s="43"/>
      <c r="R1962" s="43"/>
      <c r="T1962" s="43"/>
      <c r="V1962" s="43"/>
      <c r="X1962" s="43"/>
      <c r="Z1962" s="43"/>
      <c r="AB1962" s="43"/>
      <c r="AD1962" s="43"/>
      <c r="AF1962" s="43"/>
      <c r="AH1962" s="43"/>
      <c r="AJ1962" s="43"/>
      <c r="AL1962" s="43"/>
      <c r="AO1962" s="43"/>
      <c r="AP1962" s="1"/>
      <c r="AQ1962" s="43"/>
      <c r="AR1962" s="123"/>
      <c r="AS1962" s="1"/>
      <c r="AT1962" s="1"/>
    </row>
    <row r="1963">
      <c r="A1963" s="43"/>
      <c r="B1963" s="59"/>
      <c r="C1963" s="51"/>
      <c r="D1963" s="43"/>
      <c r="E1963" s="85"/>
      <c r="F1963" s="43"/>
      <c r="G1963" s="85"/>
      <c r="H1963" s="43"/>
      <c r="I1963" s="85"/>
      <c r="J1963" s="43"/>
      <c r="L1963" s="43"/>
      <c r="N1963" s="43"/>
      <c r="P1963" s="43"/>
      <c r="R1963" s="43"/>
      <c r="T1963" s="43"/>
      <c r="V1963" s="43"/>
      <c r="X1963" s="43"/>
      <c r="Z1963" s="43"/>
      <c r="AB1963" s="43"/>
      <c r="AD1963" s="43"/>
      <c r="AF1963" s="43"/>
      <c r="AH1963" s="43"/>
      <c r="AJ1963" s="43"/>
      <c r="AL1963" s="43"/>
      <c r="AO1963" s="43"/>
      <c r="AP1963" s="1"/>
      <c r="AQ1963" s="43"/>
      <c r="AR1963" s="123"/>
      <c r="AS1963" s="1"/>
      <c r="AT1963" s="1"/>
    </row>
    <row r="1964">
      <c r="A1964" s="43"/>
      <c r="B1964" s="59"/>
      <c r="C1964" s="51"/>
      <c r="D1964" s="43"/>
      <c r="E1964" s="85"/>
      <c r="F1964" s="43"/>
      <c r="G1964" s="85"/>
      <c r="H1964" s="43"/>
      <c r="I1964" s="85"/>
      <c r="J1964" s="43"/>
      <c r="L1964" s="43"/>
      <c r="N1964" s="43"/>
      <c r="P1964" s="43"/>
      <c r="R1964" s="43"/>
      <c r="T1964" s="43"/>
      <c r="V1964" s="43"/>
      <c r="X1964" s="43"/>
      <c r="Z1964" s="43"/>
      <c r="AB1964" s="43"/>
      <c r="AD1964" s="43"/>
      <c r="AF1964" s="43"/>
      <c r="AH1964" s="43"/>
      <c r="AJ1964" s="43"/>
      <c r="AL1964" s="43"/>
      <c r="AO1964" s="43"/>
      <c r="AP1964" s="1"/>
      <c r="AQ1964" s="43"/>
      <c r="AR1964" s="123"/>
      <c r="AS1964" s="1"/>
      <c r="AT1964" s="1"/>
    </row>
    <row r="1965">
      <c r="A1965" s="43"/>
      <c r="B1965" s="59"/>
      <c r="C1965" s="51"/>
      <c r="D1965" s="43"/>
      <c r="E1965" s="85"/>
      <c r="F1965" s="43"/>
      <c r="G1965" s="85"/>
      <c r="H1965" s="43"/>
      <c r="I1965" s="85"/>
      <c r="J1965" s="43"/>
      <c r="L1965" s="43"/>
      <c r="N1965" s="43"/>
      <c r="P1965" s="43"/>
      <c r="R1965" s="43"/>
      <c r="T1965" s="43"/>
      <c r="V1965" s="43"/>
      <c r="X1965" s="43"/>
      <c r="Z1965" s="43"/>
      <c r="AB1965" s="43"/>
      <c r="AD1965" s="43"/>
      <c r="AF1965" s="43"/>
      <c r="AH1965" s="43"/>
      <c r="AJ1965" s="43"/>
      <c r="AL1965" s="43"/>
      <c r="AO1965" s="43"/>
      <c r="AP1965" s="1"/>
      <c r="AQ1965" s="43"/>
      <c r="AR1965" s="123"/>
      <c r="AS1965" s="1"/>
      <c r="AT1965" s="1"/>
    </row>
    <row r="1966">
      <c r="A1966" s="43"/>
      <c r="B1966" s="59"/>
      <c r="C1966" s="51"/>
      <c r="D1966" s="43"/>
      <c r="E1966" s="85"/>
      <c r="F1966" s="43"/>
      <c r="G1966" s="85"/>
      <c r="H1966" s="43"/>
      <c r="I1966" s="85"/>
      <c r="J1966" s="43"/>
      <c r="L1966" s="43"/>
      <c r="N1966" s="43"/>
      <c r="P1966" s="43"/>
      <c r="R1966" s="43"/>
      <c r="T1966" s="43"/>
      <c r="V1966" s="43"/>
      <c r="X1966" s="43"/>
      <c r="Z1966" s="43"/>
      <c r="AB1966" s="43"/>
      <c r="AD1966" s="43"/>
      <c r="AF1966" s="43"/>
      <c r="AH1966" s="43"/>
      <c r="AJ1966" s="43"/>
      <c r="AL1966" s="43"/>
      <c r="AO1966" s="43"/>
      <c r="AP1966" s="1"/>
      <c r="AQ1966" s="43"/>
      <c r="AR1966" s="123"/>
      <c r="AS1966" s="1"/>
      <c r="AT1966" s="1"/>
    </row>
    <row r="1967">
      <c r="A1967" s="43"/>
      <c r="B1967" s="59"/>
      <c r="C1967" s="51"/>
      <c r="D1967" s="43"/>
      <c r="E1967" s="85"/>
      <c r="F1967" s="43"/>
      <c r="G1967" s="85"/>
      <c r="H1967" s="43"/>
      <c r="I1967" s="85"/>
      <c r="J1967" s="43"/>
      <c r="L1967" s="43"/>
      <c r="N1967" s="43"/>
      <c r="P1967" s="43"/>
      <c r="Q1967" s="49"/>
      <c r="R1967" s="43"/>
      <c r="T1967" s="43"/>
      <c r="V1967" s="43"/>
      <c r="X1967" s="43"/>
      <c r="Z1967" s="43"/>
      <c r="AB1967" s="43"/>
      <c r="AD1967" s="43"/>
      <c r="AF1967" s="43"/>
      <c r="AH1967" s="43"/>
      <c r="AJ1967" s="43"/>
      <c r="AL1967" s="43"/>
      <c r="AO1967" s="43"/>
      <c r="AP1967" s="1"/>
      <c r="AQ1967" s="43"/>
      <c r="AR1967" s="123"/>
      <c r="AS1967" s="1"/>
      <c r="AT1967" s="1"/>
    </row>
    <row r="1968">
      <c r="A1968" s="43"/>
      <c r="B1968" s="59"/>
      <c r="C1968" s="51"/>
      <c r="D1968" s="43"/>
      <c r="E1968" s="85"/>
      <c r="F1968" s="43"/>
      <c r="G1968" s="85"/>
      <c r="H1968" s="43"/>
      <c r="I1968" s="85"/>
      <c r="J1968" s="43"/>
      <c r="L1968" s="43"/>
      <c r="N1968" s="43"/>
      <c r="P1968" s="43"/>
      <c r="Q1968" s="49"/>
      <c r="R1968" s="43"/>
      <c r="T1968" s="43"/>
      <c r="V1968" s="43"/>
      <c r="X1968" s="43"/>
      <c r="Z1968" s="43"/>
      <c r="AB1968" s="43"/>
      <c r="AD1968" s="43"/>
      <c r="AF1968" s="43"/>
      <c r="AH1968" s="43"/>
      <c r="AJ1968" s="43"/>
      <c r="AL1968" s="43"/>
      <c r="AO1968" s="43"/>
      <c r="AP1968" s="1"/>
      <c r="AQ1968" s="43"/>
      <c r="AR1968" s="123"/>
      <c r="AS1968" s="1"/>
      <c r="AT1968" s="1"/>
    </row>
    <row r="1969">
      <c r="A1969" s="43"/>
      <c r="B1969" s="59"/>
      <c r="C1969" s="51"/>
      <c r="D1969" s="43"/>
      <c r="E1969" s="85"/>
      <c r="F1969" s="43"/>
      <c r="G1969" s="85"/>
      <c r="H1969" s="43"/>
      <c r="I1969" s="85"/>
      <c r="J1969" s="43"/>
      <c r="L1969" s="43"/>
      <c r="N1969" s="43"/>
      <c r="P1969" s="43"/>
      <c r="Q1969" s="49"/>
      <c r="R1969" s="43"/>
      <c r="T1969" s="43"/>
      <c r="V1969" s="43"/>
      <c r="X1969" s="43"/>
      <c r="Z1969" s="43"/>
      <c r="AB1969" s="43"/>
      <c r="AD1969" s="43"/>
      <c r="AF1969" s="43"/>
      <c r="AH1969" s="43"/>
      <c r="AJ1969" s="43"/>
      <c r="AL1969" s="43"/>
      <c r="AO1969" s="43"/>
      <c r="AP1969" s="1"/>
      <c r="AQ1969" s="43"/>
      <c r="AR1969" s="123"/>
      <c r="AS1969" s="1"/>
      <c r="AT1969" s="1"/>
    </row>
    <row r="1970">
      <c r="A1970" s="43"/>
      <c r="B1970" s="59"/>
      <c r="C1970" s="51"/>
      <c r="D1970" s="43"/>
      <c r="E1970" s="85"/>
      <c r="F1970" s="43"/>
      <c r="G1970" s="85"/>
      <c r="H1970" s="43"/>
      <c r="I1970" s="85"/>
      <c r="J1970" s="43"/>
      <c r="L1970" s="43"/>
      <c r="N1970" s="43"/>
      <c r="P1970" s="43"/>
      <c r="Q1970" s="49"/>
      <c r="R1970" s="43"/>
      <c r="T1970" s="43"/>
      <c r="V1970" s="43"/>
      <c r="X1970" s="43"/>
      <c r="Z1970" s="43"/>
      <c r="AB1970" s="43"/>
      <c r="AD1970" s="43"/>
      <c r="AF1970" s="43"/>
      <c r="AH1970" s="43"/>
      <c r="AJ1970" s="43"/>
      <c r="AL1970" s="43"/>
      <c r="AO1970" s="43"/>
      <c r="AP1970" s="1"/>
      <c r="AQ1970" s="43"/>
      <c r="AR1970" s="123"/>
      <c r="AS1970" s="1"/>
      <c r="AT1970" s="1"/>
    </row>
    <row r="1971">
      <c r="A1971" s="43"/>
      <c r="B1971" s="59"/>
      <c r="C1971" s="51"/>
      <c r="D1971" s="43"/>
      <c r="E1971" s="85"/>
      <c r="F1971" s="43"/>
      <c r="G1971" s="85"/>
      <c r="H1971" s="43"/>
      <c r="I1971" s="85"/>
      <c r="J1971" s="43"/>
      <c r="L1971" s="43"/>
      <c r="N1971" s="43"/>
      <c r="P1971" s="43"/>
      <c r="Q1971" s="49"/>
      <c r="R1971" s="43"/>
      <c r="T1971" s="43"/>
      <c r="V1971" s="43"/>
      <c r="X1971" s="43"/>
      <c r="Z1971" s="43"/>
      <c r="AB1971" s="43"/>
      <c r="AD1971" s="43"/>
      <c r="AF1971" s="43"/>
      <c r="AH1971" s="43"/>
      <c r="AJ1971" s="43"/>
      <c r="AL1971" s="43"/>
      <c r="AO1971" s="43"/>
      <c r="AP1971" s="1"/>
      <c r="AQ1971" s="43"/>
      <c r="AR1971" s="123"/>
      <c r="AS1971" s="1"/>
      <c r="AT1971" s="1"/>
    </row>
    <row r="1972">
      <c r="A1972" s="43"/>
      <c r="B1972" s="59"/>
      <c r="C1972" s="51"/>
      <c r="D1972" s="43"/>
      <c r="E1972" s="85"/>
      <c r="F1972" s="43"/>
      <c r="G1972" s="85"/>
      <c r="H1972" s="43"/>
      <c r="I1972" s="85"/>
      <c r="J1972" s="43"/>
      <c r="L1972" s="43"/>
      <c r="N1972" s="43"/>
      <c r="P1972" s="43"/>
      <c r="Q1972" s="49"/>
      <c r="R1972" s="43"/>
      <c r="T1972" s="43"/>
      <c r="V1972" s="43"/>
      <c r="X1972" s="43"/>
      <c r="Z1972" s="43"/>
      <c r="AB1972" s="43"/>
      <c r="AD1972" s="43"/>
      <c r="AF1972" s="43"/>
      <c r="AH1972" s="43"/>
      <c r="AJ1972" s="43"/>
      <c r="AL1972" s="43"/>
      <c r="AO1972" s="43"/>
      <c r="AP1972" s="1"/>
      <c r="AQ1972" s="43"/>
      <c r="AR1972" s="123"/>
      <c r="AS1972" s="1"/>
      <c r="AT1972" s="1"/>
    </row>
    <row r="1973">
      <c r="A1973" s="43"/>
      <c r="B1973" s="59"/>
      <c r="C1973" s="51"/>
      <c r="D1973" s="43"/>
      <c r="E1973" s="85"/>
      <c r="F1973" s="43"/>
      <c r="G1973" s="85"/>
      <c r="H1973" s="43"/>
      <c r="I1973" s="85"/>
      <c r="J1973" s="43"/>
      <c r="L1973" s="43"/>
      <c r="N1973" s="43"/>
      <c r="P1973" s="43"/>
      <c r="Q1973" s="49"/>
      <c r="R1973" s="43"/>
      <c r="T1973" s="43"/>
      <c r="V1973" s="43"/>
      <c r="X1973" s="43"/>
      <c r="Z1973" s="43"/>
      <c r="AB1973" s="43"/>
      <c r="AD1973" s="43"/>
      <c r="AF1973" s="43"/>
      <c r="AH1973" s="43"/>
      <c r="AJ1973" s="43"/>
      <c r="AL1973" s="43"/>
      <c r="AO1973" s="43"/>
      <c r="AP1973" s="1"/>
      <c r="AQ1973" s="43"/>
      <c r="AR1973" s="123"/>
      <c r="AS1973" s="1"/>
      <c r="AT1973" s="1"/>
    </row>
    <row r="1974">
      <c r="A1974" s="43"/>
      <c r="B1974" s="59"/>
      <c r="C1974" s="51"/>
      <c r="D1974" s="43"/>
      <c r="E1974" s="85"/>
      <c r="F1974" s="43"/>
      <c r="G1974" s="85"/>
      <c r="H1974" s="43"/>
      <c r="I1974" s="85"/>
      <c r="J1974" s="43"/>
      <c r="L1974" s="43"/>
      <c r="N1974" s="43"/>
      <c r="P1974" s="43"/>
      <c r="Q1974" s="49"/>
      <c r="R1974" s="43"/>
      <c r="T1974" s="43"/>
      <c r="V1974" s="43"/>
      <c r="X1974" s="43"/>
      <c r="Z1974" s="43"/>
      <c r="AB1974" s="43"/>
      <c r="AD1974" s="43"/>
      <c r="AF1974" s="43"/>
      <c r="AH1974" s="43"/>
      <c r="AJ1974" s="43"/>
      <c r="AL1974" s="43"/>
      <c r="AO1974" s="43"/>
      <c r="AP1974" s="1"/>
      <c r="AQ1974" s="43"/>
      <c r="AR1974" s="123"/>
      <c r="AS1974" s="1"/>
      <c r="AT1974" s="1"/>
    </row>
    <row r="1975">
      <c r="A1975" s="43"/>
      <c r="B1975" s="59"/>
      <c r="C1975" s="51"/>
      <c r="D1975" s="43"/>
      <c r="E1975" s="85"/>
      <c r="F1975" s="43"/>
      <c r="G1975" s="85"/>
      <c r="H1975" s="43"/>
      <c r="I1975" s="85"/>
      <c r="J1975" s="43"/>
      <c r="L1975" s="43"/>
      <c r="N1975" s="43"/>
      <c r="P1975" s="43"/>
      <c r="Q1975" s="49"/>
      <c r="R1975" s="43"/>
      <c r="T1975" s="43"/>
      <c r="V1975" s="43"/>
      <c r="X1975" s="43"/>
      <c r="Z1975" s="43"/>
      <c r="AB1975" s="43"/>
      <c r="AD1975" s="43"/>
      <c r="AF1975" s="43"/>
      <c r="AH1975" s="43"/>
      <c r="AJ1975" s="43"/>
      <c r="AL1975" s="43"/>
      <c r="AO1975" s="43"/>
      <c r="AP1975" s="1"/>
      <c r="AQ1975" s="43"/>
      <c r="AR1975" s="123"/>
      <c r="AS1975" s="1"/>
      <c r="AT1975" s="1"/>
    </row>
    <row r="1976">
      <c r="A1976" s="43"/>
      <c r="B1976" s="59"/>
      <c r="C1976" s="51"/>
      <c r="D1976" s="43"/>
      <c r="E1976" s="85"/>
      <c r="F1976" s="43"/>
      <c r="G1976" s="85"/>
      <c r="H1976" s="43"/>
      <c r="I1976" s="85"/>
      <c r="J1976" s="43"/>
      <c r="L1976" s="43"/>
      <c r="N1976" s="43"/>
      <c r="P1976" s="43"/>
      <c r="Q1976" s="49"/>
      <c r="R1976" s="43"/>
      <c r="T1976" s="43"/>
      <c r="V1976" s="43"/>
      <c r="X1976" s="43"/>
      <c r="Z1976" s="43"/>
      <c r="AB1976" s="43"/>
      <c r="AD1976" s="43"/>
      <c r="AF1976" s="43"/>
      <c r="AH1976" s="43"/>
      <c r="AJ1976" s="43"/>
      <c r="AL1976" s="43"/>
      <c r="AO1976" s="43"/>
      <c r="AP1976" s="1"/>
      <c r="AQ1976" s="43"/>
      <c r="AR1976" s="123"/>
      <c r="AS1976" s="1"/>
      <c r="AT1976" s="1"/>
    </row>
    <row r="1977">
      <c r="A1977" s="43"/>
      <c r="B1977" s="59"/>
      <c r="C1977" s="51"/>
      <c r="D1977" s="43"/>
      <c r="E1977" s="85"/>
      <c r="F1977" s="43"/>
      <c r="G1977" s="85"/>
      <c r="H1977" s="43"/>
      <c r="I1977" s="85"/>
      <c r="J1977" s="43"/>
      <c r="L1977" s="43"/>
      <c r="N1977" s="43"/>
      <c r="P1977" s="43"/>
      <c r="Q1977" s="49"/>
      <c r="R1977" s="43"/>
      <c r="T1977" s="43"/>
      <c r="V1977" s="43"/>
      <c r="X1977" s="43"/>
      <c r="Z1977" s="43"/>
      <c r="AB1977" s="43"/>
      <c r="AD1977" s="43"/>
      <c r="AF1977" s="43"/>
      <c r="AH1977" s="43"/>
      <c r="AJ1977" s="43"/>
      <c r="AL1977" s="43"/>
      <c r="AO1977" s="43"/>
      <c r="AP1977" s="1"/>
      <c r="AQ1977" s="43"/>
      <c r="AR1977" s="123"/>
      <c r="AS1977" s="1"/>
      <c r="AT1977" s="1"/>
    </row>
    <row r="1978">
      <c r="A1978" s="43"/>
      <c r="B1978" s="59"/>
      <c r="C1978" s="51"/>
      <c r="D1978" s="43"/>
      <c r="E1978" s="85"/>
      <c r="F1978" s="43"/>
      <c r="G1978" s="85"/>
      <c r="H1978" s="43"/>
      <c r="I1978" s="85"/>
      <c r="J1978" s="43"/>
      <c r="L1978" s="43"/>
      <c r="N1978" s="43"/>
      <c r="P1978" s="43"/>
      <c r="Q1978" s="49"/>
      <c r="R1978" s="43"/>
      <c r="T1978" s="43"/>
      <c r="V1978" s="43"/>
      <c r="X1978" s="43"/>
      <c r="Z1978" s="43"/>
      <c r="AB1978" s="43"/>
      <c r="AD1978" s="43"/>
      <c r="AF1978" s="43"/>
      <c r="AH1978" s="43"/>
      <c r="AJ1978" s="43"/>
      <c r="AL1978" s="43"/>
      <c r="AO1978" s="43"/>
      <c r="AP1978" s="1"/>
      <c r="AQ1978" s="43"/>
      <c r="AR1978" s="123"/>
      <c r="AS1978" s="1"/>
      <c r="AT1978" s="1"/>
    </row>
    <row r="1979">
      <c r="A1979" s="43"/>
      <c r="B1979" s="59"/>
      <c r="C1979" s="51"/>
      <c r="D1979" s="43"/>
      <c r="E1979" s="85"/>
      <c r="F1979" s="43"/>
      <c r="G1979" s="85"/>
      <c r="H1979" s="43"/>
      <c r="I1979" s="85"/>
      <c r="J1979" s="43"/>
      <c r="L1979" s="43"/>
      <c r="N1979" s="43"/>
      <c r="P1979" s="43"/>
      <c r="Q1979" s="49"/>
      <c r="R1979" s="43"/>
      <c r="T1979" s="43"/>
      <c r="V1979" s="43"/>
      <c r="X1979" s="43"/>
      <c r="Z1979" s="43"/>
      <c r="AB1979" s="43"/>
      <c r="AD1979" s="43"/>
      <c r="AF1979" s="43"/>
      <c r="AH1979" s="43"/>
      <c r="AJ1979" s="43"/>
      <c r="AL1979" s="43"/>
      <c r="AO1979" s="43"/>
      <c r="AP1979" s="1"/>
      <c r="AQ1979" s="43"/>
      <c r="AR1979" s="123"/>
      <c r="AS1979" s="1"/>
      <c r="AT1979" s="1"/>
    </row>
    <row r="1980">
      <c r="A1980" s="43"/>
      <c r="B1980" s="59"/>
      <c r="C1980" s="51"/>
      <c r="D1980" s="43"/>
      <c r="E1980" s="85"/>
      <c r="F1980" s="43"/>
      <c r="G1980" s="85"/>
      <c r="H1980" s="43"/>
      <c r="I1980" s="85"/>
      <c r="J1980" s="43"/>
      <c r="L1980" s="43"/>
      <c r="N1980" s="43"/>
      <c r="P1980" s="43"/>
      <c r="Q1980" s="49"/>
      <c r="R1980" s="43"/>
      <c r="T1980" s="43"/>
      <c r="V1980" s="43"/>
      <c r="X1980" s="43"/>
      <c r="Z1980" s="43"/>
      <c r="AB1980" s="43"/>
      <c r="AD1980" s="43"/>
      <c r="AF1980" s="43"/>
      <c r="AH1980" s="43"/>
      <c r="AJ1980" s="43"/>
      <c r="AL1980" s="43"/>
      <c r="AO1980" s="43"/>
      <c r="AP1980" s="1"/>
      <c r="AQ1980" s="43"/>
      <c r="AR1980" s="123"/>
      <c r="AS1980" s="1"/>
      <c r="AT1980" s="1"/>
    </row>
    <row r="1981">
      <c r="A1981" s="43"/>
      <c r="B1981" s="59"/>
      <c r="C1981" s="51"/>
      <c r="D1981" s="43"/>
      <c r="E1981" s="85"/>
      <c r="F1981" s="43"/>
      <c r="G1981" s="85"/>
      <c r="H1981" s="43"/>
      <c r="I1981" s="85"/>
      <c r="J1981" s="43"/>
      <c r="L1981" s="43"/>
      <c r="N1981" s="43"/>
      <c r="P1981" s="43"/>
      <c r="Q1981" s="49"/>
      <c r="R1981" s="43"/>
      <c r="T1981" s="43"/>
      <c r="V1981" s="43"/>
      <c r="X1981" s="43"/>
      <c r="Z1981" s="43"/>
      <c r="AB1981" s="43"/>
      <c r="AD1981" s="43"/>
      <c r="AF1981" s="43"/>
      <c r="AH1981" s="43"/>
      <c r="AJ1981" s="43"/>
      <c r="AL1981" s="43"/>
      <c r="AO1981" s="43"/>
      <c r="AP1981" s="1"/>
      <c r="AQ1981" s="43"/>
      <c r="AR1981" s="123"/>
      <c r="AS1981" s="1"/>
      <c r="AT1981" s="1"/>
    </row>
    <row r="1982">
      <c r="A1982" s="43"/>
      <c r="B1982" s="59"/>
      <c r="C1982" s="51"/>
      <c r="D1982" s="43"/>
      <c r="E1982" s="85"/>
      <c r="F1982" s="43"/>
      <c r="G1982" s="85"/>
      <c r="H1982" s="43"/>
      <c r="I1982" s="85"/>
      <c r="J1982" s="43"/>
      <c r="L1982" s="43"/>
      <c r="N1982" s="43"/>
      <c r="P1982" s="43"/>
      <c r="Q1982" s="49"/>
      <c r="R1982" s="43"/>
      <c r="T1982" s="43"/>
      <c r="V1982" s="43"/>
      <c r="X1982" s="43"/>
      <c r="Z1982" s="43"/>
      <c r="AB1982" s="43"/>
      <c r="AD1982" s="43"/>
      <c r="AF1982" s="43"/>
      <c r="AH1982" s="43"/>
      <c r="AJ1982" s="43"/>
      <c r="AL1982" s="43"/>
      <c r="AO1982" s="43"/>
      <c r="AP1982" s="1"/>
      <c r="AQ1982" s="43"/>
      <c r="AR1982" s="123"/>
      <c r="AS1982" s="1"/>
      <c r="AT1982" s="1"/>
    </row>
    <row r="1983">
      <c r="A1983" s="43"/>
      <c r="B1983" s="59"/>
      <c r="C1983" s="51"/>
      <c r="D1983" s="43"/>
      <c r="E1983" s="85"/>
      <c r="F1983" s="43"/>
      <c r="G1983" s="85"/>
      <c r="H1983" s="43"/>
      <c r="I1983" s="85"/>
      <c r="J1983" s="43"/>
      <c r="L1983" s="43"/>
      <c r="N1983" s="43"/>
      <c r="P1983" s="43"/>
      <c r="Q1983" s="49"/>
      <c r="R1983" s="43"/>
      <c r="T1983" s="43"/>
      <c r="V1983" s="43"/>
      <c r="X1983" s="43"/>
      <c r="Z1983" s="43"/>
      <c r="AB1983" s="43"/>
      <c r="AD1983" s="43"/>
      <c r="AF1983" s="43"/>
      <c r="AH1983" s="43"/>
      <c r="AJ1983" s="43"/>
      <c r="AL1983" s="43"/>
      <c r="AO1983" s="43"/>
      <c r="AP1983" s="1"/>
      <c r="AQ1983" s="43"/>
      <c r="AR1983" s="123"/>
      <c r="AS1983" s="1"/>
      <c r="AT1983" s="1"/>
    </row>
    <row r="1984">
      <c r="A1984" s="43"/>
      <c r="B1984" s="59"/>
      <c r="C1984" s="51"/>
      <c r="D1984" s="43"/>
      <c r="E1984" s="85"/>
      <c r="F1984" s="43"/>
      <c r="G1984" s="85"/>
      <c r="H1984" s="43"/>
      <c r="I1984" s="85"/>
      <c r="J1984" s="43"/>
      <c r="L1984" s="43"/>
      <c r="N1984" s="43"/>
      <c r="P1984" s="43"/>
      <c r="Q1984" s="49"/>
      <c r="R1984" s="43"/>
      <c r="T1984" s="43"/>
      <c r="V1984" s="43"/>
      <c r="X1984" s="43"/>
      <c r="Z1984" s="43"/>
      <c r="AB1984" s="43"/>
      <c r="AD1984" s="43"/>
      <c r="AF1984" s="43"/>
      <c r="AH1984" s="43"/>
      <c r="AJ1984" s="43"/>
      <c r="AL1984" s="43"/>
      <c r="AO1984" s="43"/>
      <c r="AP1984" s="1"/>
      <c r="AQ1984" s="43"/>
      <c r="AR1984" s="123"/>
      <c r="AS1984" s="1"/>
      <c r="AT1984" s="1"/>
    </row>
    <row r="1985">
      <c r="A1985" s="43"/>
      <c r="B1985" s="59"/>
      <c r="C1985" s="51"/>
      <c r="D1985" s="43"/>
      <c r="E1985" s="85"/>
      <c r="F1985" s="43"/>
      <c r="G1985" s="85"/>
      <c r="H1985" s="43"/>
      <c r="I1985" s="85"/>
      <c r="J1985" s="43"/>
      <c r="L1985" s="43"/>
      <c r="N1985" s="43"/>
      <c r="P1985" s="43"/>
      <c r="Q1985" s="49"/>
      <c r="R1985" s="43"/>
      <c r="T1985" s="43"/>
      <c r="V1985" s="43"/>
      <c r="X1985" s="43"/>
      <c r="Z1985" s="43"/>
      <c r="AB1985" s="43"/>
      <c r="AD1985" s="43"/>
      <c r="AF1985" s="43"/>
      <c r="AH1985" s="43"/>
      <c r="AJ1985" s="43"/>
      <c r="AL1985" s="43"/>
      <c r="AO1985" s="43"/>
      <c r="AP1985" s="1"/>
      <c r="AQ1985" s="43"/>
      <c r="AR1985" s="123"/>
      <c r="AS1985" s="1"/>
      <c r="AT1985" s="1"/>
    </row>
    <row r="1986">
      <c r="A1986" s="43"/>
      <c r="B1986" s="59"/>
      <c r="C1986" s="51"/>
      <c r="D1986" s="43"/>
      <c r="E1986" s="85"/>
      <c r="F1986" s="43"/>
      <c r="G1986" s="85"/>
      <c r="H1986" s="43"/>
      <c r="I1986" s="85"/>
      <c r="J1986" s="43"/>
      <c r="L1986" s="43"/>
      <c r="N1986" s="43"/>
      <c r="P1986" s="43"/>
      <c r="Q1986" s="49"/>
      <c r="R1986" s="43"/>
      <c r="T1986" s="43"/>
      <c r="V1986" s="43"/>
      <c r="X1986" s="43"/>
      <c r="Z1986" s="43"/>
      <c r="AB1986" s="43"/>
      <c r="AD1986" s="43"/>
      <c r="AF1986" s="43"/>
      <c r="AH1986" s="43"/>
      <c r="AJ1986" s="43"/>
      <c r="AL1986" s="43"/>
      <c r="AO1986" s="43"/>
      <c r="AP1986" s="1"/>
      <c r="AQ1986" s="43"/>
      <c r="AR1986" s="123"/>
      <c r="AS1986" s="1"/>
      <c r="AT1986" s="1"/>
    </row>
    <row r="1987">
      <c r="A1987" s="43"/>
      <c r="B1987" s="59"/>
      <c r="C1987" s="51"/>
      <c r="D1987" s="43"/>
      <c r="E1987" s="85"/>
      <c r="F1987" s="43"/>
      <c r="G1987" s="85"/>
      <c r="H1987" s="43"/>
      <c r="I1987" s="85"/>
      <c r="J1987" s="43"/>
      <c r="L1987" s="43"/>
      <c r="N1987" s="43"/>
      <c r="P1987" s="43"/>
      <c r="Q1987" s="49"/>
      <c r="R1987" s="43"/>
      <c r="T1987" s="43"/>
      <c r="V1987" s="43"/>
      <c r="X1987" s="43"/>
      <c r="Z1987" s="43"/>
      <c r="AB1987" s="43"/>
      <c r="AD1987" s="43"/>
      <c r="AF1987" s="43"/>
      <c r="AH1987" s="43"/>
      <c r="AJ1987" s="43"/>
      <c r="AL1987" s="43"/>
      <c r="AO1987" s="43"/>
      <c r="AP1987" s="1"/>
      <c r="AQ1987" s="43"/>
      <c r="AR1987" s="123"/>
      <c r="AS1987" s="1"/>
      <c r="AT1987" s="1"/>
    </row>
    <row r="1988">
      <c r="A1988" s="43"/>
      <c r="B1988" s="59"/>
      <c r="C1988" s="51"/>
      <c r="D1988" s="43"/>
      <c r="E1988" s="85"/>
      <c r="F1988" s="43"/>
      <c r="G1988" s="85"/>
      <c r="H1988" s="43"/>
      <c r="I1988" s="85"/>
      <c r="J1988" s="43"/>
      <c r="L1988" s="43"/>
      <c r="N1988" s="43"/>
      <c r="P1988" s="43"/>
      <c r="Q1988" s="49"/>
      <c r="R1988" s="43"/>
      <c r="T1988" s="43"/>
      <c r="V1988" s="43"/>
      <c r="X1988" s="43"/>
      <c r="Z1988" s="43"/>
      <c r="AB1988" s="43"/>
      <c r="AD1988" s="43"/>
      <c r="AF1988" s="43"/>
      <c r="AH1988" s="43"/>
      <c r="AJ1988" s="43"/>
      <c r="AL1988" s="43"/>
      <c r="AO1988" s="43"/>
      <c r="AP1988" s="1"/>
      <c r="AQ1988" s="43"/>
      <c r="AR1988" s="123"/>
      <c r="AS1988" s="1"/>
      <c r="AT1988" s="1"/>
    </row>
    <row r="1989">
      <c r="A1989" s="43"/>
      <c r="B1989" s="59"/>
      <c r="C1989" s="51"/>
      <c r="D1989" s="43"/>
      <c r="E1989" s="85"/>
      <c r="F1989" s="43"/>
      <c r="G1989" s="85"/>
      <c r="H1989" s="43"/>
      <c r="I1989" s="85"/>
      <c r="J1989" s="43"/>
      <c r="L1989" s="43"/>
      <c r="N1989" s="43"/>
      <c r="P1989" s="43"/>
      <c r="Q1989" s="49"/>
      <c r="R1989" s="43"/>
      <c r="T1989" s="43"/>
      <c r="V1989" s="43"/>
      <c r="X1989" s="43"/>
      <c r="Z1989" s="43"/>
      <c r="AB1989" s="43"/>
      <c r="AD1989" s="43"/>
      <c r="AF1989" s="43"/>
      <c r="AH1989" s="43"/>
      <c r="AJ1989" s="43"/>
      <c r="AL1989" s="43"/>
      <c r="AO1989" s="43"/>
      <c r="AP1989" s="1"/>
      <c r="AQ1989" s="43"/>
      <c r="AR1989" s="123"/>
      <c r="AS1989" s="1"/>
      <c r="AT1989" s="1"/>
    </row>
    <row r="1990">
      <c r="A1990" s="43"/>
      <c r="B1990" s="59"/>
      <c r="C1990" s="51"/>
      <c r="D1990" s="43"/>
      <c r="E1990" s="85"/>
      <c r="F1990" s="43"/>
      <c r="G1990" s="85"/>
      <c r="H1990" s="43"/>
      <c r="I1990" s="85"/>
      <c r="J1990" s="43"/>
      <c r="L1990" s="43"/>
      <c r="N1990" s="43"/>
      <c r="P1990" s="43"/>
      <c r="Q1990" s="49"/>
      <c r="R1990" s="43"/>
      <c r="T1990" s="43"/>
      <c r="V1990" s="43"/>
      <c r="X1990" s="43"/>
      <c r="Z1990" s="43"/>
      <c r="AB1990" s="43"/>
      <c r="AD1990" s="43"/>
      <c r="AF1990" s="43"/>
      <c r="AH1990" s="43"/>
      <c r="AJ1990" s="43"/>
      <c r="AL1990" s="43"/>
      <c r="AO1990" s="43"/>
      <c r="AP1990" s="1"/>
      <c r="AQ1990" s="43"/>
      <c r="AR1990" s="123"/>
      <c r="AS1990" s="1"/>
      <c r="AT1990" s="1"/>
    </row>
    <row r="1991">
      <c r="A1991" s="43"/>
      <c r="B1991" s="59"/>
      <c r="C1991" s="51"/>
      <c r="D1991" s="43"/>
      <c r="E1991" s="85"/>
      <c r="F1991" s="43"/>
      <c r="G1991" s="85"/>
      <c r="H1991" s="43"/>
      <c r="I1991" s="85"/>
      <c r="J1991" s="43"/>
      <c r="L1991" s="43"/>
      <c r="N1991" s="43"/>
      <c r="P1991" s="43"/>
      <c r="Q1991" s="49"/>
      <c r="R1991" s="43"/>
      <c r="T1991" s="43"/>
      <c r="V1991" s="43"/>
      <c r="X1991" s="43"/>
      <c r="Z1991" s="43"/>
      <c r="AB1991" s="43"/>
      <c r="AD1991" s="43"/>
      <c r="AF1991" s="43"/>
      <c r="AH1991" s="43"/>
      <c r="AJ1991" s="43"/>
      <c r="AL1991" s="43"/>
      <c r="AO1991" s="43"/>
      <c r="AP1991" s="1"/>
      <c r="AQ1991" s="43"/>
      <c r="AR1991" s="123"/>
      <c r="AS1991" s="1"/>
      <c r="AT1991" s="1"/>
    </row>
    <row r="1992">
      <c r="A1992" s="43"/>
      <c r="B1992" s="59"/>
      <c r="C1992" s="51"/>
      <c r="D1992" s="43"/>
      <c r="E1992" s="85"/>
      <c r="F1992" s="43"/>
      <c r="G1992" s="85"/>
      <c r="H1992" s="43"/>
      <c r="I1992" s="85"/>
      <c r="J1992" s="43"/>
      <c r="L1992" s="43"/>
      <c r="N1992" s="43"/>
      <c r="P1992" s="43"/>
      <c r="Q1992" s="49"/>
      <c r="R1992" s="43"/>
      <c r="T1992" s="43"/>
      <c r="V1992" s="43"/>
      <c r="X1992" s="43"/>
      <c r="Z1992" s="43"/>
      <c r="AB1992" s="43"/>
      <c r="AD1992" s="43"/>
      <c r="AF1992" s="43"/>
      <c r="AH1992" s="43"/>
      <c r="AJ1992" s="43"/>
      <c r="AL1992" s="43"/>
      <c r="AO1992" s="43"/>
      <c r="AP1992" s="1"/>
      <c r="AQ1992" s="43"/>
      <c r="AR1992" s="123"/>
      <c r="AS1992" s="1"/>
      <c r="AT1992" s="1"/>
    </row>
    <row r="1993">
      <c r="A1993" s="43"/>
      <c r="B1993" s="59"/>
      <c r="C1993" s="51"/>
      <c r="D1993" s="43"/>
      <c r="E1993" s="85"/>
      <c r="F1993" s="43"/>
      <c r="G1993" s="85"/>
      <c r="H1993" s="43"/>
      <c r="I1993" s="85"/>
      <c r="J1993" s="43"/>
      <c r="L1993" s="43"/>
      <c r="N1993" s="43"/>
      <c r="P1993" s="43"/>
      <c r="Q1993" s="49"/>
      <c r="R1993" s="43"/>
      <c r="T1993" s="43"/>
      <c r="V1993" s="43"/>
      <c r="X1993" s="43"/>
      <c r="Z1993" s="43"/>
      <c r="AB1993" s="43"/>
      <c r="AD1993" s="43"/>
      <c r="AF1993" s="43"/>
      <c r="AH1993" s="43"/>
      <c r="AJ1993" s="43"/>
      <c r="AL1993" s="43"/>
      <c r="AO1993" s="43"/>
      <c r="AP1993" s="1"/>
      <c r="AQ1993" s="43"/>
      <c r="AR1993" s="123"/>
      <c r="AS1993" s="1"/>
      <c r="AT1993" s="1"/>
    </row>
    <row r="1994">
      <c r="A1994" s="43"/>
      <c r="B1994" s="59"/>
      <c r="C1994" s="51"/>
      <c r="D1994" s="43"/>
      <c r="E1994" s="85"/>
      <c r="F1994" s="43"/>
      <c r="G1994" s="85"/>
      <c r="H1994" s="43"/>
      <c r="I1994" s="85"/>
      <c r="J1994" s="43"/>
      <c r="L1994" s="43"/>
      <c r="N1994" s="43"/>
      <c r="P1994" s="43"/>
      <c r="Q1994" s="49"/>
      <c r="R1994" s="43"/>
      <c r="T1994" s="43"/>
      <c r="V1994" s="43"/>
      <c r="X1994" s="43"/>
      <c r="Z1994" s="43"/>
      <c r="AB1994" s="43"/>
      <c r="AD1994" s="43"/>
      <c r="AF1994" s="43"/>
      <c r="AH1994" s="43"/>
      <c r="AJ1994" s="43"/>
      <c r="AL1994" s="43"/>
      <c r="AO1994" s="43"/>
      <c r="AP1994" s="1"/>
      <c r="AQ1994" s="43"/>
      <c r="AR1994" s="123"/>
      <c r="AS1994" s="1"/>
      <c r="AT1994" s="1"/>
    </row>
    <row r="1995">
      <c r="A1995" s="43"/>
      <c r="B1995" s="59"/>
      <c r="C1995" s="51"/>
      <c r="D1995" s="43"/>
      <c r="E1995" s="85"/>
      <c r="F1995" s="43"/>
      <c r="G1995" s="85"/>
      <c r="H1995" s="43"/>
      <c r="I1995" s="85"/>
      <c r="J1995" s="43"/>
      <c r="L1995" s="43"/>
      <c r="N1995" s="43"/>
      <c r="P1995" s="43"/>
      <c r="Q1995" s="49"/>
      <c r="R1995" s="43"/>
      <c r="T1995" s="43"/>
      <c r="V1995" s="43"/>
      <c r="X1995" s="43"/>
      <c r="Z1995" s="43"/>
      <c r="AB1995" s="43"/>
      <c r="AD1995" s="43"/>
      <c r="AF1995" s="43"/>
      <c r="AH1995" s="43"/>
      <c r="AJ1995" s="43"/>
      <c r="AL1995" s="43"/>
      <c r="AO1995" s="43"/>
      <c r="AP1995" s="1"/>
      <c r="AQ1995" s="43"/>
      <c r="AR1995" s="123"/>
      <c r="AS1995" s="1"/>
      <c r="AT1995" s="1"/>
    </row>
    <row r="1996">
      <c r="A1996" s="43"/>
      <c r="B1996" s="59"/>
      <c r="C1996" s="51"/>
      <c r="D1996" s="43"/>
      <c r="E1996" s="85"/>
      <c r="F1996" s="43"/>
      <c r="G1996" s="85"/>
      <c r="H1996" s="43"/>
      <c r="I1996" s="85"/>
      <c r="J1996" s="43"/>
      <c r="L1996" s="43"/>
      <c r="N1996" s="43"/>
      <c r="P1996" s="43"/>
      <c r="Q1996" s="49"/>
      <c r="R1996" s="43"/>
      <c r="T1996" s="43"/>
      <c r="V1996" s="43"/>
      <c r="X1996" s="43"/>
      <c r="Z1996" s="43"/>
      <c r="AB1996" s="43"/>
      <c r="AD1996" s="43"/>
      <c r="AF1996" s="43"/>
      <c r="AH1996" s="43"/>
      <c r="AJ1996" s="43"/>
      <c r="AL1996" s="43"/>
      <c r="AO1996" s="43"/>
      <c r="AP1996" s="1"/>
      <c r="AQ1996" s="43"/>
      <c r="AR1996" s="123"/>
      <c r="AS1996" s="1"/>
      <c r="AT1996" s="1"/>
    </row>
    <row r="1997">
      <c r="A1997" s="43"/>
      <c r="B1997" s="59"/>
      <c r="C1997" s="51"/>
      <c r="D1997" s="43"/>
      <c r="E1997" s="85"/>
      <c r="F1997" s="43"/>
      <c r="G1997" s="85"/>
      <c r="H1997" s="43"/>
      <c r="I1997" s="85"/>
      <c r="J1997" s="43"/>
      <c r="L1997" s="43"/>
      <c r="N1997" s="43"/>
      <c r="P1997" s="43"/>
      <c r="Q1997" s="49"/>
      <c r="R1997" s="43"/>
      <c r="T1997" s="43"/>
      <c r="V1997" s="43"/>
      <c r="X1997" s="43"/>
      <c r="Z1997" s="43"/>
      <c r="AB1997" s="43"/>
      <c r="AD1997" s="43"/>
      <c r="AF1997" s="43"/>
      <c r="AH1997" s="43"/>
      <c r="AJ1997" s="43"/>
      <c r="AL1997" s="43"/>
      <c r="AO1997" s="43"/>
      <c r="AP1997" s="1"/>
      <c r="AQ1997" s="43"/>
      <c r="AR1997" s="123"/>
      <c r="AS1997" s="1"/>
      <c r="AT1997" s="1"/>
    </row>
    <row r="1998">
      <c r="A1998" s="43"/>
      <c r="B1998" s="59"/>
      <c r="C1998" s="51"/>
      <c r="D1998" s="43"/>
      <c r="E1998" s="85"/>
      <c r="F1998" s="43"/>
      <c r="G1998" s="85"/>
      <c r="H1998" s="43"/>
      <c r="I1998" s="85"/>
      <c r="J1998" s="43"/>
      <c r="L1998" s="43"/>
      <c r="N1998" s="43"/>
      <c r="P1998" s="43"/>
      <c r="Q1998" s="49"/>
      <c r="R1998" s="43"/>
      <c r="T1998" s="43"/>
      <c r="V1998" s="43"/>
      <c r="X1998" s="43"/>
      <c r="Z1998" s="43"/>
      <c r="AB1998" s="43"/>
      <c r="AD1998" s="43"/>
      <c r="AF1998" s="43"/>
      <c r="AH1998" s="43"/>
      <c r="AJ1998" s="43"/>
      <c r="AL1998" s="43"/>
      <c r="AO1998" s="43"/>
      <c r="AP1998" s="1"/>
      <c r="AQ1998" s="43"/>
      <c r="AR1998" s="123"/>
      <c r="AS1998" s="1"/>
      <c r="AT1998" s="1"/>
    </row>
    <row r="1999">
      <c r="A1999" s="43"/>
      <c r="B1999" s="59"/>
      <c r="C1999" s="51"/>
      <c r="D1999" s="43"/>
      <c r="E1999" s="85"/>
      <c r="F1999" s="43"/>
      <c r="G1999" s="85"/>
      <c r="H1999" s="43"/>
      <c r="I1999" s="85"/>
      <c r="J1999" s="43"/>
      <c r="L1999" s="43"/>
      <c r="N1999" s="43"/>
      <c r="P1999" s="43"/>
      <c r="Q1999" s="49"/>
      <c r="R1999" s="43"/>
      <c r="T1999" s="43"/>
      <c r="V1999" s="43"/>
      <c r="X1999" s="43"/>
      <c r="Z1999" s="43"/>
      <c r="AB1999" s="43"/>
      <c r="AD1999" s="43"/>
      <c r="AF1999" s="43"/>
      <c r="AH1999" s="43"/>
      <c r="AJ1999" s="43"/>
      <c r="AL1999" s="43"/>
      <c r="AO1999" s="43"/>
      <c r="AP1999" s="1"/>
      <c r="AQ1999" s="43"/>
      <c r="AR1999" s="123"/>
      <c r="AS1999" s="1"/>
      <c r="AT1999" s="1"/>
    </row>
    <row r="2000">
      <c r="A2000" s="43"/>
      <c r="B2000" s="59"/>
      <c r="C2000" s="51"/>
      <c r="D2000" s="43"/>
      <c r="E2000" s="85"/>
      <c r="F2000" s="43"/>
      <c r="G2000" s="85"/>
      <c r="H2000" s="43"/>
      <c r="I2000" s="85"/>
      <c r="J2000" s="43"/>
      <c r="L2000" s="43"/>
      <c r="N2000" s="43"/>
      <c r="P2000" s="43"/>
      <c r="Q2000" s="49"/>
      <c r="R2000" s="43"/>
      <c r="T2000" s="43"/>
      <c r="V2000" s="43"/>
      <c r="X2000" s="43"/>
      <c r="Z2000" s="43"/>
      <c r="AB2000" s="43"/>
      <c r="AD2000" s="43"/>
      <c r="AF2000" s="43"/>
      <c r="AH2000" s="43"/>
      <c r="AJ2000" s="43"/>
      <c r="AL2000" s="43"/>
      <c r="AO2000" s="43"/>
      <c r="AP2000" s="1"/>
      <c r="AQ2000" s="43"/>
      <c r="AR2000" s="123"/>
      <c r="AS2000" s="1"/>
      <c r="AT2000" s="1"/>
    </row>
    <row r="2001">
      <c r="A2001" s="43"/>
      <c r="B2001" s="59"/>
      <c r="C2001" s="51"/>
      <c r="D2001" s="43"/>
      <c r="E2001" s="85"/>
      <c r="F2001" s="43"/>
      <c r="G2001" s="85"/>
      <c r="H2001" s="43"/>
      <c r="I2001" s="85"/>
      <c r="J2001" s="43"/>
      <c r="L2001" s="43"/>
      <c r="N2001" s="43"/>
      <c r="P2001" s="43"/>
      <c r="Q2001" s="49"/>
      <c r="R2001" s="43"/>
      <c r="T2001" s="43"/>
      <c r="V2001" s="43"/>
      <c r="X2001" s="43"/>
      <c r="Z2001" s="43"/>
      <c r="AB2001" s="43"/>
      <c r="AD2001" s="43"/>
      <c r="AF2001" s="43"/>
      <c r="AH2001" s="43"/>
      <c r="AJ2001" s="43"/>
      <c r="AL2001" s="43"/>
      <c r="AO2001" s="43"/>
      <c r="AP2001" s="1"/>
      <c r="AQ2001" s="43"/>
      <c r="AR2001" s="123"/>
      <c r="AS2001" s="1"/>
      <c r="AT2001" s="1"/>
    </row>
    <row r="2002">
      <c r="A2002" s="43"/>
      <c r="B2002" s="59"/>
      <c r="C2002" s="51"/>
      <c r="D2002" s="43"/>
      <c r="E2002" s="85"/>
      <c r="F2002" s="43"/>
      <c r="G2002" s="85"/>
      <c r="H2002" s="43"/>
      <c r="I2002" s="85"/>
      <c r="J2002" s="43"/>
      <c r="L2002" s="43"/>
      <c r="N2002" s="43"/>
      <c r="P2002" s="43"/>
      <c r="Q2002" s="49"/>
      <c r="R2002" s="43"/>
      <c r="T2002" s="43"/>
      <c r="V2002" s="43"/>
      <c r="X2002" s="43"/>
      <c r="Z2002" s="43"/>
      <c r="AB2002" s="43"/>
      <c r="AD2002" s="43"/>
      <c r="AF2002" s="43"/>
      <c r="AH2002" s="43"/>
      <c r="AJ2002" s="43"/>
      <c r="AL2002" s="43"/>
      <c r="AO2002" s="43"/>
      <c r="AP2002" s="1"/>
      <c r="AQ2002" s="43"/>
      <c r="AR2002" s="123"/>
      <c r="AS2002" s="1"/>
      <c r="AT2002" s="1"/>
    </row>
    <row r="2003">
      <c r="A2003" s="43"/>
      <c r="B2003" s="59"/>
      <c r="C2003" s="51"/>
      <c r="D2003" s="43"/>
      <c r="E2003" s="85"/>
      <c r="F2003" s="43"/>
      <c r="G2003" s="85"/>
      <c r="H2003" s="43"/>
      <c r="I2003" s="61"/>
      <c r="J2003" s="43"/>
      <c r="K2003" s="42"/>
      <c r="L2003" s="43"/>
      <c r="M2003" s="42"/>
      <c r="N2003" s="43"/>
      <c r="O2003" s="44"/>
      <c r="P2003" s="43"/>
      <c r="Q2003" s="42"/>
      <c r="R2003" s="43"/>
      <c r="S2003" s="42"/>
      <c r="T2003" s="43"/>
      <c r="U2003" s="42"/>
      <c r="V2003" s="43"/>
      <c r="W2003" s="42"/>
      <c r="X2003" s="43"/>
      <c r="Y2003" s="42"/>
      <c r="Z2003" s="43"/>
      <c r="AA2003" s="42"/>
      <c r="AB2003" s="43"/>
      <c r="AC2003" s="42"/>
      <c r="AD2003" s="43"/>
      <c r="AE2003" s="42"/>
      <c r="AF2003" s="43"/>
      <c r="AG2003" s="42"/>
      <c r="AH2003" s="43"/>
      <c r="AI2003" s="42"/>
      <c r="AJ2003" s="43"/>
      <c r="AK2003" s="42"/>
      <c r="AL2003" s="43"/>
      <c r="AM2003" s="42"/>
      <c r="AN2003" s="115"/>
      <c r="AO2003" s="43"/>
      <c r="AP2003" s="115"/>
      <c r="AQ2003" s="43"/>
      <c r="AR2003" s="116"/>
      <c r="AS2003" s="9"/>
      <c r="AT2003" s="1"/>
    </row>
  </sheetData>
  <mergeCells count="21">
    <mergeCell ref="D1:E1"/>
    <mergeCell ref="F1:G1"/>
    <mergeCell ref="H1:I1"/>
    <mergeCell ref="J1:K1"/>
    <mergeCell ref="L1:M1"/>
    <mergeCell ref="N1:O1"/>
    <mergeCell ref="P1:Q1"/>
    <mergeCell ref="AF1:AG1"/>
    <mergeCell ref="AH1:AI1"/>
    <mergeCell ref="AJ1:AK1"/>
    <mergeCell ref="AL1:AM1"/>
    <mergeCell ref="AO1:AP1"/>
    <mergeCell ref="AQ1:AR1"/>
    <mergeCell ref="AS1:AT1"/>
    <mergeCell ref="R1:S1"/>
    <mergeCell ref="T1:U1"/>
    <mergeCell ref="V1:W1"/>
    <mergeCell ref="X1:Y1"/>
    <mergeCell ref="Z1:AA1"/>
    <mergeCell ref="AB1:AC1"/>
    <mergeCell ref="AD1:AE1"/>
  </mergeCells>
  <dataValidations>
    <dataValidation type="list" allowBlank="1" sqref="D3:D2003 F3:F2003 H3:H2003">
      <formula1>Internal_lists_variables!$R$2:$R2003</formula1>
    </dataValidation>
    <dataValidation type="list" allowBlank="1" sqref="L3:L2003">
      <formula1>Internal_lists_variables!$M$2:$M2003</formula1>
    </dataValidation>
    <dataValidation type="list" allowBlank="1" sqref="R3:R27 R29:R39 R41:R2003">
      <formula1>Internal_lists_variables!$N$2:$N2003</formula1>
    </dataValidation>
    <dataValidation type="list" allowBlank="1" showErrorMessage="1" sqref="P28 R28 J3:J2003 N3:N2003 V3:V2003 X3:X2003 Z3:Z2003 AB3:AB2003 AD3:AD2003 AF3:AF2003 AH3:AH2003 AJ3:AJ2003 AL3:AL2003">
      <formula1>"YES,NO,NA"</formula1>
    </dataValidation>
    <dataValidation type="list" allowBlank="1" showErrorMessage="1" sqref="AQ3:AQ2003">
      <formula1>"YES,NO,NA,Yes, but abandoned"</formula1>
    </dataValidation>
    <dataValidation type="list" allowBlank="1" showInputMessage="1" showErrorMessage="1" prompt="Project BugID" sqref="A3:A2003">
      <formula1>Internal_lists_bugs!$A$2:$A2003</formula1>
    </dataValidation>
    <dataValidation type="list" allowBlank="1" showErrorMessage="1" sqref="P3:P27 R40 P29:P2003">
      <formula1>"None,Partial,Covered,NA"</formula1>
    </dataValidation>
    <dataValidation type="list" allowBlank="1" showErrorMessage="1" sqref="AO3:AO2003">
      <formula1>Internal_lists_variables!$L$2:$L$10</formula1>
    </dataValidation>
    <dataValidation type="list" allowBlank="1" showErrorMessage="1" sqref="T3:T2003">
      <formula1>"Status(NA), CL(NA),Status(NA), CL(YES),Status(NA), CL(NO),Status(YES), CL(NO),Status(YES), CL(YES),Status(NO), CL(NO)"</formula1>
    </dataValidation>
  </dataValidations>
  <hyperlinks>
    <hyperlink r:id="rId2" ref="A1"/>
    <hyperlink r:id="rId3" location="gid=405816964" ref="B1"/>
  </hyperlinks>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21.75"/>
    <col customWidth="1" min="3" max="3" width="26.38"/>
    <col min="4" max="4" width="12.63" outlineLevel="1"/>
    <col customWidth="1" min="5" max="5" width="17.5" outlineLevel="1"/>
    <col min="6" max="6" width="12.63" outlineLevel="1"/>
    <col customWidth="1" min="7" max="7" width="50.38" outlineLevel="1"/>
    <col customWidth="1" min="8" max="8" width="51.5" outlineLevel="1"/>
    <col hidden="1" min="9" max="9" width="12.63" outlineLevel="1"/>
    <col customWidth="1" hidden="1" min="10" max="10" width="21.13" outlineLevel="1"/>
    <col hidden="1" min="11" max="11" width="12.63"/>
    <col customWidth="1" hidden="1" min="12" max="12" width="20.38"/>
    <col hidden="1" min="13" max="13" width="12.63"/>
    <col customWidth="1" min="14" max="15" width="46.88"/>
  </cols>
  <sheetData>
    <row r="1">
      <c r="A1" s="21" t="s">
        <v>101</v>
      </c>
      <c r="B1" s="21" t="s">
        <v>102</v>
      </c>
      <c r="C1" s="22" t="s">
        <v>103</v>
      </c>
      <c r="D1" s="55" t="s">
        <v>624</v>
      </c>
      <c r="F1" s="124" t="s">
        <v>625</v>
      </c>
      <c r="G1" s="53" t="s">
        <v>626</v>
      </c>
      <c r="I1" s="125"/>
      <c r="K1" s="125"/>
      <c r="M1" s="125"/>
      <c r="N1" s="126" t="s">
        <v>627</v>
      </c>
      <c r="O1" s="27" t="s">
        <v>628</v>
      </c>
    </row>
    <row r="2">
      <c r="A2" s="28" t="s">
        <v>109</v>
      </c>
      <c r="B2" s="29" t="s">
        <v>629</v>
      </c>
      <c r="C2" s="30" t="s">
        <v>630</v>
      </c>
      <c r="D2" s="32" t="s">
        <v>114</v>
      </c>
      <c r="E2" s="32" t="s">
        <v>115</v>
      </c>
      <c r="F2" s="127" t="s">
        <v>631</v>
      </c>
      <c r="G2" s="128" t="s">
        <v>114</v>
      </c>
      <c r="H2" s="129" t="s">
        <v>115</v>
      </c>
      <c r="I2" s="125"/>
      <c r="J2" s="125"/>
      <c r="K2" s="125"/>
      <c r="L2" s="125"/>
      <c r="M2" s="125"/>
      <c r="N2" s="121"/>
      <c r="O2" s="9" t="s">
        <v>114</v>
      </c>
    </row>
    <row r="3">
      <c r="A3" s="16" t="s">
        <v>30</v>
      </c>
      <c r="B3" s="114" t="str">
        <f>IFERROR(VLOOKUP(A3,Internal_lists_bugs!$A$2:$G2033,7,FALSE()),"please select a BUG ID")</f>
        <v>https://opendev.org/openstack/nova/commit/fa6c2d4def22f0ddd296572d9ce5b3b6f7267e2f</v>
      </c>
      <c r="C3" s="39" t="str">
        <f>IFERROR(VLOOKUP(A3,Internal_lists_bugs!$A$2:$I2033,9,FALSE()),"please select a BUG ID")</f>
        <v>https://review.opendev.org/c/openstack/nova/+/30201</v>
      </c>
      <c r="D3" s="80" t="s">
        <v>632</v>
      </c>
      <c r="E3" s="80"/>
      <c r="F3" s="130" t="s">
        <v>135</v>
      </c>
      <c r="G3" s="16" t="s">
        <v>633</v>
      </c>
      <c r="H3" s="16" t="s">
        <v>123</v>
      </c>
      <c r="I3" s="131"/>
      <c r="J3" s="131"/>
      <c r="K3" s="131"/>
      <c r="L3" s="131"/>
      <c r="M3" s="131"/>
      <c r="N3" s="16" t="s">
        <v>634</v>
      </c>
      <c r="O3" s="132">
        <v>30201.0</v>
      </c>
    </row>
    <row r="4">
      <c r="A4" s="16" t="s">
        <v>30</v>
      </c>
      <c r="B4" s="114" t="str">
        <f>IFERROR(VLOOKUP(A4,Internal_lists_bugs!$A$2:$G2033,7,FALSE()),"please select a BUG ID")</f>
        <v>https://opendev.org/openstack/nova/commit/fa6c2d4def22f0ddd296572d9ce5b3b6f7267e2f</v>
      </c>
      <c r="C4" s="39" t="str">
        <f>IFERROR(VLOOKUP(A4,Internal_lists_bugs!$A$2:$I2033,9,FALSE()),"please select a BUG ID")</f>
        <v>https://review.opendev.org/c/openstack/nova/+/30201</v>
      </c>
      <c r="D4" s="85"/>
      <c r="E4" s="85"/>
      <c r="F4" s="133"/>
      <c r="G4" s="16" t="s">
        <v>635</v>
      </c>
      <c r="H4" s="108" t="s">
        <v>636</v>
      </c>
      <c r="I4" s="131"/>
      <c r="J4" s="131"/>
      <c r="K4" s="131"/>
      <c r="L4" s="131"/>
      <c r="M4" s="131"/>
      <c r="N4" s="43"/>
      <c r="O4" s="132">
        <v>30201.0</v>
      </c>
    </row>
    <row r="5">
      <c r="A5" s="16" t="s">
        <v>30</v>
      </c>
      <c r="B5" s="114" t="str">
        <f>IFERROR(VLOOKUP(A5,Internal_lists_bugs!$A$2:$G2033,7,FALSE()),"please select a BUG ID")</f>
        <v>https://opendev.org/openstack/nova/commit/fa6c2d4def22f0ddd296572d9ce5b3b6f7267e2f</v>
      </c>
      <c r="C5" s="39" t="str">
        <f>IFERROR(VLOOKUP(A5,Internal_lists_bugs!$A$2:$I2033,9,FALSE()),"please select a BUG ID")</f>
        <v>https://review.opendev.org/c/openstack/nova/+/30201</v>
      </c>
      <c r="D5" s="85"/>
      <c r="E5" s="85"/>
      <c r="F5" s="133"/>
      <c r="G5" s="16" t="s">
        <v>637</v>
      </c>
      <c r="H5" s="108" t="s">
        <v>638</v>
      </c>
      <c r="I5" s="131"/>
      <c r="J5" s="131"/>
      <c r="K5" s="131"/>
      <c r="L5" s="131"/>
      <c r="M5" s="131"/>
      <c r="N5" s="43"/>
      <c r="O5" s="132">
        <v>30201.0</v>
      </c>
    </row>
    <row r="6">
      <c r="A6" s="16" t="s">
        <v>30</v>
      </c>
      <c r="B6" s="114" t="str">
        <f>IFERROR(VLOOKUP(A6,Internal_lists_bugs!$A$2:$G2033,7,FALSE()),"please select a BUG ID")</f>
        <v>https://opendev.org/openstack/nova/commit/fa6c2d4def22f0ddd296572d9ce5b3b6f7267e2f</v>
      </c>
      <c r="C6" s="39" t="str">
        <f>IFERROR(VLOOKUP(A6,Internal_lists_bugs!$A$2:$I2033,9,FALSE()),"please select a BUG ID")</f>
        <v>https://review.opendev.org/c/openstack/nova/+/30201</v>
      </c>
      <c r="D6" s="85"/>
      <c r="E6" s="85"/>
      <c r="F6" s="133"/>
      <c r="G6" s="16" t="s">
        <v>639</v>
      </c>
      <c r="H6" s="108" t="s">
        <v>640</v>
      </c>
      <c r="I6" s="131"/>
      <c r="J6" s="131"/>
      <c r="K6" s="131"/>
      <c r="L6" s="131"/>
      <c r="M6" s="131"/>
      <c r="N6" s="43"/>
      <c r="O6" s="132">
        <v>30201.0</v>
      </c>
    </row>
    <row r="7">
      <c r="A7" s="16" t="s">
        <v>30</v>
      </c>
      <c r="B7" s="114" t="str">
        <f>IFERROR(VLOOKUP(A7,Internal_lists_bugs!$A$2:$G2033,7,FALSE()),"please select a BUG ID")</f>
        <v>https://opendev.org/openstack/nova/commit/fa6c2d4def22f0ddd296572d9ce5b3b6f7267e2f</v>
      </c>
      <c r="C7" s="39" t="str">
        <f>IFERROR(VLOOKUP(A7,Internal_lists_bugs!$A$2:$I2033,9,FALSE()),"please select a BUG ID")</f>
        <v>https://review.opendev.org/c/openstack/nova/+/30201</v>
      </c>
      <c r="D7" s="85"/>
      <c r="E7" s="85"/>
      <c r="F7" s="133"/>
      <c r="G7" s="16" t="s">
        <v>641</v>
      </c>
      <c r="H7" s="108" t="s">
        <v>642</v>
      </c>
      <c r="I7" s="131"/>
      <c r="J7" s="131"/>
      <c r="K7" s="131"/>
      <c r="L7" s="131"/>
      <c r="M7" s="131"/>
      <c r="N7" s="43"/>
      <c r="O7" s="132">
        <v>30201.0</v>
      </c>
    </row>
    <row r="8">
      <c r="A8" s="16" t="s">
        <v>30</v>
      </c>
      <c r="B8" s="114" t="str">
        <f>IFERROR(VLOOKUP(A8,Internal_lists_bugs!$A$2:$G2033,7,FALSE()),"please select a BUG ID")</f>
        <v>https://opendev.org/openstack/nova/commit/fa6c2d4def22f0ddd296572d9ce5b3b6f7267e2f</v>
      </c>
      <c r="C8" s="39" t="str">
        <f>IFERROR(VLOOKUP(A8,Internal_lists_bugs!$A$2:$I2033,9,FALSE()),"please select a BUG ID")</f>
        <v>https://review.opendev.org/c/openstack/nova/+/30201</v>
      </c>
      <c r="D8" s="85"/>
      <c r="E8" s="85"/>
      <c r="F8" s="133"/>
      <c r="G8" s="16" t="s">
        <v>643</v>
      </c>
      <c r="H8" s="108" t="s">
        <v>644</v>
      </c>
      <c r="I8" s="131"/>
      <c r="J8" s="131"/>
      <c r="K8" s="131"/>
      <c r="L8" s="131"/>
      <c r="M8" s="131"/>
      <c r="N8" s="43"/>
      <c r="O8" s="132">
        <v>30201.0</v>
      </c>
    </row>
    <row r="9">
      <c r="A9" s="16" t="s">
        <v>30</v>
      </c>
      <c r="B9" s="114" t="str">
        <f>IFERROR(VLOOKUP(A9,Internal_lists_bugs!$A$2:$G2033,7,FALSE()),"please select a BUG ID")</f>
        <v>https://opendev.org/openstack/nova/commit/fa6c2d4def22f0ddd296572d9ce5b3b6f7267e2f</v>
      </c>
      <c r="C9" s="39" t="str">
        <f>IFERROR(VLOOKUP(A9,Internal_lists_bugs!$A$2:$I2033,9,FALSE()),"please select a BUG ID")</f>
        <v>https://review.opendev.org/c/openstack/nova/+/30201</v>
      </c>
      <c r="D9" s="85"/>
      <c r="E9" s="85"/>
      <c r="F9" s="133"/>
      <c r="G9" s="16" t="s">
        <v>643</v>
      </c>
      <c r="H9" s="108" t="s">
        <v>645</v>
      </c>
      <c r="I9" s="131"/>
      <c r="J9" s="131"/>
      <c r="K9" s="131"/>
      <c r="L9" s="131"/>
      <c r="M9" s="131"/>
      <c r="N9" s="43"/>
      <c r="O9" s="132">
        <v>30201.0</v>
      </c>
    </row>
    <row r="10">
      <c r="A10" s="16" t="s">
        <v>30</v>
      </c>
      <c r="B10" s="114" t="str">
        <f>IFERROR(VLOOKUP(A10,Internal_lists_bugs!$A$2:$G2033,7,FALSE()),"please select a BUG ID")</f>
        <v>https://opendev.org/openstack/nova/commit/fa6c2d4def22f0ddd296572d9ce5b3b6f7267e2f</v>
      </c>
      <c r="C10" s="39" t="str">
        <f>IFERROR(VLOOKUP(A10,Internal_lists_bugs!$A$2:$I2033,9,FALSE()),"please select a BUG ID")</f>
        <v>https://review.opendev.org/c/openstack/nova/+/30201</v>
      </c>
      <c r="D10" s="85"/>
      <c r="E10" s="85"/>
      <c r="F10" s="133"/>
      <c r="G10" s="16" t="s">
        <v>646</v>
      </c>
      <c r="H10" s="108" t="s">
        <v>647</v>
      </c>
      <c r="I10" s="131"/>
      <c r="J10" s="131"/>
      <c r="K10" s="131"/>
      <c r="L10" s="131"/>
      <c r="M10" s="131"/>
      <c r="N10" s="43"/>
      <c r="O10" s="132">
        <v>30201.0</v>
      </c>
    </row>
    <row r="11">
      <c r="A11" s="16" t="s">
        <v>30</v>
      </c>
      <c r="B11" s="114" t="str">
        <f>IFERROR(VLOOKUP(A11,Internal_lists_bugs!$A$2:$G2033,7,FALSE()),"please select a BUG ID")</f>
        <v>https://opendev.org/openstack/nova/commit/fa6c2d4def22f0ddd296572d9ce5b3b6f7267e2f</v>
      </c>
      <c r="C11" s="39" t="str">
        <f>IFERROR(VLOOKUP(A11,Internal_lists_bugs!$A$2:$I2033,9,FALSE()),"please select a BUG ID")</f>
        <v>https://review.opendev.org/c/openstack/nova/+/30201</v>
      </c>
      <c r="D11" s="85"/>
      <c r="E11" s="85"/>
      <c r="F11" s="133"/>
      <c r="G11" s="16" t="s">
        <v>648</v>
      </c>
      <c r="H11" s="108" t="s">
        <v>649</v>
      </c>
      <c r="I11" s="131"/>
      <c r="J11" s="131"/>
      <c r="K11" s="131"/>
      <c r="L11" s="131"/>
      <c r="M11" s="131"/>
      <c r="N11" s="43"/>
      <c r="O11" s="132">
        <v>30201.0</v>
      </c>
    </row>
    <row r="12">
      <c r="A12" s="16" t="s">
        <v>30</v>
      </c>
      <c r="B12" s="114" t="str">
        <f>IFERROR(VLOOKUP(A12,Internal_lists_bugs!$A$2:$G2033,7,FALSE()),"please select a BUG ID")</f>
        <v>https://opendev.org/openstack/nova/commit/fa6c2d4def22f0ddd296572d9ce5b3b6f7267e2f</v>
      </c>
      <c r="C12" s="39" t="str">
        <f>IFERROR(VLOOKUP(A12,Internal_lists_bugs!$A$2:$I2033,9,FALSE()),"please select a BUG ID")</f>
        <v>https://review.opendev.org/c/openstack/nova/+/30201</v>
      </c>
      <c r="D12" s="85"/>
      <c r="E12" s="85"/>
      <c r="F12" s="133"/>
      <c r="G12" s="16" t="s">
        <v>650</v>
      </c>
      <c r="H12" s="108" t="s">
        <v>651</v>
      </c>
      <c r="I12" s="131"/>
      <c r="J12" s="131"/>
      <c r="K12" s="131"/>
      <c r="L12" s="131"/>
      <c r="M12" s="131"/>
      <c r="N12" s="43"/>
      <c r="O12" s="132">
        <v>30201.0</v>
      </c>
    </row>
    <row r="13">
      <c r="A13" s="16" t="s">
        <v>30</v>
      </c>
      <c r="B13" s="114" t="str">
        <f>IFERROR(VLOOKUP(A13,Internal_lists_bugs!$A$2:$G2033,7,FALSE()),"please select a BUG ID")</f>
        <v>https://opendev.org/openstack/nova/commit/fa6c2d4def22f0ddd296572d9ce5b3b6f7267e2f</v>
      </c>
      <c r="C13" s="39" t="str">
        <f>IFERROR(VLOOKUP(A13,Internal_lists_bugs!$A$2:$I2033,9,FALSE()),"please select a BUG ID")</f>
        <v>https://review.opendev.org/c/openstack/nova/+/30201</v>
      </c>
      <c r="D13" s="85"/>
      <c r="E13" s="85"/>
      <c r="F13" s="133"/>
      <c r="G13" s="16" t="s">
        <v>652</v>
      </c>
      <c r="H13" s="108" t="s">
        <v>653</v>
      </c>
      <c r="I13" s="131"/>
      <c r="J13" s="131"/>
      <c r="K13" s="131"/>
      <c r="L13" s="131"/>
      <c r="M13" s="131"/>
      <c r="N13" s="43"/>
      <c r="O13" s="132">
        <v>30201.0</v>
      </c>
    </row>
    <row r="14">
      <c r="A14" s="16" t="s">
        <v>30</v>
      </c>
      <c r="B14" s="114" t="str">
        <f>IFERROR(VLOOKUP(A14,Internal_lists_bugs!$A$2:$G2033,7,FALSE()),"please select a BUG ID")</f>
        <v>https://opendev.org/openstack/nova/commit/fa6c2d4def22f0ddd296572d9ce5b3b6f7267e2f</v>
      </c>
      <c r="C14" s="39" t="str">
        <f>IFERROR(VLOOKUP(A14,Internal_lists_bugs!$A$2:$I2033,9,FALSE()),"please select a BUG ID")</f>
        <v>https://review.opendev.org/c/openstack/nova/+/30201</v>
      </c>
      <c r="D14" s="85"/>
      <c r="E14" s="85"/>
      <c r="F14" s="133"/>
      <c r="G14" s="16" t="s">
        <v>654</v>
      </c>
      <c r="H14" s="108" t="s">
        <v>655</v>
      </c>
      <c r="I14" s="131"/>
      <c r="J14" s="131"/>
      <c r="K14" s="131"/>
      <c r="L14" s="131"/>
      <c r="M14" s="131"/>
      <c r="N14" s="43"/>
      <c r="O14" s="132">
        <v>30201.0</v>
      </c>
    </row>
    <row r="15">
      <c r="A15" s="16" t="s">
        <v>30</v>
      </c>
      <c r="B15" s="114" t="str">
        <f>IFERROR(VLOOKUP(A15,Internal_lists_bugs!$A$2:$G2033,7,FALSE()),"please select a BUG ID")</f>
        <v>https://opendev.org/openstack/nova/commit/fa6c2d4def22f0ddd296572d9ce5b3b6f7267e2f</v>
      </c>
      <c r="C15" s="39" t="str">
        <f>IFERROR(VLOOKUP(A15,Internal_lists_bugs!$A$2:$I2033,9,FALSE()),"please select a BUG ID")</f>
        <v>https://review.opendev.org/c/openstack/nova/+/30201</v>
      </c>
      <c r="D15" s="85"/>
      <c r="E15" s="85"/>
      <c r="F15" s="133"/>
      <c r="G15" s="16" t="s">
        <v>656</v>
      </c>
      <c r="H15" s="108" t="s">
        <v>657</v>
      </c>
      <c r="I15" s="131"/>
      <c r="J15" s="131"/>
      <c r="K15" s="131"/>
      <c r="L15" s="131"/>
      <c r="M15" s="131"/>
      <c r="N15" s="43"/>
      <c r="O15" s="132">
        <v>30201.0</v>
      </c>
    </row>
    <row r="16">
      <c r="A16" s="16" t="s">
        <v>30</v>
      </c>
      <c r="B16" s="114" t="str">
        <f>IFERROR(VLOOKUP(A16,Internal_lists_bugs!$A$2:$G2033,7,FALSE()),"please select a BUG ID")</f>
        <v>https://opendev.org/openstack/nova/commit/fa6c2d4def22f0ddd296572d9ce5b3b6f7267e2f</v>
      </c>
      <c r="C16" s="39" t="str">
        <f>IFERROR(VLOOKUP(A16,Internal_lists_bugs!$A$2:$I2033,9,FALSE()),"please select a BUG ID")</f>
        <v>https://review.opendev.org/c/openstack/nova/+/30201</v>
      </c>
      <c r="D16" s="85"/>
      <c r="E16" s="85"/>
      <c r="F16" s="133"/>
      <c r="G16" s="16" t="s">
        <v>658</v>
      </c>
      <c r="H16" s="108" t="s">
        <v>659</v>
      </c>
      <c r="I16" s="131"/>
      <c r="J16" s="131"/>
      <c r="K16" s="131"/>
      <c r="L16" s="131"/>
      <c r="M16" s="131"/>
      <c r="N16" s="43"/>
      <c r="O16" s="132">
        <v>30201.0</v>
      </c>
    </row>
    <row r="17">
      <c r="A17" s="16" t="s">
        <v>30</v>
      </c>
      <c r="B17" s="114" t="str">
        <f>IFERROR(VLOOKUP(A17,Internal_lists_bugs!$A$2:$G2033,7,FALSE()),"please select a BUG ID")</f>
        <v>https://opendev.org/openstack/nova/commit/fa6c2d4def22f0ddd296572d9ce5b3b6f7267e2f</v>
      </c>
      <c r="C17" s="39" t="str">
        <f>IFERROR(VLOOKUP(A17,Internal_lists_bugs!$A$2:$I2033,9,FALSE()),"please select a BUG ID")</f>
        <v>https://review.opendev.org/c/openstack/nova/+/30201</v>
      </c>
      <c r="D17" s="85"/>
      <c r="E17" s="85"/>
      <c r="F17" s="133"/>
      <c r="G17" s="16" t="s">
        <v>660</v>
      </c>
      <c r="H17" s="108" t="s">
        <v>661</v>
      </c>
      <c r="I17" s="131"/>
      <c r="J17" s="131"/>
      <c r="K17" s="131"/>
      <c r="L17" s="131"/>
      <c r="M17" s="131"/>
      <c r="N17" s="43"/>
      <c r="O17" s="132">
        <v>30201.0</v>
      </c>
    </row>
    <row r="18">
      <c r="A18" s="16" t="s">
        <v>30</v>
      </c>
      <c r="B18" s="114" t="str">
        <f>IFERROR(VLOOKUP(A18,Internal_lists_bugs!$A$2:$G2033,7,FALSE()),"please select a BUG ID")</f>
        <v>https://opendev.org/openstack/nova/commit/fa6c2d4def22f0ddd296572d9ce5b3b6f7267e2f</v>
      </c>
      <c r="C18" s="39" t="str">
        <f>IFERROR(VLOOKUP(A18,Internal_lists_bugs!$A$2:$I2033,9,FALSE()),"please select a BUG ID")</f>
        <v>https://review.opendev.org/c/openstack/nova/+/30201</v>
      </c>
      <c r="D18" s="85"/>
      <c r="E18" s="85"/>
      <c r="F18" s="133"/>
      <c r="G18" s="16" t="s">
        <v>662</v>
      </c>
      <c r="H18" s="108" t="s">
        <v>663</v>
      </c>
      <c r="I18" s="131"/>
      <c r="J18" s="131"/>
      <c r="K18" s="131"/>
      <c r="L18" s="131"/>
      <c r="M18" s="131"/>
      <c r="N18" s="43"/>
      <c r="O18" s="132">
        <v>30201.0</v>
      </c>
    </row>
    <row r="19">
      <c r="A19" s="16" t="s">
        <v>31</v>
      </c>
      <c r="B19" s="114" t="str">
        <f>IFERROR(VLOOKUP(A19,Internal_lists_bugs!$A$2:$G2033,7,FALSE()),"please select a BUG ID")</f>
        <v>https://opendev.org/openstack/nova/commit/5876827d92bad3c408651184d9fea835639d8db8</v>
      </c>
      <c r="C19" s="39" t="str">
        <f>IFERROR(VLOOKUP(A19,Internal_lists_bugs!$A$2:$I2033,9,FALSE()),"please select a BUG ID")</f>
        <v>https://review.opendev.org/c/openstack/nova/+/113741</v>
      </c>
      <c r="D19" s="80" t="s">
        <v>632</v>
      </c>
      <c r="E19" s="85"/>
      <c r="F19" s="130" t="s">
        <v>121</v>
      </c>
      <c r="G19" s="16" t="s">
        <v>633</v>
      </c>
      <c r="H19" s="16" t="s">
        <v>123</v>
      </c>
      <c r="I19" s="131"/>
      <c r="J19" s="131"/>
      <c r="K19" s="131"/>
      <c r="L19" s="131"/>
      <c r="M19" s="131"/>
      <c r="N19" s="16" t="s">
        <v>634</v>
      </c>
      <c r="O19" s="51"/>
    </row>
    <row r="20">
      <c r="A20" s="16" t="s">
        <v>31</v>
      </c>
      <c r="B20" s="114" t="str">
        <f>IFERROR(VLOOKUP(A20,Internal_lists_bugs!$A$2:$G2033,7,FALSE()),"please select a BUG ID")</f>
        <v>https://opendev.org/openstack/nova/commit/5876827d92bad3c408651184d9fea835639d8db8</v>
      </c>
      <c r="C20" s="39" t="str">
        <f>IFERROR(VLOOKUP(A20,Internal_lists_bugs!$A$2:$I2033,9,FALSE()),"please select a BUG ID")</f>
        <v>https://review.opendev.org/c/openstack/nova/+/113741</v>
      </c>
      <c r="D20" s="80"/>
      <c r="E20" s="85"/>
      <c r="F20" s="130"/>
      <c r="G20" s="16" t="s">
        <v>174</v>
      </c>
      <c r="H20" s="16" t="s">
        <v>123</v>
      </c>
      <c r="I20" s="131"/>
      <c r="J20" s="131"/>
      <c r="K20" s="131"/>
      <c r="L20" s="131"/>
      <c r="M20" s="131"/>
      <c r="N20" s="43"/>
      <c r="O20" s="51"/>
    </row>
    <row r="21">
      <c r="A21" s="16" t="s">
        <v>31</v>
      </c>
      <c r="B21" s="114" t="str">
        <f>IFERROR(VLOOKUP(A21,Internal_lists_bugs!$A$2:$G2033,7,FALSE()),"please select a BUG ID")</f>
        <v>https://opendev.org/openstack/nova/commit/5876827d92bad3c408651184d9fea835639d8db8</v>
      </c>
      <c r="C21" s="39" t="str">
        <f>IFERROR(VLOOKUP(A21,Internal_lists_bugs!$A$2:$I2033,9,FALSE()),"please select a BUG ID")</f>
        <v>https://review.opendev.org/c/openstack/nova/+/113741</v>
      </c>
      <c r="D21" s="85"/>
      <c r="E21" s="85"/>
      <c r="F21" s="133"/>
      <c r="G21" s="16" t="s">
        <v>664</v>
      </c>
      <c r="H21" s="108" t="s">
        <v>665</v>
      </c>
      <c r="I21" s="131"/>
      <c r="J21" s="131"/>
      <c r="K21" s="131"/>
      <c r="L21" s="131"/>
      <c r="M21" s="131"/>
      <c r="N21" s="43"/>
      <c r="O21" s="51"/>
    </row>
    <row r="22">
      <c r="A22" s="16" t="s">
        <v>31</v>
      </c>
      <c r="B22" s="114" t="str">
        <f>IFERROR(VLOOKUP(A22,Internal_lists_bugs!$A$2:$G2033,7,FALSE()),"please select a BUG ID")</f>
        <v>https://opendev.org/openstack/nova/commit/5876827d92bad3c408651184d9fea835639d8db8</v>
      </c>
      <c r="C22" s="39" t="str">
        <f>IFERROR(VLOOKUP(A22,Internal_lists_bugs!$A$2:$I2033,9,FALSE()),"please select a BUG ID")</f>
        <v>https://review.opendev.org/c/openstack/nova/+/113741</v>
      </c>
      <c r="D22" s="85"/>
      <c r="E22" s="85"/>
      <c r="F22" s="133"/>
      <c r="G22" s="16" t="s">
        <v>666</v>
      </c>
      <c r="H22" s="108" t="s">
        <v>667</v>
      </c>
      <c r="I22" s="131"/>
      <c r="J22" s="131"/>
      <c r="K22" s="131"/>
      <c r="L22" s="131"/>
      <c r="M22" s="131"/>
      <c r="N22" s="43"/>
      <c r="O22" s="51"/>
    </row>
    <row r="23">
      <c r="A23" s="16" t="s">
        <v>31</v>
      </c>
      <c r="B23" s="114" t="str">
        <f>IFERROR(VLOOKUP(A23,Internal_lists_bugs!$A$2:$G2033,7,FALSE()),"please select a BUG ID")</f>
        <v>https://opendev.org/openstack/nova/commit/5876827d92bad3c408651184d9fea835639d8db8</v>
      </c>
      <c r="C23" s="39" t="str">
        <f>IFERROR(VLOOKUP(A23,Internal_lists_bugs!$A$2:$I2033,9,FALSE()),"please select a BUG ID")</f>
        <v>https://review.opendev.org/c/openstack/nova/+/113741</v>
      </c>
      <c r="D23" s="85"/>
      <c r="E23" s="85"/>
      <c r="F23" s="133"/>
      <c r="G23" s="16" t="s">
        <v>668</v>
      </c>
      <c r="H23" s="108" t="s">
        <v>667</v>
      </c>
      <c r="I23" s="131"/>
      <c r="J23" s="131"/>
      <c r="K23" s="131"/>
      <c r="L23" s="131"/>
      <c r="M23" s="131"/>
      <c r="N23" s="43"/>
      <c r="O23" s="51"/>
    </row>
    <row r="24">
      <c r="A24" s="16" t="s">
        <v>31</v>
      </c>
      <c r="B24" s="114" t="str">
        <f>IFERROR(VLOOKUP(A24,Internal_lists_bugs!$A$2:$G2033,7,FALSE()),"please select a BUG ID")</f>
        <v>https://opendev.org/openstack/nova/commit/5876827d92bad3c408651184d9fea835639d8db8</v>
      </c>
      <c r="C24" s="39" t="str">
        <f>IFERROR(VLOOKUP(A24,Internal_lists_bugs!$A$2:$I2033,9,FALSE()),"please select a BUG ID")</f>
        <v>https://review.opendev.org/c/openstack/nova/+/113741</v>
      </c>
      <c r="D24" s="85"/>
      <c r="E24" s="85"/>
      <c r="F24" s="133"/>
      <c r="G24" s="16" t="s">
        <v>662</v>
      </c>
      <c r="H24" s="108" t="s">
        <v>669</v>
      </c>
      <c r="I24" s="131"/>
      <c r="J24" s="131"/>
      <c r="K24" s="131"/>
      <c r="L24" s="131"/>
      <c r="M24" s="131"/>
      <c r="N24" s="43"/>
      <c r="O24" s="51"/>
    </row>
    <row r="25">
      <c r="A25" s="16" t="s">
        <v>31</v>
      </c>
      <c r="B25" s="114" t="str">
        <f>IFERROR(VLOOKUP(A25,Internal_lists_bugs!$A$2:$G2033,7,FALSE()),"please select a BUG ID")</f>
        <v>https://opendev.org/openstack/nova/commit/5876827d92bad3c408651184d9fea835639d8db8</v>
      </c>
      <c r="C25" s="39" t="str">
        <f>IFERROR(VLOOKUP(A25,Internal_lists_bugs!$A$2:$I2033,9,FALSE()),"please select a BUG ID")</f>
        <v>https://review.opendev.org/c/openstack/nova/+/113741</v>
      </c>
      <c r="D25" s="85"/>
      <c r="E25" s="85"/>
      <c r="F25" s="133"/>
      <c r="G25" s="16" t="s">
        <v>670</v>
      </c>
      <c r="H25" s="108" t="s">
        <v>671</v>
      </c>
      <c r="I25" s="131"/>
      <c r="J25" s="131"/>
      <c r="K25" s="131"/>
      <c r="L25" s="131"/>
      <c r="M25" s="131"/>
      <c r="N25" s="43"/>
      <c r="O25" s="51"/>
    </row>
    <row r="26">
      <c r="A26" s="16" t="s">
        <v>31</v>
      </c>
      <c r="B26" s="114" t="str">
        <f>IFERROR(VLOOKUP(A26,Internal_lists_bugs!$A$2:$G2033,7,FALSE()),"please select a BUG ID")</f>
        <v>https://opendev.org/openstack/nova/commit/5876827d92bad3c408651184d9fea835639d8db8</v>
      </c>
      <c r="C26" s="39" t="str">
        <f>IFERROR(VLOOKUP(A26,Internal_lists_bugs!$A$2:$I2033,9,FALSE()),"please select a BUG ID")</f>
        <v>https://review.opendev.org/c/openstack/nova/+/113741</v>
      </c>
      <c r="D26" s="85"/>
      <c r="E26" s="85"/>
      <c r="F26" s="133"/>
      <c r="G26" s="16" t="s">
        <v>672</v>
      </c>
      <c r="H26" s="108" t="s">
        <v>671</v>
      </c>
      <c r="I26" s="131"/>
      <c r="J26" s="131"/>
      <c r="K26" s="131"/>
      <c r="L26" s="131"/>
      <c r="M26" s="131"/>
      <c r="N26" s="43"/>
      <c r="O26" s="51"/>
    </row>
    <row r="27">
      <c r="A27" s="16" t="s">
        <v>31</v>
      </c>
      <c r="B27" s="114" t="str">
        <f>IFERROR(VLOOKUP(A27,Internal_lists_bugs!$A$2:$G2033,7,FALSE()),"please select a BUG ID")</f>
        <v>https://opendev.org/openstack/nova/commit/5876827d92bad3c408651184d9fea835639d8db8</v>
      </c>
      <c r="C27" s="39" t="str">
        <f>IFERROR(VLOOKUP(A27,Internal_lists_bugs!$A$2:$I2033,9,FALSE()),"please select a BUG ID")</f>
        <v>https://review.opendev.org/c/openstack/nova/+/113741</v>
      </c>
      <c r="D27" s="85"/>
      <c r="E27" s="85"/>
      <c r="F27" s="133"/>
      <c r="G27" s="16" t="s">
        <v>666</v>
      </c>
      <c r="H27" s="108" t="s">
        <v>667</v>
      </c>
      <c r="I27" s="131"/>
      <c r="J27" s="131"/>
      <c r="K27" s="131"/>
      <c r="L27" s="131"/>
      <c r="M27" s="131"/>
      <c r="N27" s="43"/>
      <c r="O27" s="51"/>
    </row>
    <row r="28">
      <c r="A28" s="16" t="s">
        <v>31</v>
      </c>
      <c r="B28" s="114" t="str">
        <f>IFERROR(VLOOKUP(A28,Internal_lists_bugs!$A$2:$G2033,7,FALSE()),"please select a BUG ID")</f>
        <v>https://opendev.org/openstack/nova/commit/5876827d92bad3c408651184d9fea835639d8db8</v>
      </c>
      <c r="C28" s="39" t="str">
        <f>IFERROR(VLOOKUP(A28,Internal_lists_bugs!$A$2:$I2033,9,FALSE()),"please select a BUG ID")</f>
        <v>https://review.opendev.org/c/openstack/nova/+/113741</v>
      </c>
      <c r="D28" s="85"/>
      <c r="E28" s="85"/>
      <c r="F28" s="133"/>
      <c r="G28" s="16" t="s">
        <v>668</v>
      </c>
      <c r="H28" s="108" t="s">
        <v>667</v>
      </c>
      <c r="I28" s="131"/>
      <c r="J28" s="131"/>
      <c r="K28" s="131"/>
      <c r="L28" s="131"/>
      <c r="M28" s="131"/>
      <c r="N28" s="43"/>
      <c r="O28" s="51"/>
    </row>
    <row r="29">
      <c r="A29" s="16" t="s">
        <v>31</v>
      </c>
      <c r="B29" s="114" t="str">
        <f>IFERROR(VLOOKUP(A29,Internal_lists_bugs!$A$2:$G2033,7,FALSE()),"please select a BUG ID")</f>
        <v>https://opendev.org/openstack/nova/commit/5876827d92bad3c408651184d9fea835639d8db8</v>
      </c>
      <c r="C29" s="39" t="str">
        <f>IFERROR(VLOOKUP(A29,Internal_lists_bugs!$A$2:$I2033,9,FALSE()),"please select a BUG ID")</f>
        <v>https://review.opendev.org/c/openstack/nova/+/113741</v>
      </c>
      <c r="D29" s="85"/>
      <c r="E29" s="85"/>
      <c r="F29" s="133"/>
      <c r="G29" s="16" t="s">
        <v>662</v>
      </c>
      <c r="H29" s="108" t="s">
        <v>669</v>
      </c>
      <c r="I29" s="131"/>
      <c r="J29" s="131"/>
      <c r="K29" s="131"/>
      <c r="L29" s="131"/>
      <c r="M29" s="131"/>
      <c r="N29" s="43"/>
      <c r="O29" s="51"/>
    </row>
    <row r="30">
      <c r="A30" s="16" t="s">
        <v>32</v>
      </c>
      <c r="B30" s="114" t="str">
        <f>IFERROR(VLOOKUP(A30,Internal_lists_bugs!$A$2:$G2033,7,FALSE()),"please select a BUG ID")</f>
        <v>https://opendev.org/openstack/nova/commit/990561227d1cdadc1ae91fdcc74286a47f0ddf2c</v>
      </c>
      <c r="C30" s="39" t="str">
        <f>IFERROR(VLOOKUP(A30,Internal_lists_bugs!$A$2:$I2033,9,FALSE()),"please select a BUG ID")</f>
        <v>https://review.opendev.org/c/openstack/nova/+/120675</v>
      </c>
      <c r="D30" s="80" t="s">
        <v>632</v>
      </c>
      <c r="E30" s="85"/>
      <c r="F30" s="130" t="s">
        <v>121</v>
      </c>
      <c r="G30" s="16" t="s">
        <v>633</v>
      </c>
      <c r="H30" s="16" t="s">
        <v>123</v>
      </c>
      <c r="I30" s="131"/>
      <c r="J30" s="131"/>
      <c r="K30" s="131"/>
      <c r="L30" s="131"/>
      <c r="M30" s="131"/>
      <c r="N30" s="16" t="s">
        <v>634</v>
      </c>
      <c r="O30" s="51"/>
    </row>
    <row r="31">
      <c r="A31" s="16" t="s">
        <v>32</v>
      </c>
      <c r="B31" s="114" t="str">
        <f>IFERROR(VLOOKUP(A31,Internal_lists_bugs!$A$2:$G2033,7,FALSE()),"please select a BUG ID")</f>
        <v>https://opendev.org/openstack/nova/commit/990561227d1cdadc1ae91fdcc74286a47f0ddf2c</v>
      </c>
      <c r="C31" s="39" t="str">
        <f>IFERROR(VLOOKUP(A31,Internal_lists_bugs!$A$2:$I2033,9,FALSE()),"please select a BUG ID")</f>
        <v>https://review.opendev.org/c/openstack/nova/+/120675</v>
      </c>
      <c r="D31" s="80"/>
      <c r="E31" s="85"/>
      <c r="F31" s="130"/>
      <c r="G31" s="16" t="s">
        <v>174</v>
      </c>
      <c r="H31" s="16" t="s">
        <v>123</v>
      </c>
      <c r="I31" s="131"/>
      <c r="J31" s="131"/>
      <c r="K31" s="131"/>
      <c r="L31" s="131"/>
      <c r="M31" s="131"/>
      <c r="N31" s="43"/>
      <c r="O31" s="51"/>
    </row>
    <row r="32">
      <c r="A32" s="16" t="s">
        <v>32</v>
      </c>
      <c r="B32" s="114" t="str">
        <f>IFERROR(VLOOKUP(A32,Internal_lists_bugs!$A$2:$G2033,7,FALSE()),"please select a BUG ID")</f>
        <v>https://opendev.org/openstack/nova/commit/990561227d1cdadc1ae91fdcc74286a47f0ddf2c</v>
      </c>
      <c r="C32" s="39" t="str">
        <f>IFERROR(VLOOKUP(A32,Internal_lists_bugs!$A$2:$I2033,9,FALSE()),"please select a BUG ID")</f>
        <v>https://review.opendev.org/c/openstack/nova/+/120675</v>
      </c>
      <c r="D32" s="85"/>
      <c r="E32" s="85"/>
      <c r="F32" s="133"/>
      <c r="G32" s="16" t="s">
        <v>641</v>
      </c>
      <c r="H32" s="108" t="s">
        <v>673</v>
      </c>
      <c r="I32" s="131"/>
      <c r="J32" s="131"/>
      <c r="K32" s="131"/>
      <c r="L32" s="131"/>
      <c r="M32" s="131"/>
      <c r="N32" s="43"/>
      <c r="O32" s="51"/>
    </row>
    <row r="33">
      <c r="A33" s="16" t="s">
        <v>32</v>
      </c>
      <c r="B33" s="114" t="str">
        <f>IFERROR(VLOOKUP(A33,Internal_lists_bugs!$A$2:$G2033,7,FALSE()),"please select a BUG ID")</f>
        <v>https://opendev.org/openstack/nova/commit/990561227d1cdadc1ae91fdcc74286a47f0ddf2c</v>
      </c>
      <c r="C33" s="39" t="str">
        <f>IFERROR(VLOOKUP(A33,Internal_lists_bugs!$A$2:$I2033,9,FALSE()),"please select a BUG ID")</f>
        <v>https://review.opendev.org/c/openstack/nova/+/120675</v>
      </c>
      <c r="D33" s="80"/>
      <c r="E33" s="80"/>
      <c r="F33" s="130"/>
      <c r="G33" s="16" t="s">
        <v>641</v>
      </c>
      <c r="H33" s="108" t="s">
        <v>674</v>
      </c>
      <c r="I33" s="131"/>
      <c r="J33" s="125"/>
      <c r="K33" s="131"/>
      <c r="L33" s="131"/>
      <c r="M33" s="131"/>
      <c r="N33" s="43"/>
      <c r="O33" s="51"/>
    </row>
    <row r="34">
      <c r="A34" s="16" t="s">
        <v>32</v>
      </c>
      <c r="B34" s="114" t="str">
        <f>IFERROR(VLOOKUP(A34,Internal_lists_bugs!$A$2:$G2033,7,FALSE()),"please select a BUG ID")</f>
        <v>https://opendev.org/openstack/nova/commit/990561227d1cdadc1ae91fdcc74286a47f0ddf2c</v>
      </c>
      <c r="C34" s="39" t="str">
        <f>IFERROR(VLOOKUP(A34,Internal_lists_bugs!$A$2:$I2033,9,FALSE()),"please select a BUG ID")</f>
        <v>https://review.opendev.org/c/openstack/nova/+/120675</v>
      </c>
      <c r="D34" s="80"/>
      <c r="E34" s="80"/>
      <c r="F34" s="130"/>
      <c r="G34" s="16" t="s">
        <v>675</v>
      </c>
      <c r="H34" s="108" t="s">
        <v>676</v>
      </c>
      <c r="I34" s="131"/>
      <c r="J34" s="125"/>
      <c r="K34" s="131"/>
      <c r="L34" s="131"/>
      <c r="M34" s="131"/>
      <c r="N34" s="43"/>
      <c r="O34" s="51"/>
    </row>
    <row r="35">
      <c r="A35" s="16" t="s">
        <v>32</v>
      </c>
      <c r="B35" s="114" t="str">
        <f>IFERROR(VLOOKUP(A35,Internal_lists_bugs!$A$2:$G2033,7,FALSE()),"please select a BUG ID")</f>
        <v>https://opendev.org/openstack/nova/commit/990561227d1cdadc1ae91fdcc74286a47f0ddf2c</v>
      </c>
      <c r="C35" s="39" t="str">
        <f>IFERROR(VLOOKUP(A35,Internal_lists_bugs!$A$2:$I2033,9,FALSE()),"please select a BUG ID")</f>
        <v>https://review.opendev.org/c/openstack/nova/+/120675</v>
      </c>
      <c r="D35" s="85"/>
      <c r="E35" s="85"/>
      <c r="F35" s="133"/>
      <c r="G35" s="16" t="s">
        <v>677</v>
      </c>
      <c r="H35" s="108" t="s">
        <v>676</v>
      </c>
      <c r="I35" s="131"/>
      <c r="J35" s="131"/>
      <c r="K35" s="131"/>
      <c r="L35" s="131"/>
      <c r="M35" s="131"/>
      <c r="N35" s="43"/>
      <c r="O35" s="51"/>
    </row>
    <row r="36">
      <c r="A36" s="16" t="s">
        <v>32</v>
      </c>
      <c r="B36" s="114" t="str">
        <f>IFERROR(VLOOKUP(A36,Internal_lists_bugs!$A$2:$G2033,7,FALSE()),"please select a BUG ID")</f>
        <v>https://opendev.org/openstack/nova/commit/990561227d1cdadc1ae91fdcc74286a47f0ddf2c</v>
      </c>
      <c r="C36" s="39" t="str">
        <f>IFERROR(VLOOKUP(A36,Internal_lists_bugs!$A$2:$I2033,9,FALSE()),"please select a BUG ID")</f>
        <v>https://review.opendev.org/c/openstack/nova/+/120675</v>
      </c>
      <c r="D36" s="85"/>
      <c r="E36" s="85"/>
      <c r="F36" s="133"/>
      <c r="G36" s="16" t="s">
        <v>664</v>
      </c>
      <c r="H36" s="108" t="s">
        <v>678</v>
      </c>
      <c r="I36" s="131"/>
      <c r="J36" s="131"/>
      <c r="K36" s="131"/>
      <c r="L36" s="131"/>
      <c r="M36" s="131"/>
      <c r="N36" s="43"/>
      <c r="O36" s="51"/>
    </row>
    <row r="37">
      <c r="A37" s="16" t="s">
        <v>32</v>
      </c>
      <c r="B37" s="114" t="str">
        <f>IFERROR(VLOOKUP(A37,Internal_lists_bugs!$A$2:$G2033,7,FALSE()),"please select a BUG ID")</f>
        <v>https://opendev.org/openstack/nova/commit/990561227d1cdadc1ae91fdcc74286a47f0ddf2c</v>
      </c>
      <c r="C37" s="39" t="str">
        <f>IFERROR(VLOOKUP(A37,Internal_lists_bugs!$A$2:$I2033,9,FALSE()),"please select a BUG ID")</f>
        <v>https://review.opendev.org/c/openstack/nova/+/120675</v>
      </c>
      <c r="D37" s="85"/>
      <c r="E37" s="85"/>
      <c r="F37" s="133"/>
      <c r="G37" s="16" t="s">
        <v>672</v>
      </c>
      <c r="H37" s="108" t="s">
        <v>679</v>
      </c>
      <c r="I37" s="131"/>
      <c r="J37" s="131"/>
      <c r="K37" s="131"/>
      <c r="L37" s="131"/>
      <c r="M37" s="131"/>
      <c r="N37" s="43"/>
      <c r="O37" s="51"/>
    </row>
    <row r="38">
      <c r="A38" s="16" t="s">
        <v>32</v>
      </c>
      <c r="B38" s="114" t="str">
        <f>IFERROR(VLOOKUP(A38,Internal_lists_bugs!$A$2:$G2033,7,FALSE()),"please select a BUG ID")</f>
        <v>https://opendev.org/openstack/nova/commit/990561227d1cdadc1ae91fdcc74286a47f0ddf2c</v>
      </c>
      <c r="C38" s="39" t="str">
        <f>IFERROR(VLOOKUP(A38,Internal_lists_bugs!$A$2:$I2033,9,FALSE()),"please select a BUG ID")</f>
        <v>https://review.opendev.org/c/openstack/nova/+/120675</v>
      </c>
      <c r="D38" s="80"/>
      <c r="E38" s="85"/>
      <c r="F38" s="130"/>
      <c r="G38" s="16" t="s">
        <v>670</v>
      </c>
      <c r="H38" s="108" t="s">
        <v>679</v>
      </c>
      <c r="I38" s="131"/>
      <c r="J38" s="131"/>
      <c r="K38" s="131"/>
      <c r="L38" s="131"/>
      <c r="M38" s="131"/>
      <c r="N38" s="43"/>
      <c r="O38" s="51"/>
    </row>
    <row r="39">
      <c r="A39" s="16" t="s">
        <v>33</v>
      </c>
      <c r="B39" s="114" t="str">
        <f>IFERROR(VLOOKUP(A39,Internal_lists_bugs!$A$2:$G2033,7,FALSE()),"please select a BUG ID")</f>
        <v>https://opendev.org/openstack/nova/commit/27a5753dd3766b5535e0248d48c9bb555379dd12</v>
      </c>
      <c r="C39" s="39" t="str">
        <f>IFERROR(VLOOKUP(A39,Internal_lists_bugs!$A$2:$I2033,9,FALSE()),"please select a BUG ID")</f>
        <v>https://review.opendev.org/c/openstack/nova/+/14806</v>
      </c>
      <c r="D39" s="80" t="s">
        <v>632</v>
      </c>
      <c r="E39" s="85"/>
      <c r="F39" s="130" t="s">
        <v>135</v>
      </c>
      <c r="G39" s="16" t="s">
        <v>633</v>
      </c>
      <c r="H39" s="108" t="s">
        <v>123</v>
      </c>
      <c r="I39" s="131"/>
      <c r="J39" s="131"/>
      <c r="K39" s="131"/>
      <c r="L39" s="131"/>
      <c r="M39" s="131"/>
      <c r="N39" s="16" t="s">
        <v>634</v>
      </c>
      <c r="O39" s="51"/>
    </row>
    <row r="40">
      <c r="A40" s="16" t="s">
        <v>33</v>
      </c>
      <c r="B40" s="114" t="str">
        <f>IFERROR(VLOOKUP(A40,Internal_lists_bugs!$A$2:$G2033,7,FALSE()),"please select a BUG ID")</f>
        <v>https://opendev.org/openstack/nova/commit/27a5753dd3766b5535e0248d48c9bb555379dd12</v>
      </c>
      <c r="C40" s="39" t="str">
        <f>IFERROR(VLOOKUP(A40,Internal_lists_bugs!$A$2:$I2033,9,FALSE()),"please select a BUG ID")</f>
        <v>https://review.opendev.org/c/openstack/nova/+/14806</v>
      </c>
      <c r="D40" s="85"/>
      <c r="E40" s="85"/>
      <c r="F40" s="133"/>
      <c r="G40" s="16" t="s">
        <v>664</v>
      </c>
      <c r="H40" s="108" t="s">
        <v>679</v>
      </c>
      <c r="I40" s="131"/>
      <c r="J40" s="131"/>
      <c r="K40" s="131"/>
      <c r="L40" s="131"/>
      <c r="M40" s="131"/>
      <c r="N40" s="43"/>
      <c r="O40" s="51"/>
    </row>
    <row r="41">
      <c r="A41" s="16" t="s">
        <v>33</v>
      </c>
      <c r="B41" s="114" t="str">
        <f>IFERROR(VLOOKUP(A41,Internal_lists_bugs!$A$2:$G2033,7,FALSE()),"please select a BUG ID")</f>
        <v>https://opendev.org/openstack/nova/commit/27a5753dd3766b5535e0248d48c9bb555379dd12</v>
      </c>
      <c r="C41" s="39" t="str">
        <f>IFERROR(VLOOKUP(A41,Internal_lists_bugs!$A$2:$I2033,9,FALSE()),"please select a BUG ID")</f>
        <v>https://review.opendev.org/c/openstack/nova/+/14806</v>
      </c>
      <c r="D41" s="85"/>
      <c r="E41" s="85"/>
      <c r="F41" s="133"/>
      <c r="G41" s="16" t="s">
        <v>680</v>
      </c>
      <c r="H41" s="108" t="s">
        <v>681</v>
      </c>
      <c r="I41" s="131"/>
      <c r="J41" s="131"/>
      <c r="K41" s="131"/>
      <c r="L41" s="131"/>
      <c r="M41" s="131"/>
      <c r="N41" s="43"/>
      <c r="O41" s="51"/>
    </row>
    <row r="42">
      <c r="A42" s="16" t="s">
        <v>33</v>
      </c>
      <c r="B42" s="114" t="str">
        <f>IFERROR(VLOOKUP(A42,Internal_lists_bugs!$A$2:$G2033,7,FALSE()),"please select a BUG ID")</f>
        <v>https://opendev.org/openstack/nova/commit/27a5753dd3766b5535e0248d48c9bb555379dd12</v>
      </c>
      <c r="C42" s="39" t="str">
        <f>IFERROR(VLOOKUP(A42,Internal_lists_bugs!$A$2:$I2033,9,FALSE()),"please select a BUG ID")</f>
        <v>https://review.opendev.org/c/openstack/nova/+/14806</v>
      </c>
      <c r="D42" s="85"/>
      <c r="E42" s="85"/>
      <c r="F42" s="133"/>
      <c r="G42" s="16" t="s">
        <v>682</v>
      </c>
      <c r="H42" s="108" t="s">
        <v>681</v>
      </c>
      <c r="I42" s="131"/>
      <c r="J42" s="131"/>
      <c r="K42" s="131"/>
      <c r="L42" s="131"/>
      <c r="M42" s="131"/>
      <c r="N42" s="43"/>
      <c r="O42" s="51"/>
    </row>
    <row r="43">
      <c r="A43" s="16" t="s">
        <v>33</v>
      </c>
      <c r="B43" s="114" t="str">
        <f>IFERROR(VLOOKUP(A43,Internal_lists_bugs!$A$2:$G2033,7,FALSE()),"please select a BUG ID")</f>
        <v>https://opendev.org/openstack/nova/commit/27a5753dd3766b5535e0248d48c9bb555379dd12</v>
      </c>
      <c r="C43" s="39" t="str">
        <f>IFERROR(VLOOKUP(A43,Internal_lists_bugs!$A$2:$I2033,9,FALSE()),"please select a BUG ID")</f>
        <v>https://review.opendev.org/c/openstack/nova/+/14806</v>
      </c>
      <c r="D43" s="85"/>
      <c r="E43" s="85"/>
      <c r="F43" s="133"/>
      <c r="G43" s="16" t="s">
        <v>683</v>
      </c>
      <c r="H43" s="108" t="s">
        <v>684</v>
      </c>
      <c r="I43" s="131"/>
      <c r="J43" s="131"/>
      <c r="K43" s="131"/>
      <c r="L43" s="131"/>
      <c r="M43" s="131"/>
      <c r="N43" s="43"/>
      <c r="O43" s="51"/>
    </row>
    <row r="44">
      <c r="A44" s="16" t="s">
        <v>33</v>
      </c>
      <c r="B44" s="114" t="str">
        <f>IFERROR(VLOOKUP(A44,Internal_lists_bugs!$A$2:$G2033,7,FALSE()),"please select a BUG ID")</f>
        <v>https://opendev.org/openstack/nova/commit/27a5753dd3766b5535e0248d48c9bb555379dd12</v>
      </c>
      <c r="C44" s="39" t="str">
        <f>IFERROR(VLOOKUP(A44,Internal_lists_bugs!$A$2:$I2033,9,FALSE()),"please select a BUG ID")</f>
        <v>https://review.opendev.org/c/openstack/nova/+/14806</v>
      </c>
      <c r="D44" s="85"/>
      <c r="E44" s="85"/>
      <c r="F44" s="133"/>
      <c r="G44" s="16" t="s">
        <v>685</v>
      </c>
      <c r="H44" s="108" t="s">
        <v>653</v>
      </c>
      <c r="I44" s="131"/>
      <c r="J44" s="131"/>
      <c r="K44" s="131"/>
      <c r="L44" s="131"/>
      <c r="M44" s="131"/>
      <c r="N44" s="43"/>
      <c r="O44" s="51"/>
    </row>
    <row r="45">
      <c r="A45" s="16" t="s">
        <v>33</v>
      </c>
      <c r="B45" s="114" t="str">
        <f>IFERROR(VLOOKUP(A45,Internal_lists_bugs!$A$2:$G2033,7,FALSE()),"please select a BUG ID")</f>
        <v>https://opendev.org/openstack/nova/commit/27a5753dd3766b5535e0248d48c9bb555379dd12</v>
      </c>
      <c r="C45" s="39" t="str">
        <f>IFERROR(VLOOKUP(A45,Internal_lists_bugs!$A$2:$I2033,9,FALSE()),"please select a BUG ID")</f>
        <v>https://review.opendev.org/c/openstack/nova/+/14806</v>
      </c>
      <c r="D45" s="85"/>
      <c r="E45" s="85"/>
      <c r="F45" s="133"/>
      <c r="G45" s="16" t="s">
        <v>670</v>
      </c>
      <c r="H45" s="108" t="s">
        <v>686</v>
      </c>
      <c r="I45" s="131"/>
      <c r="J45" s="131"/>
      <c r="K45" s="131"/>
      <c r="L45" s="131"/>
      <c r="M45" s="131"/>
      <c r="N45" s="43"/>
      <c r="O45" s="51"/>
    </row>
    <row r="46">
      <c r="A46" s="16" t="s">
        <v>33</v>
      </c>
      <c r="B46" s="114" t="str">
        <f>IFERROR(VLOOKUP(A46,Internal_lists_bugs!$A$2:$G2033,7,FALSE()),"please select a BUG ID")</f>
        <v>https://opendev.org/openstack/nova/commit/27a5753dd3766b5535e0248d48c9bb555379dd12</v>
      </c>
      <c r="C46" s="39" t="str">
        <f>IFERROR(VLOOKUP(A46,Internal_lists_bugs!$A$2:$I2033,9,FALSE()),"please select a BUG ID")</f>
        <v>https://review.opendev.org/c/openstack/nova/+/14806</v>
      </c>
      <c r="D46" s="85"/>
      <c r="E46" s="85"/>
      <c r="F46" s="133"/>
      <c r="G46" s="16" t="s">
        <v>687</v>
      </c>
      <c r="H46" s="108" t="s">
        <v>688</v>
      </c>
      <c r="I46" s="131"/>
      <c r="J46" s="131"/>
      <c r="K46" s="131"/>
      <c r="L46" s="131"/>
      <c r="M46" s="131"/>
      <c r="N46" s="43"/>
      <c r="O46" s="51"/>
    </row>
    <row r="47">
      <c r="A47" s="16" t="s">
        <v>33</v>
      </c>
      <c r="B47" s="114" t="str">
        <f>IFERROR(VLOOKUP(A47,Internal_lists_bugs!$A$2:$G2033,7,FALSE()),"please select a BUG ID")</f>
        <v>https://opendev.org/openstack/nova/commit/27a5753dd3766b5535e0248d48c9bb555379dd12</v>
      </c>
      <c r="C47" s="39" t="str">
        <f>IFERROR(VLOOKUP(A47,Internal_lists_bugs!$A$2:$I2033,9,FALSE()),"please select a BUG ID")</f>
        <v>https://review.opendev.org/c/openstack/nova/+/14806</v>
      </c>
      <c r="D47" s="85"/>
      <c r="E47" s="85"/>
      <c r="F47" s="133"/>
      <c r="G47" s="16" t="s">
        <v>689</v>
      </c>
      <c r="H47" s="108" t="s">
        <v>690</v>
      </c>
      <c r="I47" s="131"/>
      <c r="J47" s="131"/>
      <c r="K47" s="131"/>
      <c r="L47" s="131"/>
      <c r="M47" s="131"/>
      <c r="N47" s="43"/>
      <c r="O47" s="51"/>
    </row>
    <row r="48">
      <c r="A48" s="16" t="s">
        <v>33</v>
      </c>
      <c r="B48" s="114" t="str">
        <f>IFERROR(VLOOKUP(A48,Internal_lists_bugs!$A$2:$G2033,7,FALSE()),"please select a BUG ID")</f>
        <v>https://opendev.org/openstack/nova/commit/27a5753dd3766b5535e0248d48c9bb555379dd12</v>
      </c>
      <c r="C48" s="39" t="str">
        <f>IFERROR(VLOOKUP(A48,Internal_lists_bugs!$A$2:$I2033,9,FALSE()),"please select a BUG ID")</f>
        <v>https://review.opendev.org/c/openstack/nova/+/14806</v>
      </c>
      <c r="D48" s="85"/>
      <c r="E48" s="85"/>
      <c r="F48" s="133"/>
      <c r="G48" s="16" t="s">
        <v>691</v>
      </c>
      <c r="H48" s="108" t="s">
        <v>692</v>
      </c>
      <c r="I48" s="131"/>
      <c r="J48" s="131"/>
      <c r="K48" s="131"/>
      <c r="L48" s="131"/>
      <c r="M48" s="131"/>
      <c r="N48" s="43"/>
      <c r="O48" s="51"/>
    </row>
    <row r="49">
      <c r="A49" s="16" t="s">
        <v>33</v>
      </c>
      <c r="B49" s="114" t="str">
        <f>IFERROR(VLOOKUP(A49,Internal_lists_bugs!$A$2:$G2033,7,FALSE()),"please select a BUG ID")</f>
        <v>https://opendev.org/openstack/nova/commit/27a5753dd3766b5535e0248d48c9bb555379dd12</v>
      </c>
      <c r="C49" s="39" t="str">
        <f>IFERROR(VLOOKUP(A49,Internal_lists_bugs!$A$2:$I2033,9,FALSE()),"please select a BUG ID")</f>
        <v>https://review.opendev.org/c/openstack/nova/+/14806</v>
      </c>
      <c r="D49" s="85"/>
      <c r="E49" s="85"/>
      <c r="F49" s="133"/>
      <c r="G49" s="16" t="s">
        <v>693</v>
      </c>
      <c r="H49" s="108" t="s">
        <v>694</v>
      </c>
      <c r="I49" s="131"/>
      <c r="J49" s="131"/>
      <c r="K49" s="131"/>
      <c r="L49" s="131"/>
      <c r="M49" s="131"/>
      <c r="N49" s="43"/>
      <c r="O49" s="51"/>
    </row>
    <row r="50">
      <c r="A50" s="16" t="s">
        <v>33</v>
      </c>
      <c r="B50" s="114" t="str">
        <f>IFERROR(VLOOKUP(A50,Internal_lists_bugs!$A$2:$G2033,7,FALSE()),"please select a BUG ID")</f>
        <v>https://opendev.org/openstack/nova/commit/27a5753dd3766b5535e0248d48c9bb555379dd12</v>
      </c>
      <c r="C50" s="39" t="str">
        <f>IFERROR(VLOOKUP(A50,Internal_lists_bugs!$A$2:$I2033,9,FALSE()),"please select a BUG ID")</f>
        <v>https://review.opendev.org/c/openstack/nova/+/14806</v>
      </c>
      <c r="D50" s="85"/>
      <c r="E50" s="85"/>
      <c r="F50" s="133"/>
      <c r="G50" s="16" t="s">
        <v>695</v>
      </c>
      <c r="H50" s="108" t="s">
        <v>694</v>
      </c>
      <c r="I50" s="131"/>
      <c r="J50" s="131"/>
      <c r="K50" s="131"/>
      <c r="L50" s="131"/>
      <c r="M50" s="131"/>
      <c r="N50" s="43"/>
      <c r="O50" s="51"/>
    </row>
    <row r="51">
      <c r="A51" s="16" t="s">
        <v>34</v>
      </c>
      <c r="B51" s="114" t="str">
        <f>IFERROR(VLOOKUP(A51,Internal_lists_bugs!$A$2:$G2033,7,FALSE()),"please select a BUG ID")</f>
        <v>https://opendev.org/openstack/nova/commit/05120edf92627ff7ad20a928f8b94568031556c9</v>
      </c>
      <c r="C51" s="39" t="str">
        <f>IFERROR(VLOOKUP(A51,Internal_lists_bugs!$A$2:$I2033,9,FALSE()),"please select a BUG ID")</f>
        <v>https://review.opendev.org/c/openstack/nova/+/175551</v>
      </c>
      <c r="D51" s="80" t="s">
        <v>632</v>
      </c>
      <c r="E51" s="85"/>
      <c r="F51" s="130" t="s">
        <v>121</v>
      </c>
      <c r="G51" s="16" t="s">
        <v>633</v>
      </c>
      <c r="H51" s="108" t="s">
        <v>123</v>
      </c>
      <c r="I51" s="131"/>
      <c r="J51" s="131"/>
      <c r="K51" s="131"/>
      <c r="L51" s="131"/>
      <c r="M51" s="131"/>
      <c r="N51" s="16" t="s">
        <v>634</v>
      </c>
      <c r="O51" s="51"/>
    </row>
    <row r="52">
      <c r="A52" s="16" t="s">
        <v>34</v>
      </c>
      <c r="B52" s="114" t="str">
        <f>IFERROR(VLOOKUP(A52,Internal_lists_bugs!$A$2:$G2033,7,FALSE()),"please select a BUG ID")</f>
        <v>https://opendev.org/openstack/nova/commit/05120edf92627ff7ad20a928f8b94568031556c9</v>
      </c>
      <c r="C52" s="39" t="str">
        <f>IFERROR(VLOOKUP(A52,Internal_lists_bugs!$A$2:$I2033,9,FALSE()),"please select a BUG ID")</f>
        <v>https://review.opendev.org/c/openstack/nova/+/175551</v>
      </c>
      <c r="D52" s="80"/>
      <c r="E52" s="80"/>
      <c r="F52" s="130"/>
      <c r="G52" s="16" t="s">
        <v>696</v>
      </c>
      <c r="H52" s="108" t="s">
        <v>123</v>
      </c>
      <c r="I52" s="131"/>
      <c r="J52" s="125"/>
      <c r="K52" s="131"/>
      <c r="L52" s="131"/>
      <c r="M52" s="131"/>
      <c r="N52" s="43"/>
      <c r="O52" s="51"/>
    </row>
    <row r="53">
      <c r="A53" s="16" t="s">
        <v>34</v>
      </c>
      <c r="B53" s="114" t="str">
        <f>IFERROR(VLOOKUP(A53,Internal_lists_bugs!$A$2:$G2033,7,FALSE()),"please select a BUG ID")</f>
        <v>https://opendev.org/openstack/nova/commit/05120edf92627ff7ad20a928f8b94568031556c9</v>
      </c>
      <c r="C53" s="39" t="str">
        <f>IFERROR(VLOOKUP(A53,Internal_lists_bugs!$A$2:$I2033,9,FALSE()),"please select a BUG ID")</f>
        <v>https://review.opendev.org/c/openstack/nova/+/175551</v>
      </c>
      <c r="D53" s="80"/>
      <c r="E53" s="80"/>
      <c r="F53" s="130"/>
      <c r="G53" s="16" t="s">
        <v>664</v>
      </c>
      <c r="H53" s="108" t="s">
        <v>697</v>
      </c>
      <c r="I53" s="131"/>
      <c r="J53" s="125"/>
      <c r="K53" s="131"/>
      <c r="L53" s="131"/>
      <c r="M53" s="131"/>
      <c r="N53" s="43"/>
      <c r="O53" s="51"/>
    </row>
    <row r="54">
      <c r="A54" s="16" t="s">
        <v>34</v>
      </c>
      <c r="B54" s="114" t="str">
        <f>IFERROR(VLOOKUP(A54,Internal_lists_bugs!$A$2:$G2033,7,FALSE()),"please select a BUG ID")</f>
        <v>https://opendev.org/openstack/nova/commit/05120edf92627ff7ad20a928f8b94568031556c9</v>
      </c>
      <c r="C54" s="39" t="str">
        <f>IFERROR(VLOOKUP(A54,Internal_lists_bugs!$A$2:$I2033,9,FALSE()),"please select a BUG ID")</f>
        <v>https://review.opendev.org/c/openstack/nova/+/175551</v>
      </c>
      <c r="D54" s="85"/>
      <c r="E54" s="80"/>
      <c r="F54" s="133"/>
      <c r="G54" s="16" t="s">
        <v>698</v>
      </c>
      <c r="H54" s="134" t="s">
        <v>699</v>
      </c>
      <c r="I54" s="131"/>
      <c r="J54" s="131"/>
      <c r="K54" s="131"/>
      <c r="L54" s="131"/>
      <c r="M54" s="131"/>
      <c r="N54" s="43"/>
      <c r="O54" s="51"/>
    </row>
    <row r="55">
      <c r="A55" s="16" t="s">
        <v>34</v>
      </c>
      <c r="B55" s="114" t="str">
        <f>IFERROR(VLOOKUP(A55,Internal_lists_bugs!$A$2:$G2033,7,FALSE()),"please select a BUG ID")</f>
        <v>https://opendev.org/openstack/nova/commit/05120edf92627ff7ad20a928f8b94568031556c9</v>
      </c>
      <c r="C55" s="39" t="str">
        <f>IFERROR(VLOOKUP(A55,Internal_lists_bugs!$A$2:$I2033,9,FALSE()),"please select a BUG ID")</f>
        <v>https://review.opendev.org/c/openstack/nova/+/175551</v>
      </c>
      <c r="D55" s="85"/>
      <c r="E55" s="85"/>
      <c r="F55" s="133"/>
      <c r="G55" s="16" t="s">
        <v>683</v>
      </c>
      <c r="H55" s="134" t="s">
        <v>700</v>
      </c>
      <c r="I55" s="131"/>
      <c r="J55" s="131"/>
      <c r="K55" s="131"/>
      <c r="L55" s="131"/>
      <c r="M55" s="131"/>
      <c r="N55" s="43"/>
      <c r="O55" s="51"/>
    </row>
    <row r="56">
      <c r="A56" s="16" t="s">
        <v>34</v>
      </c>
      <c r="B56" s="114" t="str">
        <f>IFERROR(VLOOKUP(A56,Internal_lists_bugs!$A$2:$G2033,7,FALSE()),"please select a BUG ID")</f>
        <v>https://opendev.org/openstack/nova/commit/05120edf92627ff7ad20a928f8b94568031556c9</v>
      </c>
      <c r="C56" s="39" t="str">
        <f>IFERROR(VLOOKUP(A56,Internal_lists_bugs!$A$2:$I2033,9,FALSE()),"please select a BUG ID")</f>
        <v>https://review.opendev.org/c/openstack/nova/+/175551</v>
      </c>
      <c r="D56" s="85"/>
      <c r="E56" s="85"/>
      <c r="F56" s="133"/>
      <c r="G56" s="16" t="s">
        <v>685</v>
      </c>
      <c r="H56" s="134" t="s">
        <v>701</v>
      </c>
      <c r="I56" s="131"/>
      <c r="J56" s="131"/>
      <c r="K56" s="131"/>
      <c r="L56" s="131"/>
      <c r="M56" s="131"/>
      <c r="N56" s="43"/>
      <c r="O56" s="51"/>
    </row>
    <row r="57">
      <c r="A57" s="16" t="s">
        <v>34</v>
      </c>
      <c r="B57" s="114" t="str">
        <f>IFERROR(VLOOKUP(A57,Internal_lists_bugs!$A$2:$G2033,7,FALSE()),"please select a BUG ID")</f>
        <v>https://opendev.org/openstack/nova/commit/05120edf92627ff7ad20a928f8b94568031556c9</v>
      </c>
      <c r="C57" s="39" t="str">
        <f>IFERROR(VLOOKUP(A57,Internal_lists_bugs!$A$2:$I2033,9,FALSE()),"please select a BUG ID")</f>
        <v>https://review.opendev.org/c/openstack/nova/+/175551</v>
      </c>
      <c r="D57" s="85"/>
      <c r="E57" s="85"/>
      <c r="F57" s="133"/>
      <c r="G57" s="16" t="s">
        <v>702</v>
      </c>
      <c r="H57" s="134" t="s">
        <v>701</v>
      </c>
      <c r="I57" s="131"/>
      <c r="J57" s="131"/>
      <c r="K57" s="131"/>
      <c r="L57" s="131"/>
      <c r="M57" s="131"/>
      <c r="N57" s="43"/>
      <c r="O57" s="51"/>
    </row>
    <row r="58">
      <c r="A58" s="16" t="s">
        <v>34</v>
      </c>
      <c r="B58" s="114" t="str">
        <f>IFERROR(VLOOKUP(A58,Internal_lists_bugs!$A$2:$G2033,7,FALSE()),"please select a BUG ID")</f>
        <v>https://opendev.org/openstack/nova/commit/05120edf92627ff7ad20a928f8b94568031556c9</v>
      </c>
      <c r="C58" s="39" t="str">
        <f>IFERROR(VLOOKUP(A58,Internal_lists_bugs!$A$2:$I2033,9,FALSE()),"please select a BUG ID")</f>
        <v>https://review.opendev.org/c/openstack/nova/+/175551</v>
      </c>
      <c r="D58" s="85"/>
      <c r="E58" s="85"/>
      <c r="F58" s="133"/>
      <c r="G58" s="16" t="s">
        <v>689</v>
      </c>
      <c r="H58" s="134" t="s">
        <v>703</v>
      </c>
      <c r="I58" s="131"/>
      <c r="J58" s="131"/>
      <c r="K58" s="131"/>
      <c r="L58" s="131"/>
      <c r="M58" s="131"/>
      <c r="N58" s="43"/>
      <c r="O58" s="51"/>
    </row>
    <row r="59">
      <c r="A59" s="16" t="s">
        <v>34</v>
      </c>
      <c r="B59" s="114" t="str">
        <f>IFERROR(VLOOKUP(A59,Internal_lists_bugs!$A$2:$G2033,7,FALSE()),"please select a BUG ID")</f>
        <v>https://opendev.org/openstack/nova/commit/05120edf92627ff7ad20a928f8b94568031556c9</v>
      </c>
      <c r="C59" s="39" t="str">
        <f>IFERROR(VLOOKUP(A59,Internal_lists_bugs!$A$2:$I2033,9,FALSE()),"please select a BUG ID")</f>
        <v>https://review.opendev.org/c/openstack/nova/+/175551</v>
      </c>
      <c r="D59" s="85"/>
      <c r="E59" s="85"/>
      <c r="F59" s="133"/>
      <c r="G59" s="16" t="s">
        <v>691</v>
      </c>
      <c r="H59" s="134" t="s">
        <v>704</v>
      </c>
      <c r="I59" s="131"/>
      <c r="J59" s="131"/>
      <c r="K59" s="131"/>
      <c r="L59" s="131"/>
      <c r="M59" s="131"/>
      <c r="N59" s="43"/>
      <c r="O59" s="51"/>
    </row>
    <row r="60">
      <c r="A60" s="16" t="s">
        <v>34</v>
      </c>
      <c r="B60" s="114" t="str">
        <f>IFERROR(VLOOKUP(A60,Internal_lists_bugs!$A$2:$G2033,7,FALSE()),"please select a BUG ID")</f>
        <v>https://opendev.org/openstack/nova/commit/05120edf92627ff7ad20a928f8b94568031556c9</v>
      </c>
      <c r="C60" s="39" t="str">
        <f>IFERROR(VLOOKUP(A60,Internal_lists_bugs!$A$2:$I2033,9,FALSE()),"please select a BUG ID")</f>
        <v>https://review.opendev.org/c/openstack/nova/+/175551</v>
      </c>
      <c r="D60" s="85"/>
      <c r="E60" s="85"/>
      <c r="F60" s="133"/>
      <c r="G60" s="16" t="s">
        <v>705</v>
      </c>
      <c r="H60" s="134" t="s">
        <v>704</v>
      </c>
      <c r="I60" s="131"/>
      <c r="J60" s="131"/>
      <c r="K60" s="131"/>
      <c r="L60" s="131"/>
      <c r="M60" s="131"/>
      <c r="N60" s="43"/>
      <c r="O60" s="51"/>
    </row>
    <row r="61">
      <c r="A61" s="16" t="s">
        <v>35</v>
      </c>
      <c r="B61" s="114" t="str">
        <f>IFERROR(VLOOKUP(A61,Internal_lists_bugs!$A$2:$G2033,7,FALSE()),"please select a BUG ID")</f>
        <v>https://opendev.org/openstack/nova/commit/6982d8534d78d9732fc8d6e05c8f3bb432d62264</v>
      </c>
      <c r="C61" s="39" t="str">
        <f>IFERROR(VLOOKUP(A61,Internal_lists_bugs!$A$2:$I2033,9,FALSE()),"please select a BUG ID")</f>
        <v>https://review.opendev.org/c/openstack/nova/+/65042</v>
      </c>
      <c r="D61" s="80" t="s">
        <v>632</v>
      </c>
      <c r="E61" s="85"/>
      <c r="F61" s="130" t="s">
        <v>135</v>
      </c>
      <c r="G61" s="16" t="s">
        <v>633</v>
      </c>
      <c r="H61" s="108" t="s">
        <v>123</v>
      </c>
      <c r="I61" s="131"/>
      <c r="J61" s="131"/>
      <c r="K61" s="131"/>
      <c r="L61" s="131"/>
      <c r="M61" s="131"/>
      <c r="N61" s="16" t="s">
        <v>634</v>
      </c>
      <c r="O61" s="51"/>
    </row>
    <row r="62">
      <c r="A62" s="16" t="s">
        <v>35</v>
      </c>
      <c r="B62" s="114" t="str">
        <f>IFERROR(VLOOKUP(A62,Internal_lists_bugs!$A$2:$G2033,7,FALSE()),"please select a BUG ID")</f>
        <v>https://opendev.org/openstack/nova/commit/6982d8534d78d9732fc8d6e05c8f3bb432d62264</v>
      </c>
      <c r="C62" s="39" t="str">
        <f>IFERROR(VLOOKUP(A62,Internal_lists_bugs!$A$2:$I2033,9,FALSE()),"please select a BUG ID")</f>
        <v>https://review.opendev.org/c/openstack/nova/+/65042</v>
      </c>
      <c r="D62" s="85"/>
      <c r="E62" s="85"/>
      <c r="F62" s="133"/>
      <c r="G62" s="16" t="s">
        <v>706</v>
      </c>
      <c r="H62" s="135" t="s">
        <v>123</v>
      </c>
      <c r="I62" s="131"/>
      <c r="J62" s="131"/>
      <c r="K62" s="131"/>
      <c r="L62" s="131"/>
      <c r="M62" s="131"/>
      <c r="N62" s="43"/>
      <c r="O62" s="51"/>
    </row>
    <row r="63">
      <c r="A63" s="16" t="s">
        <v>35</v>
      </c>
      <c r="B63" s="114" t="str">
        <f>IFERROR(VLOOKUP(A63,Internal_lists_bugs!$A$2:$G2033,7,FALSE()),"please select a BUG ID")</f>
        <v>https://opendev.org/openstack/nova/commit/6982d8534d78d9732fc8d6e05c8f3bb432d62264</v>
      </c>
      <c r="C63" s="39" t="str">
        <f>IFERROR(VLOOKUP(A63,Internal_lists_bugs!$A$2:$I2033,9,FALSE()),"please select a BUG ID")</f>
        <v>https://review.opendev.org/c/openstack/nova/+/65042</v>
      </c>
      <c r="D63" s="85"/>
      <c r="E63" s="85"/>
      <c r="F63" s="133"/>
      <c r="G63" s="16" t="s">
        <v>707</v>
      </c>
      <c r="H63" s="108" t="s">
        <v>708</v>
      </c>
      <c r="I63" s="131"/>
      <c r="J63" s="131"/>
      <c r="K63" s="131"/>
      <c r="L63" s="131"/>
      <c r="M63" s="131"/>
      <c r="N63" s="43"/>
      <c r="O63" s="51"/>
    </row>
    <row r="64">
      <c r="A64" s="16" t="s">
        <v>35</v>
      </c>
      <c r="B64" s="114" t="str">
        <f>IFERROR(VLOOKUP(A64,Internal_lists_bugs!$A$2:$G2033,7,FALSE()),"please select a BUG ID")</f>
        <v>https://opendev.org/openstack/nova/commit/6982d8534d78d9732fc8d6e05c8f3bb432d62264</v>
      </c>
      <c r="C64" s="39" t="str">
        <f>IFERROR(VLOOKUP(A64,Internal_lists_bugs!$A$2:$I2033,9,FALSE()),"please select a BUG ID")</f>
        <v>https://review.opendev.org/c/openstack/nova/+/65042</v>
      </c>
      <c r="D64" s="85"/>
      <c r="E64" s="85"/>
      <c r="F64" s="133"/>
      <c r="G64" s="16" t="s">
        <v>709</v>
      </c>
      <c r="H64" s="108" t="s">
        <v>710</v>
      </c>
      <c r="I64" s="131"/>
      <c r="J64" s="131"/>
      <c r="K64" s="131"/>
      <c r="L64" s="131"/>
      <c r="M64" s="131"/>
      <c r="N64" s="43"/>
      <c r="O64" s="51"/>
    </row>
    <row r="65">
      <c r="A65" s="16" t="s">
        <v>35</v>
      </c>
      <c r="B65" s="114" t="str">
        <f>IFERROR(VLOOKUP(A65,Internal_lists_bugs!$A$2:$G2033,7,FALSE()),"please select a BUG ID")</f>
        <v>https://opendev.org/openstack/nova/commit/6982d8534d78d9732fc8d6e05c8f3bb432d62264</v>
      </c>
      <c r="C65" s="39" t="str">
        <f>IFERROR(VLOOKUP(A65,Internal_lists_bugs!$A$2:$I2033,9,FALSE()),"please select a BUG ID")</f>
        <v>https://review.opendev.org/c/openstack/nova/+/65042</v>
      </c>
      <c r="D65" s="85"/>
      <c r="E65" s="85"/>
      <c r="F65" s="133"/>
      <c r="G65" s="16" t="s">
        <v>711</v>
      </c>
      <c r="H65" s="108" t="s">
        <v>712</v>
      </c>
      <c r="I65" s="131"/>
      <c r="J65" s="131"/>
      <c r="K65" s="131"/>
      <c r="L65" s="131"/>
      <c r="M65" s="131"/>
      <c r="N65" s="43"/>
      <c r="O65" s="51"/>
    </row>
    <row r="66">
      <c r="A66" s="16" t="s">
        <v>35</v>
      </c>
      <c r="B66" s="114" t="str">
        <f>IFERROR(VLOOKUP(A66,Internal_lists_bugs!$A$2:$G2033,7,FALSE()),"please select a BUG ID")</f>
        <v>https://opendev.org/openstack/nova/commit/6982d8534d78d9732fc8d6e05c8f3bb432d62264</v>
      </c>
      <c r="C66" s="39" t="str">
        <f>IFERROR(VLOOKUP(A66,Internal_lists_bugs!$A$2:$I2033,9,FALSE()),"please select a BUG ID")</f>
        <v>https://review.opendev.org/c/openstack/nova/+/65042</v>
      </c>
      <c r="D66" s="85"/>
      <c r="E66" s="85"/>
      <c r="F66" s="133"/>
      <c r="G66" s="16" t="s">
        <v>713</v>
      </c>
      <c r="H66" s="108" t="s">
        <v>714</v>
      </c>
      <c r="I66" s="131"/>
      <c r="J66" s="131"/>
      <c r="K66" s="131"/>
      <c r="L66" s="131"/>
      <c r="M66" s="131"/>
      <c r="N66" s="43"/>
      <c r="O66" s="51"/>
    </row>
    <row r="67">
      <c r="A67" s="16" t="s">
        <v>35</v>
      </c>
      <c r="B67" s="114" t="str">
        <f>IFERROR(VLOOKUP(A67,Internal_lists_bugs!$A$2:$G2033,7,FALSE()),"please select a BUG ID")</f>
        <v>https://opendev.org/openstack/nova/commit/6982d8534d78d9732fc8d6e05c8f3bb432d62264</v>
      </c>
      <c r="C67" s="39" t="str">
        <f>IFERROR(VLOOKUP(A67,Internal_lists_bugs!$A$2:$I2033,9,FALSE()),"please select a BUG ID")</f>
        <v>https://review.opendev.org/c/openstack/nova/+/65042</v>
      </c>
      <c r="D67" s="85"/>
      <c r="E67" s="85"/>
      <c r="F67" s="133"/>
      <c r="G67" s="16" t="s">
        <v>715</v>
      </c>
      <c r="H67" s="108" t="s">
        <v>716</v>
      </c>
      <c r="I67" s="131"/>
      <c r="J67" s="131"/>
      <c r="K67" s="131"/>
      <c r="L67" s="131"/>
      <c r="M67" s="131"/>
      <c r="N67" s="43"/>
      <c r="O67" s="51"/>
    </row>
    <row r="68">
      <c r="A68" s="16" t="s">
        <v>35</v>
      </c>
      <c r="B68" s="114" t="str">
        <f>IFERROR(VLOOKUP(A68,Internal_lists_bugs!$A$2:$G2033,7,FALSE()),"please select a BUG ID")</f>
        <v>https://opendev.org/openstack/nova/commit/6982d8534d78d9732fc8d6e05c8f3bb432d62264</v>
      </c>
      <c r="C68" s="39" t="str">
        <f>IFERROR(VLOOKUP(A68,Internal_lists_bugs!$A$2:$I2033,9,FALSE()),"please select a BUG ID")</f>
        <v>https://review.opendev.org/c/openstack/nova/+/65042</v>
      </c>
      <c r="D68" s="85"/>
      <c r="E68" s="85"/>
      <c r="F68" s="133"/>
      <c r="G68" s="16" t="s">
        <v>709</v>
      </c>
      <c r="H68" s="108" t="s">
        <v>717</v>
      </c>
      <c r="I68" s="131"/>
      <c r="J68" s="131"/>
      <c r="K68" s="131"/>
      <c r="L68" s="131"/>
      <c r="M68" s="131"/>
      <c r="N68" s="43"/>
      <c r="O68" s="51"/>
    </row>
    <row r="69">
      <c r="A69" s="16" t="s">
        <v>35</v>
      </c>
      <c r="B69" s="114" t="str">
        <f>IFERROR(VLOOKUP(A69,Internal_lists_bugs!$A$2:$G2033,7,FALSE()),"please select a BUG ID")</f>
        <v>https://opendev.org/openstack/nova/commit/6982d8534d78d9732fc8d6e05c8f3bb432d62264</v>
      </c>
      <c r="C69" s="39" t="str">
        <f>IFERROR(VLOOKUP(A69,Internal_lists_bugs!$A$2:$I2033,9,FALSE()),"please select a BUG ID")</f>
        <v>https://review.opendev.org/c/openstack/nova/+/65042</v>
      </c>
      <c r="D69" s="85"/>
      <c r="E69" s="85"/>
      <c r="F69" s="133"/>
      <c r="G69" s="16" t="s">
        <v>715</v>
      </c>
      <c r="H69" s="108" t="s">
        <v>718</v>
      </c>
      <c r="I69" s="131"/>
      <c r="J69" s="131"/>
      <c r="K69" s="131"/>
      <c r="L69" s="131"/>
      <c r="M69" s="131"/>
      <c r="N69" s="43"/>
      <c r="O69" s="51"/>
    </row>
    <row r="70">
      <c r="A70" s="16" t="s">
        <v>35</v>
      </c>
      <c r="B70" s="114" t="str">
        <f>IFERROR(VLOOKUP(A70,Internal_lists_bugs!$A$2:$G2033,7,FALSE()),"please select a BUG ID")</f>
        <v>https://opendev.org/openstack/nova/commit/6982d8534d78d9732fc8d6e05c8f3bb432d62264</v>
      </c>
      <c r="C70" s="39" t="str">
        <f>IFERROR(VLOOKUP(A70,Internal_lists_bugs!$A$2:$I2033,9,FALSE()),"please select a BUG ID")</f>
        <v>https://review.opendev.org/c/openstack/nova/+/65042</v>
      </c>
      <c r="D70" s="85"/>
      <c r="E70" s="85"/>
      <c r="F70" s="133"/>
      <c r="G70" s="16" t="s">
        <v>709</v>
      </c>
      <c r="H70" s="108" t="s">
        <v>719</v>
      </c>
      <c r="I70" s="131"/>
      <c r="J70" s="131"/>
      <c r="K70" s="131"/>
      <c r="L70" s="131"/>
      <c r="M70" s="131"/>
      <c r="N70" s="43"/>
      <c r="O70" s="51"/>
    </row>
    <row r="71">
      <c r="A71" s="16" t="s">
        <v>35</v>
      </c>
      <c r="B71" s="114" t="str">
        <f>IFERROR(VLOOKUP(A71,Internal_lists_bugs!$A$2:$G2033,7,FALSE()),"please select a BUG ID")</f>
        <v>https://opendev.org/openstack/nova/commit/6982d8534d78d9732fc8d6e05c8f3bb432d62264</v>
      </c>
      <c r="C71" s="39" t="str">
        <f>IFERROR(VLOOKUP(A71,Internal_lists_bugs!$A$2:$I2033,9,FALSE()),"please select a BUG ID")</f>
        <v>https://review.opendev.org/c/openstack/nova/+/65042</v>
      </c>
      <c r="D71" s="85"/>
      <c r="E71" s="85"/>
      <c r="F71" s="133"/>
      <c r="G71" s="16" t="s">
        <v>715</v>
      </c>
      <c r="H71" s="108" t="s">
        <v>720</v>
      </c>
      <c r="I71" s="131"/>
      <c r="J71" s="131"/>
      <c r="K71" s="131"/>
      <c r="L71" s="131"/>
      <c r="M71" s="131"/>
      <c r="N71" s="43"/>
      <c r="O71" s="51"/>
    </row>
    <row r="72">
      <c r="A72" s="16" t="s">
        <v>35</v>
      </c>
      <c r="B72" s="114" t="str">
        <f>IFERROR(VLOOKUP(A72,Internal_lists_bugs!$A$2:$G2033,7,FALSE()),"please select a BUG ID")</f>
        <v>https://opendev.org/openstack/nova/commit/6982d8534d78d9732fc8d6e05c8f3bb432d62264</v>
      </c>
      <c r="C72" s="39" t="str">
        <f>IFERROR(VLOOKUP(A72,Internal_lists_bugs!$A$2:$I2033,9,FALSE()),"please select a BUG ID")</f>
        <v>https://review.opendev.org/c/openstack/nova/+/65042</v>
      </c>
      <c r="D72" s="85"/>
      <c r="E72" s="85"/>
      <c r="F72" s="133"/>
      <c r="G72" s="16" t="s">
        <v>709</v>
      </c>
      <c r="H72" s="108" t="s">
        <v>721</v>
      </c>
      <c r="I72" s="131"/>
      <c r="J72" s="131"/>
      <c r="K72" s="131"/>
      <c r="L72" s="131"/>
      <c r="M72" s="131"/>
      <c r="N72" s="43"/>
      <c r="O72" s="51"/>
    </row>
    <row r="73">
      <c r="A73" s="16" t="s">
        <v>35</v>
      </c>
      <c r="B73" s="114" t="str">
        <f>IFERROR(VLOOKUP(A73,Internal_lists_bugs!$A$2:$G2033,7,FALSE()),"please select a BUG ID")</f>
        <v>https://opendev.org/openstack/nova/commit/6982d8534d78d9732fc8d6e05c8f3bb432d62264</v>
      </c>
      <c r="C73" s="39" t="str">
        <f>IFERROR(VLOOKUP(A73,Internal_lists_bugs!$A$2:$I2033,9,FALSE()),"please select a BUG ID")</f>
        <v>https://review.opendev.org/c/openstack/nova/+/65042</v>
      </c>
      <c r="D73" s="85"/>
      <c r="E73" s="85"/>
      <c r="F73" s="133"/>
      <c r="G73" s="16" t="s">
        <v>722</v>
      </c>
      <c r="H73" s="108" t="s">
        <v>723</v>
      </c>
      <c r="I73" s="131"/>
      <c r="J73" s="131"/>
      <c r="K73" s="131"/>
      <c r="L73" s="131"/>
      <c r="M73" s="131"/>
      <c r="N73" s="43"/>
      <c r="O73" s="51"/>
    </row>
    <row r="74">
      <c r="A74" s="16" t="s">
        <v>35</v>
      </c>
      <c r="B74" s="114" t="str">
        <f>IFERROR(VLOOKUP(A74,Internal_lists_bugs!$A$2:$G2033,7,FALSE()),"please select a BUG ID")</f>
        <v>https://opendev.org/openstack/nova/commit/6982d8534d78d9732fc8d6e05c8f3bb432d62264</v>
      </c>
      <c r="C74" s="39" t="str">
        <f>IFERROR(VLOOKUP(A74,Internal_lists_bugs!$A$2:$I2033,9,FALSE()),"please select a BUG ID")</f>
        <v>https://review.opendev.org/c/openstack/nova/+/65042</v>
      </c>
      <c r="D74" s="85"/>
      <c r="E74" s="85"/>
      <c r="F74" s="133"/>
      <c r="G74" s="16" t="s">
        <v>722</v>
      </c>
      <c r="H74" s="108" t="s">
        <v>724</v>
      </c>
      <c r="I74" s="131"/>
      <c r="J74" s="131"/>
      <c r="K74" s="131"/>
      <c r="L74" s="131"/>
      <c r="M74" s="131"/>
      <c r="N74" s="43"/>
      <c r="O74" s="51"/>
    </row>
    <row r="75">
      <c r="A75" s="16" t="s">
        <v>35</v>
      </c>
      <c r="B75" s="114" t="str">
        <f>IFERROR(VLOOKUP(A75,Internal_lists_bugs!$A$2:$G2033,7,FALSE()),"please select a BUG ID")</f>
        <v>https://opendev.org/openstack/nova/commit/6982d8534d78d9732fc8d6e05c8f3bb432d62264</v>
      </c>
      <c r="C75" s="39" t="str">
        <f>IFERROR(VLOOKUP(A75,Internal_lists_bugs!$A$2:$I2033,9,FALSE()),"please select a BUG ID")</f>
        <v>https://review.opendev.org/c/openstack/nova/+/65042</v>
      </c>
      <c r="D75" s="85"/>
      <c r="E75" s="85"/>
      <c r="F75" s="133"/>
      <c r="G75" s="16" t="s">
        <v>711</v>
      </c>
      <c r="H75" s="108" t="s">
        <v>725</v>
      </c>
      <c r="I75" s="131"/>
      <c r="J75" s="131"/>
      <c r="K75" s="131"/>
      <c r="L75" s="131"/>
      <c r="M75" s="131"/>
      <c r="N75" s="43"/>
      <c r="O75" s="51"/>
    </row>
    <row r="76">
      <c r="A76" s="16" t="s">
        <v>35</v>
      </c>
      <c r="B76" s="114" t="str">
        <f>IFERROR(VLOOKUP(A76,Internal_lists_bugs!$A$2:$G2033,7,FALSE()),"please select a BUG ID")</f>
        <v>https://opendev.org/openstack/nova/commit/6982d8534d78d9732fc8d6e05c8f3bb432d62264</v>
      </c>
      <c r="C76" s="39" t="str">
        <f>IFERROR(VLOOKUP(A76,Internal_lists_bugs!$A$2:$I2033,9,FALSE()),"please select a BUG ID")</f>
        <v>https://review.opendev.org/c/openstack/nova/+/65042</v>
      </c>
      <c r="D76" s="85"/>
      <c r="E76" s="85"/>
      <c r="F76" s="133"/>
      <c r="G76" s="16" t="s">
        <v>713</v>
      </c>
      <c r="H76" s="108" t="s">
        <v>726</v>
      </c>
      <c r="I76" s="131"/>
      <c r="J76" s="131"/>
      <c r="K76" s="131"/>
      <c r="L76" s="131"/>
      <c r="M76" s="131"/>
      <c r="N76" s="43"/>
      <c r="O76" s="51"/>
    </row>
    <row r="77">
      <c r="A77" s="16" t="s">
        <v>35</v>
      </c>
      <c r="B77" s="114" t="str">
        <f>IFERROR(VLOOKUP(A77,Internal_lists_bugs!$A$2:$G2033,7,FALSE()),"please select a BUG ID")</f>
        <v>https://opendev.org/openstack/nova/commit/6982d8534d78d9732fc8d6e05c8f3bb432d62264</v>
      </c>
      <c r="C77" s="39" t="str">
        <f>IFERROR(VLOOKUP(A77,Internal_lists_bugs!$A$2:$I2033,9,FALSE()),"please select a BUG ID")</f>
        <v>https://review.opendev.org/c/openstack/nova/+/65042</v>
      </c>
      <c r="D77" s="85"/>
      <c r="E77" s="85"/>
      <c r="F77" s="133"/>
      <c r="G77" s="16" t="s">
        <v>711</v>
      </c>
      <c r="H77" s="108" t="s">
        <v>727</v>
      </c>
      <c r="I77" s="131"/>
      <c r="J77" s="131"/>
      <c r="K77" s="131"/>
      <c r="L77" s="131"/>
      <c r="M77" s="131"/>
      <c r="N77" s="43"/>
      <c r="O77" s="51"/>
    </row>
    <row r="78">
      <c r="A78" s="16" t="s">
        <v>35</v>
      </c>
      <c r="B78" s="114" t="str">
        <f>IFERROR(VLOOKUP(A78,Internal_lists_bugs!$A$2:$G2033,7,FALSE()),"please select a BUG ID")</f>
        <v>https://opendev.org/openstack/nova/commit/6982d8534d78d9732fc8d6e05c8f3bb432d62264</v>
      </c>
      <c r="C78" s="39" t="str">
        <f>IFERROR(VLOOKUP(A78,Internal_lists_bugs!$A$2:$I2033,9,FALSE()),"please select a BUG ID")</f>
        <v>https://review.opendev.org/c/openstack/nova/+/65042</v>
      </c>
      <c r="D78" s="85"/>
      <c r="E78" s="85"/>
      <c r="F78" s="133"/>
      <c r="G78" s="16" t="s">
        <v>713</v>
      </c>
      <c r="H78" s="108" t="s">
        <v>728</v>
      </c>
      <c r="I78" s="131"/>
      <c r="J78" s="131"/>
      <c r="K78" s="131"/>
      <c r="L78" s="131"/>
      <c r="M78" s="131"/>
      <c r="N78" s="43"/>
      <c r="O78" s="51"/>
    </row>
    <row r="79">
      <c r="A79" s="16" t="s">
        <v>35</v>
      </c>
      <c r="B79" s="114" t="str">
        <f>IFERROR(VLOOKUP(A79,Internal_lists_bugs!$A$2:$G2033,7,FALSE()),"please select a BUG ID")</f>
        <v>https://opendev.org/openstack/nova/commit/6982d8534d78d9732fc8d6e05c8f3bb432d62264</v>
      </c>
      <c r="C79" s="39" t="str">
        <f>IFERROR(VLOOKUP(A79,Internal_lists_bugs!$A$2:$I2033,9,FALSE()),"please select a BUG ID")</f>
        <v>https://review.opendev.org/c/openstack/nova/+/65042</v>
      </c>
      <c r="D79" s="85"/>
      <c r="E79" s="85"/>
      <c r="F79" s="133"/>
      <c r="G79" s="16" t="s">
        <v>729</v>
      </c>
      <c r="H79" s="108" t="s">
        <v>730</v>
      </c>
      <c r="I79" s="131"/>
      <c r="J79" s="131"/>
      <c r="K79" s="131"/>
      <c r="L79" s="131"/>
      <c r="M79" s="131"/>
      <c r="N79" s="43"/>
      <c r="O79" s="51"/>
    </row>
    <row r="80">
      <c r="A80" s="16" t="s">
        <v>35</v>
      </c>
      <c r="B80" s="114" t="str">
        <f>IFERROR(VLOOKUP(A80,Internal_lists_bugs!$A$2:$G2033,7,FALSE()),"please select a BUG ID")</f>
        <v>https://opendev.org/openstack/nova/commit/6982d8534d78d9732fc8d6e05c8f3bb432d62264</v>
      </c>
      <c r="C80" s="39" t="str">
        <f>IFERROR(VLOOKUP(A80,Internal_lists_bugs!$A$2:$I2033,9,FALSE()),"please select a BUG ID")</f>
        <v>https://review.opendev.org/c/openstack/nova/+/65042</v>
      </c>
      <c r="D80" s="85"/>
      <c r="E80" s="85"/>
      <c r="F80" s="133"/>
      <c r="G80" s="16" t="s">
        <v>713</v>
      </c>
      <c r="H80" s="108" t="s">
        <v>731</v>
      </c>
      <c r="I80" s="131"/>
      <c r="J80" s="131"/>
      <c r="K80" s="131"/>
      <c r="L80" s="131"/>
      <c r="M80" s="131"/>
      <c r="N80" s="43"/>
      <c r="O80" s="51"/>
    </row>
    <row r="81">
      <c r="A81" s="16" t="s">
        <v>35</v>
      </c>
      <c r="B81" s="114" t="str">
        <f>IFERROR(VLOOKUP(A81,Internal_lists_bugs!$A$2:$G2033,7,FALSE()),"please select a BUG ID")</f>
        <v>https://opendev.org/openstack/nova/commit/6982d8534d78d9732fc8d6e05c8f3bb432d62264</v>
      </c>
      <c r="C81" s="39" t="str">
        <f>IFERROR(VLOOKUP(A81,Internal_lists_bugs!$A$2:$I2033,9,FALSE()),"please select a BUG ID")</f>
        <v>https://review.opendev.org/c/openstack/nova/+/65042</v>
      </c>
      <c r="D81" s="80"/>
      <c r="E81" s="80"/>
      <c r="F81" s="130"/>
      <c r="G81" s="16" t="s">
        <v>732</v>
      </c>
      <c r="H81" s="108" t="s">
        <v>733</v>
      </c>
      <c r="I81" s="131"/>
      <c r="J81" s="125"/>
      <c r="K81" s="131"/>
      <c r="L81" s="131"/>
      <c r="M81" s="131"/>
      <c r="N81" s="43"/>
      <c r="O81" s="51"/>
    </row>
    <row r="82">
      <c r="A82" s="16" t="s">
        <v>35</v>
      </c>
      <c r="B82" s="114" t="str">
        <f>IFERROR(VLOOKUP(A82,Internal_lists_bugs!$A$2:$G2033,7,FALSE()),"please select a BUG ID")</f>
        <v>https://opendev.org/openstack/nova/commit/6982d8534d78d9732fc8d6e05c8f3bb432d62264</v>
      </c>
      <c r="C82" s="39" t="str">
        <f>IFERROR(VLOOKUP(A82,Internal_lists_bugs!$A$2:$I2033,9,FALSE()),"please select a BUG ID")</f>
        <v>https://review.opendev.org/c/openstack/nova/+/65042</v>
      </c>
      <c r="D82" s="80"/>
      <c r="E82" s="80"/>
      <c r="F82" s="130"/>
      <c r="G82" s="16" t="s">
        <v>734</v>
      </c>
      <c r="H82" s="108" t="s">
        <v>735</v>
      </c>
      <c r="I82" s="131"/>
      <c r="J82" s="125"/>
      <c r="K82" s="131"/>
      <c r="L82" s="131"/>
      <c r="M82" s="131"/>
      <c r="N82" s="43"/>
      <c r="O82" s="51"/>
    </row>
    <row r="83">
      <c r="A83" s="16" t="s">
        <v>35</v>
      </c>
      <c r="B83" s="114" t="str">
        <f>IFERROR(VLOOKUP(A83,Internal_lists_bugs!$A$2:$G2033,7,FALSE()),"please select a BUG ID")</f>
        <v>https://opendev.org/openstack/nova/commit/6982d8534d78d9732fc8d6e05c8f3bb432d62264</v>
      </c>
      <c r="C83" s="39" t="str">
        <f>IFERROR(VLOOKUP(A83,Internal_lists_bugs!$A$2:$I2033,9,FALSE()),"please select a BUG ID")</f>
        <v>https://review.opendev.org/c/openstack/nova/+/65042</v>
      </c>
      <c r="D83" s="85"/>
      <c r="E83" s="85"/>
      <c r="F83" s="133"/>
      <c r="G83" s="16" t="s">
        <v>736</v>
      </c>
      <c r="H83" s="108" t="s">
        <v>737</v>
      </c>
      <c r="I83" s="131"/>
      <c r="J83" s="131"/>
      <c r="K83" s="131"/>
      <c r="L83" s="131"/>
      <c r="M83" s="131"/>
      <c r="N83" s="43"/>
      <c r="O83" s="51"/>
    </row>
    <row r="84">
      <c r="A84" s="16" t="s">
        <v>35</v>
      </c>
      <c r="B84" s="114" t="str">
        <f>IFERROR(VLOOKUP(A84,Internal_lists_bugs!$A$2:$G2033,7,FALSE()),"please select a BUG ID")</f>
        <v>https://opendev.org/openstack/nova/commit/6982d8534d78d9732fc8d6e05c8f3bb432d62264</v>
      </c>
      <c r="C84" s="39" t="str">
        <f>IFERROR(VLOOKUP(A84,Internal_lists_bugs!$A$2:$I2033,9,FALSE()),"please select a BUG ID")</f>
        <v>https://review.opendev.org/c/openstack/nova/+/65042</v>
      </c>
      <c r="D84" s="85"/>
      <c r="E84" s="85"/>
      <c r="F84" s="133"/>
      <c r="G84" s="16" t="s">
        <v>738</v>
      </c>
      <c r="H84" s="108" t="s">
        <v>739</v>
      </c>
      <c r="I84" s="131"/>
      <c r="J84" s="131"/>
      <c r="K84" s="131"/>
      <c r="L84" s="131"/>
      <c r="M84" s="131"/>
      <c r="N84" s="43"/>
      <c r="O84" s="51"/>
    </row>
    <row r="85">
      <c r="A85" s="16" t="s">
        <v>35</v>
      </c>
      <c r="B85" s="114" t="str">
        <f>IFERROR(VLOOKUP(A85,Internal_lists_bugs!$A$2:$G2033,7,FALSE()),"please select a BUG ID")</f>
        <v>https://opendev.org/openstack/nova/commit/6982d8534d78d9732fc8d6e05c8f3bb432d62264</v>
      </c>
      <c r="C85" s="39" t="str">
        <f>IFERROR(VLOOKUP(A85,Internal_lists_bugs!$A$2:$I2033,9,FALSE()),"please select a BUG ID")</f>
        <v>https://review.opendev.org/c/openstack/nova/+/65042</v>
      </c>
      <c r="D85" s="85"/>
      <c r="E85" s="85"/>
      <c r="F85" s="133"/>
      <c r="G85" s="16" t="s">
        <v>740</v>
      </c>
      <c r="H85" s="108" t="s">
        <v>741</v>
      </c>
      <c r="I85" s="131"/>
      <c r="J85" s="131"/>
      <c r="K85" s="131"/>
      <c r="L85" s="131"/>
      <c r="M85" s="131"/>
      <c r="N85" s="43"/>
      <c r="O85" s="51"/>
    </row>
    <row r="86">
      <c r="A86" s="16" t="s">
        <v>35</v>
      </c>
      <c r="B86" s="114" t="str">
        <f>IFERROR(VLOOKUP(A86,Internal_lists_bugs!$A$2:$G2033,7,FALSE()),"please select a BUG ID")</f>
        <v>https://opendev.org/openstack/nova/commit/6982d8534d78d9732fc8d6e05c8f3bb432d62264</v>
      </c>
      <c r="C86" s="39" t="str">
        <f>IFERROR(VLOOKUP(A86,Internal_lists_bugs!$A$2:$I2033,9,FALSE()),"please select a BUG ID")</f>
        <v>https://review.opendev.org/c/openstack/nova/+/65042</v>
      </c>
      <c r="D86" s="85"/>
      <c r="E86" s="85"/>
      <c r="F86" s="133"/>
      <c r="G86" s="16" t="s">
        <v>742</v>
      </c>
      <c r="H86" s="108" t="s">
        <v>743</v>
      </c>
      <c r="I86" s="131"/>
      <c r="J86" s="131"/>
      <c r="K86" s="131"/>
      <c r="L86" s="131"/>
      <c r="M86" s="131"/>
      <c r="N86" s="43"/>
      <c r="O86" s="51"/>
    </row>
    <row r="87">
      <c r="A87" s="16" t="s">
        <v>35</v>
      </c>
      <c r="B87" s="114" t="str">
        <f>IFERROR(VLOOKUP(A87,Internal_lists_bugs!$A$2:$G2033,7,FALSE()),"please select a BUG ID")</f>
        <v>https://opendev.org/openstack/nova/commit/6982d8534d78d9732fc8d6e05c8f3bb432d62264</v>
      </c>
      <c r="C87" s="39" t="str">
        <f>IFERROR(VLOOKUP(A87,Internal_lists_bugs!$A$2:$I2033,9,FALSE()),"please select a BUG ID")</f>
        <v>https://review.opendev.org/c/openstack/nova/+/65042</v>
      </c>
      <c r="D87" s="85"/>
      <c r="E87" s="85"/>
      <c r="F87" s="133"/>
      <c r="G87" s="16" t="s">
        <v>744</v>
      </c>
      <c r="H87" s="108" t="s">
        <v>745</v>
      </c>
      <c r="I87" s="131"/>
      <c r="J87" s="131"/>
      <c r="K87" s="131"/>
      <c r="L87" s="131"/>
      <c r="M87" s="131"/>
      <c r="N87" s="43"/>
      <c r="O87" s="51"/>
    </row>
    <row r="88">
      <c r="A88" s="16" t="s">
        <v>35</v>
      </c>
      <c r="B88" s="114" t="str">
        <f>IFERROR(VLOOKUP(A88,Internal_lists_bugs!$A$2:$G2033,7,FALSE()),"please select a BUG ID")</f>
        <v>https://opendev.org/openstack/nova/commit/6982d8534d78d9732fc8d6e05c8f3bb432d62264</v>
      </c>
      <c r="C88" s="39" t="str">
        <f>IFERROR(VLOOKUP(A88,Internal_lists_bugs!$A$2:$I2033,9,FALSE()),"please select a BUG ID")</f>
        <v>https://review.opendev.org/c/openstack/nova/+/65042</v>
      </c>
      <c r="D88" s="85"/>
      <c r="E88" s="85"/>
      <c r="F88" s="133"/>
      <c r="G88" s="16" t="s">
        <v>746</v>
      </c>
      <c r="H88" s="108" t="s">
        <v>747</v>
      </c>
      <c r="I88" s="131"/>
      <c r="J88" s="131"/>
      <c r="K88" s="131"/>
      <c r="L88" s="131"/>
      <c r="M88" s="131"/>
      <c r="N88" s="43"/>
      <c r="O88" s="51"/>
    </row>
    <row r="89">
      <c r="A89" s="16" t="s">
        <v>35</v>
      </c>
      <c r="B89" s="114" t="str">
        <f>IFERROR(VLOOKUP(A89,Internal_lists_bugs!$A$2:$G2033,7,FALSE()),"please select a BUG ID")</f>
        <v>https://opendev.org/openstack/nova/commit/6982d8534d78d9732fc8d6e05c8f3bb432d62264</v>
      </c>
      <c r="C89" s="39" t="str">
        <f>IFERROR(VLOOKUP(A89,Internal_lists_bugs!$A$2:$I2033,9,FALSE()),"please select a BUG ID")</f>
        <v>https://review.opendev.org/c/openstack/nova/+/65042</v>
      </c>
      <c r="D89" s="85"/>
      <c r="E89" s="85"/>
      <c r="F89" s="133"/>
      <c r="G89" s="16" t="s">
        <v>709</v>
      </c>
      <c r="H89" s="108" t="s">
        <v>748</v>
      </c>
      <c r="I89" s="131"/>
      <c r="J89" s="131"/>
      <c r="K89" s="131"/>
      <c r="L89" s="131"/>
      <c r="M89" s="131"/>
      <c r="N89" s="43"/>
      <c r="O89" s="51"/>
    </row>
    <row r="90">
      <c r="A90" s="16" t="s">
        <v>35</v>
      </c>
      <c r="B90" s="114" t="str">
        <f>IFERROR(VLOOKUP(A90,Internal_lists_bugs!$A$2:$G2033,7,FALSE()),"please select a BUG ID")</f>
        <v>https://opendev.org/openstack/nova/commit/6982d8534d78d9732fc8d6e05c8f3bb432d62264</v>
      </c>
      <c r="C90" s="39" t="str">
        <f>IFERROR(VLOOKUP(A90,Internal_lists_bugs!$A$2:$I2033,9,FALSE()),"please select a BUG ID")</f>
        <v>https://review.opendev.org/c/openstack/nova/+/65042</v>
      </c>
      <c r="D90" s="85"/>
      <c r="E90" s="85"/>
      <c r="F90" s="133"/>
      <c r="G90" s="16" t="s">
        <v>746</v>
      </c>
      <c r="H90" s="108" t="s">
        <v>749</v>
      </c>
      <c r="I90" s="131"/>
      <c r="J90" s="131"/>
      <c r="K90" s="131"/>
      <c r="L90" s="131"/>
      <c r="M90" s="131"/>
      <c r="N90" s="43"/>
      <c r="O90" s="51"/>
    </row>
    <row r="91">
      <c r="A91" s="16" t="s">
        <v>35</v>
      </c>
      <c r="B91" s="114" t="str">
        <f>IFERROR(VLOOKUP(A91,Internal_lists_bugs!$A$2:$G2033,7,FALSE()),"please select a BUG ID")</f>
        <v>https://opendev.org/openstack/nova/commit/6982d8534d78d9732fc8d6e05c8f3bb432d62264</v>
      </c>
      <c r="C91" s="39" t="str">
        <f>IFERROR(VLOOKUP(A91,Internal_lists_bugs!$A$2:$I2033,9,FALSE()),"please select a BUG ID")</f>
        <v>https://review.opendev.org/c/openstack/nova/+/65042</v>
      </c>
      <c r="D91" s="85"/>
      <c r="E91" s="85"/>
      <c r="F91" s="133"/>
      <c r="G91" s="16" t="s">
        <v>709</v>
      </c>
      <c r="H91" s="108" t="s">
        <v>750</v>
      </c>
      <c r="I91" s="131"/>
      <c r="J91" s="131"/>
      <c r="K91" s="131"/>
      <c r="L91" s="131"/>
      <c r="M91" s="131"/>
      <c r="N91" s="43"/>
      <c r="O91" s="51"/>
    </row>
    <row r="92">
      <c r="A92" s="16" t="s">
        <v>35</v>
      </c>
      <c r="B92" s="114" t="str">
        <f>IFERROR(VLOOKUP(A92,Internal_lists_bugs!$A$2:$G2033,7,FALSE()),"please select a BUG ID")</f>
        <v>https://opendev.org/openstack/nova/commit/6982d8534d78d9732fc8d6e05c8f3bb432d62264</v>
      </c>
      <c r="C92" s="39" t="str">
        <f>IFERROR(VLOOKUP(A92,Internal_lists_bugs!$A$2:$I2033,9,FALSE()),"please select a BUG ID")</f>
        <v>https://review.opendev.org/c/openstack/nova/+/65042</v>
      </c>
      <c r="D92" s="85"/>
      <c r="E92" s="85"/>
      <c r="F92" s="133"/>
      <c r="G92" s="16" t="s">
        <v>746</v>
      </c>
      <c r="H92" s="108" t="s">
        <v>751</v>
      </c>
      <c r="I92" s="131"/>
      <c r="J92" s="131"/>
      <c r="K92" s="131"/>
      <c r="L92" s="131"/>
      <c r="M92" s="131"/>
      <c r="N92" s="43"/>
      <c r="O92" s="51"/>
    </row>
    <row r="93">
      <c r="A93" s="16" t="s">
        <v>35</v>
      </c>
      <c r="B93" s="114" t="str">
        <f>IFERROR(VLOOKUP(A93,Internal_lists_bugs!$A$2:$G2033,7,FALSE()),"please select a BUG ID")</f>
        <v>https://opendev.org/openstack/nova/commit/6982d8534d78d9732fc8d6e05c8f3bb432d62264</v>
      </c>
      <c r="C93" s="39" t="str">
        <f>IFERROR(VLOOKUP(A93,Internal_lists_bugs!$A$2:$I2033,9,FALSE()),"please select a BUG ID")</f>
        <v>https://review.opendev.org/c/openstack/nova/+/65042</v>
      </c>
      <c r="D93" s="85"/>
      <c r="E93" s="85"/>
      <c r="F93" s="133"/>
      <c r="G93" s="16" t="s">
        <v>709</v>
      </c>
      <c r="H93" s="108" t="s">
        <v>752</v>
      </c>
      <c r="I93" s="131"/>
      <c r="J93" s="131"/>
      <c r="K93" s="131"/>
      <c r="L93" s="131"/>
      <c r="M93" s="131"/>
      <c r="N93" s="43"/>
      <c r="O93" s="51"/>
    </row>
    <row r="94">
      <c r="A94" s="16" t="s">
        <v>35</v>
      </c>
      <c r="B94" s="114" t="str">
        <f>IFERROR(VLOOKUP(A94,Internal_lists_bugs!$A$2:$G2033,7,FALSE()),"please select a BUG ID")</f>
        <v>https://opendev.org/openstack/nova/commit/6982d8534d78d9732fc8d6e05c8f3bb432d62264</v>
      </c>
      <c r="C94" s="39" t="str">
        <f>IFERROR(VLOOKUP(A94,Internal_lists_bugs!$A$2:$I2033,9,FALSE()),"please select a BUG ID")</f>
        <v>https://review.opendev.org/c/openstack/nova/+/65042</v>
      </c>
      <c r="D94" s="85"/>
      <c r="E94" s="85"/>
      <c r="F94" s="133"/>
      <c r="G94" s="16" t="s">
        <v>746</v>
      </c>
      <c r="H94" s="108" t="s">
        <v>753</v>
      </c>
      <c r="I94" s="131"/>
      <c r="J94" s="131"/>
      <c r="K94" s="131"/>
      <c r="L94" s="131"/>
      <c r="M94" s="131"/>
      <c r="N94" s="43"/>
      <c r="O94" s="51"/>
    </row>
    <row r="95">
      <c r="A95" s="16" t="s">
        <v>35</v>
      </c>
      <c r="B95" s="114" t="str">
        <f>IFERROR(VLOOKUP(A95,Internal_lists_bugs!$A$2:$G2033,7,FALSE()),"please select a BUG ID")</f>
        <v>https://opendev.org/openstack/nova/commit/6982d8534d78d9732fc8d6e05c8f3bb432d62264</v>
      </c>
      <c r="C95" s="39" t="str">
        <f>IFERROR(VLOOKUP(A95,Internal_lists_bugs!$A$2:$I2033,9,FALSE()),"please select a BUG ID")</f>
        <v>https://review.opendev.org/c/openstack/nova/+/65042</v>
      </c>
      <c r="D95" s="85"/>
      <c r="E95" s="85"/>
      <c r="F95" s="133"/>
      <c r="G95" s="16" t="s">
        <v>709</v>
      </c>
      <c r="H95" s="108" t="s">
        <v>754</v>
      </c>
      <c r="I95" s="131"/>
      <c r="J95" s="131"/>
      <c r="K95" s="131"/>
      <c r="L95" s="131"/>
      <c r="M95" s="131"/>
      <c r="N95" s="43"/>
      <c r="O95" s="51"/>
    </row>
    <row r="96">
      <c r="A96" s="16" t="s">
        <v>35</v>
      </c>
      <c r="B96" s="114" t="str">
        <f>IFERROR(VLOOKUP(A96,Internal_lists_bugs!$A$2:$G2033,7,FALSE()),"please select a BUG ID")</f>
        <v>https://opendev.org/openstack/nova/commit/6982d8534d78d9732fc8d6e05c8f3bb432d62264</v>
      </c>
      <c r="C96" s="39" t="str">
        <f>IFERROR(VLOOKUP(A96,Internal_lists_bugs!$A$2:$I2033,9,FALSE()),"please select a BUG ID")</f>
        <v>https://review.opendev.org/c/openstack/nova/+/65042</v>
      </c>
      <c r="D96" s="80"/>
      <c r="E96" s="80"/>
      <c r="F96" s="130"/>
      <c r="G96" s="16" t="s">
        <v>746</v>
      </c>
      <c r="H96" s="108" t="s">
        <v>755</v>
      </c>
      <c r="I96" s="131"/>
      <c r="J96" s="131"/>
      <c r="K96" s="131"/>
      <c r="L96" s="131"/>
      <c r="M96" s="131"/>
      <c r="N96" s="43"/>
      <c r="O96" s="51"/>
    </row>
    <row r="97">
      <c r="A97" s="16" t="s">
        <v>35</v>
      </c>
      <c r="B97" s="114" t="str">
        <f>IFERROR(VLOOKUP(A97,Internal_lists_bugs!$A$2:$G2033,7,FALSE()),"please select a BUG ID")</f>
        <v>https://opendev.org/openstack/nova/commit/6982d8534d78d9732fc8d6e05c8f3bb432d62264</v>
      </c>
      <c r="C97" s="39" t="str">
        <f>IFERROR(VLOOKUP(A97,Internal_lists_bugs!$A$2:$I2033,9,FALSE()),"please select a BUG ID")</f>
        <v>https://review.opendev.org/c/openstack/nova/+/65042</v>
      </c>
      <c r="D97" s="80"/>
      <c r="E97" s="80"/>
      <c r="F97" s="130"/>
      <c r="G97" s="16" t="s">
        <v>709</v>
      </c>
      <c r="H97" s="108" t="s">
        <v>756</v>
      </c>
      <c r="I97" s="131"/>
      <c r="J97" s="131"/>
      <c r="K97" s="131"/>
      <c r="L97" s="131"/>
      <c r="M97" s="131"/>
      <c r="N97" s="43"/>
      <c r="O97" s="51"/>
    </row>
    <row r="98">
      <c r="A98" s="16" t="s">
        <v>35</v>
      </c>
      <c r="B98" s="114" t="str">
        <f>IFERROR(VLOOKUP(A98,Internal_lists_bugs!$A$2:$G2033,7,FALSE()),"please select a BUG ID")</f>
        <v>https://opendev.org/openstack/nova/commit/6982d8534d78d9732fc8d6e05c8f3bb432d62264</v>
      </c>
      <c r="C98" s="39" t="str">
        <f>IFERROR(VLOOKUP(A98,Internal_lists_bugs!$A$2:$I2033,9,FALSE()),"please select a BUG ID")</f>
        <v>https://review.opendev.org/c/openstack/nova/+/65042</v>
      </c>
      <c r="D98" s="85"/>
      <c r="E98" s="85"/>
      <c r="F98" s="133"/>
      <c r="G98" s="16" t="s">
        <v>746</v>
      </c>
      <c r="H98" s="108" t="s">
        <v>757</v>
      </c>
      <c r="I98" s="131"/>
      <c r="J98" s="131"/>
      <c r="K98" s="131"/>
      <c r="L98" s="131"/>
      <c r="M98" s="131"/>
      <c r="N98" s="43"/>
      <c r="O98" s="51"/>
    </row>
    <row r="99">
      <c r="A99" s="16" t="s">
        <v>35</v>
      </c>
      <c r="B99" s="114" t="str">
        <f>IFERROR(VLOOKUP(A99,Internal_lists_bugs!$A$2:$G2033,7,FALSE()),"please select a BUG ID")</f>
        <v>https://opendev.org/openstack/nova/commit/6982d8534d78d9732fc8d6e05c8f3bb432d62264</v>
      </c>
      <c r="C99" s="39" t="str">
        <f>IFERROR(VLOOKUP(A99,Internal_lists_bugs!$A$2:$I2033,9,FALSE()),"please select a BUG ID")</f>
        <v>https://review.opendev.org/c/openstack/nova/+/65042</v>
      </c>
      <c r="D99" s="85"/>
      <c r="E99" s="85"/>
      <c r="F99" s="133"/>
      <c r="G99" s="16" t="s">
        <v>709</v>
      </c>
      <c r="H99" s="108" t="s">
        <v>758</v>
      </c>
      <c r="I99" s="131"/>
      <c r="J99" s="131"/>
      <c r="K99" s="131"/>
      <c r="L99" s="131"/>
      <c r="M99" s="131"/>
      <c r="N99" s="43"/>
      <c r="O99" s="51"/>
    </row>
    <row r="100">
      <c r="A100" s="16" t="s">
        <v>35</v>
      </c>
      <c r="B100" s="114" t="str">
        <f>IFERROR(VLOOKUP(A100,Internal_lists_bugs!$A$2:$G2033,7,FALSE()),"please select a BUG ID")</f>
        <v>https://opendev.org/openstack/nova/commit/6982d8534d78d9732fc8d6e05c8f3bb432d62264</v>
      </c>
      <c r="C100" s="39" t="str">
        <f>IFERROR(VLOOKUP(A100,Internal_lists_bugs!$A$2:$I2033,9,FALSE()),"please select a BUG ID")</f>
        <v>https://review.opendev.org/c/openstack/nova/+/65042</v>
      </c>
      <c r="D100" s="85"/>
      <c r="E100" s="85"/>
      <c r="F100" s="133"/>
      <c r="G100" s="16" t="s">
        <v>759</v>
      </c>
      <c r="H100" s="108" t="s">
        <v>760</v>
      </c>
      <c r="I100" s="131"/>
      <c r="J100" s="131"/>
      <c r="K100" s="131"/>
      <c r="L100" s="131"/>
      <c r="M100" s="131"/>
      <c r="N100" s="43"/>
      <c r="O100" s="51"/>
    </row>
    <row r="101">
      <c r="A101" s="16" t="s">
        <v>35</v>
      </c>
      <c r="B101" s="114" t="str">
        <f>IFERROR(VLOOKUP(A101,Internal_lists_bugs!$A$2:$G2033,7,FALSE()),"please select a BUG ID")</f>
        <v>https://opendev.org/openstack/nova/commit/6982d8534d78d9732fc8d6e05c8f3bb432d62264</v>
      </c>
      <c r="C101" s="39" t="str">
        <f>IFERROR(VLOOKUP(A101,Internal_lists_bugs!$A$2:$I2033,9,FALSE()),"please select a BUG ID")</f>
        <v>https://review.opendev.org/c/openstack/nova/+/65042</v>
      </c>
      <c r="D101" s="85"/>
      <c r="E101" s="85"/>
      <c r="F101" s="133"/>
      <c r="G101" s="16" t="s">
        <v>761</v>
      </c>
      <c r="H101" s="135" t="s">
        <v>762</v>
      </c>
      <c r="I101" s="131"/>
      <c r="J101" s="131"/>
      <c r="K101" s="131"/>
      <c r="L101" s="131"/>
      <c r="M101" s="131"/>
      <c r="N101" s="43"/>
      <c r="O101" s="51"/>
    </row>
    <row r="102">
      <c r="A102" s="16" t="s">
        <v>35</v>
      </c>
      <c r="B102" s="114" t="str">
        <f>IFERROR(VLOOKUP(A102,Internal_lists_bugs!$A$2:$G2033,7,FALSE()),"please select a BUG ID")</f>
        <v>https://opendev.org/openstack/nova/commit/6982d8534d78d9732fc8d6e05c8f3bb432d62264</v>
      </c>
      <c r="C102" s="39" t="str">
        <f>IFERROR(VLOOKUP(A102,Internal_lists_bugs!$A$2:$I2033,9,FALSE()),"please select a BUG ID")</f>
        <v>https://review.opendev.org/c/openstack/nova/+/65042</v>
      </c>
      <c r="D102" s="85"/>
      <c r="E102" s="85"/>
      <c r="F102" s="133"/>
      <c r="G102" s="16" t="s">
        <v>763</v>
      </c>
      <c r="H102" s="108" t="s">
        <v>764</v>
      </c>
      <c r="I102" s="131"/>
      <c r="J102" s="131"/>
      <c r="K102" s="131"/>
      <c r="L102" s="131"/>
      <c r="M102" s="131"/>
      <c r="N102" s="43"/>
      <c r="O102" s="51"/>
    </row>
    <row r="103">
      <c r="A103" s="16" t="s">
        <v>35</v>
      </c>
      <c r="B103" s="114" t="str">
        <f>IFERROR(VLOOKUP(A103,Internal_lists_bugs!$A$2:$G2033,7,FALSE()),"please select a BUG ID")</f>
        <v>https://opendev.org/openstack/nova/commit/6982d8534d78d9732fc8d6e05c8f3bb432d62264</v>
      </c>
      <c r="C103" s="39" t="str">
        <f>IFERROR(VLOOKUP(A103,Internal_lists_bugs!$A$2:$I2033,9,FALSE()),"please select a BUG ID")</f>
        <v>https://review.opendev.org/c/openstack/nova/+/65042</v>
      </c>
      <c r="D103" s="85"/>
      <c r="E103" s="85"/>
      <c r="F103" s="133"/>
      <c r="G103" s="16" t="s">
        <v>765</v>
      </c>
      <c r="H103" s="135" t="s">
        <v>764</v>
      </c>
      <c r="I103" s="131"/>
      <c r="J103" s="131"/>
      <c r="K103" s="131"/>
      <c r="L103" s="131"/>
      <c r="M103" s="131"/>
      <c r="N103" s="43"/>
      <c r="O103" s="51"/>
    </row>
    <row r="104">
      <c r="A104" s="16" t="s">
        <v>35</v>
      </c>
      <c r="B104" s="114" t="str">
        <f>IFERROR(VLOOKUP(A104,Internal_lists_bugs!$A$2:$G2033,7,FALSE()),"please select a BUG ID")</f>
        <v>https://opendev.org/openstack/nova/commit/6982d8534d78d9732fc8d6e05c8f3bb432d62264</v>
      </c>
      <c r="C104" s="39" t="str">
        <f>IFERROR(VLOOKUP(A104,Internal_lists_bugs!$A$2:$I2033,9,FALSE()),"please select a BUG ID")</f>
        <v>https://review.opendev.org/c/openstack/nova/+/65042</v>
      </c>
      <c r="D104" s="85"/>
      <c r="E104" s="85"/>
      <c r="F104" s="133"/>
      <c r="G104" s="16" t="s">
        <v>766</v>
      </c>
      <c r="H104" s="108" t="s">
        <v>767</v>
      </c>
      <c r="I104" s="131"/>
      <c r="J104" s="131"/>
      <c r="K104" s="131"/>
      <c r="L104" s="131"/>
      <c r="M104" s="131"/>
      <c r="N104" s="43"/>
      <c r="O104" s="51"/>
    </row>
    <row r="105">
      <c r="A105" s="16" t="s">
        <v>35</v>
      </c>
      <c r="B105" s="114" t="str">
        <f>IFERROR(VLOOKUP(A105,Internal_lists_bugs!$A$2:$G2033,7,FALSE()),"please select a BUG ID")</f>
        <v>https://opendev.org/openstack/nova/commit/6982d8534d78d9732fc8d6e05c8f3bb432d62264</v>
      </c>
      <c r="C105" s="39" t="str">
        <f>IFERROR(VLOOKUP(A105,Internal_lists_bugs!$A$2:$I2033,9,FALSE()),"please select a BUG ID")</f>
        <v>https://review.opendev.org/c/openstack/nova/+/65042</v>
      </c>
      <c r="D105" s="85"/>
      <c r="E105" s="85"/>
      <c r="F105" s="133"/>
      <c r="G105" s="16" t="s">
        <v>709</v>
      </c>
      <c r="H105" s="108" t="s">
        <v>768</v>
      </c>
      <c r="I105" s="131"/>
      <c r="J105" s="131"/>
      <c r="K105" s="131"/>
      <c r="L105" s="131"/>
      <c r="M105" s="131"/>
      <c r="N105" s="43"/>
      <c r="O105" s="51"/>
    </row>
    <row r="106">
      <c r="A106" s="16" t="s">
        <v>35</v>
      </c>
      <c r="B106" s="114" t="str">
        <f>IFERROR(VLOOKUP(A106,Internal_lists_bugs!$A$2:$G2033,7,FALSE()),"please select a BUG ID")</f>
        <v>https://opendev.org/openstack/nova/commit/6982d8534d78d9732fc8d6e05c8f3bb432d62264</v>
      </c>
      <c r="C106" s="39" t="str">
        <f>IFERROR(VLOOKUP(A106,Internal_lists_bugs!$A$2:$I2033,9,FALSE()),"please select a BUG ID")</f>
        <v>https://review.opendev.org/c/openstack/nova/+/65042</v>
      </c>
      <c r="D106" s="85"/>
      <c r="E106" s="85"/>
      <c r="F106" s="133"/>
      <c r="G106" s="16" t="s">
        <v>646</v>
      </c>
      <c r="H106" s="108" t="s">
        <v>769</v>
      </c>
      <c r="I106" s="131"/>
      <c r="J106" s="131"/>
      <c r="K106" s="131"/>
      <c r="L106" s="131"/>
      <c r="M106" s="131"/>
      <c r="N106" s="43"/>
      <c r="O106" s="51"/>
    </row>
    <row r="107">
      <c r="A107" s="16" t="s">
        <v>35</v>
      </c>
      <c r="B107" s="114" t="str">
        <f>IFERROR(VLOOKUP(A107,Internal_lists_bugs!$A$2:$G2033,7,FALSE()),"please select a BUG ID")</f>
        <v>https://opendev.org/openstack/nova/commit/6982d8534d78d9732fc8d6e05c8f3bb432d62264</v>
      </c>
      <c r="C107" s="39" t="str">
        <f>IFERROR(VLOOKUP(A107,Internal_lists_bugs!$A$2:$I2033,9,FALSE()),"please select a BUG ID")</f>
        <v>https://review.opendev.org/c/openstack/nova/+/65042</v>
      </c>
      <c r="D107" s="85"/>
      <c r="E107" s="85"/>
      <c r="F107" s="133"/>
      <c r="G107" s="16" t="s">
        <v>770</v>
      </c>
      <c r="H107" s="108" t="s">
        <v>769</v>
      </c>
      <c r="I107" s="131"/>
      <c r="J107" s="131"/>
      <c r="K107" s="131"/>
      <c r="L107" s="131"/>
      <c r="M107" s="131"/>
      <c r="N107" s="43"/>
      <c r="O107" s="51"/>
    </row>
    <row r="108">
      <c r="A108" s="16" t="s">
        <v>35</v>
      </c>
      <c r="B108" s="114" t="str">
        <f>IFERROR(VLOOKUP(A108,Internal_lists_bugs!$A$2:$G2033,7,FALSE()),"please select a BUG ID")</f>
        <v>https://opendev.org/openstack/nova/commit/6982d8534d78d9732fc8d6e05c8f3bb432d62264</v>
      </c>
      <c r="C108" s="39" t="str">
        <f>IFERROR(VLOOKUP(A108,Internal_lists_bugs!$A$2:$I2033,9,FALSE()),"please select a BUG ID")</f>
        <v>https://review.opendev.org/c/openstack/nova/+/65042</v>
      </c>
      <c r="D108" s="85"/>
      <c r="E108" s="85"/>
      <c r="F108" s="133"/>
      <c r="G108" s="16" t="s">
        <v>771</v>
      </c>
      <c r="H108" s="108" t="s">
        <v>772</v>
      </c>
      <c r="I108" s="131"/>
      <c r="J108" s="131"/>
      <c r="K108" s="131"/>
      <c r="L108" s="131"/>
      <c r="M108" s="131"/>
      <c r="N108" s="43"/>
      <c r="O108" s="51"/>
    </row>
    <row r="109">
      <c r="A109" s="16" t="s">
        <v>35</v>
      </c>
      <c r="B109" s="114" t="str">
        <f>IFERROR(VLOOKUP(A109,Internal_lists_bugs!$A$2:$G2033,7,FALSE()),"please select a BUG ID")</f>
        <v>https://opendev.org/openstack/nova/commit/6982d8534d78d9732fc8d6e05c8f3bb432d62264</v>
      </c>
      <c r="C109" s="39" t="str">
        <f>IFERROR(VLOOKUP(A109,Internal_lists_bugs!$A$2:$I2033,9,FALSE()),"please select a BUG ID")</f>
        <v>https://review.opendev.org/c/openstack/nova/+/65042</v>
      </c>
      <c r="D109" s="85"/>
      <c r="E109" s="85"/>
      <c r="F109" s="133"/>
      <c r="G109" s="16" t="s">
        <v>770</v>
      </c>
      <c r="H109" s="108" t="s">
        <v>772</v>
      </c>
      <c r="I109" s="131"/>
      <c r="J109" s="131"/>
      <c r="K109" s="131"/>
      <c r="L109" s="131"/>
      <c r="M109" s="131"/>
      <c r="N109" s="43"/>
      <c r="O109" s="51"/>
    </row>
    <row r="110">
      <c r="A110" s="16" t="s">
        <v>35</v>
      </c>
      <c r="B110" s="114" t="str">
        <f>IFERROR(VLOOKUP(A110,Internal_lists_bugs!$A$2:$G2033,7,FALSE()),"please select a BUG ID")</f>
        <v>https://opendev.org/openstack/nova/commit/6982d8534d78d9732fc8d6e05c8f3bb432d62264</v>
      </c>
      <c r="C110" s="39" t="str">
        <f>IFERROR(VLOOKUP(A110,Internal_lists_bugs!$A$2:$I2033,9,FALSE()),"please select a BUG ID")</f>
        <v>https://review.opendev.org/c/openstack/nova/+/65042</v>
      </c>
      <c r="D110" s="85"/>
      <c r="E110" s="85"/>
      <c r="F110" s="133"/>
      <c r="G110" s="16" t="s">
        <v>654</v>
      </c>
      <c r="H110" s="108" t="s">
        <v>773</v>
      </c>
      <c r="I110" s="131"/>
      <c r="J110" s="131"/>
      <c r="K110" s="131"/>
      <c r="L110" s="131"/>
      <c r="M110" s="131"/>
      <c r="N110" s="43"/>
      <c r="O110" s="51"/>
    </row>
    <row r="111">
      <c r="A111" s="16" t="s">
        <v>35</v>
      </c>
      <c r="B111" s="114" t="str">
        <f>IFERROR(VLOOKUP(A111,Internal_lists_bugs!$A$2:$G2033,7,FALSE()),"please select a BUG ID")</f>
        <v>https://opendev.org/openstack/nova/commit/6982d8534d78d9732fc8d6e05c8f3bb432d62264</v>
      </c>
      <c r="C111" s="39" t="str">
        <f>IFERROR(VLOOKUP(A111,Internal_lists_bugs!$A$2:$I2033,9,FALSE()),"please select a BUG ID")</f>
        <v>https://review.opendev.org/c/openstack/nova/+/65042</v>
      </c>
      <c r="D111" s="85"/>
      <c r="E111" s="85"/>
      <c r="F111" s="133"/>
      <c r="G111" s="16" t="s">
        <v>656</v>
      </c>
      <c r="H111" s="108" t="s">
        <v>774</v>
      </c>
      <c r="I111" s="131"/>
      <c r="J111" s="131"/>
      <c r="K111" s="131"/>
      <c r="L111" s="131"/>
      <c r="M111" s="131"/>
      <c r="N111" s="43"/>
      <c r="O111" s="51"/>
    </row>
    <row r="112">
      <c r="A112" s="16" t="s">
        <v>35</v>
      </c>
      <c r="B112" s="114" t="str">
        <f>IFERROR(VLOOKUP(A112,Internal_lists_bugs!$A$2:$G2033,7,FALSE()),"please select a BUG ID")</f>
        <v>https://opendev.org/openstack/nova/commit/6982d8534d78d9732fc8d6e05c8f3bb432d62264</v>
      </c>
      <c r="C112" s="39" t="str">
        <f>IFERROR(VLOOKUP(A112,Internal_lists_bugs!$A$2:$I2033,9,FALSE()),"please select a BUG ID")</f>
        <v>https://review.opendev.org/c/openstack/nova/+/65042</v>
      </c>
      <c r="D112" s="85"/>
      <c r="E112" s="85"/>
      <c r="F112" s="133"/>
      <c r="G112" s="16" t="s">
        <v>770</v>
      </c>
      <c r="H112" s="108" t="s">
        <v>774</v>
      </c>
      <c r="I112" s="131"/>
      <c r="J112" s="131"/>
      <c r="K112" s="131"/>
      <c r="L112" s="131"/>
      <c r="M112" s="131"/>
      <c r="N112" s="43"/>
      <c r="O112" s="51"/>
    </row>
    <row r="113">
      <c r="A113" s="16" t="s">
        <v>35</v>
      </c>
      <c r="B113" s="114" t="str">
        <f>IFERROR(VLOOKUP(A113,Internal_lists_bugs!$A$2:$G2033,7,FALSE()),"please select a BUG ID")</f>
        <v>https://opendev.org/openstack/nova/commit/6982d8534d78d9732fc8d6e05c8f3bb432d62264</v>
      </c>
      <c r="C113" s="39" t="str">
        <f>IFERROR(VLOOKUP(A113,Internal_lists_bugs!$A$2:$I2033,9,FALSE()),"please select a BUG ID")</f>
        <v>https://review.opendev.org/c/openstack/nova/+/65042</v>
      </c>
      <c r="D113" s="85"/>
      <c r="E113" s="85"/>
      <c r="F113" s="133"/>
      <c r="G113" s="16" t="s">
        <v>775</v>
      </c>
      <c r="H113" s="134" t="s">
        <v>774</v>
      </c>
      <c r="I113" s="131"/>
      <c r="J113" s="131"/>
      <c r="K113" s="131"/>
      <c r="L113" s="131"/>
      <c r="M113" s="131"/>
      <c r="N113" s="43"/>
      <c r="O113" s="51"/>
    </row>
    <row r="114">
      <c r="A114" s="16" t="s">
        <v>35</v>
      </c>
      <c r="B114" s="114" t="str">
        <f>IFERROR(VLOOKUP(A114,Internal_lists_bugs!$A$2:$G2033,7,FALSE()),"please select a BUG ID")</f>
        <v>https://opendev.org/openstack/nova/commit/6982d8534d78d9732fc8d6e05c8f3bb432d62264</v>
      </c>
      <c r="C114" s="39" t="str">
        <f>IFERROR(VLOOKUP(A114,Internal_lists_bugs!$A$2:$I2033,9,FALSE()),"please select a BUG ID")</f>
        <v>https://review.opendev.org/c/openstack/nova/+/65042</v>
      </c>
      <c r="D114" s="85"/>
      <c r="E114" s="85"/>
      <c r="F114" s="133"/>
      <c r="G114" s="16" t="s">
        <v>776</v>
      </c>
      <c r="H114" s="136" t="s">
        <v>777</v>
      </c>
      <c r="I114" s="131"/>
      <c r="J114" s="131"/>
      <c r="K114" s="131"/>
      <c r="L114" s="131"/>
      <c r="M114" s="131"/>
      <c r="N114" s="43"/>
      <c r="O114" s="51"/>
    </row>
    <row r="115">
      <c r="A115" s="16" t="s">
        <v>35</v>
      </c>
      <c r="B115" s="114" t="str">
        <f>IFERROR(VLOOKUP(A115,Internal_lists_bugs!$A$2:$G2033,7,FALSE()),"please select a BUG ID")</f>
        <v>https://opendev.org/openstack/nova/commit/6982d8534d78d9732fc8d6e05c8f3bb432d62264</v>
      </c>
      <c r="C115" s="39" t="str">
        <f>IFERROR(VLOOKUP(A115,Internal_lists_bugs!$A$2:$I2033,9,FALSE()),"please select a BUG ID")</f>
        <v>https://review.opendev.org/c/openstack/nova/+/65042</v>
      </c>
      <c r="D115" s="85"/>
      <c r="E115" s="85"/>
      <c r="F115" s="133"/>
      <c r="G115" s="16" t="s">
        <v>778</v>
      </c>
      <c r="H115" s="136" t="s">
        <v>779</v>
      </c>
      <c r="I115" s="131"/>
      <c r="J115" s="131"/>
      <c r="K115" s="131"/>
      <c r="L115" s="131"/>
      <c r="M115" s="131"/>
      <c r="N115" s="43"/>
      <c r="O115" s="51"/>
    </row>
    <row r="116">
      <c r="A116" s="16" t="s">
        <v>35</v>
      </c>
      <c r="B116" s="114" t="str">
        <f>IFERROR(VLOOKUP(A116,Internal_lists_bugs!$A$2:$G2033,7,FALSE()),"please select a BUG ID")</f>
        <v>https://opendev.org/openstack/nova/commit/6982d8534d78d9732fc8d6e05c8f3bb432d62264</v>
      </c>
      <c r="C116" s="39" t="str">
        <f>IFERROR(VLOOKUP(A116,Internal_lists_bugs!$A$2:$I2033,9,FALSE()),"please select a BUG ID")</f>
        <v>https://review.opendev.org/c/openstack/nova/+/65042</v>
      </c>
      <c r="D116" s="85"/>
      <c r="E116" s="85"/>
      <c r="F116" s="133"/>
      <c r="G116" s="16" t="s">
        <v>770</v>
      </c>
      <c r="H116" s="135" t="s">
        <v>780</v>
      </c>
      <c r="I116" s="131"/>
      <c r="J116" s="131"/>
      <c r="K116" s="131"/>
      <c r="L116" s="131"/>
      <c r="M116" s="131"/>
      <c r="N116" s="43"/>
      <c r="O116" s="51"/>
    </row>
    <row r="117">
      <c r="A117" s="16" t="s">
        <v>35</v>
      </c>
      <c r="B117" s="114" t="str">
        <f>IFERROR(VLOOKUP(A117,Internal_lists_bugs!$A$2:$G2033,7,FALSE()),"please select a BUG ID")</f>
        <v>https://opendev.org/openstack/nova/commit/6982d8534d78d9732fc8d6e05c8f3bb432d62264</v>
      </c>
      <c r="C117" s="39" t="str">
        <f>IFERROR(VLOOKUP(A117,Internal_lists_bugs!$A$2:$I2033,9,FALSE()),"please select a BUG ID")</f>
        <v>https://review.opendev.org/c/openstack/nova/+/65042</v>
      </c>
      <c r="D117" s="85"/>
      <c r="E117" s="85"/>
      <c r="F117" s="133"/>
      <c r="G117" s="16" t="s">
        <v>775</v>
      </c>
      <c r="H117" s="135" t="s">
        <v>780</v>
      </c>
      <c r="I117" s="131"/>
      <c r="J117" s="131"/>
      <c r="K117" s="131"/>
      <c r="L117" s="131"/>
      <c r="M117" s="131"/>
      <c r="N117" s="43"/>
      <c r="O117" s="51"/>
    </row>
    <row r="118">
      <c r="A118" s="16" t="s">
        <v>35</v>
      </c>
      <c r="B118" s="114" t="str">
        <f>IFERROR(VLOOKUP(A118,Internal_lists_bugs!$A$2:$G2033,7,FALSE()),"please select a BUG ID")</f>
        <v>https://opendev.org/openstack/nova/commit/6982d8534d78d9732fc8d6e05c8f3bb432d62264</v>
      </c>
      <c r="C118" s="39" t="str">
        <f>IFERROR(VLOOKUP(A118,Internal_lists_bugs!$A$2:$I2033,9,FALSE()),"please select a BUG ID")</f>
        <v>https://review.opendev.org/c/openstack/nova/+/65042</v>
      </c>
      <c r="D118" s="85"/>
      <c r="E118" s="85"/>
      <c r="F118" s="133"/>
      <c r="G118" s="16" t="s">
        <v>781</v>
      </c>
      <c r="H118" s="108" t="s">
        <v>782</v>
      </c>
      <c r="I118" s="131"/>
      <c r="J118" s="131"/>
      <c r="K118" s="131"/>
      <c r="L118" s="131"/>
      <c r="M118" s="131"/>
      <c r="N118" s="43"/>
      <c r="O118" s="51"/>
    </row>
    <row r="119">
      <c r="A119" s="16" t="s">
        <v>35</v>
      </c>
      <c r="B119" s="114" t="str">
        <f>IFERROR(VLOOKUP(A119,Internal_lists_bugs!$A$2:$G2033,7,FALSE()),"please select a BUG ID")</f>
        <v>https://opendev.org/openstack/nova/commit/6982d8534d78d9732fc8d6e05c8f3bb432d62264</v>
      </c>
      <c r="C119" s="39" t="str">
        <f>IFERROR(VLOOKUP(A119,Internal_lists_bugs!$A$2:$I2033,9,FALSE()),"please select a BUG ID")</f>
        <v>https://review.opendev.org/c/openstack/nova/+/65042</v>
      </c>
      <c r="D119" s="85"/>
      <c r="E119" s="85"/>
      <c r="F119" s="133"/>
      <c r="G119" s="16" t="s">
        <v>783</v>
      </c>
      <c r="H119" s="108" t="s">
        <v>782</v>
      </c>
      <c r="I119" s="131"/>
      <c r="J119" s="131"/>
      <c r="K119" s="131"/>
      <c r="L119" s="131"/>
      <c r="M119" s="131"/>
      <c r="N119" s="43"/>
      <c r="O119" s="51"/>
    </row>
    <row r="120">
      <c r="A120" s="16" t="s">
        <v>35</v>
      </c>
      <c r="B120" s="114" t="str">
        <f>IFERROR(VLOOKUP(A120,Internal_lists_bugs!$A$2:$G2033,7,FALSE()),"please select a BUG ID")</f>
        <v>https://opendev.org/openstack/nova/commit/6982d8534d78d9732fc8d6e05c8f3bb432d62264</v>
      </c>
      <c r="C120" s="39" t="str">
        <f>IFERROR(VLOOKUP(A120,Internal_lists_bugs!$A$2:$I2033,9,FALSE()),"please select a BUG ID")</f>
        <v>https://review.opendev.org/c/openstack/nova/+/65042</v>
      </c>
      <c r="D120" s="85"/>
      <c r="E120" s="85"/>
      <c r="F120" s="133"/>
      <c r="G120" s="16" t="s">
        <v>677</v>
      </c>
      <c r="H120" s="108" t="s">
        <v>784</v>
      </c>
      <c r="I120" s="131"/>
      <c r="J120" s="131"/>
      <c r="K120" s="131"/>
      <c r="L120" s="131"/>
      <c r="M120" s="131"/>
      <c r="N120" s="43"/>
      <c r="O120" s="51"/>
    </row>
    <row r="121">
      <c r="A121" s="16" t="s">
        <v>35</v>
      </c>
      <c r="B121" s="114" t="str">
        <f>IFERROR(VLOOKUP(A121,Internal_lists_bugs!$A$2:$G2033,7,FALSE()),"please select a BUG ID")</f>
        <v>https://opendev.org/openstack/nova/commit/6982d8534d78d9732fc8d6e05c8f3bb432d62264</v>
      </c>
      <c r="C121" s="39" t="str">
        <f>IFERROR(VLOOKUP(A121,Internal_lists_bugs!$A$2:$I2033,9,FALSE()),"please select a BUG ID")</f>
        <v>https://review.opendev.org/c/openstack/nova/+/65042</v>
      </c>
      <c r="D121" s="85"/>
      <c r="E121" s="85"/>
      <c r="F121" s="133"/>
      <c r="G121" s="16" t="s">
        <v>662</v>
      </c>
      <c r="H121" s="108" t="s">
        <v>785</v>
      </c>
      <c r="I121" s="131"/>
      <c r="J121" s="131"/>
      <c r="K121" s="131"/>
      <c r="L121" s="131"/>
      <c r="M121" s="131"/>
      <c r="N121" s="43"/>
      <c r="O121" s="51"/>
    </row>
    <row r="122">
      <c r="A122" s="16" t="s">
        <v>35</v>
      </c>
      <c r="B122" s="114" t="str">
        <f>IFERROR(VLOOKUP(A122,Internal_lists_bugs!$A$2:$G2033,7,FALSE()),"please select a BUG ID")</f>
        <v>https://opendev.org/openstack/nova/commit/6982d8534d78d9732fc8d6e05c8f3bb432d62264</v>
      </c>
      <c r="C122" s="39" t="str">
        <f>IFERROR(VLOOKUP(A122,Internal_lists_bugs!$A$2:$I2033,9,FALSE()),"please select a BUG ID")</f>
        <v>https://review.opendev.org/c/openstack/nova/+/65042</v>
      </c>
      <c r="D122" s="85"/>
      <c r="E122" s="85"/>
      <c r="F122" s="133"/>
      <c r="G122" s="16" t="s">
        <v>662</v>
      </c>
      <c r="H122" s="108" t="s">
        <v>785</v>
      </c>
      <c r="I122" s="131"/>
      <c r="J122" s="131"/>
      <c r="K122" s="131"/>
      <c r="L122" s="131"/>
      <c r="M122" s="131"/>
      <c r="N122" s="43"/>
      <c r="O122" s="51"/>
    </row>
    <row r="123">
      <c r="A123" s="16" t="s">
        <v>35</v>
      </c>
      <c r="B123" s="114" t="str">
        <f>IFERROR(VLOOKUP(A123,Internal_lists_bugs!$A$2:$G2033,7,FALSE()),"please select a BUG ID")</f>
        <v>https://opendev.org/openstack/nova/commit/6982d8534d78d9732fc8d6e05c8f3bb432d62264</v>
      </c>
      <c r="C123" s="39" t="str">
        <f>IFERROR(VLOOKUP(A123,Internal_lists_bugs!$A$2:$I2033,9,FALSE()),"please select a BUG ID")</f>
        <v>https://review.opendev.org/c/openstack/nova/+/65042</v>
      </c>
      <c r="D123" s="85"/>
      <c r="E123" s="85"/>
      <c r="F123" s="133"/>
      <c r="G123" s="16" t="s">
        <v>766</v>
      </c>
      <c r="H123" s="108" t="s">
        <v>786</v>
      </c>
      <c r="I123" s="131"/>
      <c r="J123" s="131"/>
      <c r="K123" s="131"/>
      <c r="L123" s="131"/>
      <c r="M123" s="131"/>
      <c r="N123" s="43"/>
      <c r="O123" s="51"/>
    </row>
    <row r="124">
      <c r="A124" s="16" t="s">
        <v>35</v>
      </c>
      <c r="B124" s="114" t="str">
        <f>IFERROR(VLOOKUP(A124,Internal_lists_bugs!$A$2:$G2033,7,FALSE()),"please select a BUG ID")</f>
        <v>https://opendev.org/openstack/nova/commit/6982d8534d78d9732fc8d6e05c8f3bb432d62264</v>
      </c>
      <c r="C124" s="39" t="str">
        <f>IFERROR(VLOOKUP(A124,Internal_lists_bugs!$A$2:$I2033,9,FALSE()),"please select a BUG ID")</f>
        <v>https://review.opendev.org/c/openstack/nova/+/65042</v>
      </c>
      <c r="D124" s="85"/>
      <c r="E124" s="85"/>
      <c r="F124" s="133"/>
      <c r="G124" s="16" t="s">
        <v>662</v>
      </c>
      <c r="H124" s="108" t="s">
        <v>787</v>
      </c>
      <c r="I124" s="131"/>
      <c r="J124" s="131"/>
      <c r="K124" s="131"/>
      <c r="L124" s="131"/>
      <c r="M124" s="131"/>
      <c r="N124" s="43"/>
      <c r="O124" s="51"/>
    </row>
    <row r="125">
      <c r="A125" s="16" t="s">
        <v>35</v>
      </c>
      <c r="B125" s="114" t="str">
        <f>IFERROR(VLOOKUP(A125,Internal_lists_bugs!$A$2:$G2033,7,FALSE()),"please select a BUG ID")</f>
        <v>https://opendev.org/openstack/nova/commit/6982d8534d78d9732fc8d6e05c8f3bb432d62264</v>
      </c>
      <c r="C125" s="39" t="str">
        <f>IFERROR(VLOOKUP(A125,Internal_lists_bugs!$A$2:$I2033,9,FALSE()),"please select a BUG ID")</f>
        <v>https://review.opendev.org/c/openstack/nova/+/65042</v>
      </c>
      <c r="D125" s="85"/>
      <c r="E125" s="85"/>
      <c r="F125" s="133"/>
      <c r="G125" s="16" t="s">
        <v>788</v>
      </c>
      <c r="H125" s="108" t="s">
        <v>789</v>
      </c>
      <c r="I125" s="131"/>
      <c r="J125" s="131"/>
      <c r="K125" s="131"/>
      <c r="L125" s="131"/>
      <c r="M125" s="131"/>
      <c r="N125" s="43"/>
      <c r="O125" s="51"/>
    </row>
    <row r="126">
      <c r="A126" s="16" t="s">
        <v>35</v>
      </c>
      <c r="B126" s="114" t="str">
        <f>IFERROR(VLOOKUP(A126,Internal_lists_bugs!$A$2:$G2033,7,FALSE()),"please select a BUG ID")</f>
        <v>https://opendev.org/openstack/nova/commit/6982d8534d78d9732fc8d6e05c8f3bb432d62264</v>
      </c>
      <c r="C126" s="39" t="str">
        <f>IFERROR(VLOOKUP(A126,Internal_lists_bugs!$A$2:$I2033,9,FALSE()),"please select a BUG ID")</f>
        <v>https://review.opendev.org/c/openstack/nova/+/65042</v>
      </c>
      <c r="D126" s="85"/>
      <c r="E126" s="85"/>
      <c r="F126" s="133"/>
      <c r="G126" s="16" t="s">
        <v>662</v>
      </c>
      <c r="H126" s="108" t="s">
        <v>787</v>
      </c>
      <c r="I126" s="131"/>
      <c r="J126" s="131"/>
      <c r="K126" s="131"/>
      <c r="L126" s="131"/>
      <c r="M126" s="131"/>
      <c r="N126" s="43"/>
      <c r="O126" s="51"/>
    </row>
    <row r="127">
      <c r="A127" s="16" t="s">
        <v>35</v>
      </c>
      <c r="B127" s="114" t="str">
        <f>IFERROR(VLOOKUP(A127,Internal_lists_bugs!$A$2:$G2033,7,FALSE()),"please select a BUG ID")</f>
        <v>https://opendev.org/openstack/nova/commit/6982d8534d78d9732fc8d6e05c8f3bb432d62264</v>
      </c>
      <c r="C127" s="39" t="str">
        <f>IFERROR(VLOOKUP(A127,Internal_lists_bugs!$A$2:$I2033,9,FALSE()),"please select a BUG ID")</f>
        <v>https://review.opendev.org/c/openstack/nova/+/65042</v>
      </c>
      <c r="D127" s="85"/>
      <c r="E127" s="85"/>
      <c r="F127" s="133"/>
      <c r="G127" s="16" t="s">
        <v>652</v>
      </c>
      <c r="H127" s="108" t="s">
        <v>790</v>
      </c>
      <c r="I127" s="131"/>
      <c r="J127" s="131"/>
      <c r="K127" s="131"/>
      <c r="L127" s="131"/>
      <c r="M127" s="131"/>
      <c r="N127" s="43"/>
      <c r="O127" s="51"/>
    </row>
    <row r="128">
      <c r="A128" s="16" t="s">
        <v>35</v>
      </c>
      <c r="B128" s="114" t="str">
        <f>IFERROR(VLOOKUP(A128,Internal_lists_bugs!$A$2:$G2033,7,FALSE()),"please select a BUG ID")</f>
        <v>https://opendev.org/openstack/nova/commit/6982d8534d78d9732fc8d6e05c8f3bb432d62264</v>
      </c>
      <c r="C128" s="39" t="str">
        <f>IFERROR(VLOOKUP(A128,Internal_lists_bugs!$A$2:$I2033,9,FALSE()),"please select a BUG ID")</f>
        <v>https://review.opendev.org/c/openstack/nova/+/65042</v>
      </c>
      <c r="D128" s="85"/>
      <c r="E128" s="85"/>
      <c r="F128" s="133"/>
      <c r="G128" s="16" t="s">
        <v>791</v>
      </c>
      <c r="H128" s="108" t="s">
        <v>790</v>
      </c>
      <c r="I128" s="131"/>
      <c r="J128" s="131"/>
      <c r="K128" s="131"/>
      <c r="L128" s="131"/>
      <c r="M128" s="131"/>
      <c r="N128" s="43"/>
      <c r="O128" s="51"/>
    </row>
    <row r="129">
      <c r="A129" s="16" t="s">
        <v>35</v>
      </c>
      <c r="B129" s="114" t="str">
        <f>IFERROR(VLOOKUP(A129,Internal_lists_bugs!$A$2:$G2033,7,FALSE()),"please select a BUG ID")</f>
        <v>https://opendev.org/openstack/nova/commit/6982d8534d78d9732fc8d6e05c8f3bb432d62264</v>
      </c>
      <c r="C129" s="39" t="str">
        <f>IFERROR(VLOOKUP(A129,Internal_lists_bugs!$A$2:$I2033,9,FALSE()),"please select a BUG ID")</f>
        <v>https://review.opendev.org/c/openstack/nova/+/65042</v>
      </c>
      <c r="D129" s="85"/>
      <c r="E129" s="85"/>
      <c r="F129" s="133"/>
      <c r="G129" s="16" t="s">
        <v>658</v>
      </c>
      <c r="H129" s="108" t="s">
        <v>792</v>
      </c>
      <c r="I129" s="131"/>
      <c r="J129" s="131"/>
      <c r="K129" s="131"/>
      <c r="L129" s="131"/>
      <c r="M129" s="131"/>
      <c r="N129" s="43"/>
      <c r="O129" s="51"/>
    </row>
    <row r="130">
      <c r="A130" s="16" t="s">
        <v>35</v>
      </c>
      <c r="B130" s="114" t="str">
        <f>IFERROR(VLOOKUP(A130,Internal_lists_bugs!$A$2:$G2033,7,FALSE()),"please select a BUG ID")</f>
        <v>https://opendev.org/openstack/nova/commit/6982d8534d78d9732fc8d6e05c8f3bb432d62264</v>
      </c>
      <c r="C130" s="39" t="str">
        <f>IFERROR(VLOOKUP(A130,Internal_lists_bugs!$A$2:$I2033,9,FALSE()),"please select a BUG ID")</f>
        <v>https://review.opendev.org/c/openstack/nova/+/65042</v>
      </c>
      <c r="D130" s="85"/>
      <c r="E130" s="85"/>
      <c r="F130" s="133"/>
      <c r="G130" s="16" t="s">
        <v>650</v>
      </c>
      <c r="H130" s="108" t="s">
        <v>793</v>
      </c>
      <c r="I130" s="131"/>
      <c r="J130" s="131"/>
      <c r="K130" s="131"/>
      <c r="L130" s="131"/>
      <c r="M130" s="131"/>
      <c r="N130" s="43"/>
      <c r="O130" s="51"/>
    </row>
    <row r="131">
      <c r="A131" s="16" t="s">
        <v>35</v>
      </c>
      <c r="B131" s="114" t="str">
        <f>IFERROR(VLOOKUP(A131,Internal_lists_bugs!$A$2:$G2033,7,FALSE()),"please select a BUG ID")</f>
        <v>https://opendev.org/openstack/nova/commit/6982d8534d78d9732fc8d6e05c8f3bb432d62264</v>
      </c>
      <c r="C131" s="39" t="str">
        <f>IFERROR(VLOOKUP(A131,Internal_lists_bugs!$A$2:$I2033,9,FALSE()),"please select a BUG ID")</f>
        <v>https://review.opendev.org/c/openstack/nova/+/65042</v>
      </c>
      <c r="D131" s="85"/>
      <c r="E131" s="85"/>
      <c r="F131" s="133"/>
      <c r="G131" s="16" t="s">
        <v>794</v>
      </c>
      <c r="H131" s="108" t="s">
        <v>795</v>
      </c>
      <c r="I131" s="131"/>
      <c r="J131" s="131"/>
      <c r="K131" s="131"/>
      <c r="L131" s="131"/>
      <c r="M131" s="131"/>
      <c r="N131" s="43"/>
      <c r="O131" s="51"/>
    </row>
    <row r="132">
      <c r="A132" s="16" t="s">
        <v>35</v>
      </c>
      <c r="B132" s="114" t="str">
        <f>IFERROR(VLOOKUP(A132,Internal_lists_bugs!$A$2:$G2033,7,FALSE()),"please select a BUG ID")</f>
        <v>https://opendev.org/openstack/nova/commit/6982d8534d78d9732fc8d6e05c8f3bb432d62264</v>
      </c>
      <c r="C132" s="39" t="str">
        <f>IFERROR(VLOOKUP(A132,Internal_lists_bugs!$A$2:$I2033,9,FALSE()),"please select a BUG ID")</f>
        <v>https://review.opendev.org/c/openstack/nova/+/65042</v>
      </c>
      <c r="D132" s="85"/>
      <c r="E132" s="85"/>
      <c r="F132" s="133"/>
      <c r="G132" s="16" t="s">
        <v>796</v>
      </c>
      <c r="H132" s="108" t="s">
        <v>797</v>
      </c>
      <c r="I132" s="131"/>
      <c r="J132" s="131"/>
      <c r="K132" s="131"/>
      <c r="L132" s="131"/>
      <c r="M132" s="131"/>
      <c r="N132" s="43"/>
      <c r="O132" s="51"/>
    </row>
    <row r="133">
      <c r="A133" s="16" t="s">
        <v>35</v>
      </c>
      <c r="B133" s="114" t="str">
        <f>IFERROR(VLOOKUP(A133,Internal_lists_bugs!$A$2:$G2033,7,FALSE()),"please select a BUG ID")</f>
        <v>https://opendev.org/openstack/nova/commit/6982d8534d78d9732fc8d6e05c8f3bb432d62264</v>
      </c>
      <c r="C133" s="39" t="str">
        <f>IFERROR(VLOOKUP(A133,Internal_lists_bugs!$A$2:$I2033,9,FALSE()),"please select a BUG ID")</f>
        <v>https://review.opendev.org/c/openstack/nova/+/65042</v>
      </c>
      <c r="D133" s="85"/>
      <c r="E133" s="85"/>
      <c r="F133" s="133"/>
      <c r="G133" s="16" t="s">
        <v>798</v>
      </c>
      <c r="H133" s="108" t="s">
        <v>799</v>
      </c>
      <c r="I133" s="131"/>
      <c r="J133" s="131"/>
      <c r="K133" s="131"/>
      <c r="L133" s="131"/>
      <c r="M133" s="131"/>
      <c r="N133" s="43"/>
      <c r="O133" s="51"/>
    </row>
    <row r="134">
      <c r="A134" s="16" t="s">
        <v>35</v>
      </c>
      <c r="B134" s="114" t="str">
        <f>IFERROR(VLOOKUP(A134,Internal_lists_bugs!$A$2:$G2033,7,FALSE()),"please select a BUG ID")</f>
        <v>https://opendev.org/openstack/nova/commit/6982d8534d78d9732fc8d6e05c8f3bb432d62264</v>
      </c>
      <c r="C134" s="39" t="str">
        <f>IFERROR(VLOOKUP(A134,Internal_lists_bugs!$A$2:$I2033,9,FALSE()),"please select a BUG ID")</f>
        <v>https://review.opendev.org/c/openstack/nova/+/65042</v>
      </c>
      <c r="D134" s="85"/>
      <c r="E134" s="85"/>
      <c r="F134" s="133"/>
      <c r="G134" s="16" t="s">
        <v>662</v>
      </c>
      <c r="H134" s="108" t="s">
        <v>787</v>
      </c>
      <c r="I134" s="131"/>
      <c r="J134" s="131"/>
      <c r="K134" s="131"/>
      <c r="L134" s="131"/>
      <c r="M134" s="131"/>
      <c r="N134" s="43"/>
      <c r="O134" s="51"/>
    </row>
    <row r="135">
      <c r="A135" s="16" t="s">
        <v>36</v>
      </c>
      <c r="B135" s="114" t="str">
        <f>IFERROR(VLOOKUP(A135,Internal_lists_bugs!$A$2:$G2033,7,FALSE()),"please select a BUG ID")</f>
        <v>https://opendev.org/openstack/nova/commit/995ee643f3291157151d195552232d09d471d8c2</v>
      </c>
      <c r="C135" s="39" t="str">
        <f>IFERROR(VLOOKUP(A135,Internal_lists_bugs!$A$2:$I2033,9,FALSE()),"please select a BUG ID")</f>
        <v>https://review.opendev.org/c/openstack/nova/+/94811</v>
      </c>
      <c r="D135" s="80" t="s">
        <v>632</v>
      </c>
      <c r="E135" s="80"/>
      <c r="F135" s="130" t="s">
        <v>135</v>
      </c>
      <c r="G135" s="43"/>
      <c r="I135" s="131"/>
      <c r="J135" s="131"/>
      <c r="K135" s="131"/>
      <c r="L135" s="131"/>
      <c r="M135" s="131"/>
      <c r="N135" s="16" t="s">
        <v>634</v>
      </c>
      <c r="O135" s="51"/>
    </row>
    <row r="136">
      <c r="A136" s="16" t="s">
        <v>36</v>
      </c>
      <c r="B136" s="114" t="str">
        <f>IFERROR(VLOOKUP(A136,Internal_lists_bugs!$A$2:$G2033,7,FALSE()),"please select a BUG ID")</f>
        <v>https://opendev.org/openstack/nova/commit/995ee643f3291157151d195552232d09d471d8c2</v>
      </c>
      <c r="C136" s="39" t="str">
        <f>IFERROR(VLOOKUP(A136,Internal_lists_bugs!$A$2:$I2033,9,FALSE()),"please select a BUG ID")</f>
        <v>https://review.opendev.org/c/openstack/nova/+/94811</v>
      </c>
      <c r="D136" s="80"/>
      <c r="E136" s="80"/>
      <c r="F136" s="130"/>
      <c r="G136" s="16" t="s">
        <v>775</v>
      </c>
      <c r="H136" s="108" t="s">
        <v>800</v>
      </c>
      <c r="I136" s="131"/>
      <c r="J136" s="131"/>
      <c r="K136" s="131"/>
      <c r="L136" s="131"/>
      <c r="M136" s="131"/>
      <c r="N136" s="43"/>
      <c r="O136" s="51"/>
    </row>
    <row r="137">
      <c r="A137" s="16" t="s">
        <v>36</v>
      </c>
      <c r="B137" s="114" t="str">
        <f>IFERROR(VLOOKUP(A137,Internal_lists_bugs!$A$2:$G2033,7,FALSE()),"please select a BUG ID")</f>
        <v>https://opendev.org/openstack/nova/commit/995ee643f3291157151d195552232d09d471d8c2</v>
      </c>
      <c r="C137" s="39" t="str">
        <f>IFERROR(VLOOKUP(A137,Internal_lists_bugs!$A$2:$I2033,9,FALSE()),"please select a BUG ID")</f>
        <v>https://review.opendev.org/c/openstack/nova/+/94811</v>
      </c>
      <c r="D137" s="80"/>
      <c r="E137" s="80"/>
      <c r="F137" s="130"/>
      <c r="G137" s="16" t="s">
        <v>775</v>
      </c>
      <c r="H137" s="108" t="s">
        <v>801</v>
      </c>
      <c r="I137" s="131"/>
      <c r="J137" s="131"/>
      <c r="K137" s="131"/>
      <c r="L137" s="131"/>
      <c r="M137" s="131"/>
      <c r="N137" s="43"/>
      <c r="O137" s="51"/>
    </row>
    <row r="138">
      <c r="A138" s="16" t="s">
        <v>36</v>
      </c>
      <c r="B138" s="114" t="str">
        <f>IFERROR(VLOOKUP(A138,Internal_lists_bugs!$A$2:$G2033,7,FALSE()),"please select a BUG ID")</f>
        <v>https://opendev.org/openstack/nova/commit/995ee643f3291157151d195552232d09d471d8c2</v>
      </c>
      <c r="C138" s="39" t="str">
        <f>IFERROR(VLOOKUP(A138,Internal_lists_bugs!$A$2:$I2033,9,FALSE()),"please select a BUG ID")</f>
        <v>https://review.opendev.org/c/openstack/nova/+/94811</v>
      </c>
      <c r="D138" s="80"/>
      <c r="E138" s="80"/>
      <c r="F138" s="130"/>
      <c r="G138" s="16" t="s">
        <v>802</v>
      </c>
      <c r="H138" s="108" t="s">
        <v>803</v>
      </c>
      <c r="I138" s="131"/>
      <c r="J138" s="131"/>
      <c r="K138" s="131"/>
      <c r="L138" s="131"/>
      <c r="M138" s="131"/>
      <c r="N138" s="43"/>
      <c r="O138" s="51"/>
    </row>
    <row r="139">
      <c r="A139" s="16" t="s">
        <v>36</v>
      </c>
      <c r="B139" s="114" t="str">
        <f>IFERROR(VLOOKUP(A139,Internal_lists_bugs!$A$2:$G2033,7,FALSE()),"please select a BUG ID")</f>
        <v>https://opendev.org/openstack/nova/commit/995ee643f3291157151d195552232d09d471d8c2</v>
      </c>
      <c r="C139" s="39" t="str">
        <f>IFERROR(VLOOKUP(A139,Internal_lists_bugs!$A$2:$I2033,9,FALSE()),"please select a BUG ID")</f>
        <v>https://review.opendev.org/c/openstack/nova/+/94811</v>
      </c>
      <c r="D139" s="85"/>
      <c r="E139" s="85"/>
      <c r="F139" s="133"/>
      <c r="G139" s="16" t="s">
        <v>709</v>
      </c>
      <c r="H139" s="108" t="s">
        <v>804</v>
      </c>
      <c r="I139" s="131"/>
      <c r="J139" s="131"/>
      <c r="K139" s="131"/>
      <c r="L139" s="131"/>
      <c r="M139" s="131"/>
      <c r="N139" s="43"/>
      <c r="O139" s="51"/>
    </row>
    <row r="140">
      <c r="A140" s="16" t="s">
        <v>36</v>
      </c>
      <c r="B140" s="114" t="str">
        <f>IFERROR(VLOOKUP(A140,Internal_lists_bugs!$A$2:$G2033,7,FALSE()),"please select a BUG ID")</f>
        <v>https://opendev.org/openstack/nova/commit/995ee643f3291157151d195552232d09d471d8c2</v>
      </c>
      <c r="C140" s="39" t="str">
        <f>IFERROR(VLOOKUP(A140,Internal_lists_bugs!$A$2:$I2033,9,FALSE()),"please select a BUG ID")</f>
        <v>https://review.opendev.org/c/openstack/nova/+/94811</v>
      </c>
      <c r="D140" s="85"/>
      <c r="E140" s="85"/>
      <c r="F140" s="133"/>
      <c r="G140" s="16" t="s">
        <v>715</v>
      </c>
      <c r="H140" s="108" t="s">
        <v>805</v>
      </c>
      <c r="I140" s="131"/>
      <c r="J140" s="131"/>
      <c r="K140" s="131"/>
      <c r="L140" s="131"/>
      <c r="M140" s="131"/>
      <c r="N140" s="43"/>
      <c r="O140" s="51"/>
    </row>
    <row r="141">
      <c r="A141" s="16" t="s">
        <v>36</v>
      </c>
      <c r="B141" s="114" t="str">
        <f>IFERROR(VLOOKUP(A141,Internal_lists_bugs!$A$2:$G2033,7,FALSE()),"please select a BUG ID")</f>
        <v>https://opendev.org/openstack/nova/commit/995ee643f3291157151d195552232d09d471d8c2</v>
      </c>
      <c r="C141" s="39" t="str">
        <f>IFERROR(VLOOKUP(A141,Internal_lists_bugs!$A$2:$I2033,9,FALSE()),"please select a BUG ID")</f>
        <v>https://review.opendev.org/c/openstack/nova/+/94811</v>
      </c>
      <c r="D141" s="85"/>
      <c r="E141" s="85"/>
      <c r="F141" s="133"/>
      <c r="G141" s="16" t="s">
        <v>806</v>
      </c>
      <c r="H141" s="108" t="s">
        <v>807</v>
      </c>
      <c r="I141" s="131"/>
      <c r="J141" s="131"/>
      <c r="K141" s="131"/>
      <c r="L141" s="131"/>
      <c r="M141" s="131"/>
      <c r="N141" s="43"/>
      <c r="O141" s="51"/>
    </row>
    <row r="142">
      <c r="A142" s="16" t="s">
        <v>36</v>
      </c>
      <c r="B142" s="114" t="str">
        <f>IFERROR(VLOOKUP(A142,Internal_lists_bugs!$A$2:$G2033,7,FALSE()),"please select a BUG ID")</f>
        <v>https://opendev.org/openstack/nova/commit/995ee643f3291157151d195552232d09d471d8c2</v>
      </c>
      <c r="C142" s="39" t="str">
        <f>IFERROR(VLOOKUP(A142,Internal_lists_bugs!$A$2:$I2033,9,FALSE()),"please select a BUG ID")</f>
        <v>https://review.opendev.org/c/openstack/nova/+/94811</v>
      </c>
      <c r="D142" s="85"/>
      <c r="E142" s="85"/>
      <c r="F142" s="133"/>
      <c r="G142" s="16" t="s">
        <v>808</v>
      </c>
      <c r="H142" s="108" t="s">
        <v>701</v>
      </c>
      <c r="I142" s="131"/>
      <c r="J142" s="131"/>
      <c r="K142" s="131"/>
      <c r="L142" s="131"/>
      <c r="M142" s="131"/>
      <c r="N142" s="43"/>
      <c r="O142" s="51"/>
    </row>
    <row r="143">
      <c r="A143" s="16" t="s">
        <v>36</v>
      </c>
      <c r="B143" s="114" t="str">
        <f>IFERROR(VLOOKUP(A143,Internal_lists_bugs!$A$2:$G2033,7,FALSE()),"please select a BUG ID")</f>
        <v>https://opendev.org/openstack/nova/commit/995ee643f3291157151d195552232d09d471d8c2</v>
      </c>
      <c r="C143" s="39" t="str">
        <f>IFERROR(VLOOKUP(A143,Internal_lists_bugs!$A$2:$I2033,9,FALSE()),"please select a BUG ID")</f>
        <v>https://review.opendev.org/c/openstack/nova/+/94811</v>
      </c>
      <c r="D143" s="85"/>
      <c r="E143" s="85"/>
      <c r="F143" s="133"/>
      <c r="G143" s="16" t="s">
        <v>809</v>
      </c>
      <c r="H143" s="108" t="s">
        <v>701</v>
      </c>
      <c r="I143" s="131"/>
      <c r="J143" s="131"/>
      <c r="K143" s="131"/>
      <c r="L143" s="131"/>
      <c r="M143" s="131"/>
      <c r="N143" s="43"/>
      <c r="O143" s="51"/>
    </row>
    <row r="144">
      <c r="A144" s="16" t="s">
        <v>36</v>
      </c>
      <c r="B144" s="114" t="str">
        <f>IFERROR(VLOOKUP(A144,Internal_lists_bugs!$A$2:$G2033,7,FALSE()),"please select a BUG ID")</f>
        <v>https://opendev.org/openstack/nova/commit/995ee643f3291157151d195552232d09d471d8c2</v>
      </c>
      <c r="C144" s="39" t="str">
        <f>IFERROR(VLOOKUP(A144,Internal_lists_bugs!$A$2:$I2033,9,FALSE()),"please select a BUG ID")</f>
        <v>https://review.opendev.org/c/openstack/nova/+/94811</v>
      </c>
      <c r="D144" s="85"/>
      <c r="E144" s="85"/>
      <c r="F144" s="133"/>
      <c r="G144" s="16" t="s">
        <v>668</v>
      </c>
      <c r="H144" s="108" t="s">
        <v>667</v>
      </c>
      <c r="I144" s="131"/>
      <c r="J144" s="131"/>
      <c r="K144" s="131"/>
      <c r="L144" s="131"/>
      <c r="M144" s="131"/>
      <c r="N144" s="43"/>
      <c r="O144" s="51"/>
    </row>
    <row r="145">
      <c r="A145" s="16" t="s">
        <v>36</v>
      </c>
      <c r="B145" s="114" t="str">
        <f>IFERROR(VLOOKUP(A145,Internal_lists_bugs!$A$2:$G2033,7,FALSE()),"please select a BUG ID")</f>
        <v>https://opendev.org/openstack/nova/commit/995ee643f3291157151d195552232d09d471d8c2</v>
      </c>
      <c r="C145" s="39" t="str">
        <f>IFERROR(VLOOKUP(A145,Internal_lists_bugs!$A$2:$I2033,9,FALSE()),"please select a BUG ID")</f>
        <v>https://review.opendev.org/c/openstack/nova/+/94811</v>
      </c>
      <c r="D145" s="85"/>
      <c r="E145" s="85"/>
      <c r="F145" s="133"/>
      <c r="G145" s="16" t="s">
        <v>698</v>
      </c>
      <c r="H145" s="108" t="s">
        <v>810</v>
      </c>
      <c r="I145" s="131"/>
      <c r="J145" s="131"/>
      <c r="K145" s="131"/>
      <c r="L145" s="131"/>
      <c r="M145" s="131"/>
      <c r="N145" s="43"/>
      <c r="O145" s="51"/>
    </row>
    <row r="146">
      <c r="A146" s="16" t="s">
        <v>36</v>
      </c>
      <c r="B146" s="114" t="str">
        <f>IFERROR(VLOOKUP(A146,Internal_lists_bugs!$A$2:$G2033,7,FALSE()),"please select a BUG ID")</f>
        <v>https://opendev.org/openstack/nova/commit/995ee643f3291157151d195552232d09d471d8c2</v>
      </c>
      <c r="C146" s="39" t="str">
        <f>IFERROR(VLOOKUP(A146,Internal_lists_bugs!$A$2:$I2033,9,FALSE()),"please select a BUG ID")</f>
        <v>https://review.opendev.org/c/openstack/nova/+/94811</v>
      </c>
      <c r="D146" s="85"/>
      <c r="E146" s="85"/>
      <c r="F146" s="133"/>
      <c r="G146" s="16" t="s">
        <v>683</v>
      </c>
      <c r="H146" s="108" t="s">
        <v>811</v>
      </c>
      <c r="I146" s="131"/>
      <c r="J146" s="131"/>
      <c r="K146" s="131"/>
      <c r="L146" s="131"/>
      <c r="M146" s="131"/>
      <c r="N146" s="43"/>
      <c r="O146" s="51"/>
    </row>
    <row r="147">
      <c r="A147" s="16" t="s">
        <v>36</v>
      </c>
      <c r="B147" s="114" t="str">
        <f>IFERROR(VLOOKUP(A147,Internal_lists_bugs!$A$2:$G2033,7,FALSE()),"please select a BUG ID")</f>
        <v>https://opendev.org/openstack/nova/commit/995ee643f3291157151d195552232d09d471d8c2</v>
      </c>
      <c r="C147" s="39" t="str">
        <f>IFERROR(VLOOKUP(A147,Internal_lists_bugs!$A$2:$I2033,9,FALSE()),"please select a BUG ID")</f>
        <v>https://review.opendev.org/c/openstack/nova/+/94811</v>
      </c>
      <c r="D147" s="85"/>
      <c r="E147" s="85"/>
      <c r="F147" s="133"/>
      <c r="G147" s="16" t="s">
        <v>687</v>
      </c>
      <c r="H147" s="108" t="s">
        <v>812</v>
      </c>
      <c r="I147" s="131"/>
      <c r="J147" s="131"/>
      <c r="K147" s="131"/>
      <c r="L147" s="131"/>
      <c r="M147" s="131"/>
      <c r="N147" s="43"/>
      <c r="O147" s="51"/>
    </row>
    <row r="148">
      <c r="A148" s="16" t="s">
        <v>36</v>
      </c>
      <c r="B148" s="114" t="str">
        <f>IFERROR(VLOOKUP(A148,Internal_lists_bugs!$A$2:$G2033,7,FALSE()),"please select a BUG ID")</f>
        <v>https://opendev.org/openstack/nova/commit/995ee643f3291157151d195552232d09d471d8c2</v>
      </c>
      <c r="C148" s="39" t="str">
        <f>IFERROR(VLOOKUP(A148,Internal_lists_bugs!$A$2:$I2033,9,FALSE()),"please select a BUG ID")</f>
        <v>https://review.opendev.org/c/openstack/nova/+/94811</v>
      </c>
      <c r="D148" s="85"/>
      <c r="E148" s="85"/>
      <c r="F148" s="133"/>
      <c r="G148" s="16" t="s">
        <v>664</v>
      </c>
      <c r="H148" s="108" t="s">
        <v>813</v>
      </c>
      <c r="I148" s="131"/>
      <c r="J148" s="131"/>
      <c r="K148" s="131"/>
      <c r="L148" s="131"/>
      <c r="M148" s="131"/>
      <c r="N148" s="43"/>
      <c r="O148" s="51"/>
    </row>
    <row r="149">
      <c r="A149" s="16" t="s">
        <v>36</v>
      </c>
      <c r="B149" s="114" t="str">
        <f>IFERROR(VLOOKUP(A149,Internal_lists_bugs!$A$2:$G2033,7,FALSE()),"please select a BUG ID")</f>
        <v>https://opendev.org/openstack/nova/commit/995ee643f3291157151d195552232d09d471d8c2</v>
      </c>
      <c r="C149" s="39" t="str">
        <f>IFERROR(VLOOKUP(A149,Internal_lists_bugs!$A$2:$I2033,9,FALSE()),"please select a BUG ID")</f>
        <v>https://review.opendev.org/c/openstack/nova/+/94811</v>
      </c>
      <c r="D149" s="85"/>
      <c r="E149" s="85"/>
      <c r="F149" s="133"/>
      <c r="G149" s="16" t="s">
        <v>685</v>
      </c>
      <c r="H149" s="108" t="s">
        <v>814</v>
      </c>
      <c r="I149" s="131"/>
      <c r="J149" s="131"/>
      <c r="K149" s="131"/>
      <c r="L149" s="131"/>
      <c r="M149" s="131"/>
      <c r="N149" s="43"/>
      <c r="O149" s="51"/>
    </row>
    <row r="150">
      <c r="A150" s="16" t="s">
        <v>36</v>
      </c>
      <c r="B150" s="114" t="str">
        <f>IFERROR(VLOOKUP(A150,Internal_lists_bugs!$A$2:$G2033,7,FALSE()),"please select a BUG ID")</f>
        <v>https://opendev.org/openstack/nova/commit/995ee643f3291157151d195552232d09d471d8c2</v>
      </c>
      <c r="C150" s="39" t="str">
        <f>IFERROR(VLOOKUP(A150,Internal_lists_bugs!$A$2:$I2033,9,FALSE()),"please select a BUG ID")</f>
        <v>https://review.opendev.org/c/openstack/nova/+/94811</v>
      </c>
      <c r="D150" s="85"/>
      <c r="E150" s="85"/>
      <c r="F150" s="133"/>
      <c r="G150" s="16" t="s">
        <v>702</v>
      </c>
      <c r="H150" s="108" t="s">
        <v>814</v>
      </c>
      <c r="I150" s="131"/>
      <c r="J150" s="131"/>
      <c r="K150" s="131"/>
      <c r="L150" s="131"/>
      <c r="M150" s="131"/>
      <c r="N150" s="43"/>
      <c r="O150" s="51"/>
    </row>
    <row r="151">
      <c r="A151" s="16" t="s">
        <v>36</v>
      </c>
      <c r="B151" s="114" t="str">
        <f>IFERROR(VLOOKUP(A151,Internal_lists_bugs!$A$2:$G2033,7,FALSE()),"please select a BUG ID")</f>
        <v>https://opendev.org/openstack/nova/commit/995ee643f3291157151d195552232d09d471d8c2</v>
      </c>
      <c r="C151" s="39" t="str">
        <f>IFERROR(VLOOKUP(A151,Internal_lists_bugs!$A$2:$I2033,9,FALSE()),"please select a BUG ID")</f>
        <v>https://review.opendev.org/c/openstack/nova/+/94811</v>
      </c>
      <c r="D151" s="85"/>
      <c r="E151" s="85"/>
      <c r="F151" s="133"/>
      <c r="G151" s="16" t="s">
        <v>815</v>
      </c>
      <c r="H151" s="108" t="s">
        <v>816</v>
      </c>
      <c r="I151" s="131"/>
      <c r="J151" s="131"/>
      <c r="K151" s="131"/>
      <c r="L151" s="131"/>
      <c r="M151" s="131"/>
      <c r="N151" s="43"/>
      <c r="O151" s="51"/>
    </row>
    <row r="152">
      <c r="A152" s="16" t="s">
        <v>36</v>
      </c>
      <c r="B152" s="114" t="str">
        <f>IFERROR(VLOOKUP(A152,Internal_lists_bugs!$A$2:$G2033,7,FALSE()),"please select a BUG ID")</f>
        <v>https://opendev.org/openstack/nova/commit/995ee643f3291157151d195552232d09d471d8c2</v>
      </c>
      <c r="C152" s="39" t="str">
        <f>IFERROR(VLOOKUP(A152,Internal_lists_bugs!$A$2:$I2033,9,FALSE()),"please select a BUG ID")</f>
        <v>https://review.opendev.org/c/openstack/nova/+/94811</v>
      </c>
      <c r="D152" s="85"/>
      <c r="E152" s="85"/>
      <c r="F152" s="133"/>
      <c r="G152" s="16" t="s">
        <v>705</v>
      </c>
      <c r="H152" s="108" t="s">
        <v>817</v>
      </c>
      <c r="I152" s="131"/>
      <c r="J152" s="131"/>
      <c r="K152" s="131"/>
      <c r="L152" s="131"/>
      <c r="M152" s="131"/>
      <c r="N152" s="43"/>
      <c r="O152" s="51"/>
    </row>
    <row r="153">
      <c r="A153" s="16" t="s">
        <v>36</v>
      </c>
      <c r="B153" s="114" t="str">
        <f>IFERROR(VLOOKUP(A153,Internal_lists_bugs!$A$2:$G2033,7,FALSE()),"please select a BUG ID")</f>
        <v>https://opendev.org/openstack/nova/commit/995ee643f3291157151d195552232d09d471d8c2</v>
      </c>
      <c r="C153" s="39" t="str">
        <f>IFERROR(VLOOKUP(A153,Internal_lists_bugs!$A$2:$I2033,9,FALSE()),"please select a BUG ID")</f>
        <v>https://review.opendev.org/c/openstack/nova/+/94811</v>
      </c>
      <c r="D153" s="85"/>
      <c r="E153" s="85"/>
      <c r="F153" s="133"/>
      <c r="G153" s="16" t="s">
        <v>818</v>
      </c>
      <c r="H153" s="108" t="s">
        <v>817</v>
      </c>
      <c r="I153" s="131"/>
      <c r="J153" s="131"/>
      <c r="K153" s="131"/>
      <c r="L153" s="131"/>
      <c r="M153" s="131"/>
      <c r="N153" s="43"/>
      <c r="O153" s="51"/>
    </row>
    <row r="154">
      <c r="A154" s="16" t="s">
        <v>36</v>
      </c>
      <c r="B154" s="114" t="str">
        <f>IFERROR(VLOOKUP(A154,Internal_lists_bugs!$A$2:$G2033,7,FALSE()),"please select a BUG ID")</f>
        <v>https://opendev.org/openstack/nova/commit/995ee643f3291157151d195552232d09d471d8c2</v>
      </c>
      <c r="C154" s="39" t="str">
        <f>IFERROR(VLOOKUP(A154,Internal_lists_bugs!$A$2:$I2033,9,FALSE()),"please select a BUG ID")</f>
        <v>https://review.opendev.org/c/openstack/nova/+/94811</v>
      </c>
      <c r="D154" s="85"/>
      <c r="E154" s="85"/>
      <c r="F154" s="133"/>
      <c r="G154" s="16" t="s">
        <v>819</v>
      </c>
      <c r="H154" s="108" t="s">
        <v>820</v>
      </c>
      <c r="I154" s="131"/>
      <c r="J154" s="131"/>
      <c r="K154" s="131"/>
      <c r="L154" s="131"/>
      <c r="M154" s="131"/>
      <c r="N154" s="43"/>
      <c r="O154" s="51"/>
    </row>
    <row r="155">
      <c r="A155" s="16" t="s">
        <v>36</v>
      </c>
      <c r="B155" s="114" t="str">
        <f>IFERROR(VLOOKUP(A155,Internal_lists_bugs!$A$2:$G2033,7,FALSE()),"please select a BUG ID")</f>
        <v>https://opendev.org/openstack/nova/commit/995ee643f3291157151d195552232d09d471d8c2</v>
      </c>
      <c r="C155" s="39" t="str">
        <f>IFERROR(VLOOKUP(A155,Internal_lists_bugs!$A$2:$I2033,9,FALSE()),"please select a BUG ID")</f>
        <v>https://review.opendev.org/c/openstack/nova/+/94811</v>
      </c>
      <c r="D155" s="85"/>
      <c r="E155" s="85"/>
      <c r="F155" s="133"/>
      <c r="G155" s="16" t="s">
        <v>691</v>
      </c>
      <c r="H155" s="108" t="s">
        <v>820</v>
      </c>
      <c r="I155" s="131"/>
      <c r="J155" s="131"/>
      <c r="K155" s="131"/>
      <c r="L155" s="131"/>
      <c r="M155" s="131"/>
      <c r="N155" s="43"/>
      <c r="O155" s="51"/>
    </row>
    <row r="156">
      <c r="A156" s="16" t="s">
        <v>36</v>
      </c>
      <c r="B156" s="114" t="str">
        <f>IFERROR(VLOOKUP(A156,Internal_lists_bugs!$A$2:$G2033,7,FALSE()),"please select a BUG ID")</f>
        <v>https://opendev.org/openstack/nova/commit/995ee643f3291157151d195552232d09d471d8c2</v>
      </c>
      <c r="C156" s="39" t="str">
        <f>IFERROR(VLOOKUP(A156,Internal_lists_bugs!$A$2:$I2033,9,FALSE()),"please select a BUG ID")</f>
        <v>https://review.opendev.org/c/openstack/nova/+/94811</v>
      </c>
      <c r="D156" s="85"/>
      <c r="E156" s="85"/>
      <c r="F156" s="133"/>
      <c r="G156" s="16" t="s">
        <v>821</v>
      </c>
      <c r="H156" s="108" t="s">
        <v>820</v>
      </c>
      <c r="I156" s="131"/>
      <c r="J156" s="131"/>
      <c r="K156" s="131"/>
      <c r="L156" s="131"/>
      <c r="M156" s="131"/>
      <c r="N156" s="43"/>
      <c r="O156" s="51"/>
    </row>
    <row r="157">
      <c r="A157" s="16" t="s">
        <v>36</v>
      </c>
      <c r="B157" s="114" t="str">
        <f>IFERROR(VLOOKUP(A157,Internal_lists_bugs!$A$2:$G2033,7,FALSE()),"please select a BUG ID")</f>
        <v>https://opendev.org/openstack/nova/commit/995ee643f3291157151d195552232d09d471d8c2</v>
      </c>
      <c r="C157" s="39" t="str">
        <f>IFERROR(VLOOKUP(A157,Internal_lists_bugs!$A$2:$I2033,9,FALSE()),"please select a BUG ID")</f>
        <v>https://review.opendev.org/c/openstack/nova/+/94811</v>
      </c>
      <c r="D157" s="85"/>
      <c r="E157" s="85"/>
      <c r="F157" s="133"/>
      <c r="G157" s="16" t="s">
        <v>822</v>
      </c>
      <c r="H157" s="108" t="s">
        <v>820</v>
      </c>
      <c r="I157" s="131"/>
      <c r="J157" s="131"/>
      <c r="K157" s="131"/>
      <c r="L157" s="131"/>
      <c r="M157" s="131"/>
      <c r="N157" s="43"/>
      <c r="O157" s="51"/>
    </row>
    <row r="158">
      <c r="A158" s="16" t="s">
        <v>36</v>
      </c>
      <c r="B158" s="114" t="str">
        <f>IFERROR(VLOOKUP(A158,Internal_lists_bugs!$A$2:$G2033,7,FALSE()),"please select a BUG ID")</f>
        <v>https://opendev.org/openstack/nova/commit/995ee643f3291157151d195552232d09d471d8c2</v>
      </c>
      <c r="C158" s="39" t="str">
        <f>IFERROR(VLOOKUP(A158,Internal_lists_bugs!$A$2:$I2033,9,FALSE()),"please select a BUG ID")</f>
        <v>https://review.opendev.org/c/openstack/nova/+/94811</v>
      </c>
      <c r="D158" s="85"/>
      <c r="E158" s="85"/>
      <c r="F158" s="133"/>
      <c r="G158" s="16" t="s">
        <v>823</v>
      </c>
      <c r="H158" s="108" t="s">
        <v>824</v>
      </c>
      <c r="I158" s="131"/>
      <c r="J158" s="131"/>
      <c r="K158" s="131"/>
      <c r="L158" s="131"/>
      <c r="M158" s="131"/>
      <c r="N158" s="43"/>
      <c r="O158" s="51"/>
    </row>
    <row r="159">
      <c r="A159" s="16" t="s">
        <v>36</v>
      </c>
      <c r="B159" s="114" t="str">
        <f>IFERROR(VLOOKUP(A159,Internal_lists_bugs!$A$2:$G2033,7,FALSE()),"please select a BUG ID")</f>
        <v>https://opendev.org/openstack/nova/commit/995ee643f3291157151d195552232d09d471d8c2</v>
      </c>
      <c r="C159" s="39" t="str">
        <f>IFERROR(VLOOKUP(A159,Internal_lists_bugs!$A$2:$I2033,9,FALSE()),"please select a BUG ID")</f>
        <v>https://review.opendev.org/c/openstack/nova/+/94811</v>
      </c>
      <c r="D159" s="80"/>
      <c r="E159" s="80"/>
      <c r="F159" s="130"/>
      <c r="G159" s="16" t="s">
        <v>668</v>
      </c>
      <c r="H159" s="108" t="s">
        <v>825</v>
      </c>
      <c r="I159" s="131"/>
      <c r="J159" s="131"/>
      <c r="K159" s="131"/>
      <c r="L159" s="131"/>
      <c r="M159" s="131"/>
      <c r="N159" s="43"/>
      <c r="O159" s="51"/>
    </row>
    <row r="160">
      <c r="A160" s="16" t="s">
        <v>36</v>
      </c>
      <c r="B160" s="114" t="str">
        <f>IFERROR(VLOOKUP(A160,Internal_lists_bugs!$A$2:$G2033,7,FALSE()),"please select a BUG ID")</f>
        <v>https://opendev.org/openstack/nova/commit/995ee643f3291157151d195552232d09d471d8c2</v>
      </c>
      <c r="C160" s="39" t="str">
        <f>IFERROR(VLOOKUP(A160,Internal_lists_bugs!$A$2:$I2033,9,FALSE()),"please select a BUG ID")</f>
        <v>https://review.opendev.org/c/openstack/nova/+/94811</v>
      </c>
      <c r="D160" s="80"/>
      <c r="E160" s="80"/>
      <c r="F160" s="130"/>
      <c r="G160" s="16" t="s">
        <v>668</v>
      </c>
      <c r="H160" s="108" t="s">
        <v>825</v>
      </c>
      <c r="I160" s="131"/>
      <c r="J160" s="131"/>
      <c r="K160" s="131"/>
      <c r="L160" s="131"/>
      <c r="M160" s="131"/>
      <c r="N160" s="43"/>
      <c r="O160" s="51"/>
    </row>
    <row r="161">
      <c r="A161" s="16" t="s">
        <v>36</v>
      </c>
      <c r="B161" s="114" t="str">
        <f>IFERROR(VLOOKUP(A161,Internal_lists_bugs!$A$2:$G2033,7,FALSE()),"please select a BUG ID")</f>
        <v>https://opendev.org/openstack/nova/commit/995ee643f3291157151d195552232d09d471d8c2</v>
      </c>
      <c r="C161" s="39" t="str">
        <f>IFERROR(VLOOKUP(A161,Internal_lists_bugs!$A$2:$I2033,9,FALSE()),"please select a BUG ID")</f>
        <v>https://review.opendev.org/c/openstack/nova/+/94811</v>
      </c>
      <c r="D161" s="85"/>
      <c r="E161" s="85"/>
      <c r="F161" s="133"/>
      <c r="G161" s="16" t="s">
        <v>662</v>
      </c>
      <c r="H161" s="108" t="s">
        <v>824</v>
      </c>
      <c r="I161" s="131"/>
      <c r="J161" s="131"/>
      <c r="K161" s="131"/>
      <c r="L161" s="131"/>
      <c r="M161" s="131"/>
      <c r="N161" s="43"/>
      <c r="O161" s="51"/>
    </row>
    <row r="162">
      <c r="A162" s="16" t="s">
        <v>37</v>
      </c>
      <c r="B162" s="114" t="str">
        <f>IFERROR(VLOOKUP(A162,Internal_lists_bugs!$A$2:$G2033,7,FALSE()),"please select a BUG ID")</f>
        <v>https://opendev.org/openstack/nova/commit/8218a86dedd50301252598667171d17d874bb36d</v>
      </c>
      <c r="C162" s="39" t="str">
        <f>IFERROR(VLOOKUP(A162,Internal_lists_bugs!$A$2:$I2033,9,FALSE()),"please select a BUG ID")</f>
        <v>https://review.opendev.org/c/openstack/nova/+/70215</v>
      </c>
      <c r="D162" s="80" t="s">
        <v>632</v>
      </c>
      <c r="E162" s="85"/>
      <c r="F162" s="130" t="s">
        <v>135</v>
      </c>
      <c r="G162" s="16" t="s">
        <v>633</v>
      </c>
      <c r="H162" s="16" t="s">
        <v>123</v>
      </c>
      <c r="I162" s="131"/>
      <c r="J162" s="131"/>
      <c r="K162" s="131"/>
      <c r="L162" s="131"/>
      <c r="M162" s="131"/>
      <c r="N162" s="16" t="s">
        <v>634</v>
      </c>
      <c r="O162" s="51"/>
    </row>
    <row r="163">
      <c r="A163" s="16" t="s">
        <v>37</v>
      </c>
      <c r="B163" s="114" t="str">
        <f>IFERROR(VLOOKUP(A163,Internal_lists_bugs!$A$2:$G2033,7,FALSE()),"please select a BUG ID")</f>
        <v>https://opendev.org/openstack/nova/commit/8218a86dedd50301252598667171d17d874bb36d</v>
      </c>
      <c r="C163" s="39" t="str">
        <f>IFERROR(VLOOKUP(A163,Internal_lists_bugs!$A$2:$I2033,9,FALSE()),"please select a BUG ID")</f>
        <v>https://review.opendev.org/c/openstack/nova/+/70215</v>
      </c>
      <c r="D163" s="85"/>
      <c r="E163" s="85"/>
      <c r="F163" s="133"/>
      <c r="G163" s="16" t="s">
        <v>776</v>
      </c>
      <c r="H163" s="16" t="s">
        <v>123</v>
      </c>
      <c r="I163" s="131"/>
      <c r="J163" s="131"/>
      <c r="K163" s="131"/>
      <c r="L163" s="131"/>
      <c r="M163" s="131"/>
      <c r="N163" s="43"/>
      <c r="O163" s="51"/>
    </row>
    <row r="164">
      <c r="A164" s="16" t="s">
        <v>37</v>
      </c>
      <c r="B164" s="114" t="str">
        <f>IFERROR(VLOOKUP(A164,Internal_lists_bugs!$A$2:$G2033,7,FALSE()),"please select a BUG ID")</f>
        <v>https://opendev.org/openstack/nova/commit/8218a86dedd50301252598667171d17d874bb36d</v>
      </c>
      <c r="C164" s="39" t="str">
        <f>IFERROR(VLOOKUP(A164,Internal_lists_bugs!$A$2:$I2033,9,FALSE()),"please select a BUG ID")</f>
        <v>https://review.opendev.org/c/openstack/nova/+/70215</v>
      </c>
      <c r="D164" s="85"/>
      <c r="E164" s="85"/>
      <c r="F164" s="133"/>
      <c r="G164" s="16" t="s">
        <v>652</v>
      </c>
      <c r="H164" s="108" t="s">
        <v>826</v>
      </c>
      <c r="I164" s="131"/>
      <c r="J164" s="131"/>
      <c r="K164" s="131"/>
      <c r="L164" s="131"/>
      <c r="M164" s="131"/>
      <c r="N164" s="43"/>
      <c r="O164" s="51"/>
    </row>
    <row r="165">
      <c r="A165" s="16" t="s">
        <v>37</v>
      </c>
      <c r="B165" s="114" t="str">
        <f>IFERROR(VLOOKUP(A165,Internal_lists_bugs!$A$2:$G2033,7,FALSE()),"please select a BUG ID")</f>
        <v>https://opendev.org/openstack/nova/commit/8218a86dedd50301252598667171d17d874bb36d</v>
      </c>
      <c r="C165" s="39" t="str">
        <f>IFERROR(VLOOKUP(A165,Internal_lists_bugs!$A$2:$I2033,9,FALSE()),"please select a BUG ID")</f>
        <v>https://review.opendev.org/c/openstack/nova/+/70215</v>
      </c>
      <c r="D165" s="85"/>
      <c r="E165" s="85"/>
      <c r="F165" s="133"/>
      <c r="G165" s="16" t="s">
        <v>662</v>
      </c>
      <c r="H165" s="108" t="s">
        <v>659</v>
      </c>
      <c r="I165" s="131"/>
      <c r="J165" s="131"/>
      <c r="K165" s="131"/>
      <c r="L165" s="131"/>
      <c r="M165" s="131"/>
      <c r="N165" s="43"/>
      <c r="O165" s="51"/>
    </row>
    <row r="166">
      <c r="A166" s="16" t="s">
        <v>37</v>
      </c>
      <c r="B166" s="114" t="str">
        <f>IFERROR(VLOOKUP(A166,Internal_lists_bugs!$A$2:$G2033,7,FALSE()),"please select a BUG ID")</f>
        <v>https://opendev.org/openstack/nova/commit/8218a86dedd50301252598667171d17d874bb36d</v>
      </c>
      <c r="C166" s="39" t="str">
        <f>IFERROR(VLOOKUP(A166,Internal_lists_bugs!$A$2:$I2033,9,FALSE()),"please select a BUG ID")</f>
        <v>https://review.opendev.org/c/openstack/nova/+/70215</v>
      </c>
      <c r="D166" s="85"/>
      <c r="E166" s="85"/>
      <c r="F166" s="133"/>
      <c r="G166" s="16" t="s">
        <v>662</v>
      </c>
      <c r="H166" s="108" t="s">
        <v>659</v>
      </c>
      <c r="I166" s="131"/>
      <c r="J166" s="131"/>
      <c r="K166" s="131"/>
      <c r="L166" s="131"/>
      <c r="M166" s="131"/>
      <c r="N166" s="43"/>
      <c r="O166" s="51"/>
    </row>
    <row r="167">
      <c r="A167" s="16" t="s">
        <v>37</v>
      </c>
      <c r="B167" s="114" t="str">
        <f>IFERROR(VLOOKUP(A167,Internal_lists_bugs!$A$2:$G2033,7,FALSE()),"please select a BUG ID")</f>
        <v>https://opendev.org/openstack/nova/commit/8218a86dedd50301252598667171d17d874bb36d</v>
      </c>
      <c r="C167" s="39" t="str">
        <f>IFERROR(VLOOKUP(A167,Internal_lists_bugs!$A$2:$I2033,9,FALSE()),"please select a BUG ID")</f>
        <v>https://review.opendev.org/c/openstack/nova/+/70215</v>
      </c>
      <c r="D167" s="85"/>
      <c r="E167" s="85"/>
      <c r="F167" s="133"/>
      <c r="G167" s="16" t="s">
        <v>658</v>
      </c>
      <c r="H167" s="108" t="s">
        <v>827</v>
      </c>
      <c r="I167" s="131"/>
      <c r="J167" s="131"/>
      <c r="K167" s="131"/>
      <c r="L167" s="131"/>
      <c r="M167" s="131"/>
      <c r="N167" s="43"/>
      <c r="O167" s="51"/>
    </row>
    <row r="168">
      <c r="A168" s="16" t="s">
        <v>37</v>
      </c>
      <c r="B168" s="114" t="str">
        <f>IFERROR(VLOOKUP(A168,Internal_lists_bugs!$A$2:$G2033,7,FALSE()),"please select a BUG ID")</f>
        <v>https://opendev.org/openstack/nova/commit/8218a86dedd50301252598667171d17d874bb36d</v>
      </c>
      <c r="C168" s="39" t="str">
        <f>IFERROR(VLOOKUP(A168,Internal_lists_bugs!$A$2:$I2033,9,FALSE()),"please select a BUG ID")</f>
        <v>https://review.opendev.org/c/openstack/nova/+/70215</v>
      </c>
      <c r="D168" s="85"/>
      <c r="E168" s="85"/>
      <c r="F168" s="133"/>
      <c r="G168" s="16" t="s">
        <v>650</v>
      </c>
      <c r="H168" s="108" t="s">
        <v>828</v>
      </c>
      <c r="I168" s="131"/>
      <c r="J168" s="131"/>
      <c r="K168" s="131"/>
      <c r="L168" s="131"/>
      <c r="M168" s="131"/>
      <c r="N168" s="43"/>
      <c r="O168" s="51"/>
    </row>
    <row r="169">
      <c r="A169" s="16" t="s">
        <v>37</v>
      </c>
      <c r="B169" s="114" t="str">
        <f>IFERROR(VLOOKUP(A169,Internal_lists_bugs!$A$2:$G2033,7,FALSE()),"please select a BUG ID")</f>
        <v>https://opendev.org/openstack/nova/commit/8218a86dedd50301252598667171d17d874bb36d</v>
      </c>
      <c r="C169" s="39" t="str">
        <f>IFERROR(VLOOKUP(A169,Internal_lists_bugs!$A$2:$I2033,9,FALSE()),"please select a BUG ID")</f>
        <v>https://review.opendev.org/c/openstack/nova/+/70215</v>
      </c>
      <c r="D169" s="85"/>
      <c r="E169" s="85"/>
      <c r="F169" s="133"/>
      <c r="G169" s="16" t="s">
        <v>829</v>
      </c>
      <c r="H169" s="108" t="s">
        <v>830</v>
      </c>
      <c r="I169" s="131"/>
      <c r="J169" s="131"/>
      <c r="K169" s="131"/>
      <c r="L169" s="131"/>
      <c r="M169" s="131"/>
      <c r="N169" s="43"/>
      <c r="O169" s="51"/>
    </row>
    <row r="170">
      <c r="A170" s="16" t="s">
        <v>37</v>
      </c>
      <c r="B170" s="114" t="str">
        <f>IFERROR(VLOOKUP(A170,Internal_lists_bugs!$A$2:$G2033,7,FALSE()),"please select a BUG ID")</f>
        <v>https://opendev.org/openstack/nova/commit/8218a86dedd50301252598667171d17d874bb36d</v>
      </c>
      <c r="C170" s="39" t="str">
        <f>IFERROR(VLOOKUP(A170,Internal_lists_bugs!$A$2:$I2033,9,FALSE()),"please select a BUG ID")</f>
        <v>https://review.opendev.org/c/openstack/nova/+/70215</v>
      </c>
      <c r="D170" s="85"/>
      <c r="E170" s="85"/>
      <c r="F170" s="133"/>
      <c r="G170" s="16" t="s">
        <v>831</v>
      </c>
      <c r="H170" s="108" t="s">
        <v>832</v>
      </c>
      <c r="I170" s="131"/>
      <c r="J170" s="131"/>
      <c r="K170" s="131"/>
      <c r="L170" s="131"/>
      <c r="M170" s="131"/>
      <c r="N170" s="43"/>
      <c r="O170" s="51"/>
    </row>
    <row r="171">
      <c r="A171" s="16" t="s">
        <v>37</v>
      </c>
      <c r="B171" s="114" t="str">
        <f>IFERROR(VLOOKUP(A171,Internal_lists_bugs!$A$2:$G2033,7,FALSE()),"please select a BUG ID")</f>
        <v>https://opendev.org/openstack/nova/commit/8218a86dedd50301252598667171d17d874bb36d</v>
      </c>
      <c r="C171" s="39" t="str">
        <f>IFERROR(VLOOKUP(A171,Internal_lists_bugs!$A$2:$I2033,9,FALSE()),"please select a BUG ID")</f>
        <v>https://review.opendev.org/c/openstack/nova/+/70215</v>
      </c>
      <c r="D171" s="85"/>
      <c r="E171" s="85"/>
      <c r="F171" s="133"/>
      <c r="G171" s="16" t="s">
        <v>794</v>
      </c>
      <c r="H171" s="108" t="s">
        <v>833</v>
      </c>
      <c r="I171" s="131"/>
      <c r="J171" s="131"/>
      <c r="K171" s="131"/>
      <c r="L171" s="131"/>
      <c r="M171" s="131"/>
      <c r="N171" s="43"/>
      <c r="O171" s="51"/>
    </row>
    <row r="172">
      <c r="A172" s="16" t="s">
        <v>37</v>
      </c>
      <c r="B172" s="114" t="str">
        <f>IFERROR(VLOOKUP(A172,Internal_lists_bugs!$A$2:$G2033,7,FALSE()),"please select a BUG ID")</f>
        <v>https://opendev.org/openstack/nova/commit/8218a86dedd50301252598667171d17d874bb36d</v>
      </c>
      <c r="C172" s="39" t="str">
        <f>IFERROR(VLOOKUP(A172,Internal_lists_bugs!$A$2:$I2033,9,FALSE()),"please select a BUG ID")</f>
        <v>https://review.opendev.org/c/openstack/nova/+/70215</v>
      </c>
      <c r="D172" s="85"/>
      <c r="E172" s="85"/>
      <c r="F172" s="133"/>
      <c r="G172" s="16" t="s">
        <v>796</v>
      </c>
      <c r="H172" s="108" t="s">
        <v>834</v>
      </c>
      <c r="I172" s="131"/>
      <c r="J172" s="131"/>
      <c r="K172" s="131"/>
      <c r="L172" s="131"/>
      <c r="M172" s="131"/>
      <c r="N172" s="43"/>
      <c r="O172" s="51"/>
    </row>
    <row r="173">
      <c r="A173" s="16" t="s">
        <v>37</v>
      </c>
      <c r="B173" s="114" t="str">
        <f>IFERROR(VLOOKUP(A173,Internal_lists_bugs!$A$2:$G2033,7,FALSE()),"please select a BUG ID")</f>
        <v>https://opendev.org/openstack/nova/commit/8218a86dedd50301252598667171d17d874bb36d</v>
      </c>
      <c r="C173" s="39" t="str">
        <f>IFERROR(VLOOKUP(A173,Internal_lists_bugs!$A$2:$I2033,9,FALSE()),"please select a BUG ID")</f>
        <v>https://review.opendev.org/c/openstack/nova/+/70215</v>
      </c>
      <c r="D173" s="85"/>
      <c r="E173" s="85"/>
      <c r="F173" s="133"/>
      <c r="G173" s="16" t="s">
        <v>835</v>
      </c>
      <c r="H173" s="108" t="s">
        <v>836</v>
      </c>
      <c r="I173" s="131"/>
      <c r="J173" s="131"/>
      <c r="K173" s="131"/>
      <c r="L173" s="131"/>
      <c r="M173" s="131"/>
      <c r="N173" s="43"/>
      <c r="O173" s="51"/>
    </row>
    <row r="174">
      <c r="A174" s="16" t="s">
        <v>37</v>
      </c>
      <c r="B174" s="114" t="str">
        <f>IFERROR(VLOOKUP(A174,Internal_lists_bugs!$A$2:$G2033,7,FALSE()),"please select a BUG ID")</f>
        <v>https://opendev.org/openstack/nova/commit/8218a86dedd50301252598667171d17d874bb36d</v>
      </c>
      <c r="C174" s="39" t="str">
        <f>IFERROR(VLOOKUP(A174,Internal_lists_bugs!$A$2:$I2033,9,FALSE()),"please select a BUG ID")</f>
        <v>https://review.opendev.org/c/openstack/nova/+/70215</v>
      </c>
      <c r="D174" s="85"/>
      <c r="E174" s="85"/>
      <c r="F174" s="133"/>
      <c r="G174" s="16" t="s">
        <v>837</v>
      </c>
      <c r="H174" s="108" t="s">
        <v>838</v>
      </c>
      <c r="I174" s="131"/>
      <c r="J174" s="131"/>
      <c r="K174" s="131"/>
      <c r="L174" s="131"/>
      <c r="M174" s="131"/>
      <c r="N174" s="43"/>
      <c r="O174" s="51"/>
    </row>
    <row r="175">
      <c r="A175" s="16" t="s">
        <v>37</v>
      </c>
      <c r="B175" s="114" t="str">
        <f>IFERROR(VLOOKUP(A175,Internal_lists_bugs!$A$2:$G2033,7,FALSE()),"please select a BUG ID")</f>
        <v>https://opendev.org/openstack/nova/commit/8218a86dedd50301252598667171d17d874bb36d</v>
      </c>
      <c r="C175" s="39" t="str">
        <f>IFERROR(VLOOKUP(A175,Internal_lists_bugs!$A$2:$I2033,9,FALSE()),"please select a BUG ID")</f>
        <v>https://review.opendev.org/c/openstack/nova/+/70215</v>
      </c>
      <c r="D175" s="85"/>
      <c r="E175" s="85"/>
      <c r="F175" s="133"/>
      <c r="G175" s="16" t="s">
        <v>839</v>
      </c>
      <c r="H175" s="108" t="s">
        <v>840</v>
      </c>
      <c r="I175" s="131"/>
      <c r="J175" s="131"/>
      <c r="K175" s="131"/>
      <c r="L175" s="131"/>
      <c r="M175" s="131"/>
      <c r="N175" s="43"/>
      <c r="O175" s="51"/>
    </row>
    <row r="176">
      <c r="A176" s="16" t="s">
        <v>37</v>
      </c>
      <c r="B176" s="114" t="str">
        <f>IFERROR(VLOOKUP(A176,Internal_lists_bugs!$A$2:$G2033,7,FALSE()),"please select a BUG ID")</f>
        <v>https://opendev.org/openstack/nova/commit/8218a86dedd50301252598667171d17d874bb36d</v>
      </c>
      <c r="C176" s="39" t="str">
        <f>IFERROR(VLOOKUP(A176,Internal_lists_bugs!$A$2:$I2033,9,FALSE()),"please select a BUG ID")</f>
        <v>https://review.opendev.org/c/openstack/nova/+/70215</v>
      </c>
      <c r="D176" s="80"/>
      <c r="E176" s="80"/>
      <c r="F176" s="130"/>
      <c r="G176" s="16" t="s">
        <v>841</v>
      </c>
      <c r="H176" s="108" t="s">
        <v>842</v>
      </c>
      <c r="I176" s="131"/>
      <c r="J176" s="131"/>
      <c r="K176" s="131"/>
      <c r="L176" s="131"/>
      <c r="M176" s="131"/>
      <c r="N176" s="43"/>
      <c r="O176" s="51"/>
    </row>
    <row r="177">
      <c r="A177" s="16" t="s">
        <v>37</v>
      </c>
      <c r="B177" s="114" t="str">
        <f>IFERROR(VLOOKUP(A177,Internal_lists_bugs!$A$2:$G2033,7,FALSE()),"please select a BUG ID")</f>
        <v>https://opendev.org/openstack/nova/commit/8218a86dedd50301252598667171d17d874bb36d</v>
      </c>
      <c r="C177" s="39" t="str">
        <f>IFERROR(VLOOKUP(A177,Internal_lists_bugs!$A$2:$I2033,9,FALSE()),"please select a BUG ID")</f>
        <v>https://review.opendev.org/c/openstack/nova/+/70215</v>
      </c>
      <c r="D177" s="80"/>
      <c r="E177" s="80"/>
      <c r="F177" s="130"/>
      <c r="G177" s="16" t="s">
        <v>798</v>
      </c>
      <c r="H177" s="108" t="s">
        <v>843</v>
      </c>
      <c r="I177" s="131"/>
      <c r="J177" s="131"/>
      <c r="K177" s="131"/>
      <c r="L177" s="131"/>
      <c r="M177" s="131"/>
      <c r="N177" s="43"/>
      <c r="O177" s="51"/>
    </row>
    <row r="178">
      <c r="A178" s="16" t="s">
        <v>38</v>
      </c>
      <c r="B178" s="114" t="str">
        <f>IFERROR(VLOOKUP(A178,Internal_lists_bugs!$A$2:$G2033,7,FALSE()),"please select a BUG ID")</f>
        <v>https://opendev.org/openstack/nova/commit/90a37c069ede9d9b23ff6faef4ea6e48bbd7ebce</v>
      </c>
      <c r="C178" s="39" t="str">
        <f>IFERROR(VLOOKUP(A178,Internal_lists_bugs!$A$2:$I2033,9,FALSE()),"please select a BUG ID")</f>
        <v>https://review.opendev.org/c/openstack/nova/+/44239</v>
      </c>
      <c r="D178" s="80" t="s">
        <v>632</v>
      </c>
      <c r="E178" s="85"/>
      <c r="F178" s="130" t="s">
        <v>135</v>
      </c>
      <c r="G178" s="16" t="s">
        <v>633</v>
      </c>
      <c r="H178" s="16" t="s">
        <v>123</v>
      </c>
      <c r="I178" s="131"/>
      <c r="J178" s="131"/>
      <c r="K178" s="131"/>
      <c r="L178" s="131"/>
      <c r="M178" s="131"/>
      <c r="N178" s="16" t="s">
        <v>634</v>
      </c>
      <c r="O178" s="51"/>
    </row>
    <row r="179">
      <c r="A179" s="16" t="s">
        <v>38</v>
      </c>
      <c r="B179" s="114" t="str">
        <f>IFERROR(VLOOKUP(A179,Internal_lists_bugs!$A$2:$G2033,7,FALSE()),"please select a BUG ID")</f>
        <v>https://opendev.org/openstack/nova/commit/90a37c069ede9d9b23ff6faef4ea6e48bbd7ebce</v>
      </c>
      <c r="C179" s="39" t="str">
        <f>IFERROR(VLOOKUP(A179,Internal_lists_bugs!$A$2:$I2033,9,FALSE()),"please select a BUG ID")</f>
        <v>https://review.opendev.org/c/openstack/nova/+/44239</v>
      </c>
      <c r="D179" s="85"/>
      <c r="E179" s="85"/>
      <c r="F179" s="133"/>
      <c r="G179" s="16" t="s">
        <v>174</v>
      </c>
      <c r="H179" s="135" t="s">
        <v>123</v>
      </c>
      <c r="I179" s="131"/>
      <c r="J179" s="131"/>
      <c r="K179" s="131"/>
      <c r="L179" s="131"/>
      <c r="M179" s="131"/>
      <c r="N179" s="43"/>
      <c r="O179" s="51"/>
    </row>
    <row r="180">
      <c r="A180" s="16" t="s">
        <v>38</v>
      </c>
      <c r="B180" s="114" t="str">
        <f>IFERROR(VLOOKUP(A180,Internal_lists_bugs!$A$2:$G2033,7,FALSE()),"please select a BUG ID")</f>
        <v>https://opendev.org/openstack/nova/commit/90a37c069ede9d9b23ff6faef4ea6e48bbd7ebce</v>
      </c>
      <c r="C180" s="39" t="str">
        <f>IFERROR(VLOOKUP(A180,Internal_lists_bugs!$A$2:$I2033,9,FALSE()),"please select a BUG ID")</f>
        <v>https://review.opendev.org/c/openstack/nova/+/44239</v>
      </c>
      <c r="D180" s="85"/>
      <c r="E180" s="85"/>
      <c r="F180" s="133"/>
      <c r="G180" s="16" t="s">
        <v>844</v>
      </c>
      <c r="H180" s="108" t="s">
        <v>845</v>
      </c>
      <c r="I180" s="131"/>
      <c r="J180" s="131"/>
      <c r="K180" s="131"/>
      <c r="L180" s="131"/>
      <c r="M180" s="131"/>
      <c r="N180" s="43"/>
      <c r="O180" s="51"/>
    </row>
    <row r="181">
      <c r="A181" s="16" t="s">
        <v>38</v>
      </c>
      <c r="B181" s="114" t="str">
        <f>IFERROR(VLOOKUP(A181,Internal_lists_bugs!$A$2:$G2033,7,FALSE()),"please select a BUG ID")</f>
        <v>https://opendev.org/openstack/nova/commit/90a37c069ede9d9b23ff6faef4ea6e48bbd7ebce</v>
      </c>
      <c r="C181" s="39" t="str">
        <f>IFERROR(VLOOKUP(A181,Internal_lists_bugs!$A$2:$I2033,9,FALSE()),"please select a BUG ID")</f>
        <v>https://review.opendev.org/c/openstack/nova/+/44239</v>
      </c>
      <c r="D181" s="85"/>
      <c r="E181" s="85"/>
      <c r="F181" s="133"/>
      <c r="G181" s="16" t="s">
        <v>709</v>
      </c>
      <c r="H181" s="108" t="s">
        <v>846</v>
      </c>
      <c r="I181" s="131"/>
      <c r="J181" s="131"/>
      <c r="K181" s="131"/>
      <c r="L181" s="131"/>
      <c r="M181" s="131"/>
      <c r="N181" s="43"/>
      <c r="O181" s="51"/>
    </row>
    <row r="182">
      <c r="A182" s="16" t="s">
        <v>38</v>
      </c>
      <c r="B182" s="114" t="str">
        <f>IFERROR(VLOOKUP(A182,Internal_lists_bugs!$A$2:$G2033,7,FALSE()),"please select a BUG ID")</f>
        <v>https://opendev.org/openstack/nova/commit/90a37c069ede9d9b23ff6faef4ea6e48bbd7ebce</v>
      </c>
      <c r="C182" s="39" t="str">
        <f>IFERROR(VLOOKUP(A182,Internal_lists_bugs!$A$2:$I2033,9,FALSE()),"please select a BUG ID")</f>
        <v>https://review.opendev.org/c/openstack/nova/+/44239</v>
      </c>
      <c r="D182" s="85"/>
      <c r="E182" s="85"/>
      <c r="F182" s="133"/>
      <c r="G182" s="16" t="s">
        <v>844</v>
      </c>
      <c r="H182" s="108" t="s">
        <v>847</v>
      </c>
      <c r="I182" s="131"/>
      <c r="J182" s="131"/>
      <c r="K182" s="131"/>
      <c r="L182" s="131"/>
      <c r="M182" s="131"/>
      <c r="N182" s="43"/>
      <c r="O182" s="51"/>
    </row>
    <row r="183">
      <c r="A183" s="16" t="s">
        <v>38</v>
      </c>
      <c r="B183" s="114" t="str">
        <f>IFERROR(VLOOKUP(A183,Internal_lists_bugs!$A$2:$G2033,7,FALSE()),"please select a BUG ID")</f>
        <v>https://opendev.org/openstack/nova/commit/90a37c069ede9d9b23ff6faef4ea6e48bbd7ebce</v>
      </c>
      <c r="C183" s="39" t="str">
        <f>IFERROR(VLOOKUP(A183,Internal_lists_bugs!$A$2:$I2033,9,FALSE()),"please select a BUG ID")</f>
        <v>https://review.opendev.org/c/openstack/nova/+/44239</v>
      </c>
      <c r="D183" s="85"/>
      <c r="E183" s="85"/>
      <c r="F183" s="133"/>
      <c r="G183" s="16" t="s">
        <v>709</v>
      </c>
      <c r="H183" s="108" t="s">
        <v>848</v>
      </c>
      <c r="I183" s="131"/>
      <c r="J183" s="131"/>
      <c r="K183" s="131"/>
      <c r="L183" s="131"/>
      <c r="M183" s="131"/>
      <c r="N183" s="43"/>
      <c r="O183" s="51"/>
    </row>
    <row r="184">
      <c r="A184" s="16" t="s">
        <v>38</v>
      </c>
      <c r="B184" s="114" t="str">
        <f>IFERROR(VLOOKUP(A184,Internal_lists_bugs!$A$2:$G2033,7,FALSE()),"please select a BUG ID")</f>
        <v>https://opendev.org/openstack/nova/commit/90a37c069ede9d9b23ff6faef4ea6e48bbd7ebce</v>
      </c>
      <c r="C184" s="39" t="str">
        <f>IFERROR(VLOOKUP(A184,Internal_lists_bugs!$A$2:$I2033,9,FALSE()),"please select a BUG ID")</f>
        <v>https://review.opendev.org/c/openstack/nova/+/44239</v>
      </c>
      <c r="D184" s="85"/>
      <c r="E184" s="85"/>
      <c r="F184" s="133"/>
      <c r="G184" s="16" t="s">
        <v>844</v>
      </c>
      <c r="H184" s="108" t="s">
        <v>849</v>
      </c>
      <c r="I184" s="131"/>
      <c r="J184" s="131"/>
      <c r="K184" s="131"/>
      <c r="L184" s="131"/>
      <c r="M184" s="131"/>
      <c r="N184" s="43"/>
      <c r="O184" s="51"/>
    </row>
    <row r="185">
      <c r="A185" s="16" t="s">
        <v>38</v>
      </c>
      <c r="B185" s="114" t="str">
        <f>IFERROR(VLOOKUP(A185,Internal_lists_bugs!$A$2:$G2033,7,FALSE()),"please select a BUG ID")</f>
        <v>https://opendev.org/openstack/nova/commit/90a37c069ede9d9b23ff6faef4ea6e48bbd7ebce</v>
      </c>
      <c r="C185" s="39" t="str">
        <f>IFERROR(VLOOKUP(A185,Internal_lists_bugs!$A$2:$I2033,9,FALSE()),"please select a BUG ID")</f>
        <v>https://review.opendev.org/c/openstack/nova/+/44239</v>
      </c>
      <c r="D185" s="85"/>
      <c r="E185" s="85"/>
      <c r="F185" s="133"/>
      <c r="G185" s="16" t="s">
        <v>709</v>
      </c>
      <c r="H185" s="108" t="s">
        <v>850</v>
      </c>
      <c r="I185" s="131"/>
      <c r="J185" s="131"/>
      <c r="K185" s="131"/>
      <c r="L185" s="131"/>
      <c r="M185" s="131"/>
      <c r="N185" s="43"/>
      <c r="O185" s="51"/>
    </row>
    <row r="186">
      <c r="A186" s="16" t="s">
        <v>38</v>
      </c>
      <c r="B186" s="114" t="str">
        <f>IFERROR(VLOOKUP(A186,Internal_lists_bugs!$A$2:$G2033,7,FALSE()),"please select a BUG ID")</f>
        <v>https://opendev.org/openstack/nova/commit/90a37c069ede9d9b23ff6faef4ea6e48bbd7ebce</v>
      </c>
      <c r="C186" s="39" t="str">
        <f>IFERROR(VLOOKUP(A186,Internal_lists_bugs!$A$2:$I2033,9,FALSE()),"please select a BUG ID")</f>
        <v>https://review.opendev.org/c/openstack/nova/+/44239</v>
      </c>
      <c r="D186" s="85"/>
      <c r="E186" s="85"/>
      <c r="F186" s="133"/>
      <c r="G186" s="16" t="s">
        <v>844</v>
      </c>
      <c r="H186" s="108" t="s">
        <v>851</v>
      </c>
      <c r="I186" s="131"/>
      <c r="J186" s="131"/>
      <c r="K186" s="131"/>
      <c r="L186" s="131"/>
      <c r="M186" s="131"/>
      <c r="N186" s="43"/>
      <c r="O186" s="51"/>
    </row>
    <row r="187">
      <c r="A187" s="16" t="s">
        <v>38</v>
      </c>
      <c r="B187" s="114" t="str">
        <f>IFERROR(VLOOKUP(A187,Internal_lists_bugs!$A$2:$G2033,7,FALSE()),"please select a BUG ID")</f>
        <v>https://opendev.org/openstack/nova/commit/90a37c069ede9d9b23ff6faef4ea6e48bbd7ebce</v>
      </c>
      <c r="C187" s="39" t="str">
        <f>IFERROR(VLOOKUP(A187,Internal_lists_bugs!$A$2:$I2033,9,FALSE()),"please select a BUG ID")</f>
        <v>https://review.opendev.org/c/openstack/nova/+/44239</v>
      </c>
      <c r="D187" s="85"/>
      <c r="E187" s="85"/>
      <c r="F187" s="133"/>
      <c r="G187" s="16" t="s">
        <v>709</v>
      </c>
      <c r="H187" s="108" t="s">
        <v>852</v>
      </c>
      <c r="I187" s="131"/>
      <c r="J187" s="131"/>
      <c r="K187" s="131"/>
      <c r="L187" s="131"/>
      <c r="M187" s="131"/>
      <c r="N187" s="43"/>
      <c r="O187" s="51"/>
    </row>
    <row r="188">
      <c r="A188" s="16" t="s">
        <v>38</v>
      </c>
      <c r="B188" s="114" t="str">
        <f>IFERROR(VLOOKUP(A188,Internal_lists_bugs!$A$2:$G2033,7,FALSE()),"please select a BUG ID")</f>
        <v>https://opendev.org/openstack/nova/commit/90a37c069ede9d9b23ff6faef4ea6e48bbd7ebce</v>
      </c>
      <c r="C188" s="39" t="str">
        <f>IFERROR(VLOOKUP(A188,Internal_lists_bugs!$A$2:$I2033,9,FALSE()),"please select a BUG ID")</f>
        <v>https://review.opendev.org/c/openstack/nova/+/44239</v>
      </c>
      <c r="D188" s="85"/>
      <c r="E188" s="85"/>
      <c r="F188" s="133"/>
      <c r="G188" s="16" t="s">
        <v>844</v>
      </c>
      <c r="H188" s="108" t="s">
        <v>853</v>
      </c>
      <c r="I188" s="131"/>
      <c r="J188" s="131"/>
      <c r="K188" s="131"/>
      <c r="L188" s="131"/>
      <c r="M188" s="131"/>
      <c r="N188" s="43"/>
      <c r="O188" s="51"/>
    </row>
    <row r="189">
      <c r="A189" s="16" t="s">
        <v>38</v>
      </c>
      <c r="B189" s="114" t="str">
        <f>IFERROR(VLOOKUP(A189,Internal_lists_bugs!$A$2:$G2033,7,FALSE()),"please select a BUG ID")</f>
        <v>https://opendev.org/openstack/nova/commit/90a37c069ede9d9b23ff6faef4ea6e48bbd7ebce</v>
      </c>
      <c r="C189" s="39" t="str">
        <f>IFERROR(VLOOKUP(A189,Internal_lists_bugs!$A$2:$I2033,9,FALSE()),"please select a BUG ID")</f>
        <v>https://review.opendev.org/c/openstack/nova/+/44239</v>
      </c>
      <c r="D189" s="85"/>
      <c r="E189" s="85"/>
      <c r="F189" s="133"/>
      <c r="G189" s="16" t="s">
        <v>709</v>
      </c>
      <c r="H189" s="108" t="s">
        <v>854</v>
      </c>
      <c r="I189" s="131"/>
      <c r="J189" s="131"/>
      <c r="K189" s="131"/>
      <c r="L189" s="131"/>
      <c r="M189" s="131"/>
      <c r="N189" s="43"/>
      <c r="O189" s="51"/>
    </row>
    <row r="190">
      <c r="A190" s="16" t="s">
        <v>38</v>
      </c>
      <c r="B190" s="114" t="str">
        <f>IFERROR(VLOOKUP(A190,Internal_lists_bugs!$A$2:$G2033,7,FALSE()),"please select a BUG ID")</f>
        <v>https://opendev.org/openstack/nova/commit/90a37c069ede9d9b23ff6faef4ea6e48bbd7ebce</v>
      </c>
      <c r="C190" s="39" t="str">
        <f>IFERROR(VLOOKUP(A190,Internal_lists_bugs!$A$2:$I2033,9,FALSE()),"please select a BUG ID")</f>
        <v>https://review.opendev.org/c/openstack/nova/+/44239</v>
      </c>
      <c r="D190" s="85"/>
      <c r="E190" s="85"/>
      <c r="F190" s="133"/>
      <c r="G190" s="16" t="s">
        <v>646</v>
      </c>
      <c r="H190" s="108" t="s">
        <v>855</v>
      </c>
      <c r="I190" s="131"/>
      <c r="J190" s="131"/>
      <c r="K190" s="131"/>
      <c r="L190" s="131"/>
      <c r="M190" s="131"/>
      <c r="N190" s="43"/>
      <c r="O190" s="51"/>
    </row>
    <row r="191">
      <c r="A191" s="16" t="s">
        <v>38</v>
      </c>
      <c r="B191" s="114" t="str">
        <f>IFERROR(VLOOKUP(A191,Internal_lists_bugs!$A$2:$G2033,7,FALSE()),"please select a BUG ID")</f>
        <v>https://opendev.org/openstack/nova/commit/90a37c069ede9d9b23ff6faef4ea6e48bbd7ebce</v>
      </c>
      <c r="C191" s="39" t="str">
        <f>IFERROR(VLOOKUP(A191,Internal_lists_bugs!$A$2:$I2033,9,FALSE()),"please select a BUG ID")</f>
        <v>https://review.opendev.org/c/openstack/nova/+/44239</v>
      </c>
      <c r="D191" s="85"/>
      <c r="E191" s="85"/>
      <c r="F191" s="133"/>
      <c r="G191" s="16" t="s">
        <v>856</v>
      </c>
      <c r="H191" s="108" t="s">
        <v>857</v>
      </c>
      <c r="I191" s="131"/>
      <c r="J191" s="131"/>
      <c r="K191" s="131"/>
      <c r="L191" s="131"/>
      <c r="M191" s="131"/>
      <c r="N191" s="43"/>
      <c r="O191" s="51"/>
    </row>
    <row r="192">
      <c r="A192" s="16" t="s">
        <v>38</v>
      </c>
      <c r="B192" s="114" t="str">
        <f>IFERROR(VLOOKUP(A192,Internal_lists_bugs!$A$2:$G2033,7,FALSE()),"please select a BUG ID")</f>
        <v>https://opendev.org/openstack/nova/commit/90a37c069ede9d9b23ff6faef4ea6e48bbd7ebce</v>
      </c>
      <c r="C192" s="39" t="str">
        <f>IFERROR(VLOOKUP(A192,Internal_lists_bugs!$A$2:$I2033,9,FALSE()),"please select a BUG ID")</f>
        <v>https://review.opendev.org/c/openstack/nova/+/44239</v>
      </c>
      <c r="D192" s="85"/>
      <c r="E192" s="85"/>
      <c r="F192" s="133"/>
      <c r="G192" s="16" t="s">
        <v>856</v>
      </c>
      <c r="H192" s="108" t="s">
        <v>857</v>
      </c>
      <c r="I192" s="131"/>
      <c r="J192" s="131"/>
      <c r="K192" s="131"/>
      <c r="L192" s="131"/>
      <c r="M192" s="131"/>
      <c r="N192" s="43"/>
      <c r="O192" s="51"/>
    </row>
    <row r="193">
      <c r="A193" s="16" t="s">
        <v>38</v>
      </c>
      <c r="B193" s="114" t="str">
        <f>IFERROR(VLOOKUP(A193,Internal_lists_bugs!$A$2:$G2033,7,FALSE()),"please select a BUG ID")</f>
        <v>https://opendev.org/openstack/nova/commit/90a37c069ede9d9b23ff6faef4ea6e48bbd7ebce</v>
      </c>
      <c r="C193" s="39" t="str">
        <f>IFERROR(VLOOKUP(A193,Internal_lists_bugs!$A$2:$I2033,9,FALSE()),"please select a BUG ID")</f>
        <v>https://review.opendev.org/c/openstack/nova/+/44239</v>
      </c>
      <c r="D193" s="85"/>
      <c r="E193" s="85"/>
      <c r="F193" s="133"/>
      <c r="G193" s="16" t="s">
        <v>858</v>
      </c>
      <c r="H193" s="108" t="s">
        <v>859</v>
      </c>
      <c r="I193" s="131"/>
      <c r="J193" s="131"/>
      <c r="K193" s="131"/>
      <c r="L193" s="131"/>
      <c r="M193" s="131"/>
      <c r="N193" s="43"/>
      <c r="O193" s="51"/>
    </row>
    <row r="194">
      <c r="A194" s="16" t="s">
        <v>38</v>
      </c>
      <c r="B194" s="114" t="str">
        <f>IFERROR(VLOOKUP(A194,Internal_lists_bugs!$A$2:$G2033,7,FALSE()),"please select a BUG ID")</f>
        <v>https://opendev.org/openstack/nova/commit/90a37c069ede9d9b23ff6faef4ea6e48bbd7ebce</v>
      </c>
      <c r="C194" s="39" t="str">
        <f>IFERROR(VLOOKUP(A194,Internal_lists_bugs!$A$2:$I2033,9,FALSE()),"please select a BUG ID")</f>
        <v>https://review.opendev.org/c/openstack/nova/+/44239</v>
      </c>
      <c r="D194" s="85"/>
      <c r="E194" s="85"/>
      <c r="F194" s="133"/>
      <c r="G194" s="16" t="s">
        <v>860</v>
      </c>
      <c r="H194" s="108" t="s">
        <v>861</v>
      </c>
      <c r="I194" s="131"/>
      <c r="J194" s="131"/>
      <c r="K194" s="131"/>
      <c r="L194" s="131"/>
      <c r="M194" s="131"/>
      <c r="N194" s="43"/>
      <c r="O194" s="51"/>
    </row>
    <row r="195">
      <c r="A195" s="16" t="s">
        <v>38</v>
      </c>
      <c r="B195" s="114" t="str">
        <f>IFERROR(VLOOKUP(A195,Internal_lists_bugs!$A$2:$G2033,7,FALSE()),"please select a BUG ID")</f>
        <v>https://opendev.org/openstack/nova/commit/90a37c069ede9d9b23ff6faef4ea6e48bbd7ebce</v>
      </c>
      <c r="C195" s="39" t="str">
        <f>IFERROR(VLOOKUP(A195,Internal_lists_bugs!$A$2:$I2033,9,FALSE()),"please select a BUG ID")</f>
        <v>https://review.opendev.org/c/openstack/nova/+/44239</v>
      </c>
      <c r="D195" s="85"/>
      <c r="E195" s="85"/>
      <c r="F195" s="133"/>
      <c r="G195" s="16" t="s">
        <v>654</v>
      </c>
      <c r="H195" s="108" t="s">
        <v>862</v>
      </c>
      <c r="I195" s="131"/>
      <c r="J195" s="131"/>
      <c r="K195" s="131"/>
      <c r="L195" s="131"/>
      <c r="M195" s="131"/>
      <c r="N195" s="43"/>
      <c r="O195" s="51"/>
    </row>
    <row r="196">
      <c r="A196" s="16" t="s">
        <v>38</v>
      </c>
      <c r="B196" s="114" t="str">
        <f>IFERROR(VLOOKUP(A196,Internal_lists_bugs!$A$2:$G2033,7,FALSE()),"please select a BUG ID")</f>
        <v>https://opendev.org/openstack/nova/commit/90a37c069ede9d9b23ff6faef4ea6e48bbd7ebce</v>
      </c>
      <c r="C196" s="39" t="str">
        <f>IFERROR(VLOOKUP(A196,Internal_lists_bugs!$A$2:$I2033,9,FALSE()),"please select a BUG ID")</f>
        <v>https://review.opendev.org/c/openstack/nova/+/44239</v>
      </c>
      <c r="D196" s="85"/>
      <c r="E196" s="85"/>
      <c r="F196" s="133"/>
      <c r="G196" s="16" t="s">
        <v>650</v>
      </c>
      <c r="H196" s="108" t="s">
        <v>863</v>
      </c>
      <c r="I196" s="131"/>
      <c r="J196" s="131"/>
      <c r="K196" s="131"/>
      <c r="L196" s="131"/>
      <c r="M196" s="131"/>
      <c r="N196" s="43"/>
      <c r="O196" s="51"/>
    </row>
    <row r="197">
      <c r="A197" s="16" t="s">
        <v>38</v>
      </c>
      <c r="B197" s="114" t="str">
        <f>IFERROR(VLOOKUP(A197,Internal_lists_bugs!$A$2:$G2033,7,FALSE()),"please select a BUG ID")</f>
        <v>https://opendev.org/openstack/nova/commit/90a37c069ede9d9b23ff6faef4ea6e48bbd7ebce</v>
      </c>
      <c r="C197" s="39" t="str">
        <f>IFERROR(VLOOKUP(A197,Internal_lists_bugs!$A$2:$I2033,9,FALSE()),"please select a BUG ID")</f>
        <v>https://review.opendev.org/c/openstack/nova/+/44239</v>
      </c>
      <c r="D197" s="85"/>
      <c r="E197" s="85"/>
      <c r="F197" s="133"/>
      <c r="G197" s="16" t="s">
        <v>794</v>
      </c>
      <c r="H197" s="108" t="s">
        <v>864</v>
      </c>
      <c r="I197" s="131"/>
      <c r="J197" s="131"/>
      <c r="K197" s="131"/>
      <c r="L197" s="131"/>
      <c r="M197" s="131"/>
      <c r="N197" s="43"/>
      <c r="O197" s="51"/>
    </row>
    <row r="198">
      <c r="A198" s="16" t="s">
        <v>38</v>
      </c>
      <c r="B198" s="114" t="str">
        <f>IFERROR(VLOOKUP(A198,Internal_lists_bugs!$A$2:$G2033,7,FALSE()),"please select a BUG ID")</f>
        <v>https://opendev.org/openstack/nova/commit/90a37c069ede9d9b23ff6faef4ea6e48bbd7ebce</v>
      </c>
      <c r="C198" s="39" t="str">
        <f>IFERROR(VLOOKUP(A198,Internal_lists_bugs!$A$2:$I2033,9,FALSE()),"please select a BUG ID")</f>
        <v>https://review.opendev.org/c/openstack/nova/+/44239</v>
      </c>
      <c r="D198" s="85"/>
      <c r="E198" s="85"/>
      <c r="F198" s="133"/>
      <c r="G198" s="16" t="s">
        <v>796</v>
      </c>
      <c r="H198" s="108" t="s">
        <v>865</v>
      </c>
      <c r="I198" s="131"/>
      <c r="J198" s="131"/>
      <c r="K198" s="131"/>
      <c r="L198" s="131"/>
      <c r="M198" s="131"/>
      <c r="N198" s="43"/>
      <c r="O198" s="51"/>
    </row>
    <row r="199">
      <c r="A199" s="16" t="s">
        <v>38</v>
      </c>
      <c r="B199" s="114" t="str">
        <f>IFERROR(VLOOKUP(A199,Internal_lists_bugs!$A$2:$G2033,7,FALSE()),"please select a BUG ID")</f>
        <v>https://opendev.org/openstack/nova/commit/90a37c069ede9d9b23ff6faef4ea6e48bbd7ebce</v>
      </c>
      <c r="C199" s="39" t="str">
        <f>IFERROR(VLOOKUP(A199,Internal_lists_bugs!$A$2:$I2033,9,FALSE()),"please select a BUG ID")</f>
        <v>https://review.opendev.org/c/openstack/nova/+/44239</v>
      </c>
      <c r="D199" s="85"/>
      <c r="E199" s="85"/>
      <c r="F199" s="133"/>
      <c r="G199" s="16" t="s">
        <v>652</v>
      </c>
      <c r="H199" s="108" t="s">
        <v>866</v>
      </c>
      <c r="I199" s="131"/>
      <c r="J199" s="131"/>
      <c r="K199" s="131"/>
      <c r="L199" s="131"/>
      <c r="M199" s="131"/>
      <c r="N199" s="43"/>
      <c r="O199" s="51"/>
    </row>
    <row r="200">
      <c r="A200" s="16" t="s">
        <v>38</v>
      </c>
      <c r="B200" s="114" t="str">
        <f>IFERROR(VLOOKUP(A200,Internal_lists_bugs!$A$2:$G2033,7,FALSE()),"please select a BUG ID")</f>
        <v>https://opendev.org/openstack/nova/commit/90a37c069ede9d9b23ff6faef4ea6e48bbd7ebce</v>
      </c>
      <c r="C200" s="39" t="str">
        <f>IFERROR(VLOOKUP(A200,Internal_lists_bugs!$A$2:$I2033,9,FALSE()),"please select a BUG ID")</f>
        <v>https://review.opendev.org/c/openstack/nova/+/44239</v>
      </c>
      <c r="D200" s="85"/>
      <c r="E200" s="85"/>
      <c r="F200" s="133"/>
      <c r="G200" s="16" t="s">
        <v>656</v>
      </c>
      <c r="H200" s="108" t="s">
        <v>867</v>
      </c>
      <c r="I200" s="131"/>
      <c r="J200" s="131"/>
      <c r="K200" s="131"/>
      <c r="L200" s="131"/>
      <c r="M200" s="131"/>
      <c r="N200" s="43"/>
      <c r="O200" s="51"/>
    </row>
    <row r="201">
      <c r="A201" s="16" t="s">
        <v>38</v>
      </c>
      <c r="B201" s="114" t="str">
        <f>IFERROR(VLOOKUP(A201,Internal_lists_bugs!$A$2:$G2033,7,FALSE()),"please select a BUG ID")</f>
        <v>https://opendev.org/openstack/nova/commit/90a37c069ede9d9b23ff6faef4ea6e48bbd7ebce</v>
      </c>
      <c r="C201" s="39" t="str">
        <f>IFERROR(VLOOKUP(A201,Internal_lists_bugs!$A$2:$I2033,9,FALSE()),"please select a BUG ID")</f>
        <v>https://review.opendev.org/c/openstack/nova/+/44239</v>
      </c>
      <c r="D201" s="85"/>
      <c r="E201" s="85"/>
      <c r="F201" s="133"/>
      <c r="G201" s="16" t="s">
        <v>868</v>
      </c>
      <c r="H201" s="108" t="s">
        <v>867</v>
      </c>
      <c r="I201" s="131"/>
      <c r="J201" s="131"/>
      <c r="K201" s="131"/>
      <c r="L201" s="131"/>
      <c r="M201" s="131"/>
      <c r="N201" s="43"/>
      <c r="O201" s="51"/>
    </row>
    <row r="202">
      <c r="A202" s="16" t="s">
        <v>38</v>
      </c>
      <c r="B202" s="114" t="str">
        <f>IFERROR(VLOOKUP(A202,Internal_lists_bugs!$A$2:$G2033,7,FALSE()),"please select a BUG ID")</f>
        <v>https://opendev.org/openstack/nova/commit/90a37c069ede9d9b23ff6faef4ea6e48bbd7ebce</v>
      </c>
      <c r="C202" s="39" t="str">
        <f>IFERROR(VLOOKUP(A202,Internal_lists_bugs!$A$2:$I2033,9,FALSE()),"please select a BUG ID")</f>
        <v>https://review.opendev.org/c/openstack/nova/+/44239</v>
      </c>
      <c r="D202" s="85"/>
      <c r="E202" s="85"/>
      <c r="F202" s="133"/>
      <c r="G202" s="16" t="s">
        <v>869</v>
      </c>
      <c r="H202" s="108" t="s">
        <v>833</v>
      </c>
      <c r="I202" s="131"/>
      <c r="J202" s="131"/>
      <c r="K202" s="131"/>
      <c r="L202" s="131"/>
      <c r="M202" s="131"/>
      <c r="N202" s="43"/>
      <c r="O202" s="51"/>
    </row>
    <row r="203">
      <c r="A203" s="16" t="s">
        <v>38</v>
      </c>
      <c r="B203" s="114" t="str">
        <f>IFERROR(VLOOKUP(A203,Internal_lists_bugs!$A$2:$G2033,7,FALSE()),"please select a BUG ID")</f>
        <v>https://opendev.org/openstack/nova/commit/90a37c069ede9d9b23ff6faef4ea6e48bbd7ebce</v>
      </c>
      <c r="C203" s="39" t="str">
        <f>IFERROR(VLOOKUP(A203,Internal_lists_bugs!$A$2:$I2033,9,FALSE()),"please select a BUG ID")</f>
        <v>https://review.opendev.org/c/openstack/nova/+/44239</v>
      </c>
      <c r="D203" s="85"/>
      <c r="E203" s="85"/>
      <c r="F203" s="133"/>
      <c r="G203" s="16" t="s">
        <v>687</v>
      </c>
      <c r="H203" s="108" t="s">
        <v>870</v>
      </c>
      <c r="I203" s="131"/>
      <c r="J203" s="131"/>
      <c r="K203" s="131"/>
      <c r="L203" s="131"/>
      <c r="M203" s="131"/>
      <c r="N203" s="43"/>
      <c r="O203" s="51"/>
    </row>
    <row r="204">
      <c r="A204" s="16" t="s">
        <v>38</v>
      </c>
      <c r="B204" s="114" t="str">
        <f>IFERROR(VLOOKUP(A204,Internal_lists_bugs!$A$2:$G2033,7,FALSE()),"please select a BUG ID")</f>
        <v>https://opendev.org/openstack/nova/commit/90a37c069ede9d9b23ff6faef4ea6e48bbd7ebce</v>
      </c>
      <c r="C204" s="39" t="str">
        <f>IFERROR(VLOOKUP(A204,Internal_lists_bugs!$A$2:$I2033,9,FALSE()),"please select a BUG ID")</f>
        <v>https://review.opendev.org/c/openstack/nova/+/44239</v>
      </c>
      <c r="D204" s="85"/>
      <c r="E204" s="85"/>
      <c r="F204" s="133"/>
      <c r="G204" s="16" t="s">
        <v>839</v>
      </c>
      <c r="H204" s="108" t="s">
        <v>871</v>
      </c>
      <c r="I204" s="131"/>
      <c r="J204" s="131"/>
      <c r="K204" s="131"/>
      <c r="L204" s="131"/>
      <c r="M204" s="131"/>
      <c r="N204" s="43"/>
      <c r="O204" s="51"/>
    </row>
    <row r="205">
      <c r="A205" s="16" t="s">
        <v>38</v>
      </c>
      <c r="B205" s="114" t="str">
        <f>IFERROR(VLOOKUP(A205,Internal_lists_bugs!$A$2:$G2033,7,FALSE()),"please select a BUG ID")</f>
        <v>https://opendev.org/openstack/nova/commit/90a37c069ede9d9b23ff6faef4ea6e48bbd7ebce</v>
      </c>
      <c r="C205" s="39" t="str">
        <f>IFERROR(VLOOKUP(A205,Internal_lists_bugs!$A$2:$I2033,9,FALSE()),"please select a BUG ID")</f>
        <v>https://review.opendev.org/c/openstack/nova/+/44239</v>
      </c>
      <c r="D205" s="85"/>
      <c r="E205" s="85"/>
      <c r="F205" s="133"/>
      <c r="G205" s="16" t="s">
        <v>841</v>
      </c>
      <c r="H205" s="108" t="s">
        <v>872</v>
      </c>
      <c r="I205" s="131"/>
      <c r="J205" s="131"/>
      <c r="K205" s="131"/>
      <c r="L205" s="131"/>
      <c r="M205" s="131"/>
      <c r="N205" s="43"/>
      <c r="O205" s="51"/>
    </row>
    <row r="206">
      <c r="A206" s="16" t="s">
        <v>38</v>
      </c>
      <c r="B206" s="114" t="str">
        <f>IFERROR(VLOOKUP(A206,Internal_lists_bugs!$A$2:$G2033,7,FALSE()),"please select a BUG ID")</f>
        <v>https://opendev.org/openstack/nova/commit/90a37c069ede9d9b23ff6faef4ea6e48bbd7ebce</v>
      </c>
      <c r="C206" s="39" t="str">
        <f>IFERROR(VLOOKUP(A206,Internal_lists_bugs!$A$2:$I2033,9,FALSE()),"please select a BUG ID")</f>
        <v>https://review.opendev.org/c/openstack/nova/+/44239</v>
      </c>
      <c r="D206" s="80"/>
      <c r="E206" s="85"/>
      <c r="F206" s="130"/>
      <c r="G206" s="16" t="s">
        <v>670</v>
      </c>
      <c r="H206" s="108" t="s">
        <v>873</v>
      </c>
      <c r="I206" s="131"/>
      <c r="J206" s="131"/>
      <c r="K206" s="131"/>
      <c r="L206" s="131"/>
      <c r="M206" s="131"/>
      <c r="N206" s="43"/>
      <c r="O206" s="51"/>
    </row>
    <row r="207">
      <c r="A207" s="16" t="s">
        <v>39</v>
      </c>
      <c r="B207" s="114" t="str">
        <f>IFERROR(VLOOKUP(A207,Internal_lists_bugs!$A$2:$G2033,7,FALSE()),"please select a BUG ID")</f>
        <v>https://opendev.org/openstack/nova/commit/1e4024b72218a07d1e535878337547cf16406dd8</v>
      </c>
      <c r="C207" s="51" t="str">
        <f>IFERROR(VLOOKUP(A207,Internal_lists_bugs!$A$2:$I2033,9,FALSE()),"please select a BUG ID")</f>
        <v/>
      </c>
      <c r="D207" s="137" t="s">
        <v>297</v>
      </c>
      <c r="E207" s="46"/>
      <c r="F207" s="47" t="s">
        <v>297</v>
      </c>
      <c r="G207" s="138"/>
      <c r="H207" s="45"/>
      <c r="I207" s="131"/>
      <c r="J207" s="131"/>
      <c r="K207" s="131"/>
      <c r="L207" s="131"/>
      <c r="M207" s="131"/>
      <c r="N207" s="43"/>
      <c r="O207" s="51"/>
    </row>
    <row r="208">
      <c r="A208" s="48" t="s">
        <v>40</v>
      </c>
      <c r="B208" s="114" t="str">
        <f>IFERROR(VLOOKUP(A208,Internal_lists_bugs!$A$2:$G2033,7,FALSE()),"please select a BUG ID")</f>
        <v>https://opendev.org/openstack/nova/commit/f90885bacba3728dc9a35e99eecef37a37b881e2</v>
      </c>
      <c r="C208" s="39" t="str">
        <f>IFERROR(VLOOKUP(A208,Internal_lists_bugs!$A$2:$I2033,9,FALSE()),"please select a BUG ID")</f>
        <v>https://review.opendev.org/c/openstack/nova/+/132231</v>
      </c>
      <c r="D208" s="139" t="s">
        <v>632</v>
      </c>
      <c r="E208" s="46"/>
      <c r="F208" s="46" t="s">
        <v>135</v>
      </c>
      <c r="G208" s="122" t="s">
        <v>650</v>
      </c>
      <c r="H208" s="134" t="s">
        <v>874</v>
      </c>
      <c r="I208" s="131"/>
      <c r="J208" s="131"/>
      <c r="K208" s="131"/>
      <c r="L208" s="131"/>
      <c r="M208" s="131"/>
      <c r="N208" s="16" t="s">
        <v>634</v>
      </c>
      <c r="O208" s="51"/>
    </row>
    <row r="209">
      <c r="A209" s="48" t="s">
        <v>40</v>
      </c>
      <c r="B209" s="114" t="str">
        <f>IFERROR(VLOOKUP(A209,Internal_lists_bugs!$A$2:$G2033,7,FALSE()),"please select a BUG ID")</f>
        <v>https://opendev.org/openstack/nova/commit/f90885bacba3728dc9a35e99eecef37a37b881e2</v>
      </c>
      <c r="C209" s="39" t="str">
        <f>IFERROR(VLOOKUP(A209,Internal_lists_bugs!$A$2:$I2033,9,FALSE()),"please select a BUG ID")</f>
        <v>https://review.opendev.org/c/openstack/nova/+/132231</v>
      </c>
      <c r="D209" s="80"/>
      <c r="E209" s="80"/>
      <c r="F209" s="130"/>
      <c r="G209" s="122" t="s">
        <v>677</v>
      </c>
      <c r="H209" s="134" t="s">
        <v>875</v>
      </c>
      <c r="I209" s="140"/>
      <c r="J209" s="140"/>
      <c r="K209" s="140"/>
      <c r="L209" s="140"/>
      <c r="M209" s="141"/>
      <c r="N209" s="43"/>
      <c r="O209" s="51"/>
    </row>
    <row r="210">
      <c r="A210" s="48" t="s">
        <v>40</v>
      </c>
      <c r="B210" s="114" t="str">
        <f>IFERROR(VLOOKUP(A210,Internal_lists_bugs!$A$2:$G2033,7,FALSE()),"please select a BUG ID")</f>
        <v>https://opendev.org/openstack/nova/commit/f90885bacba3728dc9a35e99eecef37a37b881e2</v>
      </c>
      <c r="C210" s="39" t="str">
        <f>IFERROR(VLOOKUP(A210,Internal_lists_bugs!$A$2:$I2033,9,FALSE()),"please select a BUG ID")</f>
        <v>https://review.opendev.org/c/openstack/nova/+/132231</v>
      </c>
      <c r="D210" s="85"/>
      <c r="E210" s="85"/>
      <c r="F210" s="133"/>
      <c r="G210" s="122" t="s">
        <v>652</v>
      </c>
      <c r="H210" s="134" t="s">
        <v>876</v>
      </c>
      <c r="I210" s="131"/>
      <c r="J210" s="131"/>
      <c r="K210" s="131"/>
      <c r="L210" s="131"/>
      <c r="M210" s="131"/>
      <c r="N210" s="43"/>
      <c r="O210" s="51"/>
    </row>
    <row r="211">
      <c r="A211" s="48" t="s">
        <v>40</v>
      </c>
      <c r="B211" s="114" t="str">
        <f>IFERROR(VLOOKUP(A211,Internal_lists_bugs!$A$2:$G2033,7,FALSE()),"please select a BUG ID")</f>
        <v>https://opendev.org/openstack/nova/commit/f90885bacba3728dc9a35e99eecef37a37b881e2</v>
      </c>
      <c r="C211" s="39" t="str">
        <f>IFERROR(VLOOKUP(A211,Internal_lists_bugs!$A$2:$I2033,9,FALSE()),"please select a BUG ID")</f>
        <v>https://review.opendev.org/c/openstack/nova/+/132231</v>
      </c>
      <c r="D211" s="85"/>
      <c r="E211" s="85"/>
      <c r="F211" s="133"/>
      <c r="G211" s="122" t="s">
        <v>677</v>
      </c>
      <c r="H211" s="134" t="s">
        <v>877</v>
      </c>
      <c r="I211" s="131"/>
      <c r="J211" s="131"/>
      <c r="K211" s="131"/>
      <c r="L211" s="131"/>
      <c r="M211" s="131"/>
      <c r="N211" s="43"/>
      <c r="O211" s="51"/>
    </row>
    <row r="212">
      <c r="A212" s="48" t="s">
        <v>40</v>
      </c>
      <c r="B212" s="114" t="str">
        <f>IFERROR(VLOOKUP(A212,Internal_lists_bugs!$A$2:$G2033,7,FALSE()),"please select a BUG ID")</f>
        <v>https://opendev.org/openstack/nova/commit/f90885bacba3728dc9a35e99eecef37a37b881e2</v>
      </c>
      <c r="C212" s="39" t="str">
        <f>IFERROR(VLOOKUP(A212,Internal_lists_bugs!$A$2:$I2033,9,FALSE()),"please select a BUG ID")</f>
        <v>https://review.opendev.org/c/openstack/nova/+/132231</v>
      </c>
      <c r="D212" s="85"/>
      <c r="E212" s="85"/>
      <c r="F212" s="133"/>
      <c r="G212" s="122" t="s">
        <v>687</v>
      </c>
      <c r="H212" s="142" t="s">
        <v>877</v>
      </c>
      <c r="I212" s="131"/>
      <c r="J212" s="131"/>
      <c r="K212" s="131"/>
      <c r="L212" s="131"/>
      <c r="M212" s="131"/>
      <c r="N212" s="43"/>
      <c r="O212" s="51"/>
    </row>
    <row r="213">
      <c r="A213" s="48" t="s">
        <v>40</v>
      </c>
      <c r="B213" s="114" t="str">
        <f>IFERROR(VLOOKUP(A213,Internal_lists_bugs!$A$2:$G2033,7,FALSE()),"please select a BUG ID")</f>
        <v>https://opendev.org/openstack/nova/commit/f90885bacba3728dc9a35e99eecef37a37b881e2</v>
      </c>
      <c r="C213" s="39" t="str">
        <f>IFERROR(VLOOKUP(A213,Internal_lists_bugs!$A$2:$I2033,9,FALSE()),"please select a BUG ID")</f>
        <v>https://review.opendev.org/c/openstack/nova/+/132231</v>
      </c>
      <c r="D213" s="85"/>
      <c r="E213" s="85"/>
      <c r="F213" s="133"/>
      <c r="G213" s="16" t="s">
        <v>794</v>
      </c>
      <c r="H213" s="108" t="s">
        <v>878</v>
      </c>
      <c r="I213" s="131"/>
      <c r="J213" s="131"/>
      <c r="K213" s="131"/>
      <c r="L213" s="131"/>
      <c r="M213" s="131"/>
      <c r="N213" s="43"/>
      <c r="O213" s="51"/>
    </row>
    <row r="214">
      <c r="A214" s="48" t="s">
        <v>40</v>
      </c>
      <c r="B214" s="114" t="str">
        <f>IFERROR(VLOOKUP(A214,Internal_lists_bugs!$A$2:$G2033,7,FALSE()),"please select a BUG ID")</f>
        <v>https://opendev.org/openstack/nova/commit/f90885bacba3728dc9a35e99eecef37a37b881e2</v>
      </c>
      <c r="C214" s="39" t="str">
        <f>IFERROR(VLOOKUP(A214,Internal_lists_bugs!$A$2:$I2033,9,FALSE()),"please select a BUG ID")</f>
        <v>https://review.opendev.org/c/openstack/nova/+/132231</v>
      </c>
      <c r="D214" s="85"/>
      <c r="E214" s="85"/>
      <c r="F214" s="133"/>
      <c r="G214" s="16" t="s">
        <v>879</v>
      </c>
      <c r="H214" s="108" t="s">
        <v>878</v>
      </c>
      <c r="I214" s="131"/>
      <c r="J214" s="131"/>
      <c r="K214" s="131"/>
      <c r="L214" s="131"/>
      <c r="M214" s="131"/>
      <c r="N214" s="43"/>
      <c r="O214" s="51"/>
    </row>
    <row r="215">
      <c r="A215" s="48" t="s">
        <v>40</v>
      </c>
      <c r="B215" s="114" t="str">
        <f>IFERROR(VLOOKUP(A215,Internal_lists_bugs!$A$2:$G2033,7,FALSE()),"please select a BUG ID")</f>
        <v>https://opendev.org/openstack/nova/commit/f90885bacba3728dc9a35e99eecef37a37b881e2</v>
      </c>
      <c r="C215" s="39" t="str">
        <f>IFERROR(VLOOKUP(A215,Internal_lists_bugs!$A$2:$I2033,9,FALSE()),"please select a BUG ID")</f>
        <v>https://review.opendev.org/c/openstack/nova/+/132231</v>
      </c>
      <c r="D215" s="85"/>
      <c r="E215" s="85"/>
      <c r="F215" s="133"/>
      <c r="G215" s="16" t="s">
        <v>880</v>
      </c>
      <c r="H215" s="108" t="s">
        <v>881</v>
      </c>
      <c r="I215" s="131"/>
      <c r="J215" s="131"/>
      <c r="K215" s="131"/>
      <c r="L215" s="131"/>
      <c r="M215" s="131"/>
      <c r="N215" s="43"/>
      <c r="O215" s="51"/>
    </row>
    <row r="216">
      <c r="A216" s="48" t="s">
        <v>40</v>
      </c>
      <c r="B216" s="114" t="str">
        <f>IFERROR(VLOOKUP(A216,Internal_lists_bugs!$A$2:$G2033,7,FALSE()),"please select a BUG ID")</f>
        <v>https://opendev.org/openstack/nova/commit/f90885bacba3728dc9a35e99eecef37a37b881e2</v>
      </c>
      <c r="C216" s="39" t="str">
        <f>IFERROR(VLOOKUP(A216,Internal_lists_bugs!$A$2:$I2033,9,FALSE()),"please select a BUG ID")</f>
        <v>https://review.opendev.org/c/openstack/nova/+/132231</v>
      </c>
      <c r="D216" s="85"/>
      <c r="E216" s="85"/>
      <c r="F216" s="133"/>
      <c r="G216" s="16" t="s">
        <v>646</v>
      </c>
      <c r="H216" s="108" t="s">
        <v>882</v>
      </c>
      <c r="I216" s="131"/>
      <c r="J216" s="131"/>
      <c r="K216" s="131"/>
      <c r="L216" s="131"/>
      <c r="M216" s="131"/>
      <c r="N216" s="43"/>
      <c r="O216" s="51"/>
    </row>
    <row r="217">
      <c r="A217" s="48" t="s">
        <v>40</v>
      </c>
      <c r="B217" s="114" t="str">
        <f>IFERROR(VLOOKUP(A217,Internal_lists_bugs!$A$2:$G2033,7,FALSE()),"please select a BUG ID")</f>
        <v>https://opendev.org/openstack/nova/commit/f90885bacba3728dc9a35e99eecef37a37b881e2</v>
      </c>
      <c r="C217" s="39" t="str">
        <f>IFERROR(VLOOKUP(A217,Internal_lists_bugs!$A$2:$I2033,9,FALSE()),"please select a BUG ID")</f>
        <v>https://review.opendev.org/c/openstack/nova/+/132231</v>
      </c>
      <c r="D217" s="85"/>
      <c r="E217" s="85"/>
      <c r="F217" s="133"/>
      <c r="G217" s="16" t="s">
        <v>883</v>
      </c>
      <c r="H217" s="108" t="s">
        <v>882</v>
      </c>
      <c r="I217" s="131"/>
      <c r="J217" s="131"/>
      <c r="K217" s="131"/>
      <c r="L217" s="131"/>
      <c r="M217" s="131"/>
      <c r="N217" s="43"/>
      <c r="O217" s="51"/>
    </row>
    <row r="218">
      <c r="A218" s="48" t="s">
        <v>40</v>
      </c>
      <c r="B218" s="114" t="str">
        <f>IFERROR(VLOOKUP(A218,Internal_lists_bugs!$A$2:$G2033,7,FALSE()),"please select a BUG ID")</f>
        <v>https://opendev.org/openstack/nova/commit/f90885bacba3728dc9a35e99eecef37a37b881e2</v>
      </c>
      <c r="C218" s="39" t="str">
        <f>IFERROR(VLOOKUP(A218,Internal_lists_bugs!$A$2:$I2033,9,FALSE()),"please select a BUG ID")</f>
        <v>https://review.opendev.org/c/openstack/nova/+/132231</v>
      </c>
      <c r="D218" s="85"/>
      <c r="E218" s="85"/>
      <c r="F218" s="133"/>
      <c r="G218" s="16" t="s">
        <v>884</v>
      </c>
      <c r="H218" s="108" t="s">
        <v>885</v>
      </c>
      <c r="I218" s="131"/>
      <c r="J218" s="131"/>
      <c r="K218" s="131"/>
      <c r="L218" s="131"/>
      <c r="M218" s="131"/>
      <c r="N218" s="43"/>
      <c r="O218" s="51"/>
    </row>
    <row r="219">
      <c r="A219" s="48" t="s">
        <v>40</v>
      </c>
      <c r="B219" s="114" t="str">
        <f>IFERROR(VLOOKUP(A219,Internal_lists_bugs!$A$2:$G2033,7,FALSE()),"please select a BUG ID")</f>
        <v>https://opendev.org/openstack/nova/commit/f90885bacba3728dc9a35e99eecef37a37b881e2</v>
      </c>
      <c r="C219" s="39" t="str">
        <f>IFERROR(VLOOKUP(A219,Internal_lists_bugs!$A$2:$I2033,9,FALSE()),"please select a BUG ID")</f>
        <v>https://review.opendev.org/c/openstack/nova/+/132231</v>
      </c>
      <c r="D219" s="85"/>
      <c r="E219" s="85"/>
      <c r="F219" s="133"/>
      <c r="G219" s="122" t="s">
        <v>796</v>
      </c>
      <c r="H219" s="108" t="s">
        <v>886</v>
      </c>
      <c r="I219" s="131"/>
      <c r="J219" s="131"/>
      <c r="K219" s="131"/>
      <c r="L219" s="131"/>
      <c r="M219" s="131"/>
      <c r="N219" s="43"/>
      <c r="O219" s="51"/>
    </row>
    <row r="220">
      <c r="A220" s="48" t="s">
        <v>40</v>
      </c>
      <c r="B220" s="114" t="str">
        <f>IFERROR(VLOOKUP(A220,Internal_lists_bugs!$A$2:$G2033,7,FALSE()),"please select a BUG ID")</f>
        <v>https://opendev.org/openstack/nova/commit/f90885bacba3728dc9a35e99eecef37a37b881e2</v>
      </c>
      <c r="C220" s="39" t="str">
        <f>IFERROR(VLOOKUP(A220,Internal_lists_bugs!$A$2:$I2033,9,FALSE()),"please select a BUG ID")</f>
        <v>https://review.opendev.org/c/openstack/nova/+/132231</v>
      </c>
      <c r="D220" s="85"/>
      <c r="E220" s="85"/>
      <c r="F220" s="133"/>
      <c r="G220" s="122" t="s">
        <v>839</v>
      </c>
      <c r="H220" s="108" t="s">
        <v>887</v>
      </c>
      <c r="I220" s="131"/>
      <c r="J220" s="131"/>
      <c r="K220" s="131"/>
      <c r="L220" s="131"/>
      <c r="M220" s="131"/>
      <c r="N220" s="43"/>
      <c r="O220" s="51"/>
    </row>
    <row r="221">
      <c r="A221" s="48" t="s">
        <v>40</v>
      </c>
      <c r="B221" s="114" t="str">
        <f>IFERROR(VLOOKUP(A221,Internal_lists_bugs!$A$2:$G2033,7,FALSE()),"please select a BUG ID")</f>
        <v>https://opendev.org/openstack/nova/commit/f90885bacba3728dc9a35e99eecef37a37b881e2</v>
      </c>
      <c r="C221" s="39" t="str">
        <f>IFERROR(VLOOKUP(A221,Internal_lists_bugs!$A$2:$I2033,9,FALSE()),"please select a BUG ID")</f>
        <v>https://review.opendev.org/c/openstack/nova/+/132231</v>
      </c>
      <c r="D221" s="85"/>
      <c r="E221" s="85"/>
      <c r="F221" s="133"/>
      <c r="G221" s="122" t="s">
        <v>658</v>
      </c>
      <c r="H221" s="108" t="s">
        <v>888</v>
      </c>
      <c r="I221" s="131"/>
      <c r="J221" s="131"/>
      <c r="K221" s="131"/>
      <c r="L221" s="131"/>
      <c r="M221" s="131"/>
      <c r="N221" s="43"/>
      <c r="O221" s="51"/>
    </row>
    <row r="222">
      <c r="A222" s="48" t="s">
        <v>40</v>
      </c>
      <c r="B222" s="114" t="str">
        <f>IFERROR(VLOOKUP(A222,Internal_lists_bugs!$A$2:$G2033,7,FALSE()),"please select a BUG ID")</f>
        <v>https://opendev.org/openstack/nova/commit/f90885bacba3728dc9a35e99eecef37a37b881e2</v>
      </c>
      <c r="C222" s="39" t="str">
        <f>IFERROR(VLOOKUP(A222,Internal_lists_bugs!$A$2:$I2033,9,FALSE()),"please select a BUG ID")</f>
        <v>https://review.opendev.org/c/openstack/nova/+/132231</v>
      </c>
      <c r="D222" s="85"/>
      <c r="E222" s="85"/>
      <c r="F222" s="133"/>
      <c r="G222" s="122" t="s">
        <v>829</v>
      </c>
      <c r="H222" s="108" t="s">
        <v>889</v>
      </c>
      <c r="I222" s="131"/>
      <c r="J222" s="131"/>
      <c r="K222" s="131"/>
      <c r="L222" s="131"/>
      <c r="M222" s="131"/>
      <c r="N222" s="43"/>
      <c r="O222" s="51"/>
    </row>
    <row r="223">
      <c r="A223" s="48" t="s">
        <v>40</v>
      </c>
      <c r="B223" s="114" t="str">
        <f>IFERROR(VLOOKUP(A223,Internal_lists_bugs!$A$2:$G2033,7,FALSE()),"please select a BUG ID")</f>
        <v>https://opendev.org/openstack/nova/commit/f90885bacba3728dc9a35e99eecef37a37b881e2</v>
      </c>
      <c r="C223" s="39" t="str">
        <f>IFERROR(VLOOKUP(A223,Internal_lists_bugs!$A$2:$I2033,9,FALSE()),"please select a BUG ID")</f>
        <v>https://review.opendev.org/c/openstack/nova/+/132231</v>
      </c>
      <c r="D223" s="85"/>
      <c r="E223" s="85"/>
      <c r="F223" s="133"/>
      <c r="G223" s="16" t="s">
        <v>890</v>
      </c>
      <c r="H223" s="108" t="s">
        <v>889</v>
      </c>
      <c r="I223" s="131"/>
      <c r="J223" s="131"/>
      <c r="K223" s="131"/>
      <c r="L223" s="131"/>
      <c r="M223" s="131"/>
      <c r="N223" s="43"/>
      <c r="O223" s="51"/>
    </row>
    <row r="224">
      <c r="A224" s="16" t="s">
        <v>41</v>
      </c>
      <c r="B224" s="114" t="str">
        <f>IFERROR(VLOOKUP(A224,Internal_lists_bugs!$A$2:$G2033,7,FALSE()),"please select a BUG ID")</f>
        <v>https://opendev.org/openstack/nova/commit/b826fba1cd61f7ddbee091c220eaef7ea5317c1b</v>
      </c>
      <c r="C224" s="39" t="str">
        <f>IFERROR(VLOOKUP(A224,Internal_lists_bugs!$A$2:$I2033,9,FALSE()),"please select a BUG ID")</f>
        <v>https://review.opendev.org/c/openstack/nova/+/113772</v>
      </c>
      <c r="D224" s="80" t="s">
        <v>632</v>
      </c>
      <c r="E224" s="85"/>
      <c r="F224" s="130" t="s">
        <v>135</v>
      </c>
      <c r="G224" s="43"/>
      <c r="I224" s="131"/>
      <c r="J224" s="131"/>
      <c r="K224" s="131"/>
      <c r="L224" s="131"/>
      <c r="M224" s="131"/>
      <c r="N224" s="16" t="s">
        <v>634</v>
      </c>
      <c r="O224" s="51"/>
    </row>
    <row r="225">
      <c r="A225" s="16" t="s">
        <v>41</v>
      </c>
      <c r="B225" s="114" t="str">
        <f>IFERROR(VLOOKUP(A225,Internal_lists_bugs!$A$2:$G2033,7,FALSE()),"please select a BUG ID")</f>
        <v>https://opendev.org/openstack/nova/commit/b826fba1cd61f7ddbee091c220eaef7ea5317c1b</v>
      </c>
      <c r="C225" s="39" t="str">
        <f>IFERROR(VLOOKUP(A225,Internal_lists_bugs!$A$2:$I2033,9,FALSE()),"please select a BUG ID")</f>
        <v>https://review.opendev.org/c/openstack/nova/+/113772</v>
      </c>
      <c r="D225" s="85"/>
      <c r="E225" s="85"/>
      <c r="F225" s="133"/>
      <c r="G225" s="16" t="s">
        <v>891</v>
      </c>
      <c r="H225" s="108" t="s">
        <v>892</v>
      </c>
      <c r="I225" s="131"/>
      <c r="J225" s="131"/>
      <c r="K225" s="131"/>
      <c r="L225" s="131"/>
      <c r="M225" s="131"/>
      <c r="N225" s="43"/>
      <c r="O225" s="51"/>
    </row>
    <row r="226">
      <c r="A226" s="16" t="s">
        <v>41</v>
      </c>
      <c r="B226" s="114" t="str">
        <f>IFERROR(VLOOKUP(A226,Internal_lists_bugs!$A$2:$G2033,7,FALSE()),"please select a BUG ID")</f>
        <v>https://opendev.org/openstack/nova/commit/b826fba1cd61f7ddbee091c220eaef7ea5317c1b</v>
      </c>
      <c r="C226" s="39" t="str">
        <f>IFERROR(VLOOKUP(A226,Internal_lists_bugs!$A$2:$I2033,9,FALSE()),"please select a BUG ID")</f>
        <v>https://review.opendev.org/c/openstack/nova/+/113772</v>
      </c>
      <c r="D226" s="85"/>
      <c r="E226" s="85"/>
      <c r="F226" s="133"/>
      <c r="G226" s="16" t="s">
        <v>891</v>
      </c>
      <c r="H226" s="108" t="s">
        <v>893</v>
      </c>
      <c r="I226" s="131"/>
      <c r="J226" s="131"/>
      <c r="K226" s="131"/>
      <c r="L226" s="131"/>
      <c r="M226" s="131"/>
      <c r="N226" s="43"/>
      <c r="O226" s="51"/>
    </row>
    <row r="227">
      <c r="A227" s="16" t="s">
        <v>41</v>
      </c>
      <c r="B227" s="114" t="str">
        <f>IFERROR(VLOOKUP(A227,Internal_lists_bugs!$A$2:$G2033,7,FALSE()),"please select a BUG ID")</f>
        <v>https://opendev.org/openstack/nova/commit/b826fba1cd61f7ddbee091c220eaef7ea5317c1b</v>
      </c>
      <c r="C227" s="39" t="str">
        <f>IFERROR(VLOOKUP(A227,Internal_lists_bugs!$A$2:$I2033,9,FALSE()),"please select a BUG ID")</f>
        <v>https://review.opendev.org/c/openstack/nova/+/113772</v>
      </c>
      <c r="D227" s="85"/>
      <c r="E227" s="85"/>
      <c r="F227" s="133"/>
      <c r="G227" s="16" t="s">
        <v>894</v>
      </c>
      <c r="H227" s="108" t="s">
        <v>895</v>
      </c>
      <c r="I227" s="131"/>
      <c r="J227" s="131"/>
      <c r="K227" s="131"/>
      <c r="L227" s="131"/>
      <c r="M227" s="131"/>
      <c r="N227" s="43"/>
      <c r="O227" s="51"/>
    </row>
    <row r="228">
      <c r="A228" s="16" t="s">
        <v>41</v>
      </c>
      <c r="B228" s="114" t="str">
        <f>IFERROR(VLOOKUP(A228,Internal_lists_bugs!$A$2:$G2033,7,FALSE()),"please select a BUG ID")</f>
        <v>https://opendev.org/openstack/nova/commit/b826fba1cd61f7ddbee091c220eaef7ea5317c1b</v>
      </c>
      <c r="C228" s="39" t="str">
        <f>IFERROR(VLOOKUP(A228,Internal_lists_bugs!$A$2:$I2033,9,FALSE()),"please select a BUG ID")</f>
        <v>https://review.opendev.org/c/openstack/nova/+/113772</v>
      </c>
      <c r="D228" s="85"/>
      <c r="E228" s="85"/>
      <c r="F228" s="133"/>
      <c r="G228" s="16" t="s">
        <v>896</v>
      </c>
      <c r="H228" s="108" t="s">
        <v>897</v>
      </c>
      <c r="I228" s="131"/>
      <c r="J228" s="131"/>
      <c r="K228" s="131"/>
      <c r="L228" s="131"/>
      <c r="M228" s="131"/>
      <c r="N228" s="43"/>
      <c r="O228" s="51"/>
    </row>
    <row r="229">
      <c r="A229" s="16" t="s">
        <v>41</v>
      </c>
      <c r="B229" s="114" t="str">
        <f>IFERROR(VLOOKUP(A229,Internal_lists_bugs!$A$2:$G2033,7,FALSE()),"please select a BUG ID")</f>
        <v>https://opendev.org/openstack/nova/commit/b826fba1cd61f7ddbee091c220eaef7ea5317c1b</v>
      </c>
      <c r="C229" s="39" t="str">
        <f>IFERROR(VLOOKUP(A229,Internal_lists_bugs!$A$2:$I2033,9,FALSE()),"please select a BUG ID")</f>
        <v>https://review.opendev.org/c/openstack/nova/+/113772</v>
      </c>
      <c r="D229" s="85"/>
      <c r="E229" s="85"/>
      <c r="F229" s="133"/>
      <c r="G229" s="16" t="s">
        <v>896</v>
      </c>
      <c r="H229" s="108" t="s">
        <v>898</v>
      </c>
      <c r="I229" s="131"/>
      <c r="J229" s="131"/>
      <c r="K229" s="131"/>
      <c r="L229" s="131"/>
      <c r="M229" s="131"/>
      <c r="N229" s="43"/>
      <c r="O229" s="51"/>
    </row>
    <row r="230">
      <c r="A230" s="16" t="s">
        <v>41</v>
      </c>
      <c r="B230" s="114" t="str">
        <f>IFERROR(VLOOKUP(A230,Internal_lists_bugs!$A$2:$G2033,7,FALSE()),"please select a BUG ID")</f>
        <v>https://opendev.org/openstack/nova/commit/b826fba1cd61f7ddbee091c220eaef7ea5317c1b</v>
      </c>
      <c r="C230" s="39" t="str">
        <f>IFERROR(VLOOKUP(A230,Internal_lists_bugs!$A$2:$I2033,9,FALSE()),"please select a BUG ID")</f>
        <v>https://review.opendev.org/c/openstack/nova/+/113772</v>
      </c>
      <c r="D230" s="85"/>
      <c r="E230" s="85"/>
      <c r="F230" s="133"/>
      <c r="G230" s="16" t="s">
        <v>698</v>
      </c>
      <c r="H230" s="108" t="s">
        <v>899</v>
      </c>
      <c r="I230" s="131"/>
      <c r="J230" s="131"/>
      <c r="K230" s="131"/>
      <c r="L230" s="131"/>
      <c r="M230" s="131"/>
      <c r="N230" s="43"/>
      <c r="O230" s="51"/>
    </row>
    <row r="231">
      <c r="A231" s="16" t="s">
        <v>41</v>
      </c>
      <c r="B231" s="114" t="str">
        <f>IFERROR(VLOOKUP(A231,Internal_lists_bugs!$A$2:$G2033,7,FALSE()),"please select a BUG ID")</f>
        <v>https://opendev.org/openstack/nova/commit/b826fba1cd61f7ddbee091c220eaef7ea5317c1b</v>
      </c>
      <c r="C231" s="39" t="str">
        <f>IFERROR(VLOOKUP(A231,Internal_lists_bugs!$A$2:$I2033,9,FALSE()),"please select a BUG ID")</f>
        <v>https://review.opendev.org/c/openstack/nova/+/113772</v>
      </c>
      <c r="D231" s="85"/>
      <c r="E231" s="85"/>
      <c r="F231" s="133"/>
      <c r="G231" s="16" t="s">
        <v>646</v>
      </c>
      <c r="H231" s="108" t="s">
        <v>900</v>
      </c>
      <c r="I231" s="131"/>
      <c r="J231" s="131"/>
      <c r="K231" s="131"/>
      <c r="L231" s="131"/>
      <c r="M231" s="131"/>
      <c r="N231" s="43"/>
      <c r="O231" s="51"/>
    </row>
    <row r="232">
      <c r="A232" s="16" t="s">
        <v>41</v>
      </c>
      <c r="B232" s="114" t="str">
        <f>IFERROR(VLOOKUP(A232,Internal_lists_bugs!$A$2:$G2033,7,FALSE()),"please select a BUG ID")</f>
        <v>https://opendev.org/openstack/nova/commit/b826fba1cd61f7ddbee091c220eaef7ea5317c1b</v>
      </c>
      <c r="C232" s="39" t="str">
        <f>IFERROR(VLOOKUP(A232,Internal_lists_bugs!$A$2:$I2033,9,FALSE()),"please select a BUG ID")</f>
        <v>https://review.opendev.org/c/openstack/nova/+/113772</v>
      </c>
      <c r="D232" s="85"/>
      <c r="E232" s="85"/>
      <c r="F232" s="133"/>
      <c r="G232" s="16" t="s">
        <v>668</v>
      </c>
      <c r="H232" s="108" t="s">
        <v>667</v>
      </c>
      <c r="I232" s="131"/>
      <c r="J232" s="131"/>
      <c r="K232" s="131"/>
      <c r="L232" s="131"/>
      <c r="M232" s="131"/>
      <c r="N232" s="43"/>
      <c r="O232" s="51"/>
    </row>
    <row r="233">
      <c r="A233" s="16" t="s">
        <v>41</v>
      </c>
      <c r="B233" s="114" t="str">
        <f>IFERROR(VLOOKUP(A233,Internal_lists_bugs!$A$2:$G2033,7,FALSE()),"please select a BUG ID")</f>
        <v>https://opendev.org/openstack/nova/commit/b826fba1cd61f7ddbee091c220eaef7ea5317c1b</v>
      </c>
      <c r="C233" s="39" t="str">
        <f>IFERROR(VLOOKUP(A233,Internal_lists_bugs!$A$2:$I2033,9,FALSE()),"please select a BUG ID")</f>
        <v>https://review.opendev.org/c/openstack/nova/+/113772</v>
      </c>
      <c r="D233" s="85"/>
      <c r="E233" s="85"/>
      <c r="F233" s="133"/>
      <c r="G233" s="16" t="s">
        <v>664</v>
      </c>
      <c r="H233" s="108" t="s">
        <v>901</v>
      </c>
      <c r="I233" s="131"/>
      <c r="J233" s="131"/>
      <c r="K233" s="131"/>
      <c r="L233" s="131"/>
      <c r="M233" s="131"/>
      <c r="N233" s="43"/>
      <c r="O233" s="51"/>
    </row>
    <row r="234">
      <c r="A234" s="16" t="s">
        <v>41</v>
      </c>
      <c r="B234" s="114" t="str">
        <f>IFERROR(VLOOKUP(A234,Internal_lists_bugs!$A$2:$G2033,7,FALSE()),"please select a BUG ID")</f>
        <v>https://opendev.org/openstack/nova/commit/b826fba1cd61f7ddbee091c220eaef7ea5317c1b</v>
      </c>
      <c r="C234" s="39" t="str">
        <f>IFERROR(VLOOKUP(A234,Internal_lists_bugs!$A$2:$I2033,9,FALSE()),"please select a BUG ID")</f>
        <v>https://review.opendev.org/c/openstack/nova/+/113772</v>
      </c>
      <c r="D234" s="85"/>
      <c r="E234" s="85"/>
      <c r="F234" s="133"/>
      <c r="G234" s="16" t="s">
        <v>677</v>
      </c>
      <c r="H234" s="108" t="s">
        <v>902</v>
      </c>
      <c r="I234" s="131"/>
      <c r="J234" s="131"/>
      <c r="K234" s="131"/>
      <c r="L234" s="131"/>
      <c r="M234" s="131"/>
      <c r="N234" s="43"/>
      <c r="O234" s="51"/>
    </row>
    <row r="235">
      <c r="A235" s="16" t="s">
        <v>41</v>
      </c>
      <c r="B235" s="114" t="str">
        <f>IFERROR(VLOOKUP(A235,Internal_lists_bugs!$A$2:$G2033,7,FALSE()),"please select a BUG ID")</f>
        <v>https://opendev.org/openstack/nova/commit/b826fba1cd61f7ddbee091c220eaef7ea5317c1b</v>
      </c>
      <c r="C235" s="39" t="str">
        <f>IFERROR(VLOOKUP(A235,Internal_lists_bugs!$A$2:$I2033,9,FALSE()),"please select a BUG ID")</f>
        <v>https://review.opendev.org/c/openstack/nova/+/113772</v>
      </c>
      <c r="D235" s="80"/>
      <c r="E235" s="80"/>
      <c r="F235" s="130"/>
      <c r="G235" s="16" t="s">
        <v>685</v>
      </c>
      <c r="H235" s="108" t="s">
        <v>903</v>
      </c>
      <c r="I235" s="131"/>
      <c r="J235" s="125"/>
      <c r="K235" s="131"/>
      <c r="L235" s="131"/>
      <c r="M235" s="131"/>
      <c r="N235" s="43"/>
      <c r="O235" s="51"/>
    </row>
    <row r="236">
      <c r="A236" s="16" t="s">
        <v>41</v>
      </c>
      <c r="B236" s="114" t="str">
        <f>IFERROR(VLOOKUP(A236,Internal_lists_bugs!$A$2:$G2033,7,FALSE()),"please select a BUG ID")</f>
        <v>https://opendev.org/openstack/nova/commit/b826fba1cd61f7ddbee091c220eaef7ea5317c1b</v>
      </c>
      <c r="C236" s="39" t="str">
        <f>IFERROR(VLOOKUP(A236,Internal_lists_bugs!$A$2:$I2033,9,FALSE()),"please select a BUG ID")</f>
        <v>https://review.opendev.org/c/openstack/nova/+/113772</v>
      </c>
      <c r="D236" s="80"/>
      <c r="E236" s="80"/>
      <c r="F236" s="130"/>
      <c r="G236" s="16" t="s">
        <v>695</v>
      </c>
      <c r="H236" s="108" t="s">
        <v>904</v>
      </c>
      <c r="I236" s="131"/>
      <c r="J236" s="125"/>
      <c r="K236" s="131"/>
      <c r="L236" s="131"/>
      <c r="M236" s="131"/>
      <c r="N236" s="43"/>
      <c r="O236" s="51"/>
    </row>
    <row r="237">
      <c r="A237" s="16" t="s">
        <v>41</v>
      </c>
      <c r="B237" s="114" t="str">
        <f>IFERROR(VLOOKUP(A237,Internal_lists_bugs!$A$2:$G2033,7,FALSE()),"please select a BUG ID")</f>
        <v>https://opendev.org/openstack/nova/commit/b826fba1cd61f7ddbee091c220eaef7ea5317c1b</v>
      </c>
      <c r="C237" s="39" t="str">
        <f>IFERROR(VLOOKUP(A237,Internal_lists_bugs!$A$2:$I2033,9,FALSE()),"please select a BUG ID")</f>
        <v>https://review.opendev.org/c/openstack/nova/+/113772</v>
      </c>
      <c r="D237" s="85"/>
      <c r="E237" s="85"/>
      <c r="F237" s="133"/>
      <c r="G237" s="16" t="s">
        <v>672</v>
      </c>
      <c r="H237" s="108" t="s">
        <v>904</v>
      </c>
      <c r="I237" s="131"/>
      <c r="J237" s="131"/>
      <c r="K237" s="131"/>
      <c r="L237" s="131"/>
      <c r="M237" s="131"/>
      <c r="N237" s="43"/>
      <c r="O237" s="51"/>
    </row>
    <row r="238">
      <c r="A238" s="16" t="s">
        <v>42</v>
      </c>
      <c r="B238" s="114" t="str">
        <f>IFERROR(VLOOKUP(A238,Internal_lists_bugs!$A$2:$G2033,7,FALSE()),"please select a BUG ID")</f>
        <v>https://opendev.org/openstack/nova/commit/2d0578c539d000981e50ba0c143385974d10e2e2</v>
      </c>
      <c r="C238" s="39" t="str">
        <f>IFERROR(VLOOKUP(A238,Internal_lists_bugs!$A$2:$I2033,9,FALSE()),"please select a BUG ID")</f>
        <v>https://review.opendev.org/c/openstack/nova/+/24363</v>
      </c>
      <c r="D238" s="80" t="s">
        <v>632</v>
      </c>
      <c r="E238" s="85"/>
      <c r="F238" s="130" t="s">
        <v>135</v>
      </c>
      <c r="G238" s="16" t="s">
        <v>633</v>
      </c>
      <c r="H238" s="16" t="s">
        <v>123</v>
      </c>
      <c r="I238" s="131"/>
      <c r="J238" s="131"/>
      <c r="K238" s="131"/>
      <c r="L238" s="131"/>
      <c r="M238" s="131"/>
      <c r="N238" s="16" t="s">
        <v>634</v>
      </c>
      <c r="O238" s="51"/>
    </row>
    <row r="239">
      <c r="A239" s="16" t="s">
        <v>42</v>
      </c>
      <c r="B239" s="114" t="str">
        <f>IFERROR(VLOOKUP(A239,Internal_lists_bugs!$A$2:$G2033,7,FALSE()),"please select a BUG ID")</f>
        <v>https://opendev.org/openstack/nova/commit/2d0578c539d000981e50ba0c143385974d10e2e2</v>
      </c>
      <c r="C239" s="39" t="str">
        <f>IFERROR(VLOOKUP(A239,Internal_lists_bugs!$A$2:$I2033,9,FALSE()),"please select a BUG ID")</f>
        <v>https://review.opendev.org/c/openstack/nova/+/24363</v>
      </c>
      <c r="D239" s="80"/>
      <c r="E239" s="85"/>
      <c r="F239" s="130"/>
      <c r="G239" s="16" t="s">
        <v>652</v>
      </c>
      <c r="H239" s="108" t="s">
        <v>681</v>
      </c>
      <c r="I239" s="131"/>
      <c r="J239" s="131"/>
      <c r="K239" s="131"/>
      <c r="L239" s="131"/>
      <c r="M239" s="131"/>
      <c r="N239" s="43"/>
      <c r="O239" s="51"/>
    </row>
    <row r="240">
      <c r="A240" s="16" t="s">
        <v>42</v>
      </c>
      <c r="B240" s="114" t="str">
        <f>IFERROR(VLOOKUP(A240,Internal_lists_bugs!$A$2:$G2033,7,FALSE()),"please select a BUG ID")</f>
        <v>https://opendev.org/openstack/nova/commit/2d0578c539d000981e50ba0c143385974d10e2e2</v>
      </c>
      <c r="C240" s="39" t="str">
        <f>IFERROR(VLOOKUP(A240,Internal_lists_bugs!$A$2:$I2033,9,FALSE()),"please select a BUG ID")</f>
        <v>https://review.opendev.org/c/openstack/nova/+/24363</v>
      </c>
      <c r="D240" s="85"/>
      <c r="E240" s="85"/>
      <c r="F240" s="133"/>
      <c r="G240" s="16" t="s">
        <v>798</v>
      </c>
      <c r="H240" s="108" t="s">
        <v>905</v>
      </c>
      <c r="I240" s="131"/>
      <c r="J240" s="131"/>
      <c r="K240" s="131"/>
      <c r="L240" s="131"/>
      <c r="M240" s="131"/>
      <c r="N240" s="43"/>
      <c r="O240" s="51"/>
    </row>
    <row r="241">
      <c r="A241" s="16" t="s">
        <v>42</v>
      </c>
      <c r="B241" s="114" t="str">
        <f>IFERROR(VLOOKUP(A241,Internal_lists_bugs!$A$2:$G2033,7,FALSE()),"please select a BUG ID")</f>
        <v>https://opendev.org/openstack/nova/commit/2d0578c539d000981e50ba0c143385974d10e2e2</v>
      </c>
      <c r="C241" s="39" t="str">
        <f>IFERROR(VLOOKUP(A241,Internal_lists_bugs!$A$2:$I2033,9,FALSE()),"please select a BUG ID")</f>
        <v>https://review.opendev.org/c/openstack/nova/+/24363</v>
      </c>
      <c r="D241" s="85"/>
      <c r="E241" s="85"/>
      <c r="F241" s="133"/>
      <c r="G241" s="16" t="s">
        <v>906</v>
      </c>
      <c r="H241" s="108" t="s">
        <v>907</v>
      </c>
      <c r="I241" s="131"/>
      <c r="J241" s="131"/>
      <c r="K241" s="131"/>
      <c r="L241" s="131"/>
      <c r="M241" s="131"/>
      <c r="N241" s="43"/>
      <c r="O241" s="51"/>
    </row>
    <row r="242">
      <c r="A242" s="16" t="s">
        <v>42</v>
      </c>
      <c r="B242" s="114" t="str">
        <f>IFERROR(VLOOKUP(A242,Internal_lists_bugs!$A$2:$G2033,7,FALSE()),"please select a BUG ID")</f>
        <v>https://opendev.org/openstack/nova/commit/2d0578c539d000981e50ba0c143385974d10e2e2</v>
      </c>
      <c r="C242" s="39" t="str">
        <f>IFERROR(VLOOKUP(A242,Internal_lists_bugs!$A$2:$I2033,9,FALSE()),"please select a BUG ID")</f>
        <v>https://review.opendev.org/c/openstack/nova/+/24363</v>
      </c>
      <c r="D242" s="85"/>
      <c r="E242" s="85"/>
      <c r="F242" s="133"/>
      <c r="G242" s="16" t="s">
        <v>794</v>
      </c>
      <c r="H242" s="108" t="s">
        <v>908</v>
      </c>
      <c r="I242" s="131"/>
      <c r="J242" s="131"/>
      <c r="K242" s="131"/>
      <c r="L242" s="131"/>
      <c r="M242" s="131"/>
      <c r="N242" s="43"/>
      <c r="O242" s="51"/>
    </row>
    <row r="243">
      <c r="A243" s="16" t="s">
        <v>42</v>
      </c>
      <c r="B243" s="114" t="str">
        <f>IFERROR(VLOOKUP(A243,Internal_lists_bugs!$A$2:$G2033,7,FALSE()),"please select a BUG ID")</f>
        <v>https://opendev.org/openstack/nova/commit/2d0578c539d000981e50ba0c143385974d10e2e2</v>
      </c>
      <c r="C243" s="39" t="str">
        <f>IFERROR(VLOOKUP(A243,Internal_lists_bugs!$A$2:$I2033,9,FALSE()),"please select a BUG ID")</f>
        <v>https://review.opendev.org/c/openstack/nova/+/24363</v>
      </c>
      <c r="D243" s="85"/>
      <c r="E243" s="85"/>
      <c r="F243" s="133"/>
      <c r="G243" s="16" t="s">
        <v>909</v>
      </c>
      <c r="H243" s="108" t="s">
        <v>907</v>
      </c>
      <c r="I243" s="131"/>
      <c r="J243" s="131"/>
      <c r="K243" s="131"/>
      <c r="L243" s="131"/>
      <c r="M243" s="131"/>
      <c r="N243" s="43"/>
      <c r="O243" s="51"/>
    </row>
    <row r="244">
      <c r="A244" s="16" t="s">
        <v>42</v>
      </c>
      <c r="B244" s="114" t="str">
        <f>IFERROR(VLOOKUP(A244,Internal_lists_bugs!$A$2:$G2033,7,FALSE()),"please select a BUG ID")</f>
        <v>https://opendev.org/openstack/nova/commit/2d0578c539d000981e50ba0c143385974d10e2e2</v>
      </c>
      <c r="C244" s="39" t="str">
        <f>IFERROR(VLOOKUP(A244,Internal_lists_bugs!$A$2:$I2033,9,FALSE()),"please select a BUG ID")</f>
        <v>https://review.opendev.org/c/openstack/nova/+/24363</v>
      </c>
      <c r="D244" s="85"/>
      <c r="E244" s="85"/>
      <c r="F244" s="133"/>
      <c r="G244" s="16" t="s">
        <v>910</v>
      </c>
      <c r="H244" s="108" t="s">
        <v>653</v>
      </c>
      <c r="I244" s="131"/>
      <c r="J244" s="131"/>
      <c r="K244" s="131"/>
      <c r="L244" s="131"/>
      <c r="M244" s="131"/>
      <c r="N244" s="43"/>
      <c r="O244" s="51"/>
    </row>
    <row r="245">
      <c r="A245" s="16" t="s">
        <v>42</v>
      </c>
      <c r="B245" s="114" t="str">
        <f>IFERROR(VLOOKUP(A245,Internal_lists_bugs!$A$2:$G2033,7,FALSE()),"please select a BUG ID")</f>
        <v>https://opendev.org/openstack/nova/commit/2d0578c539d000981e50ba0c143385974d10e2e2</v>
      </c>
      <c r="C245" s="39" t="str">
        <f>IFERROR(VLOOKUP(A245,Internal_lists_bugs!$A$2:$I2033,9,FALSE()),"please select a BUG ID")</f>
        <v>https://review.opendev.org/c/openstack/nova/+/24363</v>
      </c>
      <c r="D245" s="85"/>
      <c r="E245" s="85"/>
      <c r="F245" s="133"/>
      <c r="G245" s="16" t="s">
        <v>794</v>
      </c>
      <c r="H245" s="108" t="s">
        <v>911</v>
      </c>
      <c r="I245" s="131"/>
      <c r="J245" s="131"/>
      <c r="K245" s="131"/>
      <c r="L245" s="131"/>
      <c r="M245" s="131"/>
      <c r="N245" s="43"/>
      <c r="O245" s="51"/>
    </row>
    <row r="246">
      <c r="A246" s="16" t="s">
        <v>42</v>
      </c>
      <c r="B246" s="114" t="str">
        <f>IFERROR(VLOOKUP(A246,Internal_lists_bugs!$A$2:$G2033,7,FALSE()),"please select a BUG ID")</f>
        <v>https://opendev.org/openstack/nova/commit/2d0578c539d000981e50ba0c143385974d10e2e2</v>
      </c>
      <c r="C246" s="39" t="str">
        <f>IFERROR(VLOOKUP(A246,Internal_lists_bugs!$A$2:$I2033,9,FALSE()),"please select a BUG ID")</f>
        <v>https://review.opendev.org/c/openstack/nova/+/24363</v>
      </c>
      <c r="D246" s="85"/>
      <c r="E246" s="85"/>
      <c r="F246" s="133"/>
      <c r="G246" s="16" t="s">
        <v>829</v>
      </c>
      <c r="H246" s="108" t="s">
        <v>659</v>
      </c>
      <c r="I246" s="131"/>
      <c r="J246" s="131"/>
      <c r="K246" s="131"/>
      <c r="L246" s="131"/>
      <c r="M246" s="131"/>
      <c r="N246" s="43"/>
      <c r="O246" s="51"/>
    </row>
    <row r="247">
      <c r="A247" s="16" t="s">
        <v>42</v>
      </c>
      <c r="B247" s="114" t="str">
        <f>IFERROR(VLOOKUP(A247,Internal_lists_bugs!$A$2:$G2033,7,FALSE()),"please select a BUG ID")</f>
        <v>https://opendev.org/openstack/nova/commit/2d0578c539d000981e50ba0c143385974d10e2e2</v>
      </c>
      <c r="C247" s="39" t="str">
        <f>IFERROR(VLOOKUP(A247,Internal_lists_bugs!$A$2:$I2033,9,FALSE()),"please select a BUG ID")</f>
        <v>https://review.opendev.org/c/openstack/nova/+/24363</v>
      </c>
      <c r="D247" s="85"/>
      <c r="E247" s="85"/>
      <c r="F247" s="133"/>
      <c r="G247" s="16" t="s">
        <v>798</v>
      </c>
      <c r="H247" s="108" t="s">
        <v>912</v>
      </c>
      <c r="I247" s="131"/>
      <c r="J247" s="131"/>
      <c r="K247" s="131"/>
      <c r="L247" s="131"/>
      <c r="M247" s="131"/>
      <c r="N247" s="43"/>
      <c r="O247" s="51"/>
    </row>
    <row r="248">
      <c r="A248" s="16" t="s">
        <v>43</v>
      </c>
      <c r="B248" s="114" t="str">
        <f>IFERROR(VLOOKUP(A248,Internal_lists_bugs!$A$2:$G2033,7,FALSE()),"please select a BUG ID")</f>
        <v>https://opendev.org/openstack/nova/commit/e65a43837e9ccad8ca34da4d29824df591c685fe</v>
      </c>
      <c r="C248" s="39" t="str">
        <f>IFERROR(VLOOKUP(A248,Internal_lists_bugs!$A$2:$I2033,9,FALSE()),"please select a BUG ID")</f>
        <v>https://review.opendev.org/c/openstack/nova/+/119446</v>
      </c>
      <c r="D248" s="80" t="s">
        <v>632</v>
      </c>
      <c r="E248" s="85"/>
      <c r="F248" s="130" t="s">
        <v>121</v>
      </c>
      <c r="G248" s="43"/>
      <c r="I248" s="131"/>
      <c r="J248" s="131"/>
      <c r="K248" s="131"/>
      <c r="L248" s="131"/>
      <c r="M248" s="131"/>
      <c r="N248" s="16" t="s">
        <v>634</v>
      </c>
      <c r="O248" s="51"/>
    </row>
    <row r="249">
      <c r="A249" s="16" t="s">
        <v>43</v>
      </c>
      <c r="B249" s="114" t="str">
        <f>IFERROR(VLOOKUP(A249,Internal_lists_bugs!$A$2:$G2033,7,FALSE()),"please select a BUG ID")</f>
        <v>https://opendev.org/openstack/nova/commit/e65a43837e9ccad8ca34da4d29824df591c685fe</v>
      </c>
      <c r="C249" s="39" t="str">
        <f>IFERROR(VLOOKUP(A249,Internal_lists_bugs!$A$2:$I2033,9,FALSE()),"please select a BUG ID")</f>
        <v>https://review.opendev.org/c/openstack/nova/+/119446</v>
      </c>
      <c r="D249" s="85"/>
      <c r="E249" s="85"/>
      <c r="F249" s="133"/>
      <c r="G249" s="16" t="s">
        <v>698</v>
      </c>
      <c r="H249" s="108" t="s">
        <v>913</v>
      </c>
      <c r="I249" s="131"/>
      <c r="J249" s="131"/>
      <c r="K249" s="131"/>
      <c r="L249" s="131"/>
      <c r="M249" s="131"/>
      <c r="N249" s="43"/>
      <c r="O249" s="51"/>
    </row>
    <row r="250">
      <c r="A250" s="16" t="s">
        <v>43</v>
      </c>
      <c r="B250" s="114" t="str">
        <f>IFERROR(VLOOKUP(A250,Internal_lists_bugs!$A$2:$G2033,7,FALSE()),"please select a BUG ID")</f>
        <v>https://opendev.org/openstack/nova/commit/e65a43837e9ccad8ca34da4d29824df591c685fe</v>
      </c>
      <c r="C250" s="39" t="str">
        <f>IFERROR(VLOOKUP(A250,Internal_lists_bugs!$A$2:$I2033,9,FALSE()),"please select a BUG ID")</f>
        <v>https://review.opendev.org/c/openstack/nova/+/119446</v>
      </c>
      <c r="D250" s="85"/>
      <c r="E250" s="85"/>
      <c r="F250" s="133"/>
      <c r="G250" s="16" t="s">
        <v>664</v>
      </c>
      <c r="H250" s="108" t="s">
        <v>665</v>
      </c>
      <c r="I250" s="131"/>
      <c r="J250" s="131"/>
      <c r="K250" s="131"/>
      <c r="L250" s="131"/>
      <c r="M250" s="131"/>
      <c r="N250" s="43"/>
      <c r="O250" s="51"/>
    </row>
    <row r="251">
      <c r="A251" s="16" t="s">
        <v>43</v>
      </c>
      <c r="B251" s="114" t="str">
        <f>IFERROR(VLOOKUP(A251,Internal_lists_bugs!$A$2:$G2033,7,FALSE()),"please select a BUG ID")</f>
        <v>https://opendev.org/openstack/nova/commit/e65a43837e9ccad8ca34da4d29824df591c685fe</v>
      </c>
      <c r="C251" s="39" t="str">
        <f>IFERROR(VLOOKUP(A251,Internal_lists_bugs!$A$2:$I2033,9,FALSE()),"please select a BUG ID")</f>
        <v>https://review.opendev.org/c/openstack/nova/+/119446</v>
      </c>
      <c r="D251" s="85"/>
      <c r="E251" s="85"/>
      <c r="F251" s="133"/>
      <c r="G251" s="16" t="s">
        <v>914</v>
      </c>
      <c r="H251" s="108" t="s">
        <v>665</v>
      </c>
      <c r="I251" s="131"/>
      <c r="J251" s="131"/>
      <c r="K251" s="131"/>
      <c r="L251" s="131"/>
      <c r="M251" s="131"/>
      <c r="N251" s="43"/>
      <c r="O251" s="51"/>
    </row>
    <row r="252">
      <c r="A252" s="16" t="s">
        <v>43</v>
      </c>
      <c r="B252" s="114" t="str">
        <f>IFERROR(VLOOKUP(A252,Internal_lists_bugs!$A$2:$G2033,7,FALSE()),"please select a BUG ID")</f>
        <v>https://opendev.org/openstack/nova/commit/e65a43837e9ccad8ca34da4d29824df591c685fe</v>
      </c>
      <c r="C252" s="39" t="str">
        <f>IFERROR(VLOOKUP(A252,Internal_lists_bugs!$A$2:$I2033,9,FALSE()),"please select a BUG ID")</f>
        <v>https://review.opendev.org/c/openstack/nova/+/119446</v>
      </c>
      <c r="D252" s="85"/>
      <c r="E252" s="85"/>
      <c r="F252" s="133"/>
      <c r="G252" s="16" t="s">
        <v>670</v>
      </c>
      <c r="H252" s="108" t="s">
        <v>679</v>
      </c>
      <c r="I252" s="131"/>
      <c r="J252" s="131"/>
      <c r="K252" s="131"/>
      <c r="L252" s="131"/>
      <c r="M252" s="131"/>
      <c r="N252" s="43"/>
      <c r="O252" s="51"/>
    </row>
    <row r="253">
      <c r="A253" s="16" t="s">
        <v>43</v>
      </c>
      <c r="B253" s="114" t="str">
        <f>IFERROR(VLOOKUP(A253,Internal_lists_bugs!$A$2:$G2033,7,FALSE()),"please select a BUG ID")</f>
        <v>https://opendev.org/openstack/nova/commit/e65a43837e9ccad8ca34da4d29824df591c685fe</v>
      </c>
      <c r="C253" s="39" t="str">
        <f>IFERROR(VLOOKUP(A253,Internal_lists_bugs!$A$2:$I2033,9,FALSE()),"please select a BUG ID")</f>
        <v>https://review.opendev.org/c/openstack/nova/+/119446</v>
      </c>
      <c r="D253" s="85"/>
      <c r="E253" s="85"/>
      <c r="F253" s="133"/>
      <c r="G253" s="16" t="s">
        <v>672</v>
      </c>
      <c r="H253" s="108" t="s">
        <v>679</v>
      </c>
      <c r="I253" s="131"/>
      <c r="J253" s="131"/>
      <c r="K253" s="131"/>
      <c r="L253" s="131"/>
      <c r="M253" s="131"/>
      <c r="N253" s="43"/>
      <c r="O253" s="51"/>
    </row>
    <row r="254">
      <c r="A254" s="16" t="s">
        <v>44</v>
      </c>
      <c r="B254" s="114" t="str">
        <f>IFERROR(VLOOKUP(A254,Internal_lists_bugs!$A$2:$G2033,7,FALSE()),"please select a BUG ID")</f>
        <v>https://opendev.org/openstack/nova/commit/ba1ed8958b6bde0d8b9f5862a83ac7e1a33e8313</v>
      </c>
      <c r="C254" s="39" t="str">
        <f>IFERROR(VLOOKUP(A254,Internal_lists_bugs!$A$2:$I2033,9,FALSE()),"please select a BUG ID")</f>
        <v>https://review.opendev.org/c/openstack/nova/+/29062</v>
      </c>
      <c r="D254" s="80" t="s">
        <v>632</v>
      </c>
      <c r="E254" s="85"/>
      <c r="F254" s="130" t="s">
        <v>135</v>
      </c>
      <c r="G254" s="16" t="s">
        <v>633</v>
      </c>
      <c r="H254" s="16" t="s">
        <v>123</v>
      </c>
      <c r="I254" s="131"/>
      <c r="J254" s="131"/>
      <c r="K254" s="131"/>
      <c r="L254" s="131"/>
      <c r="M254" s="131"/>
      <c r="N254" s="16" t="s">
        <v>634</v>
      </c>
      <c r="O254" s="51"/>
    </row>
    <row r="255">
      <c r="A255" s="16" t="s">
        <v>44</v>
      </c>
      <c r="B255" s="114" t="str">
        <f>IFERROR(VLOOKUP(A255,Internal_lists_bugs!$A$2:$G2033,7,FALSE()),"please select a BUG ID")</f>
        <v>https://opendev.org/openstack/nova/commit/ba1ed8958b6bde0d8b9f5862a83ac7e1a33e8313</v>
      </c>
      <c r="C255" s="39" t="str">
        <f>IFERROR(VLOOKUP(A255,Internal_lists_bugs!$A$2:$I2033,9,FALSE()),"please select a BUG ID")</f>
        <v>https://review.opendev.org/c/openstack/nova/+/29062</v>
      </c>
      <c r="D255" s="85"/>
      <c r="E255" s="85"/>
      <c r="F255" s="133"/>
      <c r="G255" s="16" t="s">
        <v>635</v>
      </c>
      <c r="H255" s="108" t="s">
        <v>636</v>
      </c>
      <c r="I255" s="131"/>
      <c r="J255" s="131"/>
      <c r="K255" s="131"/>
      <c r="L255" s="131"/>
      <c r="M255" s="131"/>
      <c r="N255" s="43"/>
      <c r="O255" s="51"/>
    </row>
    <row r="256">
      <c r="A256" s="16" t="s">
        <v>44</v>
      </c>
      <c r="B256" s="114" t="str">
        <f>IFERROR(VLOOKUP(A256,Internal_lists_bugs!$A$2:$G2033,7,FALSE()),"please select a BUG ID")</f>
        <v>https://opendev.org/openstack/nova/commit/ba1ed8958b6bde0d8b9f5862a83ac7e1a33e8313</v>
      </c>
      <c r="C256" s="39" t="str">
        <f>IFERROR(VLOOKUP(A256,Internal_lists_bugs!$A$2:$I2033,9,FALSE()),"please select a BUG ID")</f>
        <v>https://review.opendev.org/c/openstack/nova/+/29062</v>
      </c>
      <c r="D256" s="85"/>
      <c r="E256" s="85"/>
      <c r="F256" s="133"/>
      <c r="G256" s="16" t="s">
        <v>635</v>
      </c>
      <c r="H256" s="108" t="s">
        <v>915</v>
      </c>
      <c r="I256" s="131"/>
      <c r="J256" s="131"/>
      <c r="K256" s="131"/>
      <c r="L256" s="131"/>
      <c r="M256" s="131"/>
      <c r="N256" s="43"/>
      <c r="O256" s="51"/>
    </row>
    <row r="257">
      <c r="A257" s="16" t="s">
        <v>44</v>
      </c>
      <c r="B257" s="114" t="str">
        <f>IFERROR(VLOOKUP(A257,Internal_lists_bugs!$A$2:$G2033,7,FALSE()),"please select a BUG ID")</f>
        <v>https://opendev.org/openstack/nova/commit/ba1ed8958b6bde0d8b9f5862a83ac7e1a33e8313</v>
      </c>
      <c r="C257" s="39" t="str">
        <f>IFERROR(VLOOKUP(A257,Internal_lists_bugs!$A$2:$I2033,9,FALSE()),"please select a BUG ID")</f>
        <v>https://review.opendev.org/c/openstack/nova/+/29062</v>
      </c>
      <c r="D257" s="85"/>
      <c r="E257" s="85"/>
      <c r="F257" s="133"/>
      <c r="G257" s="16" t="s">
        <v>643</v>
      </c>
      <c r="H257" s="108" t="s">
        <v>916</v>
      </c>
      <c r="I257" s="131"/>
      <c r="J257" s="131"/>
      <c r="K257" s="131"/>
      <c r="L257" s="131"/>
      <c r="M257" s="131"/>
      <c r="N257" s="43"/>
      <c r="O257" s="51"/>
    </row>
    <row r="258">
      <c r="A258" s="16" t="s">
        <v>44</v>
      </c>
      <c r="B258" s="114" t="str">
        <f>IFERROR(VLOOKUP(A258,Internal_lists_bugs!$A$2:$G2033,7,FALSE()),"please select a BUG ID")</f>
        <v>https://opendev.org/openstack/nova/commit/ba1ed8958b6bde0d8b9f5862a83ac7e1a33e8313</v>
      </c>
      <c r="C258" s="39" t="str">
        <f>IFERROR(VLOOKUP(A258,Internal_lists_bugs!$A$2:$I2033,9,FALSE()),"please select a BUG ID")</f>
        <v>https://review.opendev.org/c/openstack/nova/+/29062</v>
      </c>
      <c r="D258" s="85"/>
      <c r="E258" s="85"/>
      <c r="F258" s="133"/>
      <c r="G258" s="16" t="s">
        <v>917</v>
      </c>
      <c r="H258" s="108" t="s">
        <v>918</v>
      </c>
      <c r="I258" s="131"/>
      <c r="J258" s="131"/>
      <c r="K258" s="131"/>
      <c r="L258" s="131"/>
      <c r="M258" s="131"/>
      <c r="N258" s="43"/>
      <c r="O258" s="51"/>
    </row>
    <row r="259">
      <c r="A259" s="16" t="s">
        <v>44</v>
      </c>
      <c r="B259" s="114" t="str">
        <f>IFERROR(VLOOKUP(A259,Internal_lists_bugs!$A$2:$G2033,7,FALSE()),"please select a BUG ID")</f>
        <v>https://opendev.org/openstack/nova/commit/ba1ed8958b6bde0d8b9f5862a83ac7e1a33e8313</v>
      </c>
      <c r="C259" s="39" t="str">
        <f>IFERROR(VLOOKUP(A259,Internal_lists_bugs!$A$2:$I2033,9,FALSE()),"please select a BUG ID")</f>
        <v>https://review.opendev.org/c/openstack/nova/+/29062</v>
      </c>
      <c r="D259" s="85"/>
      <c r="E259" s="85"/>
      <c r="F259" s="133"/>
      <c r="G259" s="16" t="s">
        <v>919</v>
      </c>
      <c r="H259" s="108" t="s">
        <v>920</v>
      </c>
      <c r="I259" s="131"/>
      <c r="J259" s="131"/>
      <c r="K259" s="131"/>
      <c r="L259" s="131"/>
      <c r="M259" s="131"/>
      <c r="N259" s="43"/>
      <c r="O259" s="51"/>
    </row>
    <row r="260">
      <c r="A260" s="16" t="s">
        <v>44</v>
      </c>
      <c r="B260" s="114" t="str">
        <f>IFERROR(VLOOKUP(A260,Internal_lists_bugs!$A$2:$G2033,7,FALSE()),"please select a BUG ID")</f>
        <v>https://opendev.org/openstack/nova/commit/ba1ed8958b6bde0d8b9f5862a83ac7e1a33e8313</v>
      </c>
      <c r="C260" s="39" t="str">
        <f>IFERROR(VLOOKUP(A260,Internal_lists_bugs!$A$2:$I2033,9,FALSE()),"please select a BUG ID")</f>
        <v>https://review.opendev.org/c/openstack/nova/+/29062</v>
      </c>
      <c r="D260" s="85"/>
      <c r="E260" s="85"/>
      <c r="F260" s="133"/>
      <c r="G260" s="16" t="s">
        <v>643</v>
      </c>
      <c r="H260" s="108" t="s">
        <v>921</v>
      </c>
      <c r="I260" s="131"/>
      <c r="J260" s="131"/>
      <c r="K260" s="131"/>
      <c r="L260" s="131"/>
      <c r="M260" s="131"/>
      <c r="N260" s="43"/>
      <c r="O260" s="51"/>
    </row>
    <row r="261">
      <c r="A261" s="16" t="s">
        <v>44</v>
      </c>
      <c r="B261" s="114" t="str">
        <f>IFERROR(VLOOKUP(A261,Internal_lists_bugs!$A$2:$G2033,7,FALSE()),"please select a BUG ID")</f>
        <v>https://opendev.org/openstack/nova/commit/ba1ed8958b6bde0d8b9f5862a83ac7e1a33e8313</v>
      </c>
      <c r="C261" s="39" t="str">
        <f>IFERROR(VLOOKUP(A261,Internal_lists_bugs!$A$2:$I2033,9,FALSE()),"please select a BUG ID")</f>
        <v>https://review.opendev.org/c/openstack/nova/+/29062</v>
      </c>
      <c r="D261" s="85"/>
      <c r="E261" s="85"/>
      <c r="F261" s="133"/>
      <c r="G261" s="16" t="s">
        <v>919</v>
      </c>
      <c r="H261" s="108" t="s">
        <v>922</v>
      </c>
      <c r="I261" s="131"/>
      <c r="J261" s="131"/>
      <c r="K261" s="131"/>
      <c r="L261" s="131"/>
      <c r="M261" s="131"/>
      <c r="N261" s="43"/>
      <c r="O261" s="51"/>
    </row>
    <row r="262">
      <c r="A262" s="16" t="s">
        <v>44</v>
      </c>
      <c r="B262" s="114" t="str">
        <f>IFERROR(VLOOKUP(A262,Internal_lists_bugs!$A$2:$G2033,7,FALSE()),"please select a BUG ID")</f>
        <v>https://opendev.org/openstack/nova/commit/ba1ed8958b6bde0d8b9f5862a83ac7e1a33e8313</v>
      </c>
      <c r="C262" s="39" t="str">
        <f>IFERROR(VLOOKUP(A262,Internal_lists_bugs!$A$2:$I2033,9,FALSE()),"please select a BUG ID")</f>
        <v>https://review.opendev.org/c/openstack/nova/+/29062</v>
      </c>
      <c r="D262" s="85"/>
      <c r="E262" s="85"/>
      <c r="F262" s="133"/>
      <c r="G262" s="16" t="s">
        <v>646</v>
      </c>
      <c r="H262" s="108" t="s">
        <v>923</v>
      </c>
      <c r="I262" s="131"/>
      <c r="J262" s="131"/>
      <c r="K262" s="131"/>
      <c r="L262" s="131"/>
      <c r="M262" s="131"/>
      <c r="N262" s="43"/>
      <c r="O262" s="51"/>
    </row>
    <row r="263">
      <c r="A263" s="16" t="s">
        <v>44</v>
      </c>
      <c r="B263" s="114" t="str">
        <f>IFERROR(VLOOKUP(A263,Internal_lists_bugs!$A$2:$G2033,7,FALSE()),"please select a BUG ID")</f>
        <v>https://opendev.org/openstack/nova/commit/ba1ed8958b6bde0d8b9f5862a83ac7e1a33e8313</v>
      </c>
      <c r="C263" s="39" t="str">
        <f>IFERROR(VLOOKUP(A263,Internal_lists_bugs!$A$2:$I2033,9,FALSE()),"please select a BUG ID")</f>
        <v>https://review.opendev.org/c/openstack/nova/+/29062</v>
      </c>
      <c r="D263" s="85"/>
      <c r="E263" s="85"/>
      <c r="F263" s="133"/>
      <c r="G263" s="16" t="s">
        <v>650</v>
      </c>
      <c r="H263" s="108" t="s">
        <v>924</v>
      </c>
      <c r="I263" s="131"/>
      <c r="J263" s="131"/>
      <c r="K263" s="131"/>
      <c r="L263" s="131"/>
      <c r="M263" s="131"/>
      <c r="N263" s="43"/>
      <c r="O263" s="51"/>
    </row>
    <row r="264">
      <c r="A264" s="16" t="s">
        <v>44</v>
      </c>
      <c r="B264" s="114" t="str">
        <f>IFERROR(VLOOKUP(A264,Internal_lists_bugs!$A$2:$G2033,7,FALSE()),"please select a BUG ID")</f>
        <v>https://opendev.org/openstack/nova/commit/ba1ed8958b6bde0d8b9f5862a83ac7e1a33e8313</v>
      </c>
      <c r="C264" s="39" t="str">
        <f>IFERROR(VLOOKUP(A264,Internal_lists_bugs!$A$2:$I2033,9,FALSE()),"please select a BUG ID")</f>
        <v>https://review.opendev.org/c/openstack/nova/+/29062</v>
      </c>
      <c r="D264" s="85"/>
      <c r="E264" s="85"/>
      <c r="F264" s="133"/>
      <c r="G264" s="16" t="s">
        <v>652</v>
      </c>
      <c r="H264" s="108" t="s">
        <v>861</v>
      </c>
      <c r="I264" s="131"/>
      <c r="J264" s="131"/>
      <c r="K264" s="131"/>
      <c r="L264" s="131"/>
      <c r="M264" s="131"/>
      <c r="N264" s="43"/>
      <c r="O264" s="51"/>
    </row>
    <row r="265">
      <c r="A265" s="16" t="s">
        <v>44</v>
      </c>
      <c r="B265" s="114" t="str">
        <f>IFERROR(VLOOKUP(A265,Internal_lists_bugs!$A$2:$G2033,7,FALSE()),"please select a BUG ID")</f>
        <v>https://opendev.org/openstack/nova/commit/ba1ed8958b6bde0d8b9f5862a83ac7e1a33e8313</v>
      </c>
      <c r="C265" s="39" t="str">
        <f>IFERROR(VLOOKUP(A265,Internal_lists_bugs!$A$2:$I2033,9,FALSE()),"please select a BUG ID")</f>
        <v>https://review.opendev.org/c/openstack/nova/+/29062</v>
      </c>
      <c r="D265" s="85"/>
      <c r="E265" s="85"/>
      <c r="F265" s="133"/>
      <c r="G265" s="16" t="s">
        <v>798</v>
      </c>
      <c r="H265" s="108" t="s">
        <v>925</v>
      </c>
      <c r="I265" s="131"/>
      <c r="J265" s="131"/>
      <c r="K265" s="131"/>
      <c r="L265" s="131"/>
      <c r="M265" s="131"/>
      <c r="N265" s="43"/>
      <c r="O265" s="51"/>
    </row>
    <row r="266">
      <c r="A266" s="16" t="s">
        <v>45</v>
      </c>
      <c r="B266" s="114" t="str">
        <f>IFERROR(VLOOKUP(A266,Internal_lists_bugs!$A$2:$G2033,7,FALSE()),"please select a BUG ID")</f>
        <v>https://opendev.org/openstack/nova/commit/6ed6be8435284daf39ef1b8323e213c7885852c6</v>
      </c>
      <c r="C266" s="39" t="str">
        <f>IFERROR(VLOOKUP(A266,Internal_lists_bugs!$A$2:$I2033,9,FALSE()),"please select a BUG ID")</f>
        <v>https://review.opendev.org/c/openstack/nova/+/63178</v>
      </c>
      <c r="D266" s="80" t="s">
        <v>632</v>
      </c>
      <c r="E266" s="85"/>
      <c r="F266" s="130" t="s">
        <v>135</v>
      </c>
      <c r="G266" s="16" t="s">
        <v>633</v>
      </c>
      <c r="H266" s="16" t="s">
        <v>123</v>
      </c>
      <c r="I266" s="131"/>
      <c r="J266" s="131"/>
      <c r="K266" s="131"/>
      <c r="L266" s="131"/>
      <c r="M266" s="131"/>
      <c r="N266" s="16" t="s">
        <v>634</v>
      </c>
      <c r="O266" s="51"/>
    </row>
    <row r="267">
      <c r="A267" s="16" t="s">
        <v>45</v>
      </c>
      <c r="B267" s="114" t="str">
        <f>IFERROR(VLOOKUP(A267,Internal_lists_bugs!$A$2:$G2033,7,FALSE()),"please select a BUG ID")</f>
        <v>https://opendev.org/openstack/nova/commit/6ed6be8435284daf39ef1b8323e213c7885852c6</v>
      </c>
      <c r="C267" s="39" t="str">
        <f>IFERROR(VLOOKUP(A267,Internal_lists_bugs!$A$2:$I2033,9,FALSE()),"please select a BUG ID")</f>
        <v>https://review.opendev.org/c/openstack/nova/+/63178</v>
      </c>
      <c r="D267" s="85"/>
      <c r="E267" s="85"/>
      <c r="F267" s="133"/>
      <c r="G267" s="16" t="s">
        <v>926</v>
      </c>
      <c r="H267" s="108" t="s">
        <v>927</v>
      </c>
      <c r="I267" s="131"/>
      <c r="J267" s="131"/>
      <c r="K267" s="131"/>
      <c r="L267" s="131"/>
      <c r="M267" s="131"/>
      <c r="N267" s="43"/>
      <c r="O267" s="51"/>
    </row>
    <row r="268">
      <c r="A268" s="16" t="s">
        <v>45</v>
      </c>
      <c r="B268" s="114" t="str">
        <f>IFERROR(VLOOKUP(A268,Internal_lists_bugs!$A$2:$G2033,7,FALSE()),"please select a BUG ID")</f>
        <v>https://opendev.org/openstack/nova/commit/6ed6be8435284daf39ef1b8323e213c7885852c6</v>
      </c>
      <c r="C268" s="39" t="str">
        <f>IFERROR(VLOOKUP(A268,Internal_lists_bugs!$A$2:$I2033,9,FALSE()),"please select a BUG ID")</f>
        <v>https://review.opendev.org/c/openstack/nova/+/63178</v>
      </c>
      <c r="D268" s="85"/>
      <c r="E268" s="85"/>
      <c r="F268" s="133"/>
      <c r="G268" s="16" t="s">
        <v>928</v>
      </c>
      <c r="H268" s="108" t="s">
        <v>905</v>
      </c>
      <c r="I268" s="131"/>
      <c r="J268" s="131"/>
      <c r="K268" s="131"/>
      <c r="L268" s="131"/>
      <c r="M268" s="131"/>
      <c r="N268" s="43"/>
      <c r="O268" s="51"/>
    </row>
    <row r="269">
      <c r="A269" s="16" t="s">
        <v>45</v>
      </c>
      <c r="B269" s="114" t="str">
        <f>IFERROR(VLOOKUP(A269,Internal_lists_bugs!$A$2:$G2033,7,FALSE()),"please select a BUG ID")</f>
        <v>https://opendev.org/openstack/nova/commit/6ed6be8435284daf39ef1b8323e213c7885852c6</v>
      </c>
      <c r="C269" s="39" t="str">
        <f>IFERROR(VLOOKUP(A269,Internal_lists_bugs!$A$2:$I2033,9,FALSE()),"please select a BUG ID")</f>
        <v>https://review.opendev.org/c/openstack/nova/+/63178</v>
      </c>
      <c r="D269" s="85"/>
      <c r="E269" s="85"/>
      <c r="F269" s="133"/>
      <c r="G269" s="16" t="s">
        <v>646</v>
      </c>
      <c r="H269" s="108" t="s">
        <v>929</v>
      </c>
      <c r="I269" s="131"/>
      <c r="J269" s="131"/>
      <c r="K269" s="131"/>
      <c r="L269" s="131"/>
      <c r="M269" s="131"/>
      <c r="N269" s="43"/>
      <c r="O269" s="51"/>
    </row>
    <row r="270">
      <c r="A270" s="16" t="s">
        <v>45</v>
      </c>
      <c r="B270" s="114" t="str">
        <f>IFERROR(VLOOKUP(A270,Internal_lists_bugs!$A$2:$G2033,7,FALSE()),"please select a BUG ID")</f>
        <v>https://opendev.org/openstack/nova/commit/6ed6be8435284daf39ef1b8323e213c7885852c6</v>
      </c>
      <c r="C270" s="39" t="str">
        <f>IFERROR(VLOOKUP(A270,Internal_lists_bugs!$A$2:$I2033,9,FALSE()),"please select a BUG ID")</f>
        <v>https://review.opendev.org/c/openstack/nova/+/63178</v>
      </c>
      <c r="D270" s="85"/>
      <c r="E270" s="85"/>
      <c r="F270" s="133"/>
      <c r="G270" s="16" t="s">
        <v>652</v>
      </c>
      <c r="H270" s="108" t="s">
        <v>930</v>
      </c>
      <c r="I270" s="131"/>
      <c r="J270" s="131"/>
      <c r="K270" s="131"/>
      <c r="L270" s="131"/>
      <c r="M270" s="131"/>
      <c r="N270" s="43"/>
      <c r="O270" s="51"/>
    </row>
    <row r="271">
      <c r="A271" s="16" t="s">
        <v>45</v>
      </c>
      <c r="B271" s="114" t="str">
        <f>IFERROR(VLOOKUP(A271,Internal_lists_bugs!$A$2:$G2033,7,FALSE()),"please select a BUG ID")</f>
        <v>https://opendev.org/openstack/nova/commit/6ed6be8435284daf39ef1b8323e213c7885852c6</v>
      </c>
      <c r="C271" s="39" t="str">
        <f>IFERROR(VLOOKUP(A271,Internal_lists_bugs!$A$2:$I2033,9,FALSE()),"please select a BUG ID")</f>
        <v>https://review.opendev.org/c/openstack/nova/+/63178</v>
      </c>
      <c r="D271" s="85"/>
      <c r="E271" s="85"/>
      <c r="F271" s="133"/>
      <c r="G271" s="16" t="s">
        <v>677</v>
      </c>
      <c r="H271" s="108" t="s">
        <v>931</v>
      </c>
      <c r="I271" s="131"/>
      <c r="J271" s="131"/>
      <c r="K271" s="131"/>
      <c r="L271" s="131"/>
      <c r="M271" s="131"/>
      <c r="N271" s="43"/>
      <c r="O271" s="51"/>
    </row>
    <row r="272">
      <c r="A272" s="16" t="s">
        <v>45</v>
      </c>
      <c r="B272" s="114" t="str">
        <f>IFERROR(VLOOKUP(A272,Internal_lists_bugs!$A$2:$G2033,7,FALSE()),"please select a BUG ID")</f>
        <v>https://opendev.org/openstack/nova/commit/6ed6be8435284daf39ef1b8323e213c7885852c6</v>
      </c>
      <c r="C272" s="39" t="str">
        <f>IFERROR(VLOOKUP(A272,Internal_lists_bugs!$A$2:$I2033,9,FALSE()),"please select a BUG ID")</f>
        <v>https://review.opendev.org/c/openstack/nova/+/63178</v>
      </c>
      <c r="D272" s="85"/>
      <c r="E272" s="85"/>
      <c r="F272" s="133"/>
      <c r="G272" s="16" t="s">
        <v>677</v>
      </c>
      <c r="H272" s="108" t="s">
        <v>932</v>
      </c>
      <c r="I272" s="131"/>
      <c r="J272" s="131"/>
      <c r="K272" s="131"/>
      <c r="L272" s="131"/>
      <c r="M272" s="131"/>
      <c r="N272" s="43"/>
      <c r="O272" s="51"/>
    </row>
    <row r="273">
      <c r="A273" s="16" t="s">
        <v>45</v>
      </c>
      <c r="B273" s="114" t="str">
        <f>IFERROR(VLOOKUP(A273,Internal_lists_bugs!$A$2:$G2033,7,FALSE()),"please select a BUG ID")</f>
        <v>https://opendev.org/openstack/nova/commit/6ed6be8435284daf39ef1b8323e213c7885852c6</v>
      </c>
      <c r="C273" s="39" t="str">
        <f>IFERROR(VLOOKUP(A273,Internal_lists_bugs!$A$2:$I2033,9,FALSE()),"please select a BUG ID")</f>
        <v>https://review.opendev.org/c/openstack/nova/+/63178</v>
      </c>
      <c r="D273" s="85"/>
      <c r="E273" s="85"/>
      <c r="F273" s="133"/>
      <c r="G273" s="16" t="s">
        <v>658</v>
      </c>
      <c r="H273" s="108" t="s">
        <v>826</v>
      </c>
      <c r="I273" s="131"/>
      <c r="J273" s="131"/>
      <c r="K273" s="131"/>
      <c r="L273" s="131"/>
      <c r="M273" s="131"/>
      <c r="N273" s="43"/>
      <c r="O273" s="51"/>
    </row>
    <row r="274">
      <c r="A274" s="16" t="s">
        <v>45</v>
      </c>
      <c r="B274" s="114" t="str">
        <f>IFERROR(VLOOKUP(A274,Internal_lists_bugs!$A$2:$G2033,7,FALSE()),"please select a BUG ID")</f>
        <v>https://opendev.org/openstack/nova/commit/6ed6be8435284daf39ef1b8323e213c7885852c6</v>
      </c>
      <c r="C274" s="39" t="str">
        <f>IFERROR(VLOOKUP(A274,Internal_lists_bugs!$A$2:$I2033,9,FALSE()),"please select a BUG ID")</f>
        <v>https://review.opendev.org/c/openstack/nova/+/63178</v>
      </c>
      <c r="D274" s="85"/>
      <c r="E274" s="85"/>
      <c r="F274" s="133"/>
      <c r="G274" s="16" t="s">
        <v>829</v>
      </c>
      <c r="H274" s="108" t="s">
        <v>832</v>
      </c>
      <c r="I274" s="131"/>
      <c r="J274" s="131"/>
      <c r="K274" s="131"/>
      <c r="L274" s="131"/>
      <c r="M274" s="131"/>
      <c r="N274" s="43"/>
      <c r="O274" s="51"/>
    </row>
    <row r="275">
      <c r="A275" s="16" t="s">
        <v>45</v>
      </c>
      <c r="B275" s="114" t="str">
        <f>IFERROR(VLOOKUP(A275,Internal_lists_bugs!$A$2:$G2033,7,FALSE()),"please select a BUG ID")</f>
        <v>https://opendev.org/openstack/nova/commit/6ed6be8435284daf39ef1b8323e213c7885852c6</v>
      </c>
      <c r="C275" s="39" t="str">
        <f>IFERROR(VLOOKUP(A275,Internal_lists_bugs!$A$2:$I2033,9,FALSE()),"please select a BUG ID")</f>
        <v>https://review.opendev.org/c/openstack/nova/+/63178</v>
      </c>
      <c r="D275" s="85"/>
      <c r="E275" s="85"/>
      <c r="F275" s="133"/>
      <c r="G275" s="16" t="s">
        <v>798</v>
      </c>
      <c r="H275" s="108" t="s">
        <v>933</v>
      </c>
      <c r="I275" s="131"/>
      <c r="J275" s="131"/>
      <c r="K275" s="131"/>
      <c r="L275" s="131"/>
      <c r="M275" s="131"/>
      <c r="N275" s="43"/>
      <c r="O275" s="51"/>
    </row>
    <row r="276">
      <c r="A276" s="16" t="s">
        <v>46</v>
      </c>
      <c r="B276" s="114" t="str">
        <f>IFERROR(VLOOKUP(A276,Internal_lists_bugs!$A$2:$G2033,7,FALSE()),"please select a BUG ID")</f>
        <v>https://opendev.org/openstack/nova/commit/1b32ed31425a0332ab16f5b5f6c08a20eafe7963</v>
      </c>
      <c r="C276" s="39" t="str">
        <f>IFERROR(VLOOKUP(A276,Internal_lists_bugs!$A$2:$I2033,9,FALSE()),"please select a BUG ID")</f>
        <v>https://review.opendev.org/c/openstack/nova/+/19457</v>
      </c>
      <c r="D276" s="80" t="s">
        <v>632</v>
      </c>
      <c r="E276" s="85"/>
      <c r="F276" s="130" t="s">
        <v>135</v>
      </c>
      <c r="G276" s="43"/>
      <c r="I276" s="131"/>
      <c r="J276" s="131"/>
      <c r="K276" s="131"/>
      <c r="L276" s="131"/>
      <c r="M276" s="131"/>
      <c r="N276" s="16" t="s">
        <v>634</v>
      </c>
      <c r="O276" s="132"/>
    </row>
    <row r="277">
      <c r="A277" s="16" t="s">
        <v>46</v>
      </c>
      <c r="B277" s="114" t="str">
        <f>IFERROR(VLOOKUP(A277,Internal_lists_bugs!$A$2:$G2033,7,FALSE()),"please select a BUG ID")</f>
        <v>https://opendev.org/openstack/nova/commit/1b32ed31425a0332ab16f5b5f6c08a20eafe7963</v>
      </c>
      <c r="C277" s="39" t="str">
        <f>IFERROR(VLOOKUP(A277,Internal_lists_bugs!$A$2:$I2033,9,FALSE()),"please select a BUG ID")</f>
        <v>https://review.opendev.org/c/openstack/nova/+/19457</v>
      </c>
      <c r="D277" s="85"/>
      <c r="E277" s="85"/>
      <c r="F277" s="133"/>
      <c r="G277" s="16" t="s">
        <v>646</v>
      </c>
      <c r="H277" s="108" t="s">
        <v>907</v>
      </c>
      <c r="I277" s="131"/>
      <c r="J277" s="131"/>
      <c r="K277" s="131"/>
      <c r="L277" s="131"/>
      <c r="M277" s="131"/>
      <c r="N277" s="43"/>
      <c r="O277" s="51"/>
    </row>
    <row r="278">
      <c r="A278" s="16" t="s">
        <v>46</v>
      </c>
      <c r="B278" s="114" t="str">
        <f>IFERROR(VLOOKUP(A278,Internal_lists_bugs!$A$2:$G2033,7,FALSE()),"please select a BUG ID")</f>
        <v>https://opendev.org/openstack/nova/commit/1b32ed31425a0332ab16f5b5f6c08a20eafe7963</v>
      </c>
      <c r="C278" s="39" t="str">
        <f>IFERROR(VLOOKUP(A278,Internal_lists_bugs!$A$2:$I2033,9,FALSE()),"please select a BUG ID")</f>
        <v>https://review.opendev.org/c/openstack/nova/+/19457</v>
      </c>
      <c r="D278" s="85"/>
      <c r="E278" s="85"/>
      <c r="F278" s="133"/>
      <c r="G278" s="16" t="s">
        <v>934</v>
      </c>
      <c r="H278" s="134" t="s">
        <v>907</v>
      </c>
      <c r="I278" s="131"/>
      <c r="J278" s="131"/>
      <c r="K278" s="131"/>
      <c r="L278" s="131"/>
      <c r="M278" s="131"/>
      <c r="N278" s="43"/>
      <c r="O278" s="51"/>
    </row>
    <row r="279">
      <c r="A279" s="16" t="s">
        <v>46</v>
      </c>
      <c r="B279" s="114" t="str">
        <f>IFERROR(VLOOKUP(A279,Internal_lists_bugs!$A$2:$G2033,7,FALSE()),"please select a BUG ID")</f>
        <v>https://opendev.org/openstack/nova/commit/1b32ed31425a0332ab16f5b5f6c08a20eafe7963</v>
      </c>
      <c r="C279" s="39" t="str">
        <f>IFERROR(VLOOKUP(A279,Internal_lists_bugs!$A$2:$I2033,9,FALSE()),"please select a BUG ID")</f>
        <v>https://review.opendev.org/c/openstack/nova/+/19457</v>
      </c>
      <c r="D279" s="85"/>
      <c r="E279" s="85"/>
      <c r="F279" s="133"/>
      <c r="G279" s="16" t="s">
        <v>935</v>
      </c>
      <c r="H279" s="134" t="s">
        <v>936</v>
      </c>
      <c r="I279" s="131"/>
      <c r="J279" s="131"/>
      <c r="K279" s="131"/>
      <c r="L279" s="131"/>
      <c r="M279" s="131"/>
      <c r="N279" s="43"/>
      <c r="O279" s="51"/>
    </row>
    <row r="280">
      <c r="A280" s="16" t="s">
        <v>46</v>
      </c>
      <c r="B280" s="114" t="str">
        <f>IFERROR(VLOOKUP(A280,Internal_lists_bugs!$A$2:$G2033,7,FALSE()),"please select a BUG ID")</f>
        <v>https://opendev.org/openstack/nova/commit/1b32ed31425a0332ab16f5b5f6c08a20eafe7963</v>
      </c>
      <c r="C280" s="39" t="str">
        <f>IFERROR(VLOOKUP(A280,Internal_lists_bugs!$A$2:$I2033,9,FALSE()),"please select a BUG ID")</f>
        <v>https://review.opendev.org/c/openstack/nova/+/19457</v>
      </c>
      <c r="D280" s="85"/>
      <c r="E280" s="85"/>
      <c r="F280" s="133"/>
      <c r="G280" s="16" t="s">
        <v>650</v>
      </c>
      <c r="H280" s="134" t="s">
        <v>937</v>
      </c>
      <c r="I280" s="131"/>
      <c r="J280" s="131"/>
      <c r="K280" s="131"/>
      <c r="L280" s="131"/>
      <c r="M280" s="131"/>
      <c r="N280" s="43"/>
      <c r="O280" s="51"/>
    </row>
    <row r="281">
      <c r="A281" s="16" t="s">
        <v>46</v>
      </c>
      <c r="B281" s="114" t="str">
        <f>IFERROR(VLOOKUP(A281,Internal_lists_bugs!$A$2:$G2033,7,FALSE()),"please select a BUG ID")</f>
        <v>https://opendev.org/openstack/nova/commit/1b32ed31425a0332ab16f5b5f6c08a20eafe7963</v>
      </c>
      <c r="C281" s="39" t="str">
        <f>IFERROR(VLOOKUP(A281,Internal_lists_bugs!$A$2:$I2033,9,FALSE()),"please select a BUG ID")</f>
        <v>https://review.opendev.org/c/openstack/nova/+/19457</v>
      </c>
      <c r="D281" s="85"/>
      <c r="E281" s="85"/>
      <c r="F281" s="133"/>
      <c r="G281" s="16" t="s">
        <v>652</v>
      </c>
      <c r="H281" s="142" t="s">
        <v>938</v>
      </c>
      <c r="I281" s="131"/>
      <c r="J281" s="131"/>
      <c r="K281" s="131"/>
      <c r="L281" s="131"/>
      <c r="M281" s="131"/>
      <c r="N281" s="43"/>
      <c r="O281" s="51"/>
    </row>
    <row r="282">
      <c r="A282" s="16" t="s">
        <v>46</v>
      </c>
      <c r="B282" s="114" t="str">
        <f>IFERROR(VLOOKUP(A282,Internal_lists_bugs!$A$2:$G2033,7,FALSE()),"please select a BUG ID")</f>
        <v>https://opendev.org/openstack/nova/commit/1b32ed31425a0332ab16f5b5f6c08a20eafe7963</v>
      </c>
      <c r="C282" s="39" t="str">
        <f>IFERROR(VLOOKUP(A282,Internal_lists_bugs!$A$2:$I2033,9,FALSE()),"please select a BUG ID")</f>
        <v>https://review.opendev.org/c/openstack/nova/+/19457</v>
      </c>
      <c r="D282" s="85"/>
      <c r="E282" s="85"/>
      <c r="F282" s="133"/>
      <c r="G282" s="16" t="s">
        <v>794</v>
      </c>
      <c r="H282" s="108" t="s">
        <v>939</v>
      </c>
      <c r="I282" s="131"/>
      <c r="J282" s="131"/>
      <c r="K282" s="131"/>
      <c r="L282" s="131"/>
      <c r="M282" s="131"/>
      <c r="N282" s="43"/>
      <c r="O282" s="51"/>
    </row>
    <row r="283">
      <c r="A283" s="16" t="s">
        <v>46</v>
      </c>
      <c r="B283" s="114" t="str">
        <f>IFERROR(VLOOKUP(A283,Internal_lists_bugs!$A$2:$G2033,7,FALSE()),"please select a BUG ID")</f>
        <v>https://opendev.org/openstack/nova/commit/1b32ed31425a0332ab16f5b5f6c08a20eafe7963</v>
      </c>
      <c r="C283" s="39" t="str">
        <f>IFERROR(VLOOKUP(A283,Internal_lists_bugs!$A$2:$I2033,9,FALSE()),"please select a BUG ID")</f>
        <v>https://review.opendev.org/c/openstack/nova/+/19457</v>
      </c>
      <c r="D283" s="85"/>
      <c r="E283" s="85"/>
      <c r="F283" s="133"/>
      <c r="G283" s="16" t="s">
        <v>798</v>
      </c>
      <c r="H283" s="108" t="s">
        <v>940</v>
      </c>
      <c r="I283" s="131"/>
      <c r="J283" s="131"/>
      <c r="K283" s="131"/>
      <c r="L283" s="131"/>
      <c r="M283" s="131"/>
      <c r="N283" s="43"/>
      <c r="O283" s="51"/>
    </row>
    <row r="284">
      <c r="A284" s="16" t="s">
        <v>46</v>
      </c>
      <c r="B284" s="114" t="str">
        <f>IFERROR(VLOOKUP(A284,Internal_lists_bugs!$A$2:$G2033,7,FALSE()),"please select a BUG ID")</f>
        <v>https://opendev.org/openstack/nova/commit/1b32ed31425a0332ab16f5b5f6c08a20eafe7963</v>
      </c>
      <c r="C284" s="39" t="str">
        <f>IFERROR(VLOOKUP(A284,Internal_lists_bugs!$A$2:$I2033,9,FALSE()),"please select a BUG ID")</f>
        <v>https://review.opendev.org/c/openstack/nova/+/19457</v>
      </c>
      <c r="D284" s="85"/>
      <c r="E284" s="85"/>
      <c r="F284" s="133"/>
      <c r="G284" s="16" t="s">
        <v>856</v>
      </c>
      <c r="H284" s="108" t="s">
        <v>941</v>
      </c>
      <c r="I284" s="131"/>
      <c r="J284" s="131"/>
      <c r="K284" s="131"/>
      <c r="L284" s="131"/>
      <c r="M284" s="131"/>
      <c r="N284" s="43"/>
      <c r="O284" s="51"/>
    </row>
    <row r="285">
      <c r="A285" s="16" t="s">
        <v>46</v>
      </c>
      <c r="B285" s="114" t="str">
        <f>IFERROR(VLOOKUP(A285,Internal_lists_bugs!$A$2:$G2033,7,FALSE()),"please select a BUG ID")</f>
        <v>https://opendev.org/openstack/nova/commit/1b32ed31425a0332ab16f5b5f6c08a20eafe7963</v>
      </c>
      <c r="C285" s="39" t="str">
        <f>IFERROR(VLOOKUP(A285,Internal_lists_bugs!$A$2:$I2033,9,FALSE()),"please select a BUG ID")</f>
        <v>https://review.opendev.org/c/openstack/nova/+/19457</v>
      </c>
      <c r="D285" s="85"/>
      <c r="E285" s="85"/>
      <c r="F285" s="133"/>
      <c r="G285" s="16" t="s">
        <v>856</v>
      </c>
      <c r="H285" s="108" t="s">
        <v>941</v>
      </c>
      <c r="I285" s="131"/>
      <c r="J285" s="131"/>
      <c r="K285" s="131"/>
      <c r="L285" s="131"/>
      <c r="M285" s="131"/>
      <c r="N285" s="43"/>
      <c r="O285" s="51"/>
    </row>
    <row r="286">
      <c r="A286" s="16" t="s">
        <v>46</v>
      </c>
      <c r="B286" s="114" t="str">
        <f>IFERROR(VLOOKUP(A286,Internal_lists_bugs!$A$2:$G2033,7,FALSE()),"please select a BUG ID")</f>
        <v>https://opendev.org/openstack/nova/commit/1b32ed31425a0332ab16f5b5f6c08a20eafe7963</v>
      </c>
      <c r="C286" s="39" t="str">
        <f>IFERROR(VLOOKUP(A286,Internal_lists_bugs!$A$2:$I2033,9,FALSE()),"please select a BUG ID")</f>
        <v>https://review.opendev.org/c/openstack/nova/+/19457</v>
      </c>
      <c r="D286" s="85"/>
      <c r="E286" s="85"/>
      <c r="F286" s="133"/>
      <c r="G286" s="16" t="s">
        <v>858</v>
      </c>
      <c r="H286" s="108" t="s">
        <v>942</v>
      </c>
      <c r="I286" s="131"/>
      <c r="J286" s="131"/>
      <c r="K286" s="131"/>
      <c r="L286" s="131"/>
      <c r="M286" s="131"/>
      <c r="N286" s="43"/>
      <c r="O286" s="51"/>
    </row>
    <row r="287">
      <c r="A287" s="16" t="s">
        <v>46</v>
      </c>
      <c r="B287" s="114" t="str">
        <f>IFERROR(VLOOKUP(A287,Internal_lists_bugs!$A$2:$G2033,7,FALSE()),"please select a BUG ID")</f>
        <v>https://opendev.org/openstack/nova/commit/1b32ed31425a0332ab16f5b5f6c08a20eafe7963</v>
      </c>
      <c r="C287" s="39" t="str">
        <f>IFERROR(VLOOKUP(A287,Internal_lists_bugs!$A$2:$I2033,9,FALSE()),"please select a BUG ID")</f>
        <v>https://review.opendev.org/c/openstack/nova/+/19457</v>
      </c>
      <c r="D287" s="85"/>
      <c r="E287" s="85"/>
      <c r="F287" s="133"/>
      <c r="G287" s="16" t="s">
        <v>658</v>
      </c>
      <c r="H287" s="108" t="s">
        <v>943</v>
      </c>
      <c r="I287" s="131"/>
      <c r="J287" s="131"/>
      <c r="K287" s="131"/>
      <c r="L287" s="131"/>
      <c r="M287" s="131"/>
      <c r="N287" s="43"/>
      <c r="O287" s="51"/>
    </row>
    <row r="288">
      <c r="A288" s="16" t="s">
        <v>46</v>
      </c>
      <c r="B288" s="114" t="str">
        <f>IFERROR(VLOOKUP(A288,Internal_lists_bugs!$A$2:$G2033,7,FALSE()),"please select a BUG ID")</f>
        <v>https://opendev.org/openstack/nova/commit/1b32ed31425a0332ab16f5b5f6c08a20eafe7963</v>
      </c>
      <c r="C288" s="39" t="str">
        <f>IFERROR(VLOOKUP(A288,Internal_lists_bugs!$A$2:$I2033,9,FALSE()),"please select a BUG ID")</f>
        <v>https://review.opendev.org/c/openstack/nova/+/19457</v>
      </c>
      <c r="D288" s="85"/>
      <c r="E288" s="85"/>
      <c r="F288" s="133"/>
      <c r="G288" s="16" t="s">
        <v>798</v>
      </c>
      <c r="H288" s="108" t="s">
        <v>944</v>
      </c>
      <c r="I288" s="131"/>
      <c r="J288" s="131"/>
      <c r="K288" s="131"/>
      <c r="L288" s="131"/>
      <c r="M288" s="131"/>
      <c r="N288" s="43"/>
      <c r="O288" s="51"/>
    </row>
    <row r="289">
      <c r="A289" s="16" t="s">
        <v>47</v>
      </c>
      <c r="B289" s="114" t="str">
        <f>IFERROR(VLOOKUP(A289,Internal_lists_bugs!$A$2:$G2033,7,FALSE()),"please select a BUG ID")</f>
        <v>https://opendev.org/openstack/nova/commit/27d89c2d425aefcd32549b08e3cff8b132d3e75b</v>
      </c>
      <c r="C289" s="51" t="str">
        <f>IFERROR(VLOOKUP(A289,Internal_lists_bugs!$A$2:$I2033,9,FALSE()),"please select a BUG ID")</f>
        <v/>
      </c>
      <c r="D289" s="80" t="s">
        <v>297</v>
      </c>
      <c r="E289" s="85"/>
      <c r="F289" s="130" t="s">
        <v>297</v>
      </c>
      <c r="G289" s="43"/>
      <c r="I289" s="131"/>
      <c r="J289" s="131"/>
      <c r="K289" s="131"/>
      <c r="L289" s="131"/>
      <c r="M289" s="131"/>
      <c r="N289" s="43"/>
      <c r="O289" s="51"/>
    </row>
    <row r="290">
      <c r="A290" s="16" t="s">
        <v>48</v>
      </c>
      <c r="B290" s="114" t="str">
        <f>IFERROR(VLOOKUP(A290,Internal_lists_bugs!$A$2:$G2033,7,FALSE()),"please select a BUG ID")</f>
        <v>https://opendev.org/openstack/nova/commit/583d12f4fae620719b893cb7f9fbfc461ec8a124</v>
      </c>
      <c r="C290" s="39" t="str">
        <f>IFERROR(VLOOKUP(A290,Internal_lists_bugs!$A$2:$I2033,9,FALSE()),"please select a BUG ID")</f>
        <v>https://review.opendev.org/c/openstack/nova/+/123682</v>
      </c>
      <c r="D290" s="80" t="s">
        <v>632</v>
      </c>
      <c r="E290" s="85"/>
      <c r="F290" s="130" t="s">
        <v>135</v>
      </c>
      <c r="G290" s="43"/>
      <c r="I290" s="131"/>
      <c r="J290" s="131"/>
      <c r="K290" s="131"/>
      <c r="L290" s="131"/>
      <c r="M290" s="131"/>
      <c r="N290" s="16" t="s">
        <v>634</v>
      </c>
      <c r="O290" s="51"/>
    </row>
    <row r="291">
      <c r="A291" s="16" t="s">
        <v>48</v>
      </c>
      <c r="B291" s="114" t="str">
        <f>IFERROR(VLOOKUP(A291,Internal_lists_bugs!$A$2:$G2033,7,FALSE()),"please select a BUG ID")</f>
        <v>https://opendev.org/openstack/nova/commit/583d12f4fae620719b893cb7f9fbfc461ec8a124</v>
      </c>
      <c r="C291" s="39" t="str">
        <f>IFERROR(VLOOKUP(A291,Internal_lists_bugs!$A$2:$I2033,9,FALSE()),"please select a BUG ID")</f>
        <v>https://review.opendev.org/c/openstack/nova/+/123682</v>
      </c>
      <c r="D291" s="85"/>
      <c r="E291" s="85"/>
      <c r="F291" s="133"/>
      <c r="G291" s="16" t="s">
        <v>646</v>
      </c>
      <c r="H291" s="108" t="s">
        <v>678</v>
      </c>
      <c r="I291" s="131"/>
      <c r="J291" s="131"/>
      <c r="K291" s="131"/>
      <c r="L291" s="131"/>
      <c r="M291" s="131"/>
      <c r="N291" s="43"/>
      <c r="O291" s="51"/>
    </row>
    <row r="292">
      <c r="A292" s="16" t="s">
        <v>48</v>
      </c>
      <c r="B292" s="114" t="str">
        <f>IFERROR(VLOOKUP(A292,Internal_lists_bugs!$A$2:$G2033,7,FALSE()),"please select a BUG ID")</f>
        <v>https://opendev.org/openstack/nova/commit/583d12f4fae620719b893cb7f9fbfc461ec8a124</v>
      </c>
      <c r="C292" s="39" t="str">
        <f>IFERROR(VLOOKUP(A292,Internal_lists_bugs!$A$2:$I2033,9,FALSE()),"please select a BUG ID")</f>
        <v>https://review.opendev.org/c/openstack/nova/+/123682</v>
      </c>
      <c r="D292" s="85"/>
      <c r="E292" s="85"/>
      <c r="F292" s="133"/>
      <c r="G292" s="16" t="s">
        <v>945</v>
      </c>
      <c r="H292" s="108" t="s">
        <v>678</v>
      </c>
      <c r="I292" s="131"/>
      <c r="J292" s="131"/>
      <c r="K292" s="131"/>
      <c r="L292" s="131"/>
      <c r="M292" s="131"/>
      <c r="N292" s="43"/>
      <c r="O292" s="51"/>
    </row>
    <row r="293">
      <c r="A293" s="16" t="s">
        <v>48</v>
      </c>
      <c r="B293" s="114" t="str">
        <f>IFERROR(VLOOKUP(A293,Internal_lists_bugs!$A$2:$G2033,7,FALSE()),"please select a BUG ID")</f>
        <v>https://opendev.org/openstack/nova/commit/583d12f4fae620719b893cb7f9fbfc461ec8a124</v>
      </c>
      <c r="C293" s="39" t="str">
        <f>IFERROR(VLOOKUP(A293,Internal_lists_bugs!$A$2:$I2033,9,FALSE()),"please select a BUG ID")</f>
        <v>https://review.opendev.org/c/openstack/nova/+/123682</v>
      </c>
      <c r="D293" s="85"/>
      <c r="E293" s="85"/>
      <c r="F293" s="133"/>
      <c r="G293" s="16" t="s">
        <v>709</v>
      </c>
      <c r="H293" s="108" t="s">
        <v>946</v>
      </c>
      <c r="I293" s="131"/>
      <c r="J293" s="131"/>
      <c r="K293" s="131"/>
      <c r="L293" s="131"/>
      <c r="M293" s="131"/>
      <c r="N293" s="43"/>
      <c r="O293" s="51"/>
    </row>
    <row r="294">
      <c r="A294" s="16" t="s">
        <v>48</v>
      </c>
      <c r="B294" s="114" t="str">
        <f>IFERROR(VLOOKUP(A294,Internal_lists_bugs!$A$2:$G2033,7,FALSE()),"please select a BUG ID")</f>
        <v>https://opendev.org/openstack/nova/commit/583d12f4fae620719b893cb7f9fbfc461ec8a124</v>
      </c>
      <c r="C294" s="39" t="str">
        <f>IFERROR(VLOOKUP(A294,Internal_lists_bugs!$A$2:$I2033,9,FALSE()),"please select a BUG ID")</f>
        <v>https://review.opendev.org/c/openstack/nova/+/123682</v>
      </c>
      <c r="D294" s="85"/>
      <c r="E294" s="85"/>
      <c r="F294" s="133"/>
      <c r="G294" s="16" t="s">
        <v>664</v>
      </c>
      <c r="H294" s="108" t="s">
        <v>947</v>
      </c>
      <c r="I294" s="131"/>
      <c r="J294" s="131"/>
      <c r="K294" s="131"/>
      <c r="L294" s="131"/>
      <c r="M294" s="131"/>
      <c r="N294" s="43"/>
      <c r="O294" s="51"/>
    </row>
    <row r="295">
      <c r="A295" s="16" t="s">
        <v>48</v>
      </c>
      <c r="B295" s="114" t="str">
        <f>IFERROR(VLOOKUP(A295,Internal_lists_bugs!$A$2:$G2033,7,FALSE()),"please select a BUG ID")</f>
        <v>https://opendev.org/openstack/nova/commit/583d12f4fae620719b893cb7f9fbfc461ec8a124</v>
      </c>
      <c r="C295" s="39" t="str">
        <f>IFERROR(VLOOKUP(A295,Internal_lists_bugs!$A$2:$I2033,9,FALSE()),"please select a BUG ID")</f>
        <v>https://review.opendev.org/c/openstack/nova/+/123682</v>
      </c>
      <c r="D295" s="85"/>
      <c r="E295" s="85"/>
      <c r="F295" s="133"/>
      <c r="G295" s="16" t="s">
        <v>698</v>
      </c>
      <c r="H295" s="108" t="s">
        <v>828</v>
      </c>
      <c r="I295" s="131"/>
      <c r="J295" s="131"/>
      <c r="K295" s="131"/>
      <c r="L295" s="131"/>
      <c r="M295" s="131"/>
      <c r="N295" s="43"/>
      <c r="O295" s="51"/>
    </row>
    <row r="296">
      <c r="A296" s="16" t="s">
        <v>48</v>
      </c>
      <c r="B296" s="114" t="str">
        <f>IFERROR(VLOOKUP(A296,Internal_lists_bugs!$A$2:$G2033,7,FALSE()),"please select a BUG ID")</f>
        <v>https://opendev.org/openstack/nova/commit/583d12f4fae620719b893cb7f9fbfc461ec8a124</v>
      </c>
      <c r="C296" s="39" t="str">
        <f>IFERROR(VLOOKUP(A296,Internal_lists_bugs!$A$2:$I2033,9,FALSE()),"please select a BUG ID")</f>
        <v>https://review.opendev.org/c/openstack/nova/+/123682</v>
      </c>
      <c r="D296" s="85"/>
      <c r="E296" s="85"/>
      <c r="F296" s="133"/>
      <c r="G296" s="16" t="s">
        <v>670</v>
      </c>
      <c r="H296" s="108" t="s">
        <v>944</v>
      </c>
      <c r="I296" s="131"/>
      <c r="J296" s="131"/>
      <c r="K296" s="131"/>
      <c r="L296" s="131"/>
      <c r="M296" s="131"/>
      <c r="N296" s="43"/>
      <c r="O296" s="51"/>
    </row>
    <row r="297">
      <c r="A297" s="16" t="s">
        <v>48</v>
      </c>
      <c r="B297" s="114" t="str">
        <f>IFERROR(VLOOKUP(A297,Internal_lists_bugs!$A$2:$G2033,7,FALSE()),"please select a BUG ID")</f>
        <v>https://opendev.org/openstack/nova/commit/583d12f4fae620719b893cb7f9fbfc461ec8a124</v>
      </c>
      <c r="C297" s="39" t="str">
        <f>IFERROR(VLOOKUP(A297,Internal_lists_bugs!$A$2:$I2033,9,FALSE()),"please select a BUG ID")</f>
        <v>https://review.opendev.org/c/openstack/nova/+/123682</v>
      </c>
      <c r="D297" s="85"/>
      <c r="E297" s="85"/>
      <c r="F297" s="133"/>
      <c r="G297" s="16" t="s">
        <v>672</v>
      </c>
      <c r="H297" s="108" t="s">
        <v>944</v>
      </c>
      <c r="I297" s="131"/>
      <c r="J297" s="131"/>
      <c r="K297" s="131"/>
      <c r="L297" s="131"/>
      <c r="M297" s="131"/>
      <c r="N297" s="43"/>
      <c r="O297" s="51"/>
    </row>
    <row r="298">
      <c r="A298" s="16" t="s">
        <v>49</v>
      </c>
      <c r="B298" s="114" t="str">
        <f>IFERROR(VLOOKUP(A298,Internal_lists_bugs!$A$2:$G2033,7,FALSE()),"please select a BUG ID")</f>
        <v>https://opendev.org/openstack/nova/commit/c1dae06f1e366e7681fbffc776153b3ed3af2618</v>
      </c>
      <c r="C298" s="39" t="str">
        <f>IFERROR(VLOOKUP(A298,Internal_lists_bugs!$A$2:$I2033,9,FALSE()),"please select a BUG ID")</f>
        <v>https://review.opendev.org/c/openstack/nova/+/64289</v>
      </c>
      <c r="D298" s="80" t="s">
        <v>632</v>
      </c>
      <c r="E298" s="85"/>
      <c r="F298" s="130" t="s">
        <v>135</v>
      </c>
      <c r="G298" s="16" t="s">
        <v>948</v>
      </c>
      <c r="H298" s="108" t="s">
        <v>949</v>
      </c>
      <c r="I298" s="131"/>
      <c r="J298" s="131"/>
      <c r="K298" s="131"/>
      <c r="L298" s="131"/>
      <c r="M298" s="131"/>
      <c r="N298" s="16" t="s">
        <v>634</v>
      </c>
      <c r="O298" s="51"/>
    </row>
    <row r="299">
      <c r="A299" s="16" t="s">
        <v>49</v>
      </c>
      <c r="B299" s="114" t="str">
        <f>IFERROR(VLOOKUP(A299,Internal_lists_bugs!$A$2:$G2033,7,FALSE()),"please select a BUG ID")</f>
        <v>https://opendev.org/openstack/nova/commit/c1dae06f1e366e7681fbffc776153b3ed3af2618</v>
      </c>
      <c r="C299" s="39" t="str">
        <f>IFERROR(VLOOKUP(A299,Internal_lists_bugs!$A$2:$I2033,9,FALSE()),"please select a BUG ID")</f>
        <v>https://review.opendev.org/c/openstack/nova/+/64289</v>
      </c>
      <c r="D299" s="85"/>
      <c r="E299" s="85"/>
      <c r="F299" s="133"/>
      <c r="G299" s="16" t="s">
        <v>950</v>
      </c>
      <c r="H299" s="108" t="s">
        <v>951</v>
      </c>
      <c r="I299" s="131"/>
      <c r="J299" s="131"/>
      <c r="K299" s="131"/>
      <c r="L299" s="131"/>
      <c r="M299" s="131"/>
      <c r="N299" s="43"/>
      <c r="O299" s="51"/>
    </row>
    <row r="300">
      <c r="A300" s="16" t="s">
        <v>49</v>
      </c>
      <c r="B300" s="114" t="str">
        <f>IFERROR(VLOOKUP(A300,Internal_lists_bugs!$A$2:$G2033,7,FALSE()),"please select a BUG ID")</f>
        <v>https://opendev.org/openstack/nova/commit/c1dae06f1e366e7681fbffc776153b3ed3af2618</v>
      </c>
      <c r="C300" s="39" t="str">
        <f>IFERROR(VLOOKUP(A300,Internal_lists_bugs!$A$2:$I2033,9,FALSE()),"please select a BUG ID")</f>
        <v>https://review.opendev.org/c/openstack/nova/+/64289</v>
      </c>
      <c r="D300" s="85"/>
      <c r="E300" s="85"/>
      <c r="F300" s="133"/>
      <c r="G300" s="16" t="s">
        <v>952</v>
      </c>
      <c r="H300" s="108" t="s">
        <v>953</v>
      </c>
      <c r="I300" s="131"/>
      <c r="J300" s="131"/>
      <c r="K300" s="131"/>
      <c r="L300" s="131"/>
      <c r="M300" s="131"/>
      <c r="N300" s="43"/>
      <c r="O300" s="51"/>
    </row>
    <row r="301">
      <c r="A301" s="16" t="s">
        <v>49</v>
      </c>
      <c r="B301" s="114" t="str">
        <f>IFERROR(VLOOKUP(A301,Internal_lists_bugs!$A$2:$G2033,7,FALSE()),"please select a BUG ID")</f>
        <v>https://opendev.org/openstack/nova/commit/c1dae06f1e366e7681fbffc776153b3ed3af2618</v>
      </c>
      <c r="C301" s="39" t="str">
        <f>IFERROR(VLOOKUP(A301,Internal_lists_bugs!$A$2:$I2033,9,FALSE()),"please select a BUG ID")</f>
        <v>https://review.opendev.org/c/openstack/nova/+/64289</v>
      </c>
      <c r="D301" s="85"/>
      <c r="E301" s="85"/>
      <c r="F301" s="133"/>
      <c r="G301" s="16" t="s">
        <v>954</v>
      </c>
      <c r="H301" s="108" t="s">
        <v>955</v>
      </c>
      <c r="I301" s="131"/>
      <c r="J301" s="131"/>
      <c r="K301" s="131"/>
      <c r="L301" s="131"/>
      <c r="M301" s="131"/>
      <c r="N301" s="43"/>
      <c r="O301" s="51"/>
    </row>
    <row r="302">
      <c r="A302" s="16" t="s">
        <v>49</v>
      </c>
      <c r="B302" s="114" t="str">
        <f>IFERROR(VLOOKUP(A302,Internal_lists_bugs!$A$2:$G2033,7,FALSE()),"please select a BUG ID")</f>
        <v>https://opendev.org/openstack/nova/commit/c1dae06f1e366e7681fbffc776153b3ed3af2618</v>
      </c>
      <c r="C302" s="39" t="str">
        <f>IFERROR(VLOOKUP(A302,Internal_lists_bugs!$A$2:$I2033,9,FALSE()),"please select a BUG ID")</f>
        <v>https://review.opendev.org/c/openstack/nova/+/64289</v>
      </c>
      <c r="D302" s="85"/>
      <c r="E302" s="85"/>
      <c r="F302" s="133"/>
      <c r="G302" s="16" t="s">
        <v>646</v>
      </c>
      <c r="H302" s="108" t="s">
        <v>956</v>
      </c>
      <c r="I302" s="131"/>
      <c r="J302" s="131"/>
      <c r="K302" s="131"/>
      <c r="L302" s="131"/>
      <c r="M302" s="131"/>
      <c r="N302" s="43"/>
      <c r="O302" s="51"/>
    </row>
    <row r="303">
      <c r="A303" s="16" t="s">
        <v>49</v>
      </c>
      <c r="B303" s="114" t="str">
        <f>IFERROR(VLOOKUP(A303,Internal_lists_bugs!$A$2:$G2033,7,FALSE()),"please select a BUG ID")</f>
        <v>https://opendev.org/openstack/nova/commit/c1dae06f1e366e7681fbffc776153b3ed3af2618</v>
      </c>
      <c r="C303" s="39" t="str">
        <f>IFERROR(VLOOKUP(A303,Internal_lists_bugs!$A$2:$I2033,9,FALSE()),"please select a BUG ID")</f>
        <v>https://review.opendev.org/c/openstack/nova/+/64289</v>
      </c>
      <c r="D303" s="85"/>
      <c r="E303" s="85"/>
      <c r="F303" s="133"/>
      <c r="G303" s="16" t="s">
        <v>709</v>
      </c>
      <c r="H303" s="108" t="s">
        <v>957</v>
      </c>
      <c r="I303" s="131"/>
      <c r="J303" s="131"/>
      <c r="K303" s="131"/>
      <c r="L303" s="131"/>
      <c r="M303" s="131"/>
      <c r="N303" s="43"/>
      <c r="O303" s="51"/>
    </row>
    <row r="304">
      <c r="A304" s="16" t="s">
        <v>49</v>
      </c>
      <c r="B304" s="114" t="str">
        <f>IFERROR(VLOOKUP(A304,Internal_lists_bugs!$A$2:$G2033,7,FALSE()),"please select a BUG ID")</f>
        <v>https://opendev.org/openstack/nova/commit/c1dae06f1e366e7681fbffc776153b3ed3af2618</v>
      </c>
      <c r="C304" s="39" t="str">
        <f>IFERROR(VLOOKUP(A304,Internal_lists_bugs!$A$2:$I2033,9,FALSE()),"please select a BUG ID")</f>
        <v>https://review.opendev.org/c/openstack/nova/+/64289</v>
      </c>
      <c r="D304" s="85"/>
      <c r="E304" s="85"/>
      <c r="F304" s="133"/>
      <c r="G304" s="16" t="s">
        <v>650</v>
      </c>
      <c r="H304" s="108" t="s">
        <v>828</v>
      </c>
      <c r="I304" s="131"/>
      <c r="J304" s="131"/>
      <c r="K304" s="131"/>
      <c r="L304" s="131"/>
      <c r="M304" s="131"/>
      <c r="N304" s="43"/>
      <c r="O304" s="51"/>
    </row>
    <row r="305">
      <c r="A305" s="16" t="s">
        <v>49</v>
      </c>
      <c r="B305" s="114" t="str">
        <f>IFERROR(VLOOKUP(A305,Internal_lists_bugs!$A$2:$G2033,7,FALSE()),"please select a BUG ID")</f>
        <v>https://opendev.org/openstack/nova/commit/c1dae06f1e366e7681fbffc776153b3ed3af2618</v>
      </c>
      <c r="C305" s="39" t="str">
        <f>IFERROR(VLOOKUP(A305,Internal_lists_bugs!$A$2:$I2033,9,FALSE()),"please select a BUG ID")</f>
        <v>https://review.opendev.org/c/openstack/nova/+/64289</v>
      </c>
      <c r="D305" s="85"/>
      <c r="E305" s="85"/>
      <c r="F305" s="133"/>
      <c r="G305" s="16" t="s">
        <v>794</v>
      </c>
      <c r="H305" s="108" t="s">
        <v>958</v>
      </c>
      <c r="I305" s="131"/>
      <c r="J305" s="131"/>
      <c r="K305" s="131"/>
      <c r="L305" s="131"/>
      <c r="M305" s="131"/>
      <c r="N305" s="43"/>
      <c r="O305" s="51"/>
    </row>
    <row r="306">
      <c r="A306" s="16" t="s">
        <v>49</v>
      </c>
      <c r="B306" s="114" t="str">
        <f>IFERROR(VLOOKUP(A306,Internal_lists_bugs!$A$2:$G2033,7,FALSE()),"please select a BUG ID")</f>
        <v>https://opendev.org/openstack/nova/commit/c1dae06f1e366e7681fbffc776153b3ed3af2618</v>
      </c>
      <c r="C306" s="39" t="str">
        <f>IFERROR(VLOOKUP(A306,Internal_lists_bugs!$A$2:$I2033,9,FALSE()),"please select a BUG ID")</f>
        <v>https://review.opendev.org/c/openstack/nova/+/64289</v>
      </c>
      <c r="D306" s="85"/>
      <c r="E306" s="85"/>
      <c r="F306" s="133"/>
      <c r="G306" s="16" t="s">
        <v>796</v>
      </c>
      <c r="H306" s="108" t="s">
        <v>959</v>
      </c>
      <c r="I306" s="131"/>
      <c r="J306" s="131"/>
      <c r="K306" s="131"/>
      <c r="L306" s="131"/>
      <c r="M306" s="131"/>
      <c r="N306" s="43"/>
      <c r="O306" s="51"/>
    </row>
    <row r="307">
      <c r="A307" s="16" t="s">
        <v>49</v>
      </c>
      <c r="B307" s="114" t="str">
        <f>IFERROR(VLOOKUP(A307,Internal_lists_bugs!$A$2:$G2033,7,FALSE()),"please select a BUG ID")</f>
        <v>https://opendev.org/openstack/nova/commit/c1dae06f1e366e7681fbffc776153b3ed3af2618</v>
      </c>
      <c r="C307" s="39" t="str">
        <f>IFERROR(VLOOKUP(A307,Internal_lists_bugs!$A$2:$I2033,9,FALSE()),"please select a BUG ID")</f>
        <v>https://review.opendev.org/c/openstack/nova/+/64289</v>
      </c>
      <c r="D307" s="85"/>
      <c r="E307" s="85"/>
      <c r="F307" s="133"/>
      <c r="G307" s="16" t="s">
        <v>652</v>
      </c>
      <c r="H307" s="108" t="s">
        <v>960</v>
      </c>
      <c r="I307" s="131"/>
      <c r="J307" s="131"/>
      <c r="K307" s="131"/>
      <c r="L307" s="131"/>
      <c r="M307" s="131"/>
      <c r="N307" s="43"/>
      <c r="O307" s="51"/>
    </row>
    <row r="308">
      <c r="A308" s="16" t="s">
        <v>49</v>
      </c>
      <c r="B308" s="114" t="str">
        <f>IFERROR(VLOOKUP(A308,Internal_lists_bugs!$A$2:$G2033,7,FALSE()),"please select a BUG ID")</f>
        <v>https://opendev.org/openstack/nova/commit/c1dae06f1e366e7681fbffc776153b3ed3af2618</v>
      </c>
      <c r="C308" s="39" t="str">
        <f>IFERROR(VLOOKUP(A308,Internal_lists_bugs!$A$2:$I2033,9,FALSE()),"please select a BUG ID")</f>
        <v>https://review.opendev.org/c/openstack/nova/+/64289</v>
      </c>
      <c r="D308" s="85"/>
      <c r="E308" s="85"/>
      <c r="F308" s="133"/>
      <c r="G308" s="16" t="s">
        <v>839</v>
      </c>
      <c r="H308" s="108" t="s">
        <v>961</v>
      </c>
      <c r="I308" s="131"/>
      <c r="J308" s="131"/>
      <c r="K308" s="131"/>
      <c r="L308" s="131"/>
      <c r="M308" s="131"/>
      <c r="N308" s="43"/>
      <c r="O308" s="51"/>
    </row>
    <row r="309">
      <c r="A309" s="16" t="s">
        <v>49</v>
      </c>
      <c r="B309" s="114" t="str">
        <f>IFERROR(VLOOKUP(A309,Internal_lists_bugs!$A$2:$G2033,7,FALSE()),"please select a BUG ID")</f>
        <v>https://opendev.org/openstack/nova/commit/c1dae06f1e366e7681fbffc776153b3ed3af2618</v>
      </c>
      <c r="C309" s="39" t="str">
        <f>IFERROR(VLOOKUP(A309,Internal_lists_bugs!$A$2:$I2033,9,FALSE()),"please select a BUG ID")</f>
        <v>https://review.opendev.org/c/openstack/nova/+/64289</v>
      </c>
      <c r="D309" s="85"/>
      <c r="E309" s="85"/>
      <c r="F309" s="133"/>
      <c r="G309" s="16" t="s">
        <v>841</v>
      </c>
      <c r="H309" s="108" t="s">
        <v>962</v>
      </c>
      <c r="I309" s="131"/>
      <c r="J309" s="131"/>
      <c r="K309" s="131"/>
      <c r="L309" s="131"/>
      <c r="M309" s="131"/>
      <c r="N309" s="43"/>
      <c r="O309" s="51"/>
    </row>
    <row r="310">
      <c r="A310" s="16" t="s">
        <v>49</v>
      </c>
      <c r="B310" s="114" t="str">
        <f>IFERROR(VLOOKUP(A310,Internal_lists_bugs!$A$2:$G2033,7,FALSE()),"please select a BUG ID")</f>
        <v>https://opendev.org/openstack/nova/commit/c1dae06f1e366e7681fbffc776153b3ed3af2618</v>
      </c>
      <c r="C310" s="39" t="str">
        <f>IFERROR(VLOOKUP(A310,Internal_lists_bugs!$A$2:$I2033,9,FALSE()),"please select a BUG ID")</f>
        <v>https://review.opendev.org/c/openstack/nova/+/64289</v>
      </c>
      <c r="D310" s="85"/>
      <c r="E310" s="85"/>
      <c r="F310" s="133"/>
      <c r="G310" s="16" t="s">
        <v>798</v>
      </c>
      <c r="H310" s="108" t="s">
        <v>944</v>
      </c>
      <c r="I310" s="131"/>
      <c r="J310" s="131"/>
      <c r="K310" s="131"/>
      <c r="L310" s="131"/>
      <c r="M310" s="131"/>
      <c r="N310" s="43"/>
      <c r="O310" s="51"/>
    </row>
    <row r="311">
      <c r="A311" s="16" t="s">
        <v>50</v>
      </c>
      <c r="B311" s="114" t="str">
        <f>IFERROR(VLOOKUP(A311,Internal_lists_bugs!$A$2:$G2033,7,FALSE()),"please select a BUG ID")</f>
        <v>https://opendev.org/openstack/nova/commit/73515209cf09821a2fc922e1ae2c97650802fab4</v>
      </c>
      <c r="C311" s="39" t="str">
        <f>IFERROR(VLOOKUP(A311,Internal_lists_bugs!$A$2:$I2033,9,FALSE()),"please select a BUG ID")</f>
        <v>https://review.opendev.org/c/openstack/nova/+/155678</v>
      </c>
      <c r="D311" s="80" t="s">
        <v>632</v>
      </c>
      <c r="E311" s="85"/>
      <c r="F311" s="130" t="s">
        <v>135</v>
      </c>
      <c r="G311" s="16" t="s">
        <v>633</v>
      </c>
      <c r="H311" s="143" t="s">
        <v>123</v>
      </c>
      <c r="I311" s="131"/>
      <c r="J311" s="131"/>
      <c r="K311" s="131"/>
      <c r="L311" s="131"/>
      <c r="M311" s="131"/>
      <c r="N311" s="16" t="s">
        <v>634</v>
      </c>
      <c r="O311" s="51"/>
    </row>
    <row r="312">
      <c r="A312" s="16" t="s">
        <v>50</v>
      </c>
      <c r="B312" s="114" t="str">
        <f>IFERROR(VLOOKUP(A312,Internal_lists_bugs!$A$2:$G2033,7,FALSE()),"please select a BUG ID")</f>
        <v>https://opendev.org/openstack/nova/commit/73515209cf09821a2fc922e1ae2c97650802fab4</v>
      </c>
      <c r="C312" s="39" t="str">
        <f>IFERROR(VLOOKUP(A312,Internal_lists_bugs!$A$2:$I2033,9,FALSE()),"please select a BUG ID")</f>
        <v>https://review.opendev.org/c/openstack/nova/+/155678</v>
      </c>
      <c r="D312" s="85"/>
      <c r="E312" s="85"/>
      <c r="F312" s="133"/>
      <c r="G312" s="16" t="s">
        <v>174</v>
      </c>
      <c r="H312" s="143" t="s">
        <v>123</v>
      </c>
      <c r="I312" s="131"/>
      <c r="J312" s="131"/>
      <c r="K312" s="131"/>
      <c r="L312" s="131"/>
      <c r="M312" s="131"/>
      <c r="N312" s="43"/>
      <c r="O312" s="51"/>
    </row>
    <row r="313">
      <c r="A313" s="16" t="s">
        <v>50</v>
      </c>
      <c r="B313" s="114" t="str">
        <f>IFERROR(VLOOKUP(A313,Internal_lists_bugs!$A$2:$G2033,7,FALSE()),"please select a BUG ID")</f>
        <v>https://opendev.org/openstack/nova/commit/73515209cf09821a2fc922e1ae2c97650802fab4</v>
      </c>
      <c r="C313" s="39" t="str">
        <f>IFERROR(VLOOKUP(A313,Internal_lists_bugs!$A$2:$I2033,9,FALSE()),"please select a BUG ID")</f>
        <v>https://review.opendev.org/c/openstack/nova/+/155678</v>
      </c>
      <c r="D313" s="85"/>
      <c r="E313" s="85"/>
      <c r="F313" s="133"/>
      <c r="G313" s="16" t="s">
        <v>706</v>
      </c>
      <c r="H313" s="143" t="s">
        <v>123</v>
      </c>
      <c r="I313" s="131"/>
      <c r="J313" s="131"/>
      <c r="K313" s="131"/>
      <c r="L313" s="131"/>
      <c r="M313" s="131"/>
      <c r="N313" s="43"/>
      <c r="O313" s="51"/>
    </row>
    <row r="314">
      <c r="A314" s="16" t="s">
        <v>50</v>
      </c>
      <c r="B314" s="114" t="str">
        <f>IFERROR(VLOOKUP(A314,Internal_lists_bugs!$A$2:$G2033,7,FALSE()),"please select a BUG ID")</f>
        <v>https://opendev.org/openstack/nova/commit/73515209cf09821a2fc922e1ae2c97650802fab4</v>
      </c>
      <c r="C314" s="39" t="str">
        <f>IFERROR(VLOOKUP(A314,Internal_lists_bugs!$A$2:$I2033,9,FALSE()),"please select a BUG ID")</f>
        <v>https://review.opendev.org/c/openstack/nova/+/155678</v>
      </c>
      <c r="D314" s="85"/>
      <c r="E314" s="85"/>
      <c r="F314" s="133"/>
      <c r="G314" s="16" t="s">
        <v>963</v>
      </c>
      <c r="H314" s="108" t="s">
        <v>964</v>
      </c>
      <c r="I314" s="131"/>
      <c r="J314" s="131"/>
      <c r="K314" s="131"/>
      <c r="L314" s="131"/>
      <c r="M314" s="131"/>
      <c r="N314" s="43"/>
      <c r="O314" s="51"/>
    </row>
    <row r="315">
      <c r="A315" s="16" t="s">
        <v>50</v>
      </c>
      <c r="B315" s="114" t="str">
        <f>IFERROR(VLOOKUP(A315,Internal_lists_bugs!$A$2:$G2033,7,FALSE()),"please select a BUG ID")</f>
        <v>https://opendev.org/openstack/nova/commit/73515209cf09821a2fc922e1ae2c97650802fab4</v>
      </c>
      <c r="C315" s="39" t="str">
        <f>IFERROR(VLOOKUP(A315,Internal_lists_bugs!$A$2:$I2033,9,FALSE()),"please select a BUG ID")</f>
        <v>https://review.opendev.org/c/openstack/nova/+/155678</v>
      </c>
      <c r="D315" s="85"/>
      <c r="E315" s="85"/>
      <c r="F315" s="133"/>
      <c r="G315" s="16" t="s">
        <v>709</v>
      </c>
      <c r="H315" s="108" t="s">
        <v>965</v>
      </c>
      <c r="I315" s="131"/>
      <c r="J315" s="131"/>
      <c r="K315" s="131"/>
      <c r="L315" s="131"/>
      <c r="M315" s="131"/>
      <c r="N315" s="43"/>
      <c r="O315" s="51"/>
    </row>
    <row r="316">
      <c r="A316" s="16" t="s">
        <v>50</v>
      </c>
      <c r="B316" s="114" t="str">
        <f>IFERROR(VLOOKUP(A316,Internal_lists_bugs!$A$2:$G2033,7,FALSE()),"please select a BUG ID")</f>
        <v>https://opendev.org/openstack/nova/commit/73515209cf09821a2fc922e1ae2c97650802fab4</v>
      </c>
      <c r="C316" s="39" t="str">
        <f>IFERROR(VLOOKUP(A316,Internal_lists_bugs!$A$2:$I2033,9,FALSE()),"please select a BUG ID")</f>
        <v>https://review.opendev.org/c/openstack/nova/+/155678</v>
      </c>
      <c r="D316" s="85"/>
      <c r="E316" s="85"/>
      <c r="F316" s="133"/>
      <c r="G316" s="16" t="s">
        <v>966</v>
      </c>
      <c r="H316" s="108" t="s">
        <v>967</v>
      </c>
      <c r="I316" s="131"/>
      <c r="J316" s="131"/>
      <c r="K316" s="131"/>
      <c r="L316" s="131"/>
      <c r="M316" s="131"/>
      <c r="N316" s="43"/>
      <c r="O316" s="51"/>
    </row>
    <row r="317">
      <c r="A317" s="16" t="s">
        <v>50</v>
      </c>
      <c r="B317" s="114" t="str">
        <f>IFERROR(VLOOKUP(A317,Internal_lists_bugs!$A$2:$G2033,7,FALSE()),"please select a BUG ID")</f>
        <v>https://opendev.org/openstack/nova/commit/73515209cf09821a2fc922e1ae2c97650802fab4</v>
      </c>
      <c r="C317" s="39" t="str">
        <f>IFERROR(VLOOKUP(A317,Internal_lists_bugs!$A$2:$I2033,9,FALSE()),"please select a BUG ID")</f>
        <v>https://review.opendev.org/c/openstack/nova/+/155678</v>
      </c>
      <c r="D317" s="85"/>
      <c r="E317" s="85"/>
      <c r="F317" s="133"/>
      <c r="G317" s="16" t="s">
        <v>968</v>
      </c>
      <c r="H317" s="108" t="s">
        <v>969</v>
      </c>
      <c r="I317" s="131"/>
      <c r="J317" s="131"/>
      <c r="K317" s="131"/>
      <c r="L317" s="131"/>
      <c r="M317" s="131"/>
      <c r="N317" s="43"/>
      <c r="O317" s="51"/>
    </row>
    <row r="318">
      <c r="A318" s="16" t="s">
        <v>50</v>
      </c>
      <c r="B318" s="114" t="str">
        <f>IFERROR(VLOOKUP(A318,Internal_lists_bugs!$A$2:$G2033,7,FALSE()),"please select a BUG ID")</f>
        <v>https://opendev.org/openstack/nova/commit/73515209cf09821a2fc922e1ae2c97650802fab4</v>
      </c>
      <c r="C318" s="39" t="str">
        <f>IFERROR(VLOOKUP(A318,Internal_lists_bugs!$A$2:$I2033,9,FALSE()),"please select a BUG ID")</f>
        <v>https://review.opendev.org/c/openstack/nova/+/155678</v>
      </c>
      <c r="D318" s="85"/>
      <c r="E318" s="85"/>
      <c r="F318" s="133"/>
      <c r="G318" s="16" t="s">
        <v>698</v>
      </c>
      <c r="H318" s="108" t="s">
        <v>970</v>
      </c>
      <c r="I318" s="131"/>
      <c r="J318" s="131"/>
      <c r="K318" s="131"/>
      <c r="L318" s="131"/>
      <c r="M318" s="131"/>
      <c r="N318" s="43"/>
      <c r="O318" s="51"/>
    </row>
    <row r="319">
      <c r="A319" s="16" t="s">
        <v>50</v>
      </c>
      <c r="B319" s="114" t="str">
        <f>IFERROR(VLOOKUP(A319,Internal_lists_bugs!$A$2:$G2033,7,FALSE()),"please select a BUG ID")</f>
        <v>https://opendev.org/openstack/nova/commit/73515209cf09821a2fc922e1ae2c97650802fab4</v>
      </c>
      <c r="C319" s="39" t="str">
        <f>IFERROR(VLOOKUP(A319,Internal_lists_bugs!$A$2:$I2033,9,FALSE()),"please select a BUG ID")</f>
        <v>https://review.opendev.org/c/openstack/nova/+/155678</v>
      </c>
      <c r="D319" s="85"/>
      <c r="E319" s="85"/>
      <c r="F319" s="133"/>
      <c r="G319" s="16" t="s">
        <v>971</v>
      </c>
      <c r="H319" s="108" t="s">
        <v>972</v>
      </c>
      <c r="I319" s="131"/>
      <c r="J319" s="131"/>
      <c r="K319" s="131"/>
      <c r="L319" s="131"/>
      <c r="M319" s="131"/>
      <c r="N319" s="43"/>
      <c r="O319" s="51"/>
    </row>
    <row r="320">
      <c r="A320" s="16" t="s">
        <v>50</v>
      </c>
      <c r="B320" s="114" t="str">
        <f>IFERROR(VLOOKUP(A320,Internal_lists_bugs!$A$2:$G2033,7,FALSE()),"please select a BUG ID")</f>
        <v>https://opendev.org/openstack/nova/commit/73515209cf09821a2fc922e1ae2c97650802fab4</v>
      </c>
      <c r="C320" s="39" t="str">
        <f>IFERROR(VLOOKUP(A320,Internal_lists_bugs!$A$2:$I2033,9,FALSE()),"please select a BUG ID")</f>
        <v>https://review.opendev.org/c/openstack/nova/+/155678</v>
      </c>
      <c r="D320" s="85"/>
      <c r="E320" s="85"/>
      <c r="F320" s="133"/>
      <c r="G320" s="16" t="s">
        <v>683</v>
      </c>
      <c r="H320" s="108" t="s">
        <v>973</v>
      </c>
      <c r="I320" s="131"/>
      <c r="J320" s="131"/>
      <c r="K320" s="131"/>
      <c r="L320" s="131"/>
      <c r="M320" s="131"/>
      <c r="N320" s="43"/>
      <c r="O320" s="51"/>
    </row>
    <row r="321">
      <c r="A321" s="16" t="s">
        <v>50</v>
      </c>
      <c r="B321" s="114" t="str">
        <f>IFERROR(VLOOKUP(A321,Internal_lists_bugs!$A$2:$G2033,7,FALSE()),"please select a BUG ID")</f>
        <v>https://opendev.org/openstack/nova/commit/73515209cf09821a2fc922e1ae2c97650802fab4</v>
      </c>
      <c r="C321" s="39" t="str">
        <f>IFERROR(VLOOKUP(A321,Internal_lists_bugs!$A$2:$I2033,9,FALSE()),"please select a BUG ID")</f>
        <v>https://review.opendev.org/c/openstack/nova/+/155678</v>
      </c>
      <c r="D321" s="85"/>
      <c r="E321" s="85"/>
      <c r="F321" s="133"/>
      <c r="G321" s="16" t="s">
        <v>689</v>
      </c>
      <c r="H321" s="108" t="s">
        <v>974</v>
      </c>
      <c r="I321" s="131"/>
      <c r="J321" s="131"/>
      <c r="K321" s="131"/>
      <c r="L321" s="131"/>
      <c r="M321" s="131"/>
      <c r="N321" s="43"/>
      <c r="O321" s="51"/>
    </row>
    <row r="322">
      <c r="A322" s="16" t="s">
        <v>50</v>
      </c>
      <c r="B322" s="114" t="str">
        <f>IFERROR(VLOOKUP(A322,Internal_lists_bugs!$A$2:$G2033,7,FALSE()),"please select a BUG ID")</f>
        <v>https://opendev.org/openstack/nova/commit/73515209cf09821a2fc922e1ae2c97650802fab4</v>
      </c>
      <c r="C322" s="39" t="str">
        <f>IFERROR(VLOOKUP(A322,Internal_lists_bugs!$A$2:$I2033,9,FALSE()),"please select a BUG ID")</f>
        <v>https://review.opendev.org/c/openstack/nova/+/155678</v>
      </c>
      <c r="D322" s="85"/>
      <c r="E322" s="85"/>
      <c r="F322" s="133"/>
      <c r="G322" s="16" t="s">
        <v>975</v>
      </c>
      <c r="H322" s="108" t="s">
        <v>976</v>
      </c>
      <c r="I322" s="131"/>
      <c r="J322" s="131"/>
      <c r="K322" s="131"/>
      <c r="L322" s="131"/>
      <c r="M322" s="131"/>
      <c r="N322" s="43"/>
      <c r="O322" s="51"/>
    </row>
    <row r="323">
      <c r="A323" s="16" t="s">
        <v>50</v>
      </c>
      <c r="B323" s="114" t="str">
        <f>IFERROR(VLOOKUP(A323,Internal_lists_bugs!$A$2:$G2033,7,FALSE()),"please select a BUG ID")</f>
        <v>https://opendev.org/openstack/nova/commit/73515209cf09821a2fc922e1ae2c97650802fab4</v>
      </c>
      <c r="C323" s="39" t="str">
        <f>IFERROR(VLOOKUP(A323,Internal_lists_bugs!$A$2:$I2033,9,FALSE()),"please select a BUG ID")</f>
        <v>https://review.opendev.org/c/openstack/nova/+/155678</v>
      </c>
      <c r="D323" s="85"/>
      <c r="E323" s="85"/>
      <c r="F323" s="133"/>
      <c r="G323" s="16" t="s">
        <v>664</v>
      </c>
      <c r="H323" s="108" t="s">
        <v>901</v>
      </c>
      <c r="I323" s="131"/>
      <c r="J323" s="131"/>
      <c r="K323" s="131"/>
      <c r="L323" s="131"/>
      <c r="M323" s="131"/>
      <c r="N323" s="43"/>
      <c r="O323" s="51"/>
    </row>
    <row r="324">
      <c r="A324" s="16" t="s">
        <v>50</v>
      </c>
      <c r="B324" s="114" t="str">
        <f>IFERROR(VLOOKUP(A324,Internal_lists_bugs!$A$2:$G2033,7,FALSE()),"please select a BUG ID")</f>
        <v>https://opendev.org/openstack/nova/commit/73515209cf09821a2fc922e1ae2c97650802fab4</v>
      </c>
      <c r="C324" s="39" t="str">
        <f>IFERROR(VLOOKUP(A324,Internal_lists_bugs!$A$2:$I2033,9,FALSE()),"please select a BUG ID")</f>
        <v>https://review.opendev.org/c/openstack/nova/+/155678</v>
      </c>
      <c r="D324" s="85"/>
      <c r="E324" s="85"/>
      <c r="F324" s="133"/>
      <c r="G324" s="16" t="s">
        <v>977</v>
      </c>
      <c r="H324" s="108" t="s">
        <v>978</v>
      </c>
      <c r="I324" s="131"/>
      <c r="J324" s="131"/>
      <c r="K324" s="131"/>
      <c r="L324" s="131"/>
      <c r="M324" s="131"/>
      <c r="N324" s="43"/>
      <c r="O324" s="51"/>
    </row>
    <row r="325">
      <c r="A325" s="16" t="s">
        <v>50</v>
      </c>
      <c r="B325" s="114" t="str">
        <f>IFERROR(VLOOKUP(A325,Internal_lists_bugs!$A$2:$G2033,7,FALSE()),"please select a BUG ID")</f>
        <v>https://opendev.org/openstack/nova/commit/73515209cf09821a2fc922e1ae2c97650802fab4</v>
      </c>
      <c r="C325" s="39" t="str">
        <f>IFERROR(VLOOKUP(A325,Internal_lists_bugs!$A$2:$I2033,9,FALSE()),"please select a BUG ID")</f>
        <v>https://review.opendev.org/c/openstack/nova/+/155678</v>
      </c>
      <c r="D325" s="85"/>
      <c r="E325" s="85"/>
      <c r="F325" s="133"/>
      <c r="G325" s="16" t="s">
        <v>979</v>
      </c>
      <c r="H325" s="108" t="s">
        <v>671</v>
      </c>
      <c r="I325" s="131"/>
      <c r="J325" s="131"/>
      <c r="K325" s="131"/>
      <c r="L325" s="131"/>
      <c r="M325" s="131"/>
      <c r="N325" s="43"/>
      <c r="O325" s="51"/>
    </row>
    <row r="326">
      <c r="A326" s="16" t="s">
        <v>50</v>
      </c>
      <c r="B326" s="114" t="str">
        <f>IFERROR(VLOOKUP(A326,Internal_lists_bugs!$A$2:$G2033,7,FALSE()),"please select a BUG ID")</f>
        <v>https://opendev.org/openstack/nova/commit/73515209cf09821a2fc922e1ae2c97650802fab4</v>
      </c>
      <c r="C326" s="39" t="str">
        <f>IFERROR(VLOOKUP(A326,Internal_lists_bugs!$A$2:$I2033,9,FALSE()),"please select a BUG ID")</f>
        <v>https://review.opendev.org/c/openstack/nova/+/155678</v>
      </c>
      <c r="D326" s="85"/>
      <c r="E326" s="85"/>
      <c r="F326" s="133"/>
      <c r="G326" s="16" t="s">
        <v>672</v>
      </c>
      <c r="H326" s="108" t="s">
        <v>671</v>
      </c>
      <c r="I326" s="131"/>
      <c r="J326" s="131"/>
      <c r="K326" s="131"/>
      <c r="L326" s="131"/>
      <c r="M326" s="131"/>
      <c r="N326" s="43"/>
      <c r="O326" s="51"/>
    </row>
    <row r="327">
      <c r="A327" s="16" t="s">
        <v>51</v>
      </c>
      <c r="B327" s="114" t="str">
        <f>IFERROR(VLOOKUP(A327,Internal_lists_bugs!$A$2:$G2033,7,FALSE()),"please select a BUG ID")</f>
        <v>https://opendev.org/openstack/nova/commit/98dcd0dc6fe19ab243556874e4f0910e78484e02</v>
      </c>
      <c r="C327" s="39" t="str">
        <f>IFERROR(VLOOKUP(A327,Internal_lists_bugs!$A$2:$I2033,9,FALSE()),"please select a BUG ID")</f>
        <v>https://review.opendev.org/c/openstack/nova/+/150293</v>
      </c>
      <c r="D327" s="80" t="s">
        <v>632</v>
      </c>
      <c r="E327" s="85"/>
      <c r="F327" s="130" t="s">
        <v>135</v>
      </c>
      <c r="G327" s="16" t="s">
        <v>633</v>
      </c>
      <c r="H327" s="143" t="s">
        <v>123</v>
      </c>
      <c r="I327" s="131"/>
      <c r="J327" s="131"/>
      <c r="K327" s="131"/>
      <c r="L327" s="131"/>
      <c r="M327" s="131"/>
      <c r="N327" s="16" t="s">
        <v>634</v>
      </c>
      <c r="O327" s="51"/>
    </row>
    <row r="328">
      <c r="A328" s="16" t="s">
        <v>51</v>
      </c>
      <c r="B328" s="114" t="str">
        <f>IFERROR(VLOOKUP(A328,Internal_lists_bugs!$A$2:$G2033,7,FALSE()),"please select a BUG ID")</f>
        <v>https://opendev.org/openstack/nova/commit/98dcd0dc6fe19ab243556874e4f0910e78484e02</v>
      </c>
      <c r="C328" s="39" t="str">
        <f>IFERROR(VLOOKUP(A328,Internal_lists_bugs!$A$2:$I2033,9,FALSE()),"please select a BUG ID")</f>
        <v>https://review.opendev.org/c/openstack/nova/+/150293</v>
      </c>
      <c r="D328" s="85"/>
      <c r="E328" s="85"/>
      <c r="F328" s="133"/>
      <c r="G328" s="16" t="s">
        <v>174</v>
      </c>
      <c r="H328" s="143" t="s">
        <v>123</v>
      </c>
      <c r="I328" s="131"/>
      <c r="J328" s="131"/>
      <c r="K328" s="131"/>
      <c r="L328" s="131"/>
      <c r="M328" s="131"/>
      <c r="N328" s="43"/>
      <c r="O328" s="51"/>
    </row>
    <row r="329">
      <c r="A329" s="16" t="s">
        <v>51</v>
      </c>
      <c r="B329" s="114" t="str">
        <f>IFERROR(VLOOKUP(A329,Internal_lists_bugs!$A$2:$G2033,7,FALSE()),"please select a BUG ID")</f>
        <v>https://opendev.org/openstack/nova/commit/98dcd0dc6fe19ab243556874e4f0910e78484e02</v>
      </c>
      <c r="C329" s="39" t="str">
        <f>IFERROR(VLOOKUP(A329,Internal_lists_bugs!$A$2:$I2033,9,FALSE()),"please select a BUG ID")</f>
        <v>https://review.opendev.org/c/openstack/nova/+/150293</v>
      </c>
      <c r="D329" s="85"/>
      <c r="E329" s="85"/>
      <c r="F329" s="133"/>
      <c r="G329" s="16" t="s">
        <v>706</v>
      </c>
      <c r="H329" s="143" t="s">
        <v>123</v>
      </c>
      <c r="I329" s="131"/>
      <c r="J329" s="131"/>
      <c r="K329" s="131"/>
      <c r="L329" s="131"/>
      <c r="M329" s="131"/>
      <c r="N329" s="43"/>
      <c r="O329" s="51"/>
    </row>
    <row r="330">
      <c r="A330" s="16" t="s">
        <v>51</v>
      </c>
      <c r="B330" s="114" t="str">
        <f>IFERROR(VLOOKUP(A330,Internal_lists_bugs!$A$2:$G2033,7,FALSE()),"please select a BUG ID")</f>
        <v>https://opendev.org/openstack/nova/commit/98dcd0dc6fe19ab243556874e4f0910e78484e02</v>
      </c>
      <c r="C330" s="39" t="str">
        <f>IFERROR(VLOOKUP(A330,Internal_lists_bugs!$A$2:$I2033,9,FALSE()),"please select a BUG ID")</f>
        <v>https://review.opendev.org/c/openstack/nova/+/150293</v>
      </c>
      <c r="D330" s="85"/>
      <c r="E330" s="85"/>
      <c r="F330" s="133"/>
      <c r="G330" s="16" t="s">
        <v>980</v>
      </c>
      <c r="H330" s="108" t="s">
        <v>981</v>
      </c>
      <c r="I330" s="131"/>
      <c r="J330" s="131"/>
      <c r="K330" s="131"/>
      <c r="L330" s="131"/>
      <c r="M330" s="131"/>
      <c r="N330" s="43"/>
      <c r="O330" s="51"/>
    </row>
    <row r="331">
      <c r="A331" s="16" t="s">
        <v>51</v>
      </c>
      <c r="B331" s="114" t="str">
        <f>IFERROR(VLOOKUP(A331,Internal_lists_bugs!$A$2:$G2033,7,FALSE()),"please select a BUG ID")</f>
        <v>https://opendev.org/openstack/nova/commit/98dcd0dc6fe19ab243556874e4f0910e78484e02</v>
      </c>
      <c r="C331" s="39" t="str">
        <f>IFERROR(VLOOKUP(A331,Internal_lists_bugs!$A$2:$I2033,9,FALSE()),"please select a BUG ID")</f>
        <v>https://review.opendev.org/c/openstack/nova/+/150293</v>
      </c>
      <c r="D331" s="85"/>
      <c r="E331" s="85"/>
      <c r="F331" s="133"/>
      <c r="G331" s="16" t="s">
        <v>746</v>
      </c>
      <c r="H331" s="108" t="s">
        <v>982</v>
      </c>
      <c r="I331" s="131"/>
      <c r="J331" s="131"/>
      <c r="K331" s="131"/>
      <c r="L331" s="131"/>
      <c r="M331" s="131"/>
      <c r="N331" s="43"/>
      <c r="O331" s="51"/>
    </row>
    <row r="332">
      <c r="A332" s="16" t="s">
        <v>51</v>
      </c>
      <c r="B332" s="114" t="str">
        <f>IFERROR(VLOOKUP(A332,Internal_lists_bugs!$A$2:$G2033,7,FALSE()),"please select a BUG ID")</f>
        <v>https://opendev.org/openstack/nova/commit/98dcd0dc6fe19ab243556874e4f0910e78484e02</v>
      </c>
      <c r="C332" s="39" t="str">
        <f>IFERROR(VLOOKUP(A332,Internal_lists_bugs!$A$2:$I2033,9,FALSE()),"please select a BUG ID")</f>
        <v>https://review.opendev.org/c/openstack/nova/+/150293</v>
      </c>
      <c r="D332" s="85"/>
      <c r="E332" s="85"/>
      <c r="F332" s="133"/>
      <c r="G332" s="16" t="s">
        <v>709</v>
      </c>
      <c r="H332" s="108" t="s">
        <v>983</v>
      </c>
      <c r="I332" s="131"/>
      <c r="J332" s="131"/>
      <c r="K332" s="131"/>
      <c r="L332" s="131"/>
      <c r="M332" s="131"/>
      <c r="N332" s="43"/>
      <c r="O332" s="51"/>
    </row>
    <row r="333">
      <c r="A333" s="16" t="s">
        <v>51</v>
      </c>
      <c r="B333" s="114" t="str">
        <f>IFERROR(VLOOKUP(A333,Internal_lists_bugs!$A$2:$G2033,7,FALSE()),"please select a BUG ID")</f>
        <v>https://opendev.org/openstack/nova/commit/98dcd0dc6fe19ab243556874e4f0910e78484e02</v>
      </c>
      <c r="C333" s="39" t="str">
        <f>IFERROR(VLOOKUP(A333,Internal_lists_bugs!$A$2:$I2033,9,FALSE()),"please select a BUG ID")</f>
        <v>https://review.opendev.org/c/openstack/nova/+/150293</v>
      </c>
      <c r="D333" s="85"/>
      <c r="E333" s="85"/>
      <c r="F333" s="133"/>
      <c r="G333" s="122" t="s">
        <v>984</v>
      </c>
      <c r="H333" s="108" t="s">
        <v>985</v>
      </c>
      <c r="I333" s="131"/>
      <c r="J333" s="131"/>
      <c r="K333" s="131"/>
      <c r="L333" s="131"/>
      <c r="M333" s="131"/>
      <c r="N333" s="43"/>
      <c r="O333" s="51"/>
    </row>
    <row r="334">
      <c r="A334" s="16" t="s">
        <v>51</v>
      </c>
      <c r="B334" s="114" t="str">
        <f>IFERROR(VLOOKUP(A334,Internal_lists_bugs!$A$2:$G2033,7,FALSE()),"please select a BUG ID")</f>
        <v>https://opendev.org/openstack/nova/commit/98dcd0dc6fe19ab243556874e4f0910e78484e02</v>
      </c>
      <c r="C334" s="39" t="str">
        <f>IFERROR(VLOOKUP(A334,Internal_lists_bugs!$A$2:$I2033,9,FALSE()),"please select a BUG ID")</f>
        <v>https://review.opendev.org/c/openstack/nova/+/150293</v>
      </c>
      <c r="D334" s="85"/>
      <c r="E334" s="85"/>
      <c r="F334" s="133"/>
      <c r="G334" s="122" t="s">
        <v>986</v>
      </c>
      <c r="H334" s="108" t="s">
        <v>987</v>
      </c>
      <c r="I334" s="131"/>
      <c r="J334" s="131"/>
      <c r="K334" s="131"/>
      <c r="L334" s="131"/>
      <c r="M334" s="131"/>
      <c r="N334" s="43"/>
      <c r="O334" s="51"/>
    </row>
    <row r="335">
      <c r="A335" s="16" t="s">
        <v>51</v>
      </c>
      <c r="B335" s="114" t="str">
        <f>IFERROR(VLOOKUP(A335,Internal_lists_bugs!$A$2:$G2033,7,FALSE()),"please select a BUG ID")</f>
        <v>https://opendev.org/openstack/nova/commit/98dcd0dc6fe19ab243556874e4f0910e78484e02</v>
      </c>
      <c r="C335" s="39" t="str">
        <f>IFERROR(VLOOKUP(A335,Internal_lists_bugs!$A$2:$I2033,9,FALSE()),"please select a BUG ID")</f>
        <v>https://review.opendev.org/c/openstack/nova/+/150293</v>
      </c>
      <c r="D335" s="85"/>
      <c r="E335" s="85"/>
      <c r="F335" s="133"/>
      <c r="G335" s="16" t="s">
        <v>746</v>
      </c>
      <c r="H335" s="108" t="s">
        <v>988</v>
      </c>
      <c r="I335" s="131"/>
      <c r="J335" s="131"/>
      <c r="K335" s="131"/>
      <c r="L335" s="131"/>
      <c r="M335" s="131"/>
      <c r="N335" s="43"/>
      <c r="O335" s="51"/>
    </row>
    <row r="336">
      <c r="A336" s="16" t="s">
        <v>51</v>
      </c>
      <c r="B336" s="114" t="str">
        <f>IFERROR(VLOOKUP(A336,Internal_lists_bugs!$A$2:$G2033,7,FALSE()),"please select a BUG ID")</f>
        <v>https://opendev.org/openstack/nova/commit/98dcd0dc6fe19ab243556874e4f0910e78484e02</v>
      </c>
      <c r="C336" s="39" t="str">
        <f>IFERROR(VLOOKUP(A336,Internal_lists_bugs!$A$2:$I2033,9,FALSE()),"please select a BUG ID")</f>
        <v>https://review.opendev.org/c/openstack/nova/+/150293</v>
      </c>
      <c r="D336" s="85"/>
      <c r="E336" s="85"/>
      <c r="F336" s="133"/>
      <c r="G336" s="16" t="s">
        <v>989</v>
      </c>
      <c r="H336" s="108" t="s">
        <v>990</v>
      </c>
      <c r="I336" s="131"/>
      <c r="J336" s="131"/>
      <c r="K336" s="131"/>
      <c r="L336" s="131"/>
      <c r="M336" s="131"/>
      <c r="N336" s="43"/>
      <c r="O336" s="51"/>
    </row>
    <row r="337">
      <c r="A337" s="16" t="s">
        <v>51</v>
      </c>
      <c r="B337" s="114" t="str">
        <f>IFERROR(VLOOKUP(A337,Internal_lists_bugs!$A$2:$G2033,7,FALSE()),"please select a BUG ID")</f>
        <v>https://opendev.org/openstack/nova/commit/98dcd0dc6fe19ab243556874e4f0910e78484e02</v>
      </c>
      <c r="C337" s="39" t="str">
        <f>IFERROR(VLOOKUP(A337,Internal_lists_bugs!$A$2:$I2033,9,FALSE()),"please select a BUG ID")</f>
        <v>https://review.opendev.org/c/openstack/nova/+/150293</v>
      </c>
      <c r="D337" s="85"/>
      <c r="E337" s="85"/>
      <c r="F337" s="133"/>
      <c r="G337" s="16" t="s">
        <v>917</v>
      </c>
      <c r="H337" s="108" t="s">
        <v>991</v>
      </c>
      <c r="I337" s="131"/>
      <c r="J337" s="131"/>
      <c r="K337" s="131"/>
      <c r="L337" s="131"/>
      <c r="M337" s="131"/>
      <c r="N337" s="43"/>
      <c r="O337" s="51"/>
    </row>
    <row r="338">
      <c r="A338" s="16" t="s">
        <v>51</v>
      </c>
      <c r="B338" s="114" t="str">
        <f>IFERROR(VLOOKUP(A338,Internal_lists_bugs!$A$2:$G2033,7,FALSE()),"please select a BUG ID")</f>
        <v>https://opendev.org/openstack/nova/commit/98dcd0dc6fe19ab243556874e4f0910e78484e02</v>
      </c>
      <c r="C338" s="39" t="str">
        <f>IFERROR(VLOOKUP(A338,Internal_lists_bugs!$A$2:$I2033,9,FALSE()),"please select a BUG ID")</f>
        <v>https://review.opendev.org/c/openstack/nova/+/150293</v>
      </c>
      <c r="D338" s="85"/>
      <c r="E338" s="85"/>
      <c r="F338" s="133"/>
      <c r="G338" s="16" t="s">
        <v>709</v>
      </c>
      <c r="H338" s="108" t="s">
        <v>992</v>
      </c>
      <c r="I338" s="131"/>
      <c r="J338" s="131"/>
      <c r="K338" s="131"/>
      <c r="L338" s="131"/>
      <c r="M338" s="131"/>
      <c r="N338" s="43"/>
      <c r="O338" s="51"/>
    </row>
    <row r="339">
      <c r="A339" s="16" t="s">
        <v>51</v>
      </c>
      <c r="B339" s="114" t="str">
        <f>IFERROR(VLOOKUP(A339,Internal_lists_bugs!$A$2:$G2033,7,FALSE()),"please select a BUG ID")</f>
        <v>https://opendev.org/openstack/nova/commit/98dcd0dc6fe19ab243556874e4f0910e78484e02</v>
      </c>
      <c r="C339" s="39" t="str">
        <f>IFERROR(VLOOKUP(A339,Internal_lists_bugs!$A$2:$I2033,9,FALSE()),"please select a BUG ID")</f>
        <v>https://review.opendev.org/c/openstack/nova/+/150293</v>
      </c>
      <c r="D339" s="85"/>
      <c r="E339" s="85"/>
      <c r="F339" s="133"/>
      <c r="G339" s="16" t="s">
        <v>993</v>
      </c>
      <c r="H339" s="108" t="s">
        <v>994</v>
      </c>
      <c r="I339" s="131"/>
      <c r="J339" s="131"/>
      <c r="K339" s="131"/>
      <c r="L339" s="131"/>
      <c r="M339" s="131"/>
      <c r="N339" s="43"/>
      <c r="O339" s="51"/>
    </row>
    <row r="340">
      <c r="A340" s="16" t="s">
        <v>51</v>
      </c>
      <c r="B340" s="114" t="str">
        <f>IFERROR(VLOOKUP(A340,Internal_lists_bugs!$A$2:$G2033,7,FALSE()),"please select a BUG ID")</f>
        <v>https://opendev.org/openstack/nova/commit/98dcd0dc6fe19ab243556874e4f0910e78484e02</v>
      </c>
      <c r="C340" s="39" t="str">
        <f>IFERROR(VLOOKUP(A340,Internal_lists_bugs!$A$2:$I2033,9,FALSE()),"please select a BUG ID")</f>
        <v>https://review.opendev.org/c/openstack/nova/+/150293</v>
      </c>
      <c r="D340" s="85"/>
      <c r="E340" s="85"/>
      <c r="F340" s="133"/>
      <c r="G340" s="122" t="s">
        <v>709</v>
      </c>
      <c r="H340" s="108" t="s">
        <v>995</v>
      </c>
      <c r="I340" s="131"/>
      <c r="J340" s="131"/>
      <c r="K340" s="131"/>
      <c r="L340" s="131"/>
      <c r="M340" s="131"/>
      <c r="N340" s="43"/>
      <c r="O340" s="51"/>
    </row>
    <row r="341">
      <c r="A341" s="16" t="s">
        <v>51</v>
      </c>
      <c r="B341" s="114" t="str">
        <f>IFERROR(VLOOKUP(A341,Internal_lists_bugs!$A$2:$G2033,7,FALSE()),"please select a BUG ID")</f>
        <v>https://opendev.org/openstack/nova/commit/98dcd0dc6fe19ab243556874e4f0910e78484e02</v>
      </c>
      <c r="C341" s="39" t="str">
        <f>IFERROR(VLOOKUP(A341,Internal_lists_bugs!$A$2:$I2033,9,FALSE()),"please select a BUG ID")</f>
        <v>https://review.opendev.org/c/openstack/nova/+/150293</v>
      </c>
      <c r="D341" s="85"/>
      <c r="E341" s="85"/>
      <c r="F341" s="133"/>
      <c r="G341" s="16" t="s">
        <v>993</v>
      </c>
      <c r="H341" s="108" t="s">
        <v>996</v>
      </c>
      <c r="I341" s="131"/>
      <c r="J341" s="131"/>
      <c r="K341" s="131"/>
      <c r="L341" s="131"/>
      <c r="M341" s="131"/>
      <c r="N341" s="43"/>
      <c r="O341" s="51"/>
    </row>
    <row r="342">
      <c r="A342" s="16" t="s">
        <v>51</v>
      </c>
      <c r="B342" s="114" t="str">
        <f>IFERROR(VLOOKUP(A342,Internal_lists_bugs!$A$2:$G2033,7,FALSE()),"please select a BUG ID")</f>
        <v>https://opendev.org/openstack/nova/commit/98dcd0dc6fe19ab243556874e4f0910e78484e02</v>
      </c>
      <c r="C342" s="39" t="str">
        <f>IFERROR(VLOOKUP(A342,Internal_lists_bugs!$A$2:$I2033,9,FALSE()),"please select a BUG ID")</f>
        <v>https://review.opendev.org/c/openstack/nova/+/150293</v>
      </c>
      <c r="D342" s="85"/>
      <c r="E342" s="85"/>
      <c r="F342" s="133"/>
      <c r="G342" s="16" t="s">
        <v>971</v>
      </c>
      <c r="H342" s="108" t="s">
        <v>913</v>
      </c>
      <c r="I342" s="131"/>
      <c r="J342" s="131"/>
      <c r="K342" s="131"/>
      <c r="L342" s="131"/>
      <c r="M342" s="131"/>
      <c r="N342" s="43"/>
      <c r="O342" s="51"/>
    </row>
    <row r="343">
      <c r="A343" s="16" t="s">
        <v>51</v>
      </c>
      <c r="B343" s="114" t="str">
        <f>IFERROR(VLOOKUP(A343,Internal_lists_bugs!$A$2:$G2033,7,FALSE()),"please select a BUG ID")</f>
        <v>https://opendev.org/openstack/nova/commit/98dcd0dc6fe19ab243556874e4f0910e78484e02</v>
      </c>
      <c r="C343" s="39" t="str">
        <f>IFERROR(VLOOKUP(A343,Internal_lists_bugs!$A$2:$I2033,9,FALSE()),"please select a BUG ID")</f>
        <v>https://review.opendev.org/c/openstack/nova/+/150293</v>
      </c>
      <c r="D343" s="85"/>
      <c r="E343" s="85"/>
      <c r="F343" s="133"/>
      <c r="G343" s="16" t="s">
        <v>997</v>
      </c>
      <c r="H343" s="108" t="s">
        <v>904</v>
      </c>
      <c r="I343" s="131"/>
      <c r="J343" s="131"/>
      <c r="K343" s="131"/>
      <c r="L343" s="131"/>
      <c r="M343" s="131"/>
      <c r="N343" s="43"/>
      <c r="O343" s="51"/>
    </row>
    <row r="344">
      <c r="A344" s="16" t="s">
        <v>51</v>
      </c>
      <c r="B344" s="114" t="str">
        <f>IFERROR(VLOOKUP(A344,Internal_lists_bugs!$A$2:$G2033,7,FALSE()),"please select a BUG ID")</f>
        <v>https://opendev.org/openstack/nova/commit/98dcd0dc6fe19ab243556874e4f0910e78484e02</v>
      </c>
      <c r="C344" s="39" t="str">
        <f>IFERROR(VLOOKUP(A344,Internal_lists_bugs!$A$2:$I2033,9,FALSE()),"please select a BUG ID")</f>
        <v>https://review.opendev.org/c/openstack/nova/+/150293</v>
      </c>
      <c r="D344" s="85"/>
      <c r="E344" s="85"/>
      <c r="F344" s="133"/>
      <c r="G344" s="16" t="s">
        <v>998</v>
      </c>
      <c r="H344" s="108" t="s">
        <v>999</v>
      </c>
      <c r="I344" s="131"/>
      <c r="J344" s="131"/>
      <c r="K344" s="131"/>
      <c r="L344" s="131"/>
      <c r="M344" s="131"/>
      <c r="N344" s="43"/>
      <c r="O344" s="51"/>
    </row>
    <row r="345">
      <c r="A345" s="16" t="s">
        <v>51</v>
      </c>
      <c r="B345" s="114" t="str">
        <f>IFERROR(VLOOKUP(A345,Internal_lists_bugs!$A$2:$G2033,7,FALSE()),"please select a BUG ID")</f>
        <v>https://opendev.org/openstack/nova/commit/98dcd0dc6fe19ab243556874e4f0910e78484e02</v>
      </c>
      <c r="C345" s="39" t="str">
        <f>IFERROR(VLOOKUP(A345,Internal_lists_bugs!$A$2:$I2033,9,FALSE()),"please select a BUG ID")</f>
        <v>https://review.opendev.org/c/openstack/nova/+/150293</v>
      </c>
      <c r="D345" s="85"/>
      <c r="E345" s="85"/>
      <c r="F345" s="133"/>
      <c r="G345" s="16" t="s">
        <v>698</v>
      </c>
      <c r="H345" s="108" t="s">
        <v>1000</v>
      </c>
      <c r="I345" s="131"/>
      <c r="J345" s="131"/>
      <c r="K345" s="131"/>
      <c r="L345" s="131"/>
      <c r="M345" s="131"/>
      <c r="N345" s="43"/>
      <c r="O345" s="51"/>
    </row>
    <row r="346">
      <c r="A346" s="16" t="s">
        <v>51</v>
      </c>
      <c r="B346" s="114" t="str">
        <f>IFERROR(VLOOKUP(A346,Internal_lists_bugs!$A$2:$G2033,7,FALSE()),"please select a BUG ID")</f>
        <v>https://opendev.org/openstack/nova/commit/98dcd0dc6fe19ab243556874e4f0910e78484e02</v>
      </c>
      <c r="C346" s="39" t="str">
        <f>IFERROR(VLOOKUP(A346,Internal_lists_bugs!$A$2:$I2033,9,FALSE()),"please select a BUG ID")</f>
        <v>https://review.opendev.org/c/openstack/nova/+/150293</v>
      </c>
      <c r="D346" s="85"/>
      <c r="E346" s="85"/>
      <c r="F346" s="133"/>
      <c r="G346" s="16" t="s">
        <v>1001</v>
      </c>
      <c r="H346" s="108" t="s">
        <v>1000</v>
      </c>
      <c r="I346" s="131"/>
      <c r="J346" s="131"/>
      <c r="K346" s="131"/>
      <c r="L346" s="131"/>
      <c r="M346" s="131"/>
      <c r="N346" s="43"/>
      <c r="O346" s="51"/>
    </row>
    <row r="347">
      <c r="A347" s="16" t="s">
        <v>51</v>
      </c>
      <c r="B347" s="114" t="str">
        <f>IFERROR(VLOOKUP(A347,Internal_lists_bugs!$A$2:$G2033,7,FALSE()),"please select a BUG ID")</f>
        <v>https://opendev.org/openstack/nova/commit/98dcd0dc6fe19ab243556874e4f0910e78484e02</v>
      </c>
      <c r="C347" s="39" t="str">
        <f>IFERROR(VLOOKUP(A347,Internal_lists_bugs!$A$2:$I2033,9,FALSE()),"please select a BUG ID")</f>
        <v>https://review.opendev.org/c/openstack/nova/+/150293</v>
      </c>
      <c r="D347" s="85"/>
      <c r="E347" s="85"/>
      <c r="F347" s="133"/>
      <c r="G347" s="16" t="s">
        <v>1002</v>
      </c>
      <c r="H347" s="108" t="s">
        <v>1003</v>
      </c>
      <c r="I347" s="131"/>
      <c r="J347" s="131"/>
      <c r="K347" s="131"/>
      <c r="L347" s="131"/>
      <c r="M347" s="131"/>
      <c r="N347" s="43"/>
      <c r="O347" s="51"/>
    </row>
    <row r="348">
      <c r="A348" s="16" t="s">
        <v>51</v>
      </c>
      <c r="B348" s="114" t="str">
        <f>IFERROR(VLOOKUP(A348,Internal_lists_bugs!$A$2:$G2033,7,FALSE()),"please select a BUG ID")</f>
        <v>https://opendev.org/openstack/nova/commit/98dcd0dc6fe19ab243556874e4f0910e78484e02</v>
      </c>
      <c r="C348" s="39" t="str">
        <f>IFERROR(VLOOKUP(A348,Internal_lists_bugs!$A$2:$I2033,9,FALSE()),"please select a BUG ID")</f>
        <v>https://review.opendev.org/c/openstack/nova/+/150293</v>
      </c>
      <c r="D348" s="85"/>
      <c r="E348" s="85"/>
      <c r="F348" s="133"/>
      <c r="G348" s="16" t="s">
        <v>1004</v>
      </c>
      <c r="H348" s="108" t="s">
        <v>1005</v>
      </c>
      <c r="I348" s="131"/>
      <c r="J348" s="131"/>
      <c r="K348" s="131"/>
      <c r="L348" s="131"/>
      <c r="M348" s="131"/>
      <c r="N348" s="43"/>
      <c r="O348" s="51"/>
    </row>
    <row r="349">
      <c r="A349" s="16" t="s">
        <v>51</v>
      </c>
      <c r="B349" s="114" t="str">
        <f>IFERROR(VLOOKUP(A349,Internal_lists_bugs!$A$2:$G2033,7,FALSE()),"please select a BUG ID")</f>
        <v>https://opendev.org/openstack/nova/commit/98dcd0dc6fe19ab243556874e4f0910e78484e02</v>
      </c>
      <c r="C349" s="39" t="str">
        <f>IFERROR(VLOOKUP(A349,Internal_lists_bugs!$A$2:$I2033,9,FALSE()),"please select a BUG ID")</f>
        <v>https://review.opendev.org/c/openstack/nova/+/150293</v>
      </c>
      <c r="D349" s="85"/>
      <c r="E349" s="85"/>
      <c r="F349" s="133"/>
      <c r="G349" s="16" t="s">
        <v>1006</v>
      </c>
      <c r="H349" s="108" t="s">
        <v>797</v>
      </c>
      <c r="I349" s="131"/>
      <c r="J349" s="131"/>
      <c r="K349" s="131"/>
      <c r="L349" s="131"/>
      <c r="M349" s="131"/>
      <c r="N349" s="43"/>
      <c r="O349" s="51"/>
    </row>
    <row r="350">
      <c r="A350" s="16" t="s">
        <v>51</v>
      </c>
      <c r="B350" s="114" t="str">
        <f>IFERROR(VLOOKUP(A350,Internal_lists_bugs!$A$2:$G2033,7,FALSE()),"please select a BUG ID")</f>
        <v>https://opendev.org/openstack/nova/commit/98dcd0dc6fe19ab243556874e4f0910e78484e02</v>
      </c>
      <c r="C350" s="39" t="str">
        <f>IFERROR(VLOOKUP(A350,Internal_lists_bugs!$A$2:$I2033,9,FALSE()),"please select a BUG ID")</f>
        <v>https://review.opendev.org/c/openstack/nova/+/150293</v>
      </c>
      <c r="D350" s="85"/>
      <c r="E350" s="85"/>
      <c r="F350" s="133"/>
      <c r="G350" s="16" t="s">
        <v>683</v>
      </c>
      <c r="H350" s="108" t="s">
        <v>1007</v>
      </c>
      <c r="I350" s="131"/>
      <c r="J350" s="131"/>
      <c r="K350" s="131"/>
      <c r="L350" s="131"/>
      <c r="M350" s="131"/>
      <c r="N350" s="43"/>
      <c r="O350" s="51"/>
    </row>
    <row r="351">
      <c r="A351" s="16" t="s">
        <v>51</v>
      </c>
      <c r="B351" s="114" t="str">
        <f>IFERROR(VLOOKUP(A351,Internal_lists_bugs!$A$2:$G2033,7,FALSE()),"please select a BUG ID")</f>
        <v>https://opendev.org/openstack/nova/commit/98dcd0dc6fe19ab243556874e4f0910e78484e02</v>
      </c>
      <c r="C351" s="39" t="str">
        <f>IFERROR(VLOOKUP(A351,Internal_lists_bugs!$A$2:$I2033,9,FALSE()),"please select a BUG ID")</f>
        <v>https://review.opendev.org/c/openstack/nova/+/150293</v>
      </c>
      <c r="D351" s="85"/>
      <c r="E351" s="85"/>
      <c r="F351" s="133"/>
      <c r="G351" s="16" t="s">
        <v>689</v>
      </c>
      <c r="H351" s="108" t="s">
        <v>1008</v>
      </c>
      <c r="I351" s="131"/>
      <c r="J351" s="131"/>
      <c r="K351" s="131"/>
      <c r="L351" s="131"/>
      <c r="M351" s="131"/>
      <c r="N351" s="43"/>
      <c r="O351" s="51"/>
    </row>
    <row r="352">
      <c r="A352" s="16" t="s">
        <v>51</v>
      </c>
      <c r="B352" s="114" t="str">
        <f>IFERROR(VLOOKUP(A352,Internal_lists_bugs!$A$2:$G2033,7,FALSE()),"please select a BUG ID")</f>
        <v>https://opendev.org/openstack/nova/commit/98dcd0dc6fe19ab243556874e4f0910e78484e02</v>
      </c>
      <c r="C352" s="39" t="str">
        <f>IFERROR(VLOOKUP(A352,Internal_lists_bugs!$A$2:$I2033,9,FALSE()),"please select a BUG ID")</f>
        <v>https://review.opendev.org/c/openstack/nova/+/150293</v>
      </c>
      <c r="D352" s="85"/>
      <c r="E352" s="85"/>
      <c r="F352" s="133"/>
      <c r="G352" s="16" t="s">
        <v>664</v>
      </c>
      <c r="H352" s="108" t="s">
        <v>1009</v>
      </c>
      <c r="I352" s="131"/>
      <c r="J352" s="131"/>
      <c r="K352" s="131"/>
      <c r="L352" s="131"/>
      <c r="M352" s="131"/>
      <c r="N352" s="43"/>
      <c r="O352" s="51"/>
    </row>
    <row r="353">
      <c r="A353" s="16" t="s">
        <v>51</v>
      </c>
      <c r="B353" s="114" t="str">
        <f>IFERROR(VLOOKUP(A353,Internal_lists_bugs!$A$2:$G2033,7,FALSE()),"please select a BUG ID")</f>
        <v>https://opendev.org/openstack/nova/commit/98dcd0dc6fe19ab243556874e4f0910e78484e02</v>
      </c>
      <c r="C353" s="39" t="str">
        <f>IFERROR(VLOOKUP(A353,Internal_lists_bugs!$A$2:$I2033,9,FALSE()),"please select a BUG ID")</f>
        <v>https://review.opendev.org/c/openstack/nova/+/150293</v>
      </c>
      <c r="D353" s="85"/>
      <c r="E353" s="85"/>
      <c r="F353" s="133"/>
      <c r="G353" s="122" t="s">
        <v>670</v>
      </c>
      <c r="H353" s="135" t="s">
        <v>1010</v>
      </c>
      <c r="I353" s="131"/>
      <c r="J353" s="131"/>
      <c r="K353" s="131"/>
      <c r="L353" s="131"/>
      <c r="M353" s="131"/>
      <c r="N353" s="43"/>
      <c r="O353" s="51"/>
    </row>
    <row r="354">
      <c r="A354" s="16" t="s">
        <v>51</v>
      </c>
      <c r="B354" s="114" t="str">
        <f>IFERROR(VLOOKUP(A354,Internal_lists_bugs!$A$2:$G2033,7,FALSE()),"please select a BUG ID")</f>
        <v>https://opendev.org/openstack/nova/commit/98dcd0dc6fe19ab243556874e4f0910e78484e02</v>
      </c>
      <c r="C354" s="39" t="str">
        <f>IFERROR(VLOOKUP(A354,Internal_lists_bugs!$A$2:$I2033,9,FALSE()),"please select a BUG ID")</f>
        <v>https://review.opendev.org/c/openstack/nova/+/150293</v>
      </c>
      <c r="D354" s="85"/>
      <c r="E354" s="85"/>
      <c r="F354" s="133"/>
      <c r="G354" s="16" t="s">
        <v>672</v>
      </c>
      <c r="H354" s="144" t="s">
        <v>1010</v>
      </c>
      <c r="I354" s="131"/>
      <c r="J354" s="131"/>
      <c r="K354" s="131"/>
      <c r="L354" s="131"/>
      <c r="M354" s="131"/>
      <c r="N354" s="43"/>
      <c r="O354" s="51"/>
    </row>
    <row r="355">
      <c r="A355" s="16" t="s">
        <v>52</v>
      </c>
      <c r="B355" s="114" t="str">
        <f>IFERROR(VLOOKUP(A355,Internal_lists_bugs!$A$2:$G2033,7,FALSE()),"please select a BUG ID")</f>
        <v>https://opendev.org/openstack/nova/commit/c6088d94bfd11114c94b2bdf7bd51cb4b1989720</v>
      </c>
      <c r="C355" s="39" t="str">
        <f>IFERROR(VLOOKUP(A355,Internal_lists_bugs!$A$2:$I2033,9,FALSE()),"please select a BUG ID")</f>
        <v>https://review.opendev.org/c/openstack/nova/+/140337</v>
      </c>
      <c r="D355" s="80" t="s">
        <v>632</v>
      </c>
      <c r="E355" s="85"/>
      <c r="F355" s="130" t="s">
        <v>121</v>
      </c>
      <c r="G355" s="122" t="s">
        <v>1011</v>
      </c>
      <c r="H355" s="16" t="s">
        <v>123</v>
      </c>
      <c r="I355" s="131"/>
      <c r="J355" s="131"/>
      <c r="K355" s="131"/>
      <c r="L355" s="131"/>
      <c r="M355" s="131"/>
      <c r="N355" s="16" t="s">
        <v>634</v>
      </c>
      <c r="O355" s="51"/>
    </row>
    <row r="356">
      <c r="A356" s="16" t="s">
        <v>52</v>
      </c>
      <c r="B356" s="114" t="str">
        <f>IFERROR(VLOOKUP(A356,Internal_lists_bugs!$A$2:$G2033,7,FALSE()),"please select a BUG ID")</f>
        <v>https://opendev.org/openstack/nova/commit/c6088d94bfd11114c94b2bdf7bd51cb4b1989720</v>
      </c>
      <c r="C356" s="39" t="str">
        <f>IFERROR(VLOOKUP(A356,Internal_lists_bugs!$A$2:$I2033,9,FALSE()),"please select a BUG ID")</f>
        <v>https://review.opendev.org/c/openstack/nova/+/140337</v>
      </c>
      <c r="D356" s="85"/>
      <c r="E356" s="85"/>
      <c r="F356" s="133"/>
      <c r="G356" s="16" t="s">
        <v>698</v>
      </c>
      <c r="H356" s="108" t="s">
        <v>1012</v>
      </c>
      <c r="I356" s="131"/>
      <c r="J356" s="131"/>
      <c r="K356" s="131"/>
      <c r="L356" s="131"/>
      <c r="M356" s="131"/>
      <c r="N356" s="43"/>
      <c r="O356" s="51"/>
    </row>
    <row r="357">
      <c r="A357" s="16" t="s">
        <v>52</v>
      </c>
      <c r="B357" s="114" t="str">
        <f>IFERROR(VLOOKUP(A357,Internal_lists_bugs!$A$2:$G2033,7,FALSE()),"please select a BUG ID")</f>
        <v>https://opendev.org/openstack/nova/commit/c6088d94bfd11114c94b2bdf7bd51cb4b1989720</v>
      </c>
      <c r="C357" s="39" t="str">
        <f>IFERROR(VLOOKUP(A357,Internal_lists_bugs!$A$2:$I2033,9,FALSE()),"please select a BUG ID")</f>
        <v>https://review.opendev.org/c/openstack/nova/+/140337</v>
      </c>
      <c r="D357" s="85"/>
      <c r="E357" s="85"/>
      <c r="F357" s="133"/>
      <c r="G357" s="16" t="s">
        <v>683</v>
      </c>
      <c r="H357" s="108" t="s">
        <v>1013</v>
      </c>
      <c r="I357" s="131"/>
      <c r="J357" s="131"/>
      <c r="K357" s="131"/>
      <c r="L357" s="131"/>
      <c r="M357" s="131"/>
      <c r="N357" s="43"/>
      <c r="O357" s="51"/>
    </row>
    <row r="358">
      <c r="A358" s="16" t="s">
        <v>52</v>
      </c>
      <c r="B358" s="114" t="str">
        <f>IFERROR(VLOOKUP(A358,Internal_lists_bugs!$A$2:$G2033,7,FALSE()),"please select a BUG ID")</f>
        <v>https://opendev.org/openstack/nova/commit/c6088d94bfd11114c94b2bdf7bd51cb4b1989720</v>
      </c>
      <c r="C358" s="39" t="str">
        <f>IFERROR(VLOOKUP(A358,Internal_lists_bugs!$A$2:$I2033,9,FALSE()),"please select a BUG ID")</f>
        <v>https://review.opendev.org/c/openstack/nova/+/140337</v>
      </c>
      <c r="D358" s="85"/>
      <c r="E358" s="85"/>
      <c r="F358" s="133"/>
      <c r="G358" s="16" t="s">
        <v>689</v>
      </c>
      <c r="H358" s="108" t="s">
        <v>1014</v>
      </c>
      <c r="I358" s="131"/>
      <c r="J358" s="131"/>
      <c r="K358" s="131"/>
      <c r="L358" s="131"/>
      <c r="M358" s="131"/>
      <c r="N358" s="43"/>
      <c r="O358" s="51"/>
    </row>
    <row r="359">
      <c r="A359" s="16" t="s">
        <v>52</v>
      </c>
      <c r="B359" s="114" t="str">
        <f>IFERROR(VLOOKUP(A359,Internal_lists_bugs!$A$2:$G2033,7,FALSE()),"please select a BUG ID")</f>
        <v>https://opendev.org/openstack/nova/commit/c6088d94bfd11114c94b2bdf7bd51cb4b1989720</v>
      </c>
      <c r="C359" s="39" t="str">
        <f>IFERROR(VLOOKUP(A359,Internal_lists_bugs!$A$2:$I2033,9,FALSE()),"please select a BUG ID")</f>
        <v>https://review.opendev.org/c/openstack/nova/+/140337</v>
      </c>
      <c r="D359" s="85"/>
      <c r="E359" s="85"/>
      <c r="F359" s="133"/>
      <c r="G359" s="16" t="s">
        <v>664</v>
      </c>
      <c r="H359" s="108" t="s">
        <v>900</v>
      </c>
      <c r="I359" s="131"/>
      <c r="J359" s="131"/>
      <c r="K359" s="131"/>
      <c r="L359" s="131"/>
      <c r="M359" s="131"/>
      <c r="N359" s="43"/>
      <c r="O359" s="51"/>
    </row>
    <row r="360">
      <c r="A360" s="16" t="s">
        <v>52</v>
      </c>
      <c r="B360" s="114" t="str">
        <f>IFERROR(VLOOKUP(A360,Internal_lists_bugs!$A$2:$G2033,7,FALSE()),"please select a BUG ID")</f>
        <v>https://opendev.org/openstack/nova/commit/c6088d94bfd11114c94b2bdf7bd51cb4b1989720</v>
      </c>
      <c r="C360" s="39" t="str">
        <f>IFERROR(VLOOKUP(A360,Internal_lists_bugs!$A$2:$I2033,9,FALSE()),"please select a BUG ID")</f>
        <v>https://review.opendev.org/c/openstack/nova/+/140337</v>
      </c>
      <c r="D360" s="85"/>
      <c r="E360" s="85"/>
      <c r="F360" s="133"/>
      <c r="G360" s="16" t="s">
        <v>685</v>
      </c>
      <c r="H360" s="108" t="s">
        <v>907</v>
      </c>
      <c r="I360" s="131"/>
      <c r="J360" s="131"/>
      <c r="K360" s="131"/>
      <c r="L360" s="131"/>
      <c r="M360" s="131"/>
      <c r="N360" s="43"/>
      <c r="O360" s="51"/>
    </row>
    <row r="361">
      <c r="A361" s="16" t="s">
        <v>52</v>
      </c>
      <c r="B361" s="114" t="str">
        <f>IFERROR(VLOOKUP(A361,Internal_lists_bugs!$A$2:$G2033,7,FALSE()),"please select a BUG ID")</f>
        <v>https://opendev.org/openstack/nova/commit/c6088d94bfd11114c94b2bdf7bd51cb4b1989720</v>
      </c>
      <c r="C361" s="39" t="str">
        <f>IFERROR(VLOOKUP(A361,Internal_lists_bugs!$A$2:$I2033,9,FALSE()),"please select a BUG ID")</f>
        <v>https://review.opendev.org/c/openstack/nova/+/140337</v>
      </c>
      <c r="D361" s="85"/>
      <c r="E361" s="85"/>
      <c r="F361" s="133"/>
      <c r="G361" s="16" t="s">
        <v>702</v>
      </c>
      <c r="H361" s="108" t="s">
        <v>907</v>
      </c>
      <c r="I361" s="131"/>
      <c r="J361" s="131"/>
      <c r="K361" s="131"/>
      <c r="L361" s="131"/>
      <c r="M361" s="131"/>
      <c r="N361" s="43"/>
      <c r="O361" s="51"/>
    </row>
    <row r="362">
      <c r="A362" s="16" t="s">
        <v>52</v>
      </c>
      <c r="B362" s="114" t="str">
        <f>IFERROR(VLOOKUP(A362,Internal_lists_bugs!$A$2:$G2033,7,FALSE()),"please select a BUG ID")</f>
        <v>https://opendev.org/openstack/nova/commit/c6088d94bfd11114c94b2bdf7bd51cb4b1989720</v>
      </c>
      <c r="C362" s="39" t="str">
        <f>IFERROR(VLOOKUP(A362,Internal_lists_bugs!$A$2:$I2033,9,FALSE()),"please select a BUG ID")</f>
        <v>https://review.opendev.org/c/openstack/nova/+/140337</v>
      </c>
      <c r="D362" s="85"/>
      <c r="E362" s="85"/>
      <c r="F362" s="133"/>
      <c r="G362" s="16" t="s">
        <v>1015</v>
      </c>
      <c r="H362" s="108" t="s">
        <v>859</v>
      </c>
      <c r="I362" s="131"/>
      <c r="J362" s="131"/>
      <c r="K362" s="131"/>
      <c r="L362" s="131"/>
      <c r="M362" s="131"/>
      <c r="N362" s="43"/>
      <c r="O362" s="51"/>
    </row>
    <row r="363">
      <c r="A363" s="16" t="s">
        <v>52</v>
      </c>
      <c r="B363" s="114" t="str">
        <f>IFERROR(VLOOKUP(A363,Internal_lists_bugs!$A$2:$G2033,7,FALSE()),"please select a BUG ID")</f>
        <v>https://opendev.org/openstack/nova/commit/c6088d94bfd11114c94b2bdf7bd51cb4b1989720</v>
      </c>
      <c r="C363" s="39" t="str">
        <f>IFERROR(VLOOKUP(A363,Internal_lists_bugs!$A$2:$I2033,9,FALSE()),"please select a BUG ID")</f>
        <v>https://review.opendev.org/c/openstack/nova/+/140337</v>
      </c>
      <c r="D363" s="85"/>
      <c r="E363" s="85"/>
      <c r="F363" s="133"/>
      <c r="G363" s="122" t="s">
        <v>1015</v>
      </c>
      <c r="H363" s="108" t="s">
        <v>859</v>
      </c>
      <c r="I363" s="131"/>
      <c r="J363" s="131"/>
      <c r="K363" s="131"/>
      <c r="L363" s="131"/>
      <c r="M363" s="131"/>
      <c r="N363" s="43"/>
      <c r="O363" s="51"/>
    </row>
    <row r="364">
      <c r="A364" s="16" t="s">
        <v>52</v>
      </c>
      <c r="B364" s="114" t="str">
        <f>IFERROR(VLOOKUP(A364,Internal_lists_bugs!$A$2:$G2033,7,FALSE()),"please select a BUG ID")</f>
        <v>https://opendev.org/openstack/nova/commit/c6088d94bfd11114c94b2bdf7bd51cb4b1989720</v>
      </c>
      <c r="C364" s="39" t="str">
        <f>IFERROR(VLOOKUP(A364,Internal_lists_bugs!$A$2:$I2033,9,FALSE()),"please select a BUG ID")</f>
        <v>https://review.opendev.org/c/openstack/nova/+/140337</v>
      </c>
      <c r="D364" s="85"/>
      <c r="E364" s="85"/>
      <c r="F364" s="133"/>
      <c r="G364" s="16" t="s">
        <v>668</v>
      </c>
      <c r="H364" s="108" t="s">
        <v>1016</v>
      </c>
      <c r="I364" s="131"/>
      <c r="J364" s="131"/>
      <c r="K364" s="131"/>
      <c r="L364" s="131"/>
      <c r="M364" s="131"/>
      <c r="N364" s="43"/>
      <c r="O364" s="51"/>
    </row>
    <row r="365">
      <c r="A365" s="16" t="s">
        <v>52</v>
      </c>
      <c r="B365" s="114" t="str">
        <f>IFERROR(VLOOKUP(A365,Internal_lists_bugs!$A$2:$G2033,7,FALSE()),"please select a BUG ID")</f>
        <v>https://opendev.org/openstack/nova/commit/c6088d94bfd11114c94b2bdf7bd51cb4b1989720</v>
      </c>
      <c r="C365" s="39" t="str">
        <f>IFERROR(VLOOKUP(A365,Internal_lists_bugs!$A$2:$I2033,9,FALSE()),"please select a BUG ID")</f>
        <v>https://review.opendev.org/c/openstack/nova/+/140337</v>
      </c>
      <c r="D365" s="85"/>
      <c r="E365" s="85"/>
      <c r="F365" s="133"/>
      <c r="G365" s="122" t="s">
        <v>884</v>
      </c>
      <c r="H365" s="108" t="s">
        <v>859</v>
      </c>
      <c r="I365" s="131"/>
      <c r="J365" s="131"/>
      <c r="K365" s="131"/>
      <c r="L365" s="131"/>
      <c r="M365" s="131"/>
      <c r="N365" s="43"/>
      <c r="O365" s="51"/>
    </row>
    <row r="366">
      <c r="A366" s="16" t="s">
        <v>52</v>
      </c>
      <c r="B366" s="114" t="str">
        <f>IFERROR(VLOOKUP(A366,Internal_lists_bugs!$A$2:$G2033,7,FALSE()),"please select a BUG ID")</f>
        <v>https://opendev.org/openstack/nova/commit/c6088d94bfd11114c94b2bdf7bd51cb4b1989720</v>
      </c>
      <c r="C366" s="39" t="str">
        <f>IFERROR(VLOOKUP(A366,Internal_lists_bugs!$A$2:$I2033,9,FALSE()),"please select a BUG ID")</f>
        <v>https://review.opendev.org/c/openstack/nova/+/140337</v>
      </c>
      <c r="D366" s="85"/>
      <c r="E366" s="85"/>
      <c r="F366" s="133"/>
      <c r="G366" s="16" t="s">
        <v>979</v>
      </c>
      <c r="H366" s="108" t="s">
        <v>970</v>
      </c>
      <c r="I366" s="131"/>
      <c r="J366" s="131"/>
      <c r="K366" s="131"/>
      <c r="L366" s="131"/>
      <c r="M366" s="131"/>
      <c r="N366" s="43"/>
      <c r="O366" s="51"/>
    </row>
    <row r="367">
      <c r="A367" s="16" t="s">
        <v>53</v>
      </c>
      <c r="B367" s="114" t="str">
        <f>IFERROR(VLOOKUP(A367,Internal_lists_bugs!$A$2:$G2033,7,FALSE()),"please select a BUG ID")</f>
        <v>https://opendev.org/openstack/nova/commit/c363dae6a2b878db6801b502cced1fcc6aad2d0c</v>
      </c>
      <c r="C367" s="39" t="str">
        <f>IFERROR(VLOOKUP(A367,Internal_lists_bugs!$A$2:$I2033,9,FALSE()),"please select a BUG ID")</f>
        <v>https://review.opendev.org/c/openstack/nova/+/109489</v>
      </c>
      <c r="D367" s="80" t="s">
        <v>632</v>
      </c>
      <c r="E367" s="85"/>
      <c r="F367" s="130" t="s">
        <v>135</v>
      </c>
      <c r="G367" s="122" t="s">
        <v>633</v>
      </c>
      <c r="H367" s="16" t="s">
        <v>123</v>
      </c>
      <c r="I367" s="131"/>
      <c r="J367" s="131"/>
      <c r="K367" s="131"/>
      <c r="L367" s="131"/>
      <c r="M367" s="131"/>
      <c r="N367" s="16" t="s">
        <v>634</v>
      </c>
      <c r="O367" s="51"/>
    </row>
    <row r="368">
      <c r="A368" s="16" t="s">
        <v>53</v>
      </c>
      <c r="B368" s="114" t="str">
        <f>IFERROR(VLOOKUP(A368,Internal_lists_bugs!$A$2:$G2033,7,FALSE()),"please select a BUG ID")</f>
        <v>https://opendev.org/openstack/nova/commit/c363dae6a2b878db6801b502cced1fcc6aad2d0c</v>
      </c>
      <c r="C368" s="39" t="str">
        <f>IFERROR(VLOOKUP(A368,Internal_lists_bugs!$A$2:$I2033,9,FALSE()),"please select a BUG ID")</f>
        <v>https://review.opendev.org/c/openstack/nova/+/109489</v>
      </c>
      <c r="D368" s="85"/>
      <c r="E368" s="85"/>
      <c r="F368" s="133"/>
      <c r="G368" s="16" t="s">
        <v>1017</v>
      </c>
      <c r="H368" s="108" t="s">
        <v>1018</v>
      </c>
      <c r="I368" s="131"/>
      <c r="J368" s="131"/>
      <c r="K368" s="131"/>
      <c r="L368" s="131"/>
      <c r="M368" s="131"/>
      <c r="N368" s="43"/>
      <c r="O368" s="51"/>
    </row>
    <row r="369">
      <c r="A369" s="16" t="s">
        <v>53</v>
      </c>
      <c r="B369" s="114" t="str">
        <f>IFERROR(VLOOKUP(A369,Internal_lists_bugs!$A$2:$G2033,7,FALSE()),"please select a BUG ID")</f>
        <v>https://opendev.org/openstack/nova/commit/c363dae6a2b878db6801b502cced1fcc6aad2d0c</v>
      </c>
      <c r="C369" s="39" t="str">
        <f>IFERROR(VLOOKUP(A369,Internal_lists_bugs!$A$2:$I2033,9,FALSE()),"please select a BUG ID")</f>
        <v>https://review.opendev.org/c/openstack/nova/+/109489</v>
      </c>
      <c r="D369" s="85"/>
      <c r="E369" s="85"/>
      <c r="F369" s="133"/>
      <c r="G369" s="16" t="s">
        <v>1019</v>
      </c>
      <c r="H369" s="108" t="s">
        <v>1018</v>
      </c>
      <c r="I369" s="131"/>
      <c r="J369" s="131"/>
      <c r="K369" s="131"/>
      <c r="L369" s="131"/>
      <c r="M369" s="131"/>
      <c r="N369" s="43"/>
      <c r="O369" s="51"/>
    </row>
    <row r="370">
      <c r="A370" s="16" t="s">
        <v>53</v>
      </c>
      <c r="B370" s="114" t="str">
        <f>IFERROR(VLOOKUP(A370,Internal_lists_bugs!$A$2:$G2033,7,FALSE()),"please select a BUG ID")</f>
        <v>https://opendev.org/openstack/nova/commit/c363dae6a2b878db6801b502cced1fcc6aad2d0c</v>
      </c>
      <c r="C370" s="39" t="str">
        <f>IFERROR(VLOOKUP(A370,Internal_lists_bugs!$A$2:$I2033,9,FALSE()),"please select a BUG ID")</f>
        <v>https://review.opendev.org/c/openstack/nova/+/109489</v>
      </c>
      <c r="D370" s="85"/>
      <c r="E370" s="85"/>
      <c r="F370" s="133"/>
      <c r="G370" s="16" t="s">
        <v>1020</v>
      </c>
      <c r="H370" s="108" t="s">
        <v>1021</v>
      </c>
      <c r="I370" s="131"/>
      <c r="J370" s="131"/>
      <c r="K370" s="131"/>
      <c r="L370" s="131"/>
      <c r="M370" s="131"/>
      <c r="N370" s="43"/>
      <c r="O370" s="51"/>
    </row>
    <row r="371">
      <c r="A371" s="16" t="s">
        <v>53</v>
      </c>
      <c r="B371" s="114" t="str">
        <f>IFERROR(VLOOKUP(A371,Internal_lists_bugs!$A$2:$G2033,7,FALSE()),"please select a BUG ID")</f>
        <v>https://opendev.org/openstack/nova/commit/c363dae6a2b878db6801b502cced1fcc6aad2d0c</v>
      </c>
      <c r="C371" s="39" t="str">
        <f>IFERROR(VLOOKUP(A371,Internal_lists_bugs!$A$2:$I2033,9,FALSE()),"please select a BUG ID")</f>
        <v>https://review.opendev.org/c/openstack/nova/+/109489</v>
      </c>
      <c r="D371" s="85"/>
      <c r="E371" s="85"/>
      <c r="F371" s="133"/>
      <c r="G371" s="16" t="s">
        <v>1020</v>
      </c>
      <c r="H371" s="108" t="s">
        <v>1022</v>
      </c>
      <c r="I371" s="131"/>
      <c r="J371" s="131"/>
      <c r="K371" s="131"/>
      <c r="L371" s="131"/>
      <c r="M371" s="131"/>
      <c r="N371" s="43"/>
      <c r="O371" s="51"/>
    </row>
    <row r="372">
      <c r="A372" s="16" t="s">
        <v>53</v>
      </c>
      <c r="B372" s="114" t="str">
        <f>IFERROR(VLOOKUP(A372,Internal_lists_bugs!$A$2:$G2033,7,FALSE()),"please select a BUG ID")</f>
        <v>https://opendev.org/openstack/nova/commit/c363dae6a2b878db6801b502cced1fcc6aad2d0c</v>
      </c>
      <c r="C372" s="39" t="str">
        <f>IFERROR(VLOOKUP(A372,Internal_lists_bugs!$A$2:$I2033,9,FALSE()),"please select a BUG ID")</f>
        <v>https://review.opendev.org/c/openstack/nova/+/109489</v>
      </c>
      <c r="D372" s="85"/>
      <c r="E372" s="85"/>
      <c r="F372" s="133"/>
      <c r="G372" s="16" t="s">
        <v>1023</v>
      </c>
      <c r="H372" s="108" t="s">
        <v>1024</v>
      </c>
      <c r="I372" s="131"/>
      <c r="J372" s="131"/>
      <c r="K372" s="131"/>
      <c r="L372" s="131"/>
      <c r="M372" s="131"/>
      <c r="N372" s="43"/>
      <c r="O372" s="51"/>
    </row>
    <row r="373">
      <c r="A373" s="16" t="s">
        <v>53</v>
      </c>
      <c r="B373" s="114" t="str">
        <f>IFERROR(VLOOKUP(A373,Internal_lists_bugs!$A$2:$G2033,7,FALSE()),"please select a BUG ID")</f>
        <v>https://opendev.org/openstack/nova/commit/c363dae6a2b878db6801b502cced1fcc6aad2d0c</v>
      </c>
      <c r="C373" s="39" t="str">
        <f>IFERROR(VLOOKUP(A373,Internal_lists_bugs!$A$2:$I2033,9,FALSE()),"please select a BUG ID")</f>
        <v>https://review.opendev.org/c/openstack/nova/+/109489</v>
      </c>
      <c r="D373" s="85"/>
      <c r="E373" s="85"/>
      <c r="F373" s="133"/>
      <c r="G373" s="16" t="s">
        <v>1023</v>
      </c>
      <c r="H373" s="108" t="s">
        <v>1025</v>
      </c>
      <c r="I373" s="131"/>
      <c r="J373" s="131"/>
      <c r="K373" s="131"/>
      <c r="L373" s="131"/>
      <c r="M373" s="131"/>
      <c r="N373" s="43"/>
      <c r="O373" s="51"/>
    </row>
    <row r="374">
      <c r="A374" s="16" t="s">
        <v>53</v>
      </c>
      <c r="B374" s="114" t="str">
        <f>IFERROR(VLOOKUP(A374,Internal_lists_bugs!$A$2:$G2033,7,FALSE()),"please select a BUG ID")</f>
        <v>https://opendev.org/openstack/nova/commit/c363dae6a2b878db6801b502cced1fcc6aad2d0c</v>
      </c>
      <c r="C374" s="39" t="str">
        <f>IFERROR(VLOOKUP(A374,Internal_lists_bugs!$A$2:$I2033,9,FALSE()),"please select a BUG ID")</f>
        <v>https://review.opendev.org/c/openstack/nova/+/109489</v>
      </c>
      <c r="D374" s="85"/>
      <c r="E374" s="85"/>
      <c r="F374" s="133"/>
      <c r="G374" s="122" t="s">
        <v>709</v>
      </c>
      <c r="H374" s="108" t="s">
        <v>1026</v>
      </c>
      <c r="I374" s="131"/>
      <c r="J374" s="131"/>
      <c r="K374" s="131"/>
      <c r="L374" s="131"/>
      <c r="M374" s="131"/>
      <c r="N374" s="43"/>
      <c r="O374" s="51"/>
    </row>
    <row r="375">
      <c r="A375" s="16" t="s">
        <v>53</v>
      </c>
      <c r="B375" s="114" t="str">
        <f>IFERROR(VLOOKUP(A375,Internal_lists_bugs!$A$2:$G2033,7,FALSE()),"please select a BUG ID")</f>
        <v>https://opendev.org/openstack/nova/commit/c363dae6a2b878db6801b502cced1fcc6aad2d0c</v>
      </c>
      <c r="C375" s="39" t="str">
        <f>IFERROR(VLOOKUP(A375,Internal_lists_bugs!$A$2:$I2033,9,FALSE()),"please select a BUG ID")</f>
        <v>https://review.opendev.org/c/openstack/nova/+/109489</v>
      </c>
      <c r="D375" s="85"/>
      <c r="E375" s="85"/>
      <c r="F375" s="133"/>
      <c r="G375" s="16" t="s">
        <v>891</v>
      </c>
      <c r="H375" s="108" t="s">
        <v>1027</v>
      </c>
      <c r="I375" s="131"/>
      <c r="J375" s="131"/>
      <c r="K375" s="131"/>
      <c r="L375" s="131"/>
      <c r="M375" s="131"/>
      <c r="N375" s="43"/>
      <c r="O375" s="51"/>
    </row>
    <row r="376">
      <c r="A376" s="16" t="s">
        <v>53</v>
      </c>
      <c r="B376" s="114" t="str">
        <f>IFERROR(VLOOKUP(A376,Internal_lists_bugs!$A$2:$G2033,7,FALSE()),"please select a BUG ID")</f>
        <v>https://opendev.org/openstack/nova/commit/c363dae6a2b878db6801b502cced1fcc6aad2d0c</v>
      </c>
      <c r="C376" s="39" t="str">
        <f>IFERROR(VLOOKUP(A376,Internal_lists_bugs!$A$2:$I2033,9,FALSE()),"please select a BUG ID")</f>
        <v>https://review.opendev.org/c/openstack/nova/+/109489</v>
      </c>
      <c r="D376" s="85"/>
      <c r="E376" s="85"/>
      <c r="F376" s="133"/>
      <c r="G376" s="16" t="s">
        <v>891</v>
      </c>
      <c r="H376" s="108" t="s">
        <v>1028</v>
      </c>
      <c r="I376" s="131"/>
      <c r="J376" s="131"/>
      <c r="K376" s="131"/>
      <c r="L376" s="131"/>
      <c r="M376" s="131"/>
      <c r="N376" s="43"/>
      <c r="O376" s="51"/>
    </row>
    <row r="377">
      <c r="A377" s="16" t="s">
        <v>53</v>
      </c>
      <c r="B377" s="114" t="str">
        <f>IFERROR(VLOOKUP(A377,Internal_lists_bugs!$A$2:$G2033,7,FALSE()),"please select a BUG ID")</f>
        <v>https://opendev.org/openstack/nova/commit/c363dae6a2b878db6801b502cced1fcc6aad2d0c</v>
      </c>
      <c r="C377" s="39" t="str">
        <f>IFERROR(VLOOKUP(A377,Internal_lists_bugs!$A$2:$I2033,9,FALSE()),"please select a BUG ID")</f>
        <v>https://review.opendev.org/c/openstack/nova/+/109489</v>
      </c>
      <c r="D377" s="85"/>
      <c r="E377" s="85"/>
      <c r="F377" s="133"/>
      <c r="G377" s="122" t="s">
        <v>1029</v>
      </c>
      <c r="H377" s="108" t="s">
        <v>1030</v>
      </c>
      <c r="I377" s="131"/>
      <c r="J377" s="131"/>
      <c r="K377" s="131"/>
      <c r="L377" s="131"/>
      <c r="M377" s="131"/>
      <c r="N377" s="43"/>
      <c r="O377" s="51"/>
    </row>
    <row r="378">
      <c r="A378" s="16" t="s">
        <v>53</v>
      </c>
      <c r="B378" s="114" t="str">
        <f>IFERROR(VLOOKUP(A378,Internal_lists_bugs!$A$2:$G2033,7,FALSE()),"please select a BUG ID")</f>
        <v>https://opendev.org/openstack/nova/commit/c363dae6a2b878db6801b502cced1fcc6aad2d0c</v>
      </c>
      <c r="C378" s="39" t="str">
        <f>IFERROR(VLOOKUP(A378,Internal_lists_bugs!$A$2:$I2033,9,FALSE()),"please select a BUG ID")</f>
        <v>https://review.opendev.org/c/openstack/nova/+/109489</v>
      </c>
      <c r="D378" s="85"/>
      <c r="E378" s="85"/>
      <c r="F378" s="133"/>
      <c r="G378" s="16" t="s">
        <v>971</v>
      </c>
      <c r="H378" s="108" t="s">
        <v>1031</v>
      </c>
      <c r="I378" s="131"/>
      <c r="J378" s="131"/>
      <c r="K378" s="131"/>
      <c r="L378" s="131"/>
      <c r="M378" s="131"/>
      <c r="N378" s="43"/>
      <c r="O378" s="51"/>
    </row>
    <row r="379">
      <c r="A379" s="16" t="s">
        <v>53</v>
      </c>
      <c r="B379" s="114" t="str">
        <f>IFERROR(VLOOKUP(A379,Internal_lists_bugs!$A$2:$G2033,7,FALSE()),"please select a BUG ID")</f>
        <v>https://opendev.org/openstack/nova/commit/c363dae6a2b878db6801b502cced1fcc6aad2d0c</v>
      </c>
      <c r="C379" s="39" t="str">
        <f>IFERROR(VLOOKUP(A379,Internal_lists_bugs!$A$2:$I2033,9,FALSE()),"please select a BUG ID")</f>
        <v>https://review.opendev.org/c/openstack/nova/+/109489</v>
      </c>
      <c r="D379" s="85"/>
      <c r="E379" s="85"/>
      <c r="F379" s="133"/>
      <c r="G379" s="16" t="s">
        <v>906</v>
      </c>
      <c r="H379" s="108" t="s">
        <v>1031</v>
      </c>
      <c r="I379" s="131"/>
      <c r="J379" s="131"/>
      <c r="K379" s="131"/>
      <c r="L379" s="131"/>
      <c r="M379" s="131"/>
      <c r="N379" s="43"/>
      <c r="O379" s="51"/>
    </row>
    <row r="380">
      <c r="A380" s="16" t="s">
        <v>53</v>
      </c>
      <c r="B380" s="114" t="str">
        <f>IFERROR(VLOOKUP(A380,Internal_lists_bugs!$A$2:$G2033,7,FALSE()),"please select a BUG ID")</f>
        <v>https://opendev.org/openstack/nova/commit/c363dae6a2b878db6801b502cced1fcc6aad2d0c</v>
      </c>
      <c r="C380" s="39" t="str">
        <f>IFERROR(VLOOKUP(A380,Internal_lists_bugs!$A$2:$I2033,9,FALSE()),"please select a BUG ID")</f>
        <v>https://review.opendev.org/c/openstack/nova/+/109489</v>
      </c>
      <c r="D380" s="85"/>
      <c r="E380" s="85"/>
      <c r="F380" s="133"/>
      <c r="G380" s="16" t="s">
        <v>698</v>
      </c>
      <c r="H380" s="108" t="s">
        <v>703</v>
      </c>
      <c r="I380" s="131"/>
      <c r="J380" s="131"/>
      <c r="K380" s="131"/>
      <c r="L380" s="131"/>
      <c r="M380" s="131"/>
      <c r="N380" s="43"/>
      <c r="O380" s="51"/>
    </row>
    <row r="381">
      <c r="A381" s="16" t="s">
        <v>53</v>
      </c>
      <c r="B381" s="114" t="str">
        <f>IFERROR(VLOOKUP(A381,Internal_lists_bugs!$A$2:$G2033,7,FALSE()),"please select a BUG ID")</f>
        <v>https://opendev.org/openstack/nova/commit/c363dae6a2b878db6801b502cced1fcc6aad2d0c</v>
      </c>
      <c r="C381" s="39" t="str">
        <f>IFERROR(VLOOKUP(A381,Internal_lists_bugs!$A$2:$I2033,9,FALSE()),"please select a BUG ID")</f>
        <v>https://review.opendev.org/c/openstack/nova/+/109489</v>
      </c>
      <c r="D381" s="85"/>
      <c r="E381" s="85"/>
      <c r="F381" s="133"/>
      <c r="G381" s="16" t="s">
        <v>1032</v>
      </c>
      <c r="H381" s="108" t="s">
        <v>701</v>
      </c>
      <c r="I381" s="131"/>
      <c r="J381" s="131"/>
      <c r="K381" s="131"/>
      <c r="L381" s="131"/>
      <c r="M381" s="131"/>
      <c r="N381" s="43"/>
      <c r="O381" s="51"/>
    </row>
    <row r="382">
      <c r="A382" s="16" t="s">
        <v>53</v>
      </c>
      <c r="B382" s="114" t="str">
        <f>IFERROR(VLOOKUP(A382,Internal_lists_bugs!$A$2:$G2033,7,FALSE()),"please select a BUG ID")</f>
        <v>https://opendev.org/openstack/nova/commit/c363dae6a2b878db6801b502cced1fcc6aad2d0c</v>
      </c>
      <c r="C382" s="39" t="str">
        <f>IFERROR(VLOOKUP(A382,Internal_lists_bugs!$A$2:$I2033,9,FALSE()),"please select a BUG ID")</f>
        <v>https://review.opendev.org/c/openstack/nova/+/109489</v>
      </c>
      <c r="D382" s="85"/>
      <c r="E382" s="85"/>
      <c r="F382" s="133"/>
      <c r="G382" s="16" t="s">
        <v>1033</v>
      </c>
      <c r="H382" s="108" t="s">
        <v>701</v>
      </c>
      <c r="I382" s="131"/>
      <c r="J382" s="131"/>
      <c r="K382" s="131"/>
      <c r="L382" s="131"/>
      <c r="M382" s="131"/>
      <c r="N382" s="43"/>
      <c r="O382" s="51"/>
    </row>
    <row r="383">
      <c r="A383" s="16" t="s">
        <v>53</v>
      </c>
      <c r="B383" s="114" t="str">
        <f>IFERROR(VLOOKUP(A383,Internal_lists_bugs!$A$2:$G2033,7,FALSE()),"please select a BUG ID")</f>
        <v>https://opendev.org/openstack/nova/commit/c363dae6a2b878db6801b502cced1fcc6aad2d0c</v>
      </c>
      <c r="C383" s="39" t="str">
        <f>IFERROR(VLOOKUP(A383,Internal_lists_bugs!$A$2:$I2033,9,FALSE()),"please select a BUG ID")</f>
        <v>https://review.opendev.org/c/openstack/nova/+/109489</v>
      </c>
      <c r="D383" s="85"/>
      <c r="E383" s="85"/>
      <c r="F383" s="133"/>
      <c r="G383" s="122" t="s">
        <v>997</v>
      </c>
      <c r="H383" s="108" t="s">
        <v>701</v>
      </c>
      <c r="I383" s="131"/>
      <c r="J383" s="131"/>
      <c r="K383" s="131"/>
      <c r="L383" s="131"/>
      <c r="M383" s="131"/>
      <c r="N383" s="43"/>
      <c r="O383" s="51"/>
    </row>
    <row r="384">
      <c r="A384" s="16" t="s">
        <v>53</v>
      </c>
      <c r="B384" s="114" t="str">
        <f>IFERROR(VLOOKUP(A384,Internal_lists_bugs!$A$2:$G2033,7,FALSE()),"please select a BUG ID")</f>
        <v>https://opendev.org/openstack/nova/commit/c363dae6a2b878db6801b502cced1fcc6aad2d0c</v>
      </c>
      <c r="C384" s="39" t="str">
        <f>IFERROR(VLOOKUP(A384,Internal_lists_bugs!$A$2:$I2033,9,FALSE()),"please select a BUG ID")</f>
        <v>https://review.opendev.org/c/openstack/nova/+/109489</v>
      </c>
      <c r="D384" s="85"/>
      <c r="E384" s="85"/>
      <c r="F384" s="133"/>
      <c r="G384" s="16" t="s">
        <v>906</v>
      </c>
      <c r="H384" s="108" t="s">
        <v>701</v>
      </c>
      <c r="I384" s="131"/>
      <c r="J384" s="131"/>
      <c r="K384" s="131"/>
      <c r="L384" s="131"/>
      <c r="M384" s="131"/>
      <c r="N384" s="43"/>
      <c r="O384" s="51"/>
    </row>
    <row r="385">
      <c r="A385" s="16" t="s">
        <v>53</v>
      </c>
      <c r="B385" s="114" t="str">
        <f>IFERROR(VLOOKUP(A385,Internal_lists_bugs!$A$2:$G2033,7,FALSE()),"please select a BUG ID")</f>
        <v>https://opendev.org/openstack/nova/commit/c363dae6a2b878db6801b502cced1fcc6aad2d0c</v>
      </c>
      <c r="C385" s="39" t="str">
        <f>IFERROR(VLOOKUP(A385,Internal_lists_bugs!$A$2:$I2033,9,FALSE()),"please select a BUG ID")</f>
        <v>https://review.opendev.org/c/openstack/nova/+/109489</v>
      </c>
      <c r="D385" s="85"/>
      <c r="E385" s="85"/>
      <c r="F385" s="133"/>
      <c r="G385" s="122" t="s">
        <v>998</v>
      </c>
      <c r="H385" s="108" t="s">
        <v>703</v>
      </c>
      <c r="I385" s="131"/>
      <c r="J385" s="131"/>
      <c r="K385" s="131"/>
      <c r="L385" s="131"/>
      <c r="M385" s="131"/>
      <c r="N385" s="43"/>
      <c r="O385" s="51"/>
    </row>
    <row r="386">
      <c r="A386" s="16" t="s">
        <v>53</v>
      </c>
      <c r="B386" s="114" t="str">
        <f>IFERROR(VLOOKUP(A386,Internal_lists_bugs!$A$2:$G2033,7,FALSE()),"please select a BUG ID")</f>
        <v>https://opendev.org/openstack/nova/commit/c363dae6a2b878db6801b502cced1fcc6aad2d0c</v>
      </c>
      <c r="C386" s="39" t="str">
        <f>IFERROR(VLOOKUP(A386,Internal_lists_bugs!$A$2:$I2033,9,FALSE()),"please select a BUG ID")</f>
        <v>https://review.opendev.org/c/openstack/nova/+/109489</v>
      </c>
      <c r="D386" s="85"/>
      <c r="E386" s="85"/>
      <c r="F386" s="133"/>
      <c r="G386" s="16" t="s">
        <v>906</v>
      </c>
      <c r="H386" s="108" t="s">
        <v>703</v>
      </c>
      <c r="I386" s="131"/>
      <c r="J386" s="131"/>
      <c r="K386" s="131"/>
      <c r="L386" s="131"/>
      <c r="M386" s="131"/>
      <c r="N386" s="43"/>
      <c r="O386" s="51"/>
    </row>
    <row r="387">
      <c r="A387" s="16" t="s">
        <v>53</v>
      </c>
      <c r="B387" s="114" t="str">
        <f>IFERROR(VLOOKUP(A387,Internal_lists_bugs!$A$2:$G2033,7,FALSE()),"please select a BUG ID")</f>
        <v>https://opendev.org/openstack/nova/commit/c363dae6a2b878db6801b502cced1fcc6aad2d0c</v>
      </c>
      <c r="C387" s="39" t="str">
        <f>IFERROR(VLOOKUP(A387,Internal_lists_bugs!$A$2:$I2033,9,FALSE()),"please select a BUG ID")</f>
        <v>https://review.opendev.org/c/openstack/nova/+/109489</v>
      </c>
      <c r="D387" s="80"/>
      <c r="E387" s="80"/>
      <c r="F387" s="130"/>
      <c r="G387" s="16" t="s">
        <v>1034</v>
      </c>
      <c r="H387" s="108" t="s">
        <v>1035</v>
      </c>
      <c r="I387" s="131"/>
      <c r="J387" s="131"/>
      <c r="K387" s="131"/>
      <c r="L387" s="131"/>
      <c r="M387" s="131"/>
      <c r="N387" s="43"/>
      <c r="O387" s="51"/>
    </row>
    <row r="388">
      <c r="A388" s="16" t="s">
        <v>53</v>
      </c>
      <c r="B388" s="114" t="str">
        <f>IFERROR(VLOOKUP(A388,Internal_lists_bugs!$A$2:$G2033,7,FALSE()),"please select a BUG ID")</f>
        <v>https://opendev.org/openstack/nova/commit/c363dae6a2b878db6801b502cced1fcc6aad2d0c</v>
      </c>
      <c r="C388" s="39" t="str">
        <f>IFERROR(VLOOKUP(A388,Internal_lists_bugs!$A$2:$I2033,9,FALSE()),"please select a BUG ID")</f>
        <v>https://review.opendev.org/c/openstack/nova/+/109489</v>
      </c>
      <c r="D388" s="85"/>
      <c r="E388" s="85"/>
      <c r="F388" s="133"/>
      <c r="G388" s="16" t="s">
        <v>1036</v>
      </c>
      <c r="H388" s="108" t="s">
        <v>1037</v>
      </c>
      <c r="I388" s="131"/>
      <c r="J388" s="131"/>
      <c r="K388" s="131"/>
      <c r="L388" s="131"/>
      <c r="M388" s="131"/>
      <c r="N388" s="43"/>
      <c r="O388" s="51"/>
    </row>
    <row r="389">
      <c r="A389" s="16" t="s">
        <v>53</v>
      </c>
      <c r="B389" s="114" t="str">
        <f>IFERROR(VLOOKUP(A389,Internal_lists_bugs!$A$2:$G2033,7,FALSE()),"please select a BUG ID")</f>
        <v>https://opendev.org/openstack/nova/commit/c363dae6a2b878db6801b502cced1fcc6aad2d0c</v>
      </c>
      <c r="C389" s="39" t="str">
        <f>IFERROR(VLOOKUP(A389,Internal_lists_bugs!$A$2:$I2033,9,FALSE()),"please select a BUG ID")</f>
        <v>https://review.opendev.org/c/openstack/nova/+/109489</v>
      </c>
      <c r="D389" s="85"/>
      <c r="E389" s="85"/>
      <c r="F389" s="133"/>
      <c r="G389" s="16" t="s">
        <v>1038</v>
      </c>
      <c r="H389" s="108" t="s">
        <v>1039</v>
      </c>
      <c r="I389" s="131"/>
      <c r="J389" s="131"/>
      <c r="K389" s="131"/>
      <c r="L389" s="131"/>
      <c r="M389" s="131"/>
      <c r="N389" s="43"/>
      <c r="O389" s="51"/>
    </row>
    <row r="390">
      <c r="A390" s="16" t="s">
        <v>53</v>
      </c>
      <c r="B390" s="114" t="str">
        <f>IFERROR(VLOOKUP(A390,Internal_lists_bugs!$A$2:$G2033,7,FALSE()),"please select a BUG ID")</f>
        <v>https://opendev.org/openstack/nova/commit/c363dae6a2b878db6801b502cced1fcc6aad2d0c</v>
      </c>
      <c r="C390" s="39" t="str">
        <f>IFERROR(VLOOKUP(A390,Internal_lists_bugs!$A$2:$I2033,9,FALSE()),"please select a BUG ID")</f>
        <v>https://review.opendev.org/c/openstack/nova/+/109489</v>
      </c>
      <c r="D390" s="85"/>
      <c r="E390" s="85"/>
      <c r="F390" s="133"/>
      <c r="G390" s="16" t="s">
        <v>1001</v>
      </c>
      <c r="H390" s="108" t="s">
        <v>1039</v>
      </c>
      <c r="I390" s="131"/>
      <c r="J390" s="131"/>
      <c r="K390" s="131"/>
      <c r="L390" s="131"/>
      <c r="M390" s="131"/>
      <c r="N390" s="43"/>
      <c r="O390" s="51"/>
    </row>
    <row r="391">
      <c r="A391" s="16" t="s">
        <v>53</v>
      </c>
      <c r="B391" s="114" t="str">
        <f>IFERROR(VLOOKUP(A391,Internal_lists_bugs!$A$2:$G2033,7,FALSE()),"please select a BUG ID")</f>
        <v>https://opendev.org/openstack/nova/commit/c363dae6a2b878db6801b502cced1fcc6aad2d0c</v>
      </c>
      <c r="C391" s="39" t="str">
        <f>IFERROR(VLOOKUP(A391,Internal_lists_bugs!$A$2:$I2033,9,FALSE()),"please select a BUG ID")</f>
        <v>https://review.opendev.org/c/openstack/nova/+/109489</v>
      </c>
      <c r="D391" s="85"/>
      <c r="E391" s="85"/>
      <c r="F391" s="133"/>
      <c r="G391" s="16" t="s">
        <v>1002</v>
      </c>
      <c r="H391" s="108" t="s">
        <v>1040</v>
      </c>
      <c r="I391" s="131"/>
      <c r="J391" s="131"/>
      <c r="K391" s="131"/>
      <c r="L391" s="131"/>
      <c r="M391" s="131"/>
      <c r="N391" s="43"/>
      <c r="O391" s="51"/>
    </row>
    <row r="392">
      <c r="A392" s="16" t="s">
        <v>53</v>
      </c>
      <c r="B392" s="114" t="str">
        <f>IFERROR(VLOOKUP(A392,Internal_lists_bugs!$A$2:$G2033,7,FALSE()),"please select a BUG ID")</f>
        <v>https://opendev.org/openstack/nova/commit/c363dae6a2b878db6801b502cced1fcc6aad2d0c</v>
      </c>
      <c r="C392" s="39" t="str">
        <f>IFERROR(VLOOKUP(A392,Internal_lists_bugs!$A$2:$I2033,9,FALSE()),"please select a BUG ID")</f>
        <v>https://review.opendev.org/c/openstack/nova/+/109489</v>
      </c>
      <c r="D392" s="85"/>
      <c r="E392" s="85"/>
      <c r="F392" s="133"/>
      <c r="G392" s="16" t="s">
        <v>910</v>
      </c>
      <c r="H392" s="108" t="s">
        <v>1041</v>
      </c>
      <c r="I392" s="131"/>
      <c r="J392" s="131"/>
      <c r="K392" s="131"/>
      <c r="L392" s="131"/>
      <c r="M392" s="131"/>
      <c r="N392" s="43"/>
      <c r="O392" s="51"/>
    </row>
    <row r="393">
      <c r="A393" s="16" t="s">
        <v>53</v>
      </c>
      <c r="B393" s="114" t="str">
        <f>IFERROR(VLOOKUP(A393,Internal_lists_bugs!$A$2:$G2033,7,FALSE()),"please select a BUG ID")</f>
        <v>https://opendev.org/openstack/nova/commit/c363dae6a2b878db6801b502cced1fcc6aad2d0c</v>
      </c>
      <c r="C393" s="39" t="str">
        <f>IFERROR(VLOOKUP(A393,Internal_lists_bugs!$A$2:$I2033,9,FALSE()),"please select a BUG ID")</f>
        <v>https://review.opendev.org/c/openstack/nova/+/109489</v>
      </c>
      <c r="D393" s="85"/>
      <c r="E393" s="85"/>
      <c r="F393" s="133"/>
      <c r="G393" s="16" t="s">
        <v>683</v>
      </c>
      <c r="H393" s="108" t="s">
        <v>1042</v>
      </c>
      <c r="I393" s="131"/>
      <c r="J393" s="131"/>
      <c r="K393" s="131"/>
      <c r="L393" s="131"/>
      <c r="M393" s="131"/>
      <c r="N393" s="43"/>
      <c r="O393" s="51"/>
    </row>
    <row r="394">
      <c r="A394" s="16" t="s">
        <v>53</v>
      </c>
      <c r="B394" s="114" t="str">
        <f>IFERROR(VLOOKUP(A394,Internal_lists_bugs!$A$2:$G2033,7,FALSE()),"please select a BUG ID")</f>
        <v>https://opendev.org/openstack/nova/commit/c363dae6a2b878db6801b502cced1fcc6aad2d0c</v>
      </c>
      <c r="C394" s="39" t="str">
        <f>IFERROR(VLOOKUP(A394,Internal_lists_bugs!$A$2:$I2033,9,FALSE()),"please select a BUG ID")</f>
        <v>https://review.opendev.org/c/openstack/nova/+/109489</v>
      </c>
      <c r="D394" s="85"/>
      <c r="E394" s="85"/>
      <c r="F394" s="133"/>
      <c r="G394" s="16" t="s">
        <v>1034</v>
      </c>
      <c r="H394" s="108" t="s">
        <v>1042</v>
      </c>
      <c r="I394" s="131"/>
      <c r="J394" s="131"/>
      <c r="K394" s="131"/>
      <c r="L394" s="131"/>
      <c r="M394" s="131"/>
      <c r="N394" s="43"/>
      <c r="O394" s="51"/>
    </row>
    <row r="395">
      <c r="A395" s="16" t="s">
        <v>53</v>
      </c>
      <c r="B395" s="114" t="str">
        <f>IFERROR(VLOOKUP(A395,Internal_lists_bugs!$A$2:$G2033,7,FALSE()),"please select a BUG ID")</f>
        <v>https://opendev.org/openstack/nova/commit/c363dae6a2b878db6801b502cced1fcc6aad2d0c</v>
      </c>
      <c r="C395" s="39" t="str">
        <f>IFERROR(VLOOKUP(A395,Internal_lists_bugs!$A$2:$I2033,9,FALSE()),"please select a BUG ID")</f>
        <v>https://review.opendev.org/c/openstack/nova/+/109489</v>
      </c>
      <c r="D395" s="85"/>
      <c r="E395" s="85"/>
      <c r="F395" s="133"/>
      <c r="G395" s="16" t="s">
        <v>1004</v>
      </c>
      <c r="H395" s="108" t="s">
        <v>814</v>
      </c>
      <c r="I395" s="131"/>
      <c r="J395" s="131"/>
      <c r="K395" s="131"/>
      <c r="L395" s="131"/>
      <c r="M395" s="131"/>
      <c r="N395" s="43"/>
      <c r="O395" s="51"/>
    </row>
    <row r="396">
      <c r="A396" s="16" t="s">
        <v>53</v>
      </c>
      <c r="B396" s="114" t="str">
        <f>IFERROR(VLOOKUP(A396,Internal_lists_bugs!$A$2:$G2033,7,FALSE()),"please select a BUG ID")</f>
        <v>https://opendev.org/openstack/nova/commit/c363dae6a2b878db6801b502cced1fcc6aad2d0c</v>
      </c>
      <c r="C396" s="39" t="str">
        <f>IFERROR(VLOOKUP(A396,Internal_lists_bugs!$A$2:$I2033,9,FALSE()),"please select a BUG ID")</f>
        <v>https://review.opendev.org/c/openstack/nova/+/109489</v>
      </c>
      <c r="D396" s="85"/>
      <c r="E396" s="85"/>
      <c r="F396" s="133"/>
      <c r="G396" s="16" t="s">
        <v>989</v>
      </c>
      <c r="H396" s="108" t="s">
        <v>814</v>
      </c>
      <c r="I396" s="131"/>
      <c r="J396" s="131"/>
      <c r="K396" s="131"/>
      <c r="L396" s="131"/>
      <c r="M396" s="131"/>
      <c r="N396" s="43"/>
      <c r="O396" s="51"/>
    </row>
    <row r="397">
      <c r="A397" s="16" t="s">
        <v>53</v>
      </c>
      <c r="B397" s="114" t="str">
        <f>IFERROR(VLOOKUP(A397,Internal_lists_bugs!$A$2:$G2033,7,FALSE()),"please select a BUG ID")</f>
        <v>https://opendev.org/openstack/nova/commit/c363dae6a2b878db6801b502cced1fcc6aad2d0c</v>
      </c>
      <c r="C397" s="39" t="str">
        <f>IFERROR(VLOOKUP(A397,Internal_lists_bugs!$A$2:$I2033,9,FALSE()),"please select a BUG ID")</f>
        <v>https://review.opendev.org/c/openstack/nova/+/109489</v>
      </c>
      <c r="D397" s="85"/>
      <c r="E397" s="85"/>
      <c r="F397" s="133"/>
      <c r="G397" s="16" t="s">
        <v>1043</v>
      </c>
      <c r="H397" s="108" t="s">
        <v>1044</v>
      </c>
      <c r="I397" s="131"/>
      <c r="J397" s="131"/>
      <c r="K397" s="131"/>
      <c r="L397" s="131"/>
      <c r="M397" s="131"/>
      <c r="N397" s="43"/>
      <c r="O397" s="51"/>
    </row>
    <row r="398">
      <c r="A398" s="16" t="s">
        <v>53</v>
      </c>
      <c r="B398" s="114" t="str">
        <f>IFERROR(VLOOKUP(A398,Internal_lists_bugs!$A$2:$G2033,7,FALSE()),"please select a BUG ID")</f>
        <v>https://opendev.org/openstack/nova/commit/c363dae6a2b878db6801b502cced1fcc6aad2d0c</v>
      </c>
      <c r="C398" s="39" t="str">
        <f>IFERROR(VLOOKUP(A398,Internal_lists_bugs!$A$2:$I2033,9,FALSE()),"please select a BUG ID")</f>
        <v>https://review.opendev.org/c/openstack/nova/+/109489</v>
      </c>
      <c r="D398" s="85"/>
      <c r="E398" s="85"/>
      <c r="F398" s="133"/>
      <c r="G398" s="16" t="s">
        <v>1045</v>
      </c>
      <c r="H398" s="108" t="s">
        <v>1046</v>
      </c>
      <c r="I398" s="131"/>
      <c r="J398" s="131"/>
      <c r="K398" s="131"/>
      <c r="L398" s="131"/>
      <c r="M398" s="131"/>
      <c r="N398" s="43"/>
      <c r="O398" s="51"/>
    </row>
    <row r="399">
      <c r="A399" s="16" t="s">
        <v>53</v>
      </c>
      <c r="B399" s="114" t="str">
        <f>IFERROR(VLOOKUP(A399,Internal_lists_bugs!$A$2:$G2033,7,FALSE()),"please select a BUG ID")</f>
        <v>https://opendev.org/openstack/nova/commit/c363dae6a2b878db6801b502cced1fcc6aad2d0c</v>
      </c>
      <c r="C399" s="39" t="str">
        <f>IFERROR(VLOOKUP(A399,Internal_lists_bugs!$A$2:$I2033,9,FALSE()),"please select a BUG ID")</f>
        <v>https://review.opendev.org/c/openstack/nova/+/109489</v>
      </c>
      <c r="D399" s="85"/>
      <c r="E399" s="85"/>
      <c r="F399" s="133"/>
      <c r="G399" s="16" t="s">
        <v>668</v>
      </c>
      <c r="H399" s="108" t="s">
        <v>1047</v>
      </c>
      <c r="I399" s="131"/>
      <c r="J399" s="131"/>
      <c r="K399" s="131"/>
      <c r="L399" s="131"/>
      <c r="M399" s="131"/>
      <c r="N399" s="43"/>
      <c r="O399" s="51"/>
    </row>
    <row r="400">
      <c r="A400" s="16" t="s">
        <v>53</v>
      </c>
      <c r="B400" s="114" t="str">
        <f>IFERROR(VLOOKUP(A400,Internal_lists_bugs!$A$2:$G2033,7,FALSE()),"please select a BUG ID")</f>
        <v>https://opendev.org/openstack/nova/commit/c363dae6a2b878db6801b502cced1fcc6aad2d0c</v>
      </c>
      <c r="C400" s="39" t="str">
        <f>IFERROR(VLOOKUP(A400,Internal_lists_bugs!$A$2:$I2033,9,FALSE()),"please select a BUG ID")</f>
        <v>https://review.opendev.org/c/openstack/nova/+/109489</v>
      </c>
      <c r="D400" s="85"/>
      <c r="E400" s="85"/>
      <c r="F400" s="133"/>
      <c r="G400" s="16" t="s">
        <v>662</v>
      </c>
      <c r="H400" s="108" t="s">
        <v>1046</v>
      </c>
      <c r="I400" s="131"/>
      <c r="J400" s="131"/>
      <c r="K400" s="131"/>
      <c r="L400" s="131"/>
      <c r="M400" s="131"/>
      <c r="N400" s="43"/>
      <c r="O400" s="51"/>
    </row>
    <row r="401">
      <c r="A401" s="16" t="s">
        <v>53</v>
      </c>
      <c r="B401" s="114" t="str">
        <f>IFERROR(VLOOKUP(A401,Internal_lists_bugs!$A$2:$G2033,7,FALSE()),"please select a BUG ID")</f>
        <v>https://opendev.org/openstack/nova/commit/c363dae6a2b878db6801b502cced1fcc6aad2d0c</v>
      </c>
      <c r="C401" s="39" t="str">
        <f>IFERROR(VLOOKUP(A401,Internal_lists_bugs!$A$2:$I2033,9,FALSE()),"please select a BUG ID")</f>
        <v>https://review.opendev.org/c/openstack/nova/+/109489</v>
      </c>
      <c r="D401" s="85"/>
      <c r="E401" s="85"/>
      <c r="F401" s="133"/>
      <c r="G401" s="16" t="s">
        <v>677</v>
      </c>
      <c r="H401" s="108" t="s">
        <v>1046</v>
      </c>
      <c r="I401" s="131"/>
      <c r="J401" s="131"/>
      <c r="K401" s="131"/>
      <c r="L401" s="131"/>
      <c r="M401" s="131"/>
      <c r="N401" s="43"/>
      <c r="O401" s="51"/>
    </row>
    <row r="402">
      <c r="A402" s="16" t="s">
        <v>53</v>
      </c>
      <c r="B402" s="114" t="str">
        <f>IFERROR(VLOOKUP(A402,Internal_lists_bugs!$A$2:$G2033,7,FALSE()),"please select a BUG ID")</f>
        <v>https://opendev.org/openstack/nova/commit/c363dae6a2b878db6801b502cced1fcc6aad2d0c</v>
      </c>
      <c r="C402" s="39" t="str">
        <f>IFERROR(VLOOKUP(A402,Internal_lists_bugs!$A$2:$I2033,9,FALSE()),"please select a BUG ID")</f>
        <v>https://review.opendev.org/c/openstack/nova/+/109489</v>
      </c>
      <c r="D402" s="85"/>
      <c r="E402" s="85"/>
      <c r="F402" s="133"/>
      <c r="G402" s="16" t="s">
        <v>1006</v>
      </c>
      <c r="H402" s="108" t="s">
        <v>1048</v>
      </c>
      <c r="I402" s="131"/>
      <c r="J402" s="131"/>
      <c r="K402" s="131"/>
      <c r="L402" s="131"/>
      <c r="M402" s="131"/>
      <c r="N402" s="43"/>
      <c r="O402" s="51"/>
    </row>
    <row r="403">
      <c r="A403" s="16" t="s">
        <v>53</v>
      </c>
      <c r="B403" s="114" t="str">
        <f>IFERROR(VLOOKUP(A403,Internal_lists_bugs!$A$2:$G2033,7,FALSE()),"please select a BUG ID")</f>
        <v>https://opendev.org/openstack/nova/commit/c363dae6a2b878db6801b502cced1fcc6aad2d0c</v>
      </c>
      <c r="C403" s="39" t="str">
        <f>IFERROR(VLOOKUP(A403,Internal_lists_bugs!$A$2:$I2033,9,FALSE()),"please select a BUG ID")</f>
        <v>https://review.opendev.org/c/openstack/nova/+/109489</v>
      </c>
      <c r="D403" s="85"/>
      <c r="E403" s="85"/>
      <c r="F403" s="133"/>
      <c r="G403" s="16" t="s">
        <v>1049</v>
      </c>
      <c r="H403" s="108" t="s">
        <v>1050</v>
      </c>
      <c r="I403" s="131"/>
      <c r="J403" s="131"/>
      <c r="K403" s="131"/>
      <c r="L403" s="131"/>
      <c r="M403" s="131"/>
      <c r="N403" s="43"/>
      <c r="O403" s="51"/>
    </row>
    <row r="404">
      <c r="A404" s="16" t="s">
        <v>53</v>
      </c>
      <c r="B404" s="114" t="str">
        <f>IFERROR(VLOOKUP(A404,Internal_lists_bugs!$A$2:$G2033,7,FALSE()),"please select a BUG ID")</f>
        <v>https://opendev.org/openstack/nova/commit/c363dae6a2b878db6801b502cced1fcc6aad2d0c</v>
      </c>
      <c r="C404" s="39" t="str">
        <f>IFERROR(VLOOKUP(A404,Internal_lists_bugs!$A$2:$I2033,9,FALSE()),"please select a BUG ID")</f>
        <v>https://review.opendev.org/c/openstack/nova/+/109489</v>
      </c>
      <c r="D404" s="85"/>
      <c r="E404" s="85"/>
      <c r="F404" s="133"/>
      <c r="G404" s="16" t="s">
        <v>664</v>
      </c>
      <c r="H404" s="108" t="s">
        <v>1051</v>
      </c>
      <c r="I404" s="131"/>
      <c r="J404" s="131"/>
      <c r="K404" s="131"/>
      <c r="L404" s="131"/>
      <c r="M404" s="131"/>
      <c r="N404" s="43"/>
      <c r="O404" s="51"/>
    </row>
    <row r="405">
      <c r="A405" s="16" t="s">
        <v>53</v>
      </c>
      <c r="B405" s="114" t="str">
        <f>IFERROR(VLOOKUP(A405,Internal_lists_bugs!$A$2:$G2033,7,FALSE()),"please select a BUG ID")</f>
        <v>https://opendev.org/openstack/nova/commit/c363dae6a2b878db6801b502cced1fcc6aad2d0c</v>
      </c>
      <c r="C405" s="39" t="str">
        <f>IFERROR(VLOOKUP(A405,Internal_lists_bugs!$A$2:$I2033,9,FALSE()),"please select a BUG ID")</f>
        <v>https://review.opendev.org/c/openstack/nova/+/109489</v>
      </c>
      <c r="D405" s="85"/>
      <c r="E405" s="85"/>
      <c r="F405" s="133"/>
      <c r="G405" s="16" t="s">
        <v>702</v>
      </c>
      <c r="H405" s="108" t="s">
        <v>1052</v>
      </c>
      <c r="I405" s="131"/>
      <c r="J405" s="131"/>
      <c r="K405" s="131"/>
      <c r="L405" s="131"/>
      <c r="M405" s="131"/>
      <c r="N405" s="43"/>
      <c r="O405" s="51"/>
    </row>
    <row r="406">
      <c r="A406" s="16" t="s">
        <v>53</v>
      </c>
      <c r="B406" s="114" t="str">
        <f>IFERROR(VLOOKUP(A406,Internal_lists_bugs!$A$2:$G2033,7,FALSE()),"please select a BUG ID")</f>
        <v>https://opendev.org/openstack/nova/commit/c363dae6a2b878db6801b502cced1fcc6aad2d0c</v>
      </c>
      <c r="C406" s="39" t="str">
        <f>IFERROR(VLOOKUP(A406,Internal_lists_bugs!$A$2:$I2033,9,FALSE()),"please select a BUG ID")</f>
        <v>https://review.opendev.org/c/openstack/nova/+/109489</v>
      </c>
      <c r="D406" s="85"/>
      <c r="E406" s="85"/>
      <c r="F406" s="133"/>
      <c r="G406" s="16" t="s">
        <v>677</v>
      </c>
      <c r="H406" s="108" t="s">
        <v>1050</v>
      </c>
      <c r="I406" s="131"/>
      <c r="J406" s="131"/>
      <c r="K406" s="131"/>
      <c r="L406" s="131"/>
      <c r="M406" s="131"/>
      <c r="N406" s="43"/>
      <c r="O406" s="51"/>
    </row>
    <row r="407">
      <c r="A407" s="16" t="s">
        <v>53</v>
      </c>
      <c r="B407" s="114" t="str">
        <f>IFERROR(VLOOKUP(A407,Internal_lists_bugs!$A$2:$G2033,7,FALSE()),"please select a BUG ID")</f>
        <v>https://opendev.org/openstack/nova/commit/c363dae6a2b878db6801b502cced1fcc6aad2d0c</v>
      </c>
      <c r="C407" s="39" t="str">
        <f>IFERROR(VLOOKUP(A407,Internal_lists_bugs!$A$2:$I2033,9,FALSE()),"please select a BUG ID")</f>
        <v>https://review.opendev.org/c/openstack/nova/+/109489</v>
      </c>
      <c r="D407" s="85"/>
      <c r="E407" s="85"/>
      <c r="F407" s="133"/>
      <c r="G407" s="16" t="s">
        <v>662</v>
      </c>
      <c r="H407" s="108" t="s">
        <v>1050</v>
      </c>
      <c r="I407" s="131"/>
      <c r="J407" s="131"/>
      <c r="K407" s="131"/>
      <c r="L407" s="131"/>
      <c r="M407" s="131"/>
      <c r="N407" s="43"/>
      <c r="O407" s="51"/>
    </row>
    <row r="408">
      <c r="A408" s="16" t="s">
        <v>53</v>
      </c>
      <c r="B408" s="114" t="str">
        <f>IFERROR(VLOOKUP(A408,Internal_lists_bugs!$A$2:$G2033,7,FALSE()),"please select a BUG ID")</f>
        <v>https://opendev.org/openstack/nova/commit/c363dae6a2b878db6801b502cced1fcc6aad2d0c</v>
      </c>
      <c r="C408" s="39" t="str">
        <f>IFERROR(VLOOKUP(A408,Internal_lists_bugs!$A$2:$I2033,9,FALSE()),"please select a BUG ID")</f>
        <v>https://review.opendev.org/c/openstack/nova/+/109489</v>
      </c>
      <c r="D408" s="85"/>
      <c r="E408" s="85"/>
      <c r="F408" s="133"/>
      <c r="G408" s="16" t="s">
        <v>662</v>
      </c>
      <c r="H408" s="108" t="s">
        <v>1050</v>
      </c>
      <c r="I408" s="131"/>
      <c r="J408" s="131"/>
      <c r="K408" s="131"/>
      <c r="L408" s="131"/>
      <c r="M408" s="131"/>
      <c r="N408" s="43"/>
      <c r="O408" s="51"/>
    </row>
    <row r="409">
      <c r="A409" s="16" t="s">
        <v>53</v>
      </c>
      <c r="B409" s="114" t="str">
        <f>IFERROR(VLOOKUP(A409,Internal_lists_bugs!$A$2:$G2033,7,FALSE()),"please select a BUG ID")</f>
        <v>https://opendev.org/openstack/nova/commit/c363dae6a2b878db6801b502cced1fcc6aad2d0c</v>
      </c>
      <c r="C409" s="39" t="str">
        <f>IFERROR(VLOOKUP(A409,Internal_lists_bugs!$A$2:$I2033,9,FALSE()),"please select a BUG ID")</f>
        <v>https://review.opendev.org/c/openstack/nova/+/109489</v>
      </c>
      <c r="D409" s="85"/>
      <c r="E409" s="85"/>
      <c r="F409" s="133"/>
      <c r="G409" s="16" t="s">
        <v>668</v>
      </c>
      <c r="H409" s="108" t="s">
        <v>1053</v>
      </c>
      <c r="I409" s="131"/>
      <c r="J409" s="131"/>
      <c r="K409" s="131"/>
      <c r="L409" s="131"/>
      <c r="M409" s="131"/>
      <c r="N409" s="43"/>
      <c r="O409" s="51"/>
    </row>
    <row r="410">
      <c r="A410" s="16" t="s">
        <v>53</v>
      </c>
      <c r="B410" s="114" t="str">
        <f>IFERROR(VLOOKUP(A410,Internal_lists_bugs!$A$2:$G2033,7,FALSE()),"please select a BUG ID")</f>
        <v>https://opendev.org/openstack/nova/commit/c363dae6a2b878db6801b502cced1fcc6aad2d0c</v>
      </c>
      <c r="C410" s="39" t="str">
        <f>IFERROR(VLOOKUP(A410,Internal_lists_bugs!$A$2:$I2033,9,FALSE()),"please select a BUG ID")</f>
        <v>https://review.opendev.org/c/openstack/nova/+/109489</v>
      </c>
      <c r="D410" s="85"/>
      <c r="E410" s="85"/>
      <c r="F410" s="133"/>
      <c r="G410" s="16" t="s">
        <v>662</v>
      </c>
      <c r="H410" s="108" t="s">
        <v>1050</v>
      </c>
      <c r="I410" s="131"/>
      <c r="J410" s="131"/>
      <c r="K410" s="131"/>
      <c r="L410" s="131"/>
      <c r="M410" s="131"/>
      <c r="N410" s="43"/>
      <c r="O410" s="51"/>
    </row>
    <row r="411">
      <c r="A411" s="16" t="s">
        <v>53</v>
      </c>
      <c r="B411" s="114" t="str">
        <f>IFERROR(VLOOKUP(A411,Internal_lists_bugs!$A$2:$G2033,7,FALSE()),"please select a BUG ID")</f>
        <v>https://opendev.org/openstack/nova/commit/c363dae6a2b878db6801b502cced1fcc6aad2d0c</v>
      </c>
      <c r="C411" s="39" t="str">
        <f>IFERROR(VLOOKUP(A411,Internal_lists_bugs!$A$2:$I2033,9,FALSE()),"please select a BUG ID")</f>
        <v>https://review.opendev.org/c/openstack/nova/+/109489</v>
      </c>
      <c r="D411" s="85"/>
      <c r="E411" s="85"/>
      <c r="F411" s="133"/>
      <c r="G411" s="16" t="s">
        <v>689</v>
      </c>
      <c r="H411" s="108" t="s">
        <v>1054</v>
      </c>
      <c r="I411" s="131"/>
      <c r="J411" s="131"/>
      <c r="K411" s="131"/>
      <c r="L411" s="131"/>
      <c r="M411" s="131"/>
      <c r="N411" s="43"/>
      <c r="O411" s="51"/>
    </row>
    <row r="412">
      <c r="A412" s="16" t="s">
        <v>53</v>
      </c>
      <c r="B412" s="114" t="str">
        <f>IFERROR(VLOOKUP(A412,Internal_lists_bugs!$A$2:$G2033,7,FALSE()),"please select a BUG ID")</f>
        <v>https://opendev.org/openstack/nova/commit/c363dae6a2b878db6801b502cced1fcc6aad2d0c</v>
      </c>
      <c r="C412" s="39" t="str">
        <f>IFERROR(VLOOKUP(A412,Internal_lists_bugs!$A$2:$I2033,9,FALSE()),"please select a BUG ID")</f>
        <v>https://review.opendev.org/c/openstack/nova/+/109489</v>
      </c>
      <c r="D412" s="85"/>
      <c r="E412" s="85"/>
      <c r="F412" s="133"/>
      <c r="G412" s="16" t="s">
        <v>979</v>
      </c>
      <c r="H412" s="108" t="s">
        <v>1055</v>
      </c>
      <c r="I412" s="131"/>
      <c r="J412" s="131"/>
      <c r="K412" s="131"/>
      <c r="L412" s="131"/>
      <c r="M412" s="131"/>
      <c r="N412" s="43"/>
      <c r="O412" s="51"/>
    </row>
    <row r="413">
      <c r="A413" s="16" t="s">
        <v>54</v>
      </c>
      <c r="B413" s="114" t="str">
        <f>IFERROR(VLOOKUP(A413,Internal_lists_bugs!$A$2:$G2033,7,FALSE()),"please select a BUG ID")</f>
        <v>https://opendev.org/openstack/nova/commit/9340f6db7961824aabdf73cecf5e19892ce01c03</v>
      </c>
      <c r="C413" s="39" t="str">
        <f>IFERROR(VLOOKUP(A413,Internal_lists_bugs!$A$2:$I2033,9,FALSE()),"please select a BUG ID")</f>
        <v>https://review.opendev.org/c/openstack/nova/+/107602</v>
      </c>
      <c r="D413" s="80" t="s">
        <v>632</v>
      </c>
      <c r="E413" s="85"/>
      <c r="F413" s="130" t="s">
        <v>135</v>
      </c>
      <c r="G413" s="16" t="s">
        <v>1056</v>
      </c>
      <c r="H413" s="108" t="s">
        <v>1057</v>
      </c>
      <c r="I413" s="131"/>
      <c r="J413" s="131"/>
      <c r="K413" s="131"/>
      <c r="L413" s="131"/>
      <c r="M413" s="131"/>
      <c r="N413" s="16" t="s">
        <v>634</v>
      </c>
      <c r="O413" s="51"/>
    </row>
    <row r="414">
      <c r="A414" s="16" t="s">
        <v>54</v>
      </c>
      <c r="B414" s="114" t="str">
        <f>IFERROR(VLOOKUP(A414,Internal_lists_bugs!$A$2:$G2033,7,FALSE()),"please select a BUG ID")</f>
        <v>https://opendev.org/openstack/nova/commit/9340f6db7961824aabdf73cecf5e19892ce01c03</v>
      </c>
      <c r="C414" s="39" t="str">
        <f>IFERROR(VLOOKUP(A414,Internal_lists_bugs!$A$2:$I2033,9,FALSE()),"please select a BUG ID")</f>
        <v>https://review.opendev.org/c/openstack/nova/+/107602</v>
      </c>
      <c r="D414" s="85"/>
      <c r="E414" s="85"/>
      <c r="F414" s="133"/>
      <c r="G414" s="16" t="s">
        <v>948</v>
      </c>
      <c r="H414" s="108" t="s">
        <v>1057</v>
      </c>
      <c r="I414" s="131"/>
      <c r="J414" s="131"/>
      <c r="K414" s="131"/>
      <c r="L414" s="131"/>
      <c r="M414" s="131"/>
      <c r="N414" s="43"/>
      <c r="O414" s="51"/>
    </row>
    <row r="415">
      <c r="A415" s="16" t="s">
        <v>54</v>
      </c>
      <c r="B415" s="114" t="str">
        <f>IFERROR(VLOOKUP(A415,Internal_lists_bugs!$A$2:$G2033,7,FALSE()),"please select a BUG ID")</f>
        <v>https://opendev.org/openstack/nova/commit/9340f6db7961824aabdf73cecf5e19892ce01c03</v>
      </c>
      <c r="C415" s="39" t="str">
        <f>IFERROR(VLOOKUP(A415,Internal_lists_bugs!$A$2:$I2033,9,FALSE()),"please select a BUG ID")</f>
        <v>https://review.opendev.org/c/openstack/nova/+/107602</v>
      </c>
      <c r="D415" s="85"/>
      <c r="E415" s="85"/>
      <c r="F415" s="133"/>
      <c r="G415" s="16" t="s">
        <v>709</v>
      </c>
      <c r="H415" s="108" t="s">
        <v>1058</v>
      </c>
      <c r="I415" s="131"/>
      <c r="J415" s="131"/>
      <c r="K415" s="131"/>
      <c r="L415" s="131"/>
      <c r="M415" s="131"/>
      <c r="N415" s="43"/>
      <c r="O415" s="51"/>
    </row>
    <row r="416">
      <c r="A416" s="16" t="s">
        <v>54</v>
      </c>
      <c r="B416" s="114" t="str">
        <f>IFERROR(VLOOKUP(A416,Internal_lists_bugs!$A$2:$G2033,7,FALSE()),"please select a BUG ID")</f>
        <v>https://opendev.org/openstack/nova/commit/9340f6db7961824aabdf73cecf5e19892ce01c03</v>
      </c>
      <c r="C416" s="39" t="str">
        <f>IFERROR(VLOOKUP(A416,Internal_lists_bugs!$A$2:$I2033,9,FALSE()),"please select a BUG ID")</f>
        <v>https://review.opendev.org/c/openstack/nova/+/107602</v>
      </c>
      <c r="D416" s="85"/>
      <c r="E416" s="85"/>
      <c r="F416" s="133"/>
      <c r="G416" s="16" t="s">
        <v>950</v>
      </c>
      <c r="H416" s="108" t="s">
        <v>1059</v>
      </c>
      <c r="I416" s="131"/>
      <c r="J416" s="131"/>
      <c r="K416" s="131"/>
      <c r="L416" s="131"/>
      <c r="M416" s="131"/>
      <c r="N416" s="43"/>
      <c r="O416" s="51"/>
    </row>
    <row r="417">
      <c r="A417" s="16" t="s">
        <v>54</v>
      </c>
      <c r="B417" s="114" t="str">
        <f>IFERROR(VLOOKUP(A417,Internal_lists_bugs!$A$2:$G2033,7,FALSE()),"please select a BUG ID")</f>
        <v>https://opendev.org/openstack/nova/commit/9340f6db7961824aabdf73cecf5e19892ce01c03</v>
      </c>
      <c r="C417" s="39" t="str">
        <f>IFERROR(VLOOKUP(A417,Internal_lists_bugs!$A$2:$I2033,9,FALSE()),"please select a BUG ID")</f>
        <v>https://review.opendev.org/c/openstack/nova/+/107602</v>
      </c>
      <c r="D417" s="85"/>
      <c r="E417" s="85"/>
      <c r="F417" s="133"/>
      <c r="G417" s="16" t="s">
        <v>709</v>
      </c>
      <c r="H417" s="108" t="s">
        <v>1060</v>
      </c>
      <c r="I417" s="131"/>
      <c r="J417" s="131"/>
      <c r="K417" s="131"/>
      <c r="L417" s="131"/>
      <c r="M417" s="131"/>
      <c r="N417" s="43"/>
      <c r="O417" s="51"/>
    </row>
    <row r="418">
      <c r="A418" s="16" t="s">
        <v>54</v>
      </c>
      <c r="B418" s="114" t="str">
        <f>IFERROR(VLOOKUP(A418,Internal_lists_bugs!$A$2:$G2033,7,FALSE()),"please select a BUG ID")</f>
        <v>https://opendev.org/openstack/nova/commit/9340f6db7961824aabdf73cecf5e19892ce01c03</v>
      </c>
      <c r="C418" s="39" t="str">
        <f>IFERROR(VLOOKUP(A418,Internal_lists_bugs!$A$2:$I2033,9,FALSE()),"please select a BUG ID")</f>
        <v>https://review.opendev.org/c/openstack/nova/+/107602</v>
      </c>
      <c r="D418" s="85"/>
      <c r="E418" s="85"/>
      <c r="F418" s="133"/>
      <c r="G418" s="16" t="s">
        <v>698</v>
      </c>
      <c r="H418" s="108" t="s">
        <v>678</v>
      </c>
      <c r="I418" s="131"/>
      <c r="J418" s="131"/>
      <c r="K418" s="131"/>
      <c r="L418" s="131"/>
      <c r="M418" s="131"/>
      <c r="N418" s="43"/>
      <c r="O418" s="51"/>
    </row>
    <row r="419">
      <c r="A419" s="16" t="s">
        <v>54</v>
      </c>
      <c r="B419" s="114" t="str">
        <f>IFERROR(VLOOKUP(A419,Internal_lists_bugs!$A$2:$G2033,7,FALSE()),"please select a BUG ID")</f>
        <v>https://opendev.org/openstack/nova/commit/9340f6db7961824aabdf73cecf5e19892ce01c03</v>
      </c>
      <c r="C419" s="39" t="str">
        <f>IFERROR(VLOOKUP(A419,Internal_lists_bugs!$A$2:$I2033,9,FALSE()),"please select a BUG ID")</f>
        <v>https://review.opendev.org/c/openstack/nova/+/107602</v>
      </c>
      <c r="D419" s="85"/>
      <c r="E419" s="85"/>
      <c r="F419" s="133"/>
      <c r="G419" s="16" t="s">
        <v>1061</v>
      </c>
      <c r="H419" s="108" t="s">
        <v>678</v>
      </c>
      <c r="I419" s="131"/>
      <c r="J419" s="131"/>
      <c r="K419" s="131"/>
      <c r="L419" s="131"/>
      <c r="M419" s="131"/>
      <c r="N419" s="43"/>
      <c r="O419" s="51"/>
    </row>
    <row r="420">
      <c r="A420" s="16" t="s">
        <v>54</v>
      </c>
      <c r="B420" s="114" t="str">
        <f>IFERROR(VLOOKUP(A420,Internal_lists_bugs!$A$2:$G2033,7,FALSE()),"please select a BUG ID")</f>
        <v>https://opendev.org/openstack/nova/commit/9340f6db7961824aabdf73cecf5e19892ce01c03</v>
      </c>
      <c r="C420" s="39" t="str">
        <f>IFERROR(VLOOKUP(A420,Internal_lists_bugs!$A$2:$I2033,9,FALSE()),"please select a BUG ID")</f>
        <v>https://review.opendev.org/c/openstack/nova/+/107602</v>
      </c>
      <c r="D420" s="85"/>
      <c r="E420" s="85"/>
      <c r="F420" s="133"/>
      <c r="G420" s="16" t="s">
        <v>664</v>
      </c>
      <c r="H420" s="108" t="s">
        <v>900</v>
      </c>
      <c r="I420" s="131"/>
      <c r="J420" s="131"/>
      <c r="K420" s="131"/>
      <c r="L420" s="131"/>
      <c r="M420" s="131"/>
      <c r="N420" s="43"/>
      <c r="O420" s="51"/>
    </row>
    <row r="421">
      <c r="A421" s="16" t="s">
        <v>54</v>
      </c>
      <c r="B421" s="114" t="str">
        <f>IFERROR(VLOOKUP(A421,Internal_lists_bugs!$A$2:$G2033,7,FALSE()),"please select a BUG ID")</f>
        <v>https://opendev.org/openstack/nova/commit/9340f6db7961824aabdf73cecf5e19892ce01c03</v>
      </c>
      <c r="C421" s="39" t="str">
        <f>IFERROR(VLOOKUP(A421,Internal_lists_bugs!$A$2:$I2033,9,FALSE()),"please select a BUG ID")</f>
        <v>https://review.opendev.org/c/openstack/nova/+/107602</v>
      </c>
      <c r="D421" s="85"/>
      <c r="E421" s="85"/>
      <c r="F421" s="133"/>
      <c r="G421" s="16" t="s">
        <v>971</v>
      </c>
      <c r="H421" s="108" t="s">
        <v>1062</v>
      </c>
      <c r="I421" s="131"/>
      <c r="J421" s="131"/>
      <c r="K421" s="131"/>
      <c r="L421" s="131"/>
      <c r="M421" s="131"/>
      <c r="N421" s="43"/>
      <c r="O421" s="51"/>
    </row>
    <row r="422">
      <c r="A422" s="16" t="s">
        <v>54</v>
      </c>
      <c r="B422" s="114" t="str">
        <f>IFERROR(VLOOKUP(A422,Internal_lists_bugs!$A$2:$G2033,7,FALSE()),"please select a BUG ID")</f>
        <v>https://opendev.org/openstack/nova/commit/9340f6db7961824aabdf73cecf5e19892ce01c03</v>
      </c>
      <c r="C422" s="39" t="str">
        <f>IFERROR(VLOOKUP(A422,Internal_lists_bugs!$A$2:$I2033,9,FALSE()),"please select a BUG ID")</f>
        <v>https://review.opendev.org/c/openstack/nova/+/107602</v>
      </c>
      <c r="D422" s="85"/>
      <c r="E422" s="85"/>
      <c r="F422" s="133"/>
      <c r="G422" s="16" t="s">
        <v>1033</v>
      </c>
      <c r="H422" s="108" t="s">
        <v>1063</v>
      </c>
      <c r="I422" s="131"/>
      <c r="J422" s="131"/>
      <c r="K422" s="131"/>
      <c r="L422" s="131"/>
      <c r="M422" s="131"/>
      <c r="N422" s="43"/>
      <c r="O422" s="51"/>
    </row>
    <row r="423">
      <c r="A423" s="16" t="s">
        <v>54</v>
      </c>
      <c r="B423" s="114" t="str">
        <f>IFERROR(VLOOKUP(A423,Internal_lists_bugs!$A$2:$G2033,7,FALSE()),"please select a BUG ID")</f>
        <v>https://opendev.org/openstack/nova/commit/9340f6db7961824aabdf73cecf5e19892ce01c03</v>
      </c>
      <c r="C423" s="39" t="str">
        <f>IFERROR(VLOOKUP(A423,Internal_lists_bugs!$A$2:$I2033,9,FALSE()),"please select a BUG ID")</f>
        <v>https://review.opendev.org/c/openstack/nova/+/107602</v>
      </c>
      <c r="D423" s="85"/>
      <c r="E423" s="85"/>
      <c r="F423" s="133"/>
      <c r="G423" s="16" t="s">
        <v>683</v>
      </c>
      <c r="H423" s="108" t="s">
        <v>1064</v>
      </c>
      <c r="I423" s="131"/>
      <c r="J423" s="131"/>
      <c r="K423" s="131"/>
      <c r="L423" s="131"/>
      <c r="M423" s="131"/>
      <c r="N423" s="43"/>
      <c r="O423" s="51"/>
    </row>
    <row r="424">
      <c r="A424" s="16" t="s">
        <v>54</v>
      </c>
      <c r="B424" s="114" t="str">
        <f>IFERROR(VLOOKUP(A424,Internal_lists_bugs!$A$2:$G2033,7,FALSE()),"please select a BUG ID")</f>
        <v>https://opendev.org/openstack/nova/commit/9340f6db7961824aabdf73cecf5e19892ce01c03</v>
      </c>
      <c r="C424" s="39" t="str">
        <f>IFERROR(VLOOKUP(A424,Internal_lists_bugs!$A$2:$I2033,9,FALSE()),"please select a BUG ID")</f>
        <v>https://review.opendev.org/c/openstack/nova/+/107602</v>
      </c>
      <c r="D424" s="85"/>
      <c r="E424" s="85"/>
      <c r="F424" s="133"/>
      <c r="G424" s="16" t="s">
        <v>689</v>
      </c>
      <c r="H424" s="108" t="s">
        <v>973</v>
      </c>
      <c r="I424" s="131"/>
      <c r="J424" s="131"/>
      <c r="K424" s="131"/>
      <c r="L424" s="131"/>
      <c r="M424" s="131"/>
      <c r="N424" s="43"/>
      <c r="O424" s="51"/>
    </row>
    <row r="425">
      <c r="A425" s="16" t="s">
        <v>54</v>
      </c>
      <c r="B425" s="114" t="str">
        <f>IFERROR(VLOOKUP(A425,Internal_lists_bugs!$A$2:$G2033,7,FALSE()),"please select a BUG ID")</f>
        <v>https://opendev.org/openstack/nova/commit/9340f6db7961824aabdf73cecf5e19892ce01c03</v>
      </c>
      <c r="C425" s="39" t="str">
        <f>IFERROR(VLOOKUP(A425,Internal_lists_bugs!$A$2:$I2033,9,FALSE()),"please select a BUG ID")</f>
        <v>https://review.opendev.org/c/openstack/nova/+/107602</v>
      </c>
      <c r="D425" s="85"/>
      <c r="E425" s="85"/>
      <c r="F425" s="133"/>
      <c r="G425" s="16" t="s">
        <v>677</v>
      </c>
      <c r="H425" s="108" t="s">
        <v>901</v>
      </c>
      <c r="I425" s="131"/>
      <c r="J425" s="131"/>
      <c r="K425" s="131"/>
      <c r="L425" s="131"/>
      <c r="M425" s="131"/>
      <c r="N425" s="43"/>
      <c r="O425" s="51"/>
    </row>
    <row r="426">
      <c r="A426" s="16" t="s">
        <v>54</v>
      </c>
      <c r="B426" s="114" t="str">
        <f>IFERROR(VLOOKUP(A426,Internal_lists_bugs!$A$2:$G2033,7,FALSE()),"please select a BUG ID")</f>
        <v>https://opendev.org/openstack/nova/commit/9340f6db7961824aabdf73cecf5e19892ce01c03</v>
      </c>
      <c r="C426" s="39" t="str">
        <f>IFERROR(VLOOKUP(A426,Internal_lists_bugs!$A$2:$I2033,9,FALSE()),"please select a BUG ID")</f>
        <v>https://review.opendev.org/c/openstack/nova/+/107602</v>
      </c>
      <c r="D426" s="85"/>
      <c r="E426" s="85"/>
      <c r="F426" s="133"/>
      <c r="G426" s="16" t="s">
        <v>685</v>
      </c>
      <c r="H426" s="108" t="s">
        <v>901</v>
      </c>
      <c r="I426" s="131"/>
      <c r="J426" s="131"/>
      <c r="K426" s="131"/>
      <c r="L426" s="131"/>
      <c r="M426" s="131"/>
      <c r="N426" s="43"/>
      <c r="O426" s="51"/>
    </row>
    <row r="427">
      <c r="A427" s="16" t="s">
        <v>54</v>
      </c>
      <c r="B427" s="114" t="str">
        <f>IFERROR(VLOOKUP(A427,Internal_lists_bugs!$A$2:$G2033,7,FALSE()),"please select a BUG ID")</f>
        <v>https://opendev.org/openstack/nova/commit/9340f6db7961824aabdf73cecf5e19892ce01c03</v>
      </c>
      <c r="C427" s="39" t="str">
        <f>IFERROR(VLOOKUP(A427,Internal_lists_bugs!$A$2:$I2033,9,FALSE()),"please select a BUG ID")</f>
        <v>https://review.opendev.org/c/openstack/nova/+/107602</v>
      </c>
      <c r="D427" s="80"/>
      <c r="E427" s="80"/>
      <c r="F427" s="130"/>
      <c r="G427" s="16" t="s">
        <v>1033</v>
      </c>
      <c r="H427" s="108" t="s">
        <v>1063</v>
      </c>
      <c r="I427" s="131"/>
      <c r="J427" s="125"/>
      <c r="K427" s="131"/>
      <c r="L427" s="131"/>
      <c r="M427" s="131"/>
      <c r="N427" s="43"/>
      <c r="O427" s="51"/>
    </row>
    <row r="428">
      <c r="A428" s="16" t="s">
        <v>54</v>
      </c>
      <c r="B428" s="114" t="str">
        <f>IFERROR(VLOOKUP(A428,Internal_lists_bugs!$A$2:$G2033,7,FALSE()),"please select a BUG ID")</f>
        <v>https://opendev.org/openstack/nova/commit/9340f6db7961824aabdf73cecf5e19892ce01c03</v>
      </c>
      <c r="C428" s="39" t="str">
        <f>IFERROR(VLOOKUP(A428,Internal_lists_bugs!$A$2:$I2033,9,FALSE()),"please select a BUG ID")</f>
        <v>https://review.opendev.org/c/openstack/nova/+/107602</v>
      </c>
      <c r="D428" s="85"/>
      <c r="E428" s="85"/>
      <c r="F428" s="133"/>
      <c r="G428" s="16" t="s">
        <v>691</v>
      </c>
      <c r="H428" s="108" t="s">
        <v>769</v>
      </c>
      <c r="I428" s="131"/>
      <c r="J428" s="131"/>
      <c r="K428" s="131"/>
      <c r="L428" s="131"/>
      <c r="M428" s="131"/>
      <c r="N428" s="43"/>
      <c r="O428" s="51"/>
    </row>
    <row r="429">
      <c r="A429" s="16" t="s">
        <v>54</v>
      </c>
      <c r="B429" s="114" t="str">
        <f>IFERROR(VLOOKUP(A429,Internal_lists_bugs!$A$2:$G2033,7,FALSE()),"please select a BUG ID")</f>
        <v>https://opendev.org/openstack/nova/commit/9340f6db7961824aabdf73cecf5e19892ce01c03</v>
      </c>
      <c r="C429" s="39" t="str">
        <f>IFERROR(VLOOKUP(A429,Internal_lists_bugs!$A$2:$I2033,9,FALSE()),"please select a BUG ID")</f>
        <v>https://review.opendev.org/c/openstack/nova/+/107602</v>
      </c>
      <c r="D429" s="85"/>
      <c r="E429" s="85"/>
      <c r="F429" s="133"/>
      <c r="G429" s="16" t="s">
        <v>702</v>
      </c>
      <c r="H429" s="108" t="s">
        <v>769</v>
      </c>
      <c r="I429" s="131"/>
      <c r="J429" s="131"/>
      <c r="K429" s="131"/>
      <c r="L429" s="131"/>
      <c r="M429" s="131"/>
      <c r="N429" s="43"/>
      <c r="O429" s="51"/>
    </row>
    <row r="430">
      <c r="A430" s="16" t="s">
        <v>54</v>
      </c>
      <c r="B430" s="114" t="str">
        <f>IFERROR(VLOOKUP(A430,Internal_lists_bugs!$A$2:$G2033,7,FALSE()),"please select a BUG ID")</f>
        <v>https://opendev.org/openstack/nova/commit/9340f6db7961824aabdf73cecf5e19892ce01c03</v>
      </c>
      <c r="C430" s="39" t="str">
        <f>IFERROR(VLOOKUP(A430,Internal_lists_bugs!$A$2:$I2033,9,FALSE()),"please select a BUG ID")</f>
        <v>https://review.opendev.org/c/openstack/nova/+/107602</v>
      </c>
      <c r="D430" s="85"/>
      <c r="E430" s="85"/>
      <c r="F430" s="133"/>
      <c r="G430" s="16" t="s">
        <v>884</v>
      </c>
      <c r="H430" s="108" t="s">
        <v>901</v>
      </c>
      <c r="I430" s="131"/>
      <c r="J430" s="131"/>
      <c r="K430" s="131"/>
      <c r="L430" s="131"/>
      <c r="M430" s="131"/>
      <c r="N430" s="43"/>
      <c r="O430" s="51"/>
    </row>
    <row r="431">
      <c r="A431" s="16" t="s">
        <v>54</v>
      </c>
      <c r="B431" s="114" t="str">
        <f>IFERROR(VLOOKUP(A431,Internal_lists_bugs!$A$2:$G2033,7,FALSE()),"please select a BUG ID")</f>
        <v>https://opendev.org/openstack/nova/commit/9340f6db7961824aabdf73cecf5e19892ce01c03</v>
      </c>
      <c r="C431" s="39" t="str">
        <f>IFERROR(VLOOKUP(A431,Internal_lists_bugs!$A$2:$I2033,9,FALSE()),"please select a BUG ID")</f>
        <v>https://review.opendev.org/c/openstack/nova/+/107602</v>
      </c>
      <c r="D431" s="85"/>
      <c r="E431" s="85"/>
      <c r="F431" s="133"/>
      <c r="G431" s="16" t="s">
        <v>670</v>
      </c>
      <c r="H431" s="108" t="s">
        <v>904</v>
      </c>
      <c r="I431" s="131"/>
      <c r="J431" s="131"/>
      <c r="K431" s="131"/>
      <c r="L431" s="131"/>
      <c r="M431" s="131"/>
      <c r="N431" s="43"/>
      <c r="O431" s="51"/>
    </row>
    <row r="432">
      <c r="A432" s="16" t="s">
        <v>54</v>
      </c>
      <c r="B432" s="114" t="str">
        <f>IFERROR(VLOOKUP(A432,Internal_lists_bugs!$A$2:$G2033,7,FALSE()),"please select a BUG ID")</f>
        <v>https://opendev.org/openstack/nova/commit/9340f6db7961824aabdf73cecf5e19892ce01c03</v>
      </c>
      <c r="C432" s="39" t="str">
        <f>IFERROR(VLOOKUP(A432,Internal_lists_bugs!$A$2:$I2033,9,FALSE()),"please select a BUG ID")</f>
        <v>https://review.opendev.org/c/openstack/nova/+/107602</v>
      </c>
      <c r="D432" s="85"/>
      <c r="E432" s="85"/>
      <c r="F432" s="133"/>
      <c r="G432" s="16" t="s">
        <v>672</v>
      </c>
      <c r="H432" s="108" t="s">
        <v>904</v>
      </c>
      <c r="I432" s="131"/>
      <c r="J432" s="131"/>
      <c r="K432" s="131"/>
      <c r="L432" s="131"/>
      <c r="M432" s="131"/>
      <c r="N432" s="43"/>
      <c r="O432" s="51"/>
    </row>
    <row r="433">
      <c r="A433" s="16" t="s">
        <v>54</v>
      </c>
      <c r="B433" s="114" t="str">
        <f>IFERROR(VLOOKUP(A433,Internal_lists_bugs!$A$2:$G2033,7,FALSE()),"please select a BUG ID")</f>
        <v>https://opendev.org/openstack/nova/commit/9340f6db7961824aabdf73cecf5e19892ce01c03</v>
      </c>
      <c r="C433" s="39" t="str">
        <f>IFERROR(VLOOKUP(A433,Internal_lists_bugs!$A$2:$I2033,9,FALSE()),"please select a BUG ID")</f>
        <v>https://review.opendev.org/c/openstack/nova/+/107602</v>
      </c>
      <c r="D433" s="85"/>
      <c r="E433" s="85"/>
      <c r="F433" s="133"/>
      <c r="G433" s="16" t="s">
        <v>884</v>
      </c>
      <c r="H433" s="108" t="s">
        <v>1065</v>
      </c>
      <c r="I433" s="131"/>
      <c r="J433" s="131"/>
      <c r="K433" s="131"/>
      <c r="L433" s="131"/>
      <c r="M433" s="131"/>
      <c r="N433" s="43"/>
      <c r="O433" s="51"/>
    </row>
    <row r="434">
      <c r="A434" s="16" t="s">
        <v>55</v>
      </c>
      <c r="B434" s="114" t="str">
        <f>IFERROR(VLOOKUP(A434,Internal_lists_bugs!$A$2:$G2033,7,FALSE()),"please select a BUG ID")</f>
        <v>https://opendev.org/openstack/nova/commit/475f3624245500c5382faf5b2708a59fcec2c9ad</v>
      </c>
      <c r="C434" s="39" t="str">
        <f>IFERROR(VLOOKUP(A434,Internal_lists_bugs!$A$2:$I2033,9,FALSE()),"please select a BUG ID")</f>
        <v>https://review.opendev.org/c/openstack/nova/+/1934</v>
      </c>
      <c r="D434" s="80" t="s">
        <v>632</v>
      </c>
      <c r="E434" s="85"/>
      <c r="F434" s="130" t="s">
        <v>135</v>
      </c>
      <c r="G434" s="16" t="s">
        <v>633</v>
      </c>
      <c r="H434" s="16" t="s">
        <v>123</v>
      </c>
      <c r="I434" s="131"/>
      <c r="J434" s="131"/>
      <c r="K434" s="131"/>
      <c r="L434" s="131"/>
      <c r="M434" s="131"/>
      <c r="N434" s="16" t="s">
        <v>634</v>
      </c>
      <c r="O434" s="132">
        <v>1934.0</v>
      </c>
    </row>
    <row r="435">
      <c r="A435" s="16" t="s">
        <v>55</v>
      </c>
      <c r="B435" s="114" t="str">
        <f>IFERROR(VLOOKUP(A435,Internal_lists_bugs!$A$2:$G2033,7,FALSE()),"please select a BUG ID")</f>
        <v>https://opendev.org/openstack/nova/commit/475f3624245500c5382faf5b2708a59fcec2c9ad</v>
      </c>
      <c r="C435" s="39" t="str">
        <f>IFERROR(VLOOKUP(A435,Internal_lists_bugs!$A$2:$I2033,9,FALSE()),"please select a BUG ID")</f>
        <v>https://review.opendev.org/c/openstack/nova/+/1934</v>
      </c>
      <c r="D435" s="85"/>
      <c r="E435" s="85"/>
      <c r="F435" s="133"/>
      <c r="G435" s="16" t="s">
        <v>1066</v>
      </c>
      <c r="H435" s="108" t="s">
        <v>1067</v>
      </c>
      <c r="I435" s="131"/>
      <c r="J435" s="131"/>
      <c r="K435" s="131"/>
      <c r="L435" s="131"/>
      <c r="M435" s="131"/>
      <c r="N435" s="43"/>
      <c r="O435" s="132">
        <v>1934.0</v>
      </c>
    </row>
    <row r="436">
      <c r="A436" s="16" t="s">
        <v>55</v>
      </c>
      <c r="B436" s="114" t="str">
        <f>IFERROR(VLOOKUP(A436,Internal_lists_bugs!$A$2:$G2033,7,FALSE()),"please select a BUG ID")</f>
        <v>https://opendev.org/openstack/nova/commit/475f3624245500c5382faf5b2708a59fcec2c9ad</v>
      </c>
      <c r="C436" s="39" t="str">
        <f>IFERROR(VLOOKUP(A436,Internal_lists_bugs!$A$2:$I2033,9,FALSE()),"please select a BUG ID")</f>
        <v>https://review.opendev.org/c/openstack/nova/+/1934</v>
      </c>
      <c r="D436" s="85"/>
      <c r="E436" s="85"/>
      <c r="F436" s="133"/>
      <c r="G436" s="16" t="s">
        <v>1068</v>
      </c>
      <c r="H436" s="108" t="s">
        <v>1069</v>
      </c>
      <c r="I436" s="131"/>
      <c r="J436" s="131"/>
      <c r="K436" s="131"/>
      <c r="L436" s="131"/>
      <c r="M436" s="131"/>
      <c r="N436" s="43"/>
      <c r="O436" s="132">
        <v>1934.0</v>
      </c>
    </row>
    <row r="437">
      <c r="A437" s="16" t="s">
        <v>55</v>
      </c>
      <c r="B437" s="114" t="str">
        <f>IFERROR(VLOOKUP(A437,Internal_lists_bugs!$A$2:$G2033,7,FALSE()),"please select a BUG ID")</f>
        <v>https://opendev.org/openstack/nova/commit/475f3624245500c5382faf5b2708a59fcec2c9ad</v>
      </c>
      <c r="C437" s="39" t="str">
        <f>IFERROR(VLOOKUP(A437,Internal_lists_bugs!$A$2:$I2033,9,FALSE()),"please select a BUG ID")</f>
        <v>https://review.opendev.org/c/openstack/nova/+/1934</v>
      </c>
      <c r="D437" s="85"/>
      <c r="E437" s="85"/>
      <c r="F437" s="133"/>
      <c r="G437" s="16" t="s">
        <v>709</v>
      </c>
      <c r="H437" s="108" t="s">
        <v>1070</v>
      </c>
      <c r="I437" s="131"/>
      <c r="J437" s="131"/>
      <c r="K437" s="131"/>
      <c r="L437" s="131"/>
      <c r="M437" s="131"/>
      <c r="N437" s="43"/>
      <c r="O437" s="132">
        <v>1934.0</v>
      </c>
    </row>
    <row r="438">
      <c r="A438" s="16" t="s">
        <v>55</v>
      </c>
      <c r="B438" s="114" t="str">
        <f>IFERROR(VLOOKUP(A438,Internal_lists_bugs!$A$2:$G2033,7,FALSE()),"please select a BUG ID")</f>
        <v>https://opendev.org/openstack/nova/commit/475f3624245500c5382faf5b2708a59fcec2c9ad</v>
      </c>
      <c r="C438" s="39" t="str">
        <f>IFERROR(VLOOKUP(A438,Internal_lists_bugs!$A$2:$I2033,9,FALSE()),"please select a BUG ID")</f>
        <v>https://review.opendev.org/c/openstack/nova/+/1934</v>
      </c>
      <c r="D438" s="85"/>
      <c r="E438" s="85"/>
      <c r="F438" s="133"/>
      <c r="G438" s="16" t="s">
        <v>1071</v>
      </c>
      <c r="H438" s="134" t="s">
        <v>929</v>
      </c>
      <c r="I438" s="131"/>
      <c r="J438" s="131"/>
      <c r="K438" s="131"/>
      <c r="L438" s="131"/>
      <c r="M438" s="131"/>
      <c r="N438" s="43"/>
      <c r="O438" s="132">
        <v>1934.0</v>
      </c>
    </row>
    <row r="439">
      <c r="A439" s="16" t="s">
        <v>55</v>
      </c>
      <c r="B439" s="114" t="str">
        <f>IFERROR(VLOOKUP(A439,Internal_lists_bugs!$A$2:$G2033,7,FALSE()),"please select a BUG ID")</f>
        <v>https://opendev.org/openstack/nova/commit/475f3624245500c5382faf5b2708a59fcec2c9ad</v>
      </c>
      <c r="C439" s="39" t="str">
        <f>IFERROR(VLOOKUP(A439,Internal_lists_bugs!$A$2:$I2033,9,FALSE()),"please select a BUG ID")</f>
        <v>https://review.opendev.org/c/openstack/nova/+/1934</v>
      </c>
      <c r="D439" s="85"/>
      <c r="E439" s="85"/>
      <c r="F439" s="133"/>
      <c r="G439" s="16" t="s">
        <v>1072</v>
      </c>
      <c r="H439" s="134" t="s">
        <v>1073</v>
      </c>
      <c r="I439" s="131"/>
      <c r="J439" s="131"/>
      <c r="K439" s="131"/>
      <c r="L439" s="131"/>
      <c r="M439" s="131"/>
      <c r="N439" s="43"/>
      <c r="O439" s="132">
        <v>1934.0</v>
      </c>
    </row>
    <row r="440">
      <c r="A440" s="16" t="s">
        <v>55</v>
      </c>
      <c r="B440" s="114" t="str">
        <f>IFERROR(VLOOKUP(A440,Internal_lists_bugs!$A$2:$G2033,7,FALSE()),"please select a BUG ID")</f>
        <v>https://opendev.org/openstack/nova/commit/475f3624245500c5382faf5b2708a59fcec2c9ad</v>
      </c>
      <c r="C440" s="39" t="str">
        <f>IFERROR(VLOOKUP(A440,Internal_lists_bugs!$A$2:$I2033,9,FALSE()),"please select a BUG ID")</f>
        <v>https://review.opendev.org/c/openstack/nova/+/1934</v>
      </c>
      <c r="D440" s="85"/>
      <c r="E440" s="85"/>
      <c r="F440" s="133"/>
      <c r="G440" s="16" t="s">
        <v>709</v>
      </c>
      <c r="H440" s="134" t="s">
        <v>929</v>
      </c>
      <c r="I440" s="131"/>
      <c r="J440" s="131"/>
      <c r="K440" s="131"/>
      <c r="L440" s="131"/>
      <c r="M440" s="131"/>
      <c r="N440" s="43"/>
      <c r="O440" s="132">
        <v>1934.0</v>
      </c>
    </row>
    <row r="441">
      <c r="A441" s="16" t="s">
        <v>55</v>
      </c>
      <c r="B441" s="114" t="str">
        <f>IFERROR(VLOOKUP(A441,Internal_lists_bugs!$A$2:$G2033,7,FALSE()),"please select a BUG ID")</f>
        <v>https://opendev.org/openstack/nova/commit/475f3624245500c5382faf5b2708a59fcec2c9ad</v>
      </c>
      <c r="C441" s="39" t="str">
        <f>IFERROR(VLOOKUP(A441,Internal_lists_bugs!$A$2:$I2033,9,FALSE()),"please select a BUG ID")</f>
        <v>https://review.opendev.org/c/openstack/nova/+/1934</v>
      </c>
      <c r="D441" s="85"/>
      <c r="E441" s="85"/>
      <c r="F441" s="133"/>
      <c r="G441" s="16" t="s">
        <v>1074</v>
      </c>
      <c r="H441" s="108" t="s">
        <v>930</v>
      </c>
      <c r="I441" s="131"/>
      <c r="J441" s="131"/>
      <c r="K441" s="131"/>
      <c r="L441" s="131"/>
      <c r="M441" s="131"/>
      <c r="N441" s="43"/>
      <c r="O441" s="132">
        <v>1934.0</v>
      </c>
    </row>
    <row r="442">
      <c r="A442" s="16" t="s">
        <v>55</v>
      </c>
      <c r="B442" s="114" t="str">
        <f>IFERROR(VLOOKUP(A442,Internal_lists_bugs!$A$2:$G2033,7,FALSE()),"please select a BUG ID")</f>
        <v>https://opendev.org/openstack/nova/commit/475f3624245500c5382faf5b2708a59fcec2c9ad</v>
      </c>
      <c r="C442" s="39" t="str">
        <f>IFERROR(VLOOKUP(A442,Internal_lists_bugs!$A$2:$I2033,9,FALSE()),"please select a BUG ID")</f>
        <v>https://review.opendev.org/c/openstack/nova/+/1934</v>
      </c>
      <c r="D442" s="85"/>
      <c r="E442" s="85"/>
      <c r="F442" s="133"/>
      <c r="G442" s="16" t="s">
        <v>698</v>
      </c>
      <c r="H442" s="108" t="s">
        <v>938</v>
      </c>
      <c r="I442" s="131"/>
      <c r="J442" s="131"/>
      <c r="K442" s="131"/>
      <c r="L442" s="131"/>
      <c r="M442" s="131"/>
      <c r="N442" s="43"/>
      <c r="O442" s="132">
        <v>1934.0</v>
      </c>
    </row>
    <row r="443">
      <c r="A443" s="16" t="s">
        <v>55</v>
      </c>
      <c r="B443" s="114" t="str">
        <f>IFERROR(VLOOKUP(A443,Internal_lists_bugs!$A$2:$G2033,7,FALSE()),"please select a BUG ID")</f>
        <v>https://opendev.org/openstack/nova/commit/475f3624245500c5382faf5b2708a59fcec2c9ad</v>
      </c>
      <c r="C443" s="39" t="str">
        <f>IFERROR(VLOOKUP(A443,Internal_lists_bugs!$A$2:$I2033,9,FALSE()),"please select a BUG ID")</f>
        <v>https://review.opendev.org/c/openstack/nova/+/1934</v>
      </c>
      <c r="D443" s="85"/>
      <c r="E443" s="85"/>
      <c r="F443" s="133"/>
      <c r="G443" s="16" t="s">
        <v>709</v>
      </c>
      <c r="H443" s="108" t="s">
        <v>930</v>
      </c>
      <c r="I443" s="131"/>
      <c r="J443" s="131"/>
      <c r="K443" s="131"/>
      <c r="L443" s="131"/>
      <c r="M443" s="131"/>
      <c r="N443" s="43"/>
      <c r="O443" s="132">
        <v>1934.0</v>
      </c>
    </row>
    <row r="444">
      <c r="A444" s="16" t="s">
        <v>55</v>
      </c>
      <c r="B444" s="114" t="str">
        <f>IFERROR(VLOOKUP(A444,Internal_lists_bugs!$A$2:$G2033,7,FALSE()),"please select a BUG ID")</f>
        <v>https://opendev.org/openstack/nova/commit/475f3624245500c5382faf5b2708a59fcec2c9ad</v>
      </c>
      <c r="C444" s="39" t="str">
        <f>IFERROR(VLOOKUP(A444,Internal_lists_bugs!$A$2:$I2033,9,FALSE()),"please select a BUG ID")</f>
        <v>https://review.opendev.org/c/openstack/nova/+/1934</v>
      </c>
      <c r="D444" s="85"/>
      <c r="E444" s="85"/>
      <c r="F444" s="133"/>
      <c r="G444" s="16" t="s">
        <v>683</v>
      </c>
      <c r="H444" s="108" t="s">
        <v>943</v>
      </c>
      <c r="I444" s="131"/>
      <c r="J444" s="131"/>
      <c r="K444" s="131"/>
      <c r="L444" s="131"/>
      <c r="M444" s="131"/>
      <c r="N444" s="43"/>
      <c r="O444" s="132">
        <v>1934.0</v>
      </c>
    </row>
    <row r="445">
      <c r="A445" s="16" t="s">
        <v>55</v>
      </c>
      <c r="B445" s="114" t="str">
        <f>IFERROR(VLOOKUP(A445,Internal_lists_bugs!$A$2:$G2033,7,FALSE()),"please select a BUG ID")</f>
        <v>https://opendev.org/openstack/nova/commit/475f3624245500c5382faf5b2708a59fcec2c9ad</v>
      </c>
      <c r="C445" s="39" t="str">
        <f>IFERROR(VLOOKUP(A445,Internal_lists_bugs!$A$2:$I2033,9,FALSE()),"please select a BUG ID")</f>
        <v>https://review.opendev.org/c/openstack/nova/+/1934</v>
      </c>
      <c r="D445" s="85"/>
      <c r="E445" s="85"/>
      <c r="F445" s="133"/>
      <c r="G445" s="16" t="s">
        <v>689</v>
      </c>
      <c r="H445" s="108" t="s">
        <v>692</v>
      </c>
      <c r="I445" s="131"/>
      <c r="J445" s="131"/>
      <c r="K445" s="131"/>
      <c r="L445" s="131"/>
      <c r="M445" s="131"/>
      <c r="N445" s="43"/>
      <c r="O445" s="132">
        <v>1934.0</v>
      </c>
    </row>
    <row r="446">
      <c r="A446" s="16" t="s">
        <v>55</v>
      </c>
      <c r="B446" s="114" t="str">
        <f>IFERROR(VLOOKUP(A446,Internal_lists_bugs!$A$2:$G2033,7,FALSE()),"please select a BUG ID")</f>
        <v>https://opendev.org/openstack/nova/commit/475f3624245500c5382faf5b2708a59fcec2c9ad</v>
      </c>
      <c r="C446" s="39" t="str">
        <f>IFERROR(VLOOKUP(A446,Internal_lists_bugs!$A$2:$I2033,9,FALSE()),"please select a BUG ID")</f>
        <v>https://review.opendev.org/c/openstack/nova/+/1934</v>
      </c>
      <c r="D446" s="85"/>
      <c r="E446" s="85"/>
      <c r="F446" s="133"/>
      <c r="G446" s="16" t="s">
        <v>979</v>
      </c>
      <c r="H446" s="108" t="s">
        <v>826</v>
      </c>
      <c r="I446" s="131"/>
      <c r="J446" s="131"/>
      <c r="K446" s="131"/>
      <c r="L446" s="131"/>
      <c r="M446" s="131"/>
      <c r="N446" s="43"/>
      <c r="O446" s="132">
        <v>1934.0</v>
      </c>
    </row>
    <row r="447">
      <c r="A447" s="16" t="s">
        <v>56</v>
      </c>
      <c r="B447" s="114" t="str">
        <f>IFERROR(VLOOKUP(A447,Internal_lists_bugs!$A$2:$G2033,7,FALSE()),"please select a BUG ID")</f>
        <v>https://opendev.org/openstack/nova/commit/f2baacd4e634b815fe011ced0d6e46f6c06b7fdd</v>
      </c>
      <c r="C447" s="39" t="str">
        <f>IFERROR(VLOOKUP(A447,Internal_lists_bugs!$A$2:$I2033,9,FALSE()),"please select a BUG ID")</f>
        <v>https://review.opendev.org/c/openstack/nova/+/19679</v>
      </c>
      <c r="D447" s="80" t="s">
        <v>632</v>
      </c>
      <c r="E447" s="85"/>
      <c r="F447" s="130" t="s">
        <v>121</v>
      </c>
      <c r="G447" s="16" t="s">
        <v>652</v>
      </c>
      <c r="H447" s="108" t="s">
        <v>679</v>
      </c>
      <c r="I447" s="131"/>
      <c r="J447" s="131"/>
      <c r="K447" s="131"/>
      <c r="L447" s="131"/>
      <c r="M447" s="131"/>
      <c r="N447" s="16" t="s">
        <v>634</v>
      </c>
      <c r="O447" s="51"/>
    </row>
    <row r="448">
      <c r="A448" s="16" t="s">
        <v>56</v>
      </c>
      <c r="B448" s="114" t="str">
        <f>IFERROR(VLOOKUP(A448,Internal_lists_bugs!$A$2:$G2033,7,FALSE()),"please select a BUG ID")</f>
        <v>https://opendev.org/openstack/nova/commit/f2baacd4e634b815fe011ced0d6e46f6c06b7fdd</v>
      </c>
      <c r="C448" s="39" t="str">
        <f>IFERROR(VLOOKUP(A448,Internal_lists_bugs!$A$2:$I2033,9,FALSE()),"please select a BUG ID")</f>
        <v>https://review.opendev.org/c/openstack/nova/+/19679</v>
      </c>
      <c r="D448" s="85"/>
      <c r="E448" s="85"/>
      <c r="F448" s="133"/>
      <c r="G448" s="16" t="s">
        <v>650</v>
      </c>
      <c r="H448" s="108" t="s">
        <v>647</v>
      </c>
      <c r="I448" s="131"/>
      <c r="J448" s="131"/>
      <c r="K448" s="131"/>
      <c r="L448" s="131"/>
      <c r="M448" s="131"/>
      <c r="N448" s="43"/>
      <c r="O448" s="51"/>
    </row>
    <row r="449">
      <c r="A449" s="16" t="s">
        <v>56</v>
      </c>
      <c r="B449" s="114" t="str">
        <f>IFERROR(VLOOKUP(A449,Internal_lists_bugs!$A$2:$G2033,7,FALSE()),"please select a BUG ID")</f>
        <v>https://opendev.org/openstack/nova/commit/f2baacd4e634b815fe011ced0d6e46f6c06b7fdd</v>
      </c>
      <c r="C449" s="39" t="str">
        <f>IFERROR(VLOOKUP(A449,Internal_lists_bugs!$A$2:$I2033,9,FALSE()),"please select a BUG ID")</f>
        <v>https://review.opendev.org/c/openstack/nova/+/19679</v>
      </c>
      <c r="D449" s="85"/>
      <c r="E449" s="85"/>
      <c r="F449" s="133"/>
      <c r="G449" s="16" t="s">
        <v>798</v>
      </c>
      <c r="H449" s="108" t="s">
        <v>929</v>
      </c>
      <c r="I449" s="131"/>
      <c r="J449" s="131"/>
      <c r="K449" s="131"/>
      <c r="L449" s="131"/>
      <c r="M449" s="131"/>
      <c r="N449" s="43"/>
      <c r="O449" s="51"/>
    </row>
    <row r="450">
      <c r="A450" s="16" t="s">
        <v>57</v>
      </c>
      <c r="B450" s="114" t="str">
        <f>IFERROR(VLOOKUP(A450,Internal_lists_bugs!$A$2:$G2033,7,FALSE()),"please select a BUG ID")</f>
        <v>https://opendev.org/openstack/nova/commit/ae1040232dc681d718d940af11108322044a23be</v>
      </c>
      <c r="C450" s="39" t="str">
        <f>IFERROR(VLOOKUP(A450,Internal_lists_bugs!$A$2:$I2033,9,FALSE()),"please select a BUG ID")</f>
        <v>https://review.opendev.org/c/openstack/nova/+/40426</v>
      </c>
      <c r="D450" s="80" t="s">
        <v>632</v>
      </c>
      <c r="E450" s="85"/>
      <c r="F450" s="130" t="s">
        <v>135</v>
      </c>
      <c r="G450" s="16" t="s">
        <v>633</v>
      </c>
      <c r="H450" s="115" t="s">
        <v>123</v>
      </c>
      <c r="I450" s="131"/>
      <c r="J450" s="131"/>
      <c r="K450" s="131"/>
      <c r="L450" s="131"/>
      <c r="M450" s="131"/>
      <c r="N450" s="16" t="s">
        <v>634</v>
      </c>
      <c r="O450" s="51"/>
    </row>
    <row r="451">
      <c r="A451" s="16" t="s">
        <v>57</v>
      </c>
      <c r="B451" s="114" t="str">
        <f>IFERROR(VLOOKUP(A451,Internal_lists_bugs!$A$2:$G2033,7,FALSE()),"please select a BUG ID")</f>
        <v>https://opendev.org/openstack/nova/commit/ae1040232dc681d718d940af11108322044a23be</v>
      </c>
      <c r="C451" s="39" t="str">
        <f>IFERROR(VLOOKUP(A451,Internal_lists_bugs!$A$2:$I2033,9,FALSE()),"please select a BUG ID")</f>
        <v>https://review.opendev.org/c/openstack/nova/+/40426</v>
      </c>
      <c r="D451" s="85"/>
      <c r="E451" s="85"/>
      <c r="F451" s="133"/>
      <c r="G451" s="16" t="s">
        <v>1075</v>
      </c>
      <c r="H451" s="108" t="s">
        <v>1076</v>
      </c>
      <c r="I451" s="131"/>
      <c r="J451" s="131"/>
      <c r="K451" s="131"/>
      <c r="L451" s="131"/>
      <c r="M451" s="131"/>
      <c r="N451" s="43"/>
      <c r="O451" s="51"/>
    </row>
    <row r="452">
      <c r="A452" s="16" t="s">
        <v>57</v>
      </c>
      <c r="B452" s="114" t="str">
        <f>IFERROR(VLOOKUP(A452,Internal_lists_bugs!$A$2:$G2033,7,FALSE()),"please select a BUG ID")</f>
        <v>https://opendev.org/openstack/nova/commit/ae1040232dc681d718d940af11108322044a23be</v>
      </c>
      <c r="C452" s="39" t="str">
        <f>IFERROR(VLOOKUP(A452,Internal_lists_bugs!$A$2:$I2033,9,FALSE()),"please select a BUG ID")</f>
        <v>https://review.opendev.org/c/openstack/nova/+/40426</v>
      </c>
      <c r="D452" s="85"/>
      <c r="E452" s="85"/>
      <c r="F452" s="133"/>
      <c r="G452" s="122" t="s">
        <v>650</v>
      </c>
      <c r="H452" s="108" t="s">
        <v>1077</v>
      </c>
      <c r="I452" s="131"/>
      <c r="J452" s="131"/>
      <c r="K452" s="131"/>
      <c r="L452" s="131"/>
      <c r="M452" s="131"/>
      <c r="N452" s="43"/>
      <c r="O452" s="51"/>
    </row>
    <row r="453">
      <c r="A453" s="16" t="s">
        <v>57</v>
      </c>
      <c r="B453" s="114" t="str">
        <f>IFERROR(VLOOKUP(A453,Internal_lists_bugs!$A$2:$G2033,7,FALSE()),"please select a BUG ID")</f>
        <v>https://opendev.org/openstack/nova/commit/ae1040232dc681d718d940af11108322044a23be</v>
      </c>
      <c r="C453" s="39" t="str">
        <f>IFERROR(VLOOKUP(A453,Internal_lists_bugs!$A$2:$I2033,9,FALSE()),"please select a BUG ID")</f>
        <v>https://review.opendev.org/c/openstack/nova/+/40426</v>
      </c>
      <c r="D453" s="85"/>
      <c r="E453" s="85"/>
      <c r="F453" s="133"/>
      <c r="G453" s="122" t="s">
        <v>1078</v>
      </c>
      <c r="H453" s="108" t="s">
        <v>1077</v>
      </c>
      <c r="I453" s="131"/>
      <c r="J453" s="131"/>
      <c r="K453" s="131"/>
      <c r="L453" s="131"/>
      <c r="M453" s="131"/>
      <c r="N453" s="43"/>
      <c r="O453" s="51"/>
    </row>
    <row r="454">
      <c r="A454" s="16" t="s">
        <v>57</v>
      </c>
      <c r="B454" s="114" t="str">
        <f>IFERROR(VLOOKUP(A454,Internal_lists_bugs!$A$2:$G2033,7,FALSE()),"please select a BUG ID")</f>
        <v>https://opendev.org/openstack/nova/commit/ae1040232dc681d718d940af11108322044a23be</v>
      </c>
      <c r="C454" s="39" t="str">
        <f>IFERROR(VLOOKUP(A454,Internal_lists_bugs!$A$2:$I2033,9,FALSE()),"please select a BUG ID")</f>
        <v>https://review.opendev.org/c/openstack/nova/+/40426</v>
      </c>
      <c r="D454" s="85"/>
      <c r="E454" s="85"/>
      <c r="F454" s="133"/>
      <c r="G454" s="121" t="s">
        <v>652</v>
      </c>
      <c r="H454" s="134" t="s">
        <v>1079</v>
      </c>
      <c r="I454" s="131"/>
      <c r="J454" s="131"/>
      <c r="K454" s="131"/>
      <c r="L454" s="131"/>
      <c r="M454" s="131"/>
      <c r="N454" s="43"/>
      <c r="O454" s="51"/>
    </row>
    <row r="455">
      <c r="A455" s="16" t="s">
        <v>57</v>
      </c>
      <c r="B455" s="114" t="str">
        <f>IFERROR(VLOOKUP(A455,Internal_lists_bugs!$A$2:$G2033,7,FALSE()),"please select a BUG ID")</f>
        <v>https://opendev.org/openstack/nova/commit/ae1040232dc681d718d940af11108322044a23be</v>
      </c>
      <c r="C455" s="39" t="str">
        <f>IFERROR(VLOOKUP(A455,Internal_lists_bugs!$A$2:$I2033,9,FALSE()),"please select a BUG ID")</f>
        <v>https://review.opendev.org/c/openstack/nova/+/40426</v>
      </c>
      <c r="D455" s="85"/>
      <c r="E455" s="85"/>
      <c r="F455" s="133"/>
      <c r="G455" s="122" t="s">
        <v>794</v>
      </c>
      <c r="H455" s="134" t="s">
        <v>1080</v>
      </c>
      <c r="I455" s="131"/>
      <c r="J455" s="131"/>
      <c r="K455" s="131"/>
      <c r="L455" s="131"/>
      <c r="M455" s="131"/>
      <c r="N455" s="43"/>
      <c r="O455" s="51"/>
    </row>
    <row r="456">
      <c r="A456" s="16" t="s">
        <v>57</v>
      </c>
      <c r="B456" s="114" t="str">
        <f>IFERROR(VLOOKUP(A456,Internal_lists_bugs!$A$2:$G2033,7,FALSE()),"please select a BUG ID")</f>
        <v>https://opendev.org/openstack/nova/commit/ae1040232dc681d718d940af11108322044a23be</v>
      </c>
      <c r="C456" s="39" t="str">
        <f>IFERROR(VLOOKUP(A456,Internal_lists_bugs!$A$2:$I2033,9,FALSE()),"please select a BUG ID")</f>
        <v>https://review.opendev.org/c/openstack/nova/+/40426</v>
      </c>
      <c r="D456" s="80"/>
      <c r="E456" s="80"/>
      <c r="F456" s="130"/>
      <c r="G456" s="122" t="s">
        <v>798</v>
      </c>
      <c r="H456" s="142" t="s">
        <v>1077</v>
      </c>
      <c r="I456" s="131"/>
      <c r="J456" s="125"/>
      <c r="K456" s="131"/>
      <c r="L456" s="131"/>
      <c r="M456" s="131"/>
      <c r="N456" s="43"/>
      <c r="O456" s="51"/>
    </row>
    <row r="457">
      <c r="A457" s="16" t="s">
        <v>58</v>
      </c>
      <c r="B457" s="114" t="str">
        <f>IFERROR(VLOOKUP(A457,Internal_lists_bugs!$A$2:$G2033,7,FALSE()),"please select a BUG ID")</f>
        <v>https://opendev.org/openstack/nova/commit/1d551dc96658ade41c8e9fabc6d9b41a28d5ed15</v>
      </c>
      <c r="C457" s="39" t="str">
        <f>IFERROR(VLOOKUP(A457,Internal_lists_bugs!$A$2:$I2033,9,FALSE()),"please select a BUG ID")</f>
        <v>https://review.opendev.org/c/openstack/nova/+/63612</v>
      </c>
      <c r="D457" s="80" t="s">
        <v>632</v>
      </c>
      <c r="E457" s="85"/>
      <c r="F457" s="130" t="s">
        <v>135</v>
      </c>
      <c r="G457" s="16" t="s">
        <v>633</v>
      </c>
      <c r="H457" s="16" t="s">
        <v>123</v>
      </c>
      <c r="I457" s="131"/>
      <c r="J457" s="131"/>
      <c r="K457" s="131"/>
      <c r="L457" s="131"/>
      <c r="M457" s="131"/>
      <c r="N457" s="16" t="s">
        <v>634</v>
      </c>
      <c r="O457" s="51"/>
    </row>
    <row r="458">
      <c r="A458" s="16" t="s">
        <v>58</v>
      </c>
      <c r="B458" s="114" t="str">
        <f>IFERROR(VLOOKUP(A458,Internal_lists_bugs!$A$2:$G2033,7,FALSE()),"please select a BUG ID")</f>
        <v>https://opendev.org/openstack/nova/commit/1d551dc96658ade41c8e9fabc6d9b41a28d5ed15</v>
      </c>
      <c r="C458" s="39" t="str">
        <f>IFERROR(VLOOKUP(A458,Internal_lists_bugs!$A$2:$I2033,9,FALSE()),"please select a BUG ID")</f>
        <v>https://review.opendev.org/c/openstack/nova/+/63612</v>
      </c>
      <c r="D458" s="85"/>
      <c r="E458" s="85"/>
      <c r="F458" s="133"/>
      <c r="G458" s="16" t="s">
        <v>1081</v>
      </c>
      <c r="H458" s="108" t="s">
        <v>1082</v>
      </c>
      <c r="I458" s="131"/>
      <c r="J458" s="131"/>
      <c r="K458" s="131"/>
      <c r="L458" s="131"/>
      <c r="M458" s="131"/>
      <c r="N458" s="43"/>
      <c r="O458" s="51"/>
    </row>
    <row r="459">
      <c r="A459" s="16" t="s">
        <v>58</v>
      </c>
      <c r="B459" s="114" t="str">
        <f>IFERROR(VLOOKUP(A459,Internal_lists_bugs!$A$2:$G2033,7,FALSE()),"please select a BUG ID")</f>
        <v>https://opendev.org/openstack/nova/commit/1d551dc96658ade41c8e9fabc6d9b41a28d5ed15</v>
      </c>
      <c r="C459" s="39" t="str">
        <f>IFERROR(VLOOKUP(A459,Internal_lists_bugs!$A$2:$I2033,9,FALSE()),"please select a BUG ID")</f>
        <v>https://review.opendev.org/c/openstack/nova/+/63612</v>
      </c>
      <c r="D459" s="85"/>
      <c r="E459" s="85"/>
      <c r="F459" s="133"/>
      <c r="G459" s="16" t="s">
        <v>914</v>
      </c>
      <c r="H459" s="108" t="s">
        <v>1083</v>
      </c>
      <c r="I459" s="131"/>
      <c r="J459" s="131"/>
      <c r="K459" s="131"/>
      <c r="L459" s="131"/>
      <c r="M459" s="131"/>
      <c r="N459" s="43"/>
      <c r="O459" s="51"/>
    </row>
    <row r="460">
      <c r="A460" s="16" t="s">
        <v>58</v>
      </c>
      <c r="B460" s="114" t="str">
        <f>IFERROR(VLOOKUP(A460,Internal_lists_bugs!$A$2:$G2033,7,FALSE()),"please select a BUG ID")</f>
        <v>https://opendev.org/openstack/nova/commit/1d551dc96658ade41c8e9fabc6d9b41a28d5ed15</v>
      </c>
      <c r="C460" s="39" t="str">
        <f>IFERROR(VLOOKUP(A460,Internal_lists_bugs!$A$2:$I2033,9,FALSE()),"please select a BUG ID")</f>
        <v>https://review.opendev.org/c/openstack/nova/+/63612</v>
      </c>
      <c r="D460" s="85"/>
      <c r="E460" s="85"/>
      <c r="F460" s="133"/>
      <c r="G460" s="16" t="s">
        <v>1084</v>
      </c>
      <c r="H460" s="108" t="s">
        <v>1083</v>
      </c>
      <c r="I460" s="131"/>
      <c r="J460" s="131"/>
      <c r="K460" s="131"/>
      <c r="L460" s="131"/>
      <c r="M460" s="131"/>
      <c r="N460" s="43"/>
      <c r="O460" s="51"/>
    </row>
    <row r="461">
      <c r="A461" s="16" t="s">
        <v>58</v>
      </c>
      <c r="B461" s="114" t="str">
        <f>IFERROR(VLOOKUP(A461,Internal_lists_bugs!$A$2:$G2033,7,FALSE()),"please select a BUG ID")</f>
        <v>https://opendev.org/openstack/nova/commit/1d551dc96658ade41c8e9fabc6d9b41a28d5ed15</v>
      </c>
      <c r="C461" s="39" t="str">
        <f>IFERROR(VLOOKUP(A461,Internal_lists_bugs!$A$2:$I2033,9,FALSE()),"please select a BUG ID")</f>
        <v>https://review.opendev.org/c/openstack/nova/+/63612</v>
      </c>
      <c r="D461" s="85"/>
      <c r="E461" s="85"/>
      <c r="F461" s="133"/>
      <c r="G461" s="16" t="s">
        <v>637</v>
      </c>
      <c r="H461" s="108" t="s">
        <v>1085</v>
      </c>
      <c r="I461" s="131"/>
      <c r="J461" s="131"/>
      <c r="K461" s="131"/>
      <c r="L461" s="131"/>
      <c r="M461" s="131"/>
      <c r="N461" s="43"/>
      <c r="O461" s="51"/>
    </row>
    <row r="462">
      <c r="A462" s="16" t="s">
        <v>58</v>
      </c>
      <c r="B462" s="114" t="str">
        <f>IFERROR(VLOOKUP(A462,Internal_lists_bugs!$A$2:$G2033,7,FALSE()),"please select a BUG ID")</f>
        <v>https://opendev.org/openstack/nova/commit/1d551dc96658ade41c8e9fabc6d9b41a28d5ed15</v>
      </c>
      <c r="C462" s="39" t="str">
        <f>IFERROR(VLOOKUP(A462,Internal_lists_bugs!$A$2:$I2033,9,FALSE()),"please select a BUG ID")</f>
        <v>https://review.opendev.org/c/openstack/nova/+/63612</v>
      </c>
      <c r="D462" s="85"/>
      <c r="E462" s="85"/>
      <c r="F462" s="133"/>
      <c r="G462" s="16" t="s">
        <v>1086</v>
      </c>
      <c r="H462" s="108" t="s">
        <v>1087</v>
      </c>
      <c r="I462" s="131"/>
      <c r="J462" s="131"/>
      <c r="K462" s="131"/>
      <c r="L462" s="131"/>
      <c r="M462" s="131"/>
      <c r="N462" s="43"/>
      <c r="O462" s="51"/>
    </row>
    <row r="463">
      <c r="A463" s="16" t="s">
        <v>58</v>
      </c>
      <c r="B463" s="114" t="str">
        <f>IFERROR(VLOOKUP(A463,Internal_lists_bugs!$A$2:$G2033,7,FALSE()),"please select a BUG ID")</f>
        <v>https://opendev.org/openstack/nova/commit/1d551dc96658ade41c8e9fabc6d9b41a28d5ed15</v>
      </c>
      <c r="C463" s="39" t="str">
        <f>IFERROR(VLOOKUP(A463,Internal_lists_bugs!$A$2:$I2033,9,FALSE()),"please select a BUG ID")</f>
        <v>https://review.opendev.org/c/openstack/nova/+/63612</v>
      </c>
      <c r="D463" s="85"/>
      <c r="E463" s="85"/>
      <c r="F463" s="133"/>
      <c r="G463" s="16" t="s">
        <v>1088</v>
      </c>
      <c r="H463" s="108" t="s">
        <v>1089</v>
      </c>
      <c r="I463" s="131"/>
      <c r="J463" s="131"/>
      <c r="K463" s="131"/>
      <c r="L463" s="131"/>
      <c r="M463" s="131"/>
      <c r="N463" s="43"/>
      <c r="O463" s="51"/>
    </row>
    <row r="464">
      <c r="A464" s="16" t="s">
        <v>58</v>
      </c>
      <c r="B464" s="114" t="str">
        <f>IFERROR(VLOOKUP(A464,Internal_lists_bugs!$A$2:$G2033,7,FALSE()),"please select a BUG ID")</f>
        <v>https://opendev.org/openstack/nova/commit/1d551dc96658ade41c8e9fabc6d9b41a28d5ed15</v>
      </c>
      <c r="C464" s="39" t="str">
        <f>IFERROR(VLOOKUP(A464,Internal_lists_bugs!$A$2:$I2033,9,FALSE()),"please select a BUG ID")</f>
        <v>https://review.opendev.org/c/openstack/nova/+/63612</v>
      </c>
      <c r="D464" s="85"/>
      <c r="E464" s="85"/>
      <c r="F464" s="133"/>
      <c r="G464" s="16" t="s">
        <v>1090</v>
      </c>
      <c r="H464" s="108" t="s">
        <v>1089</v>
      </c>
      <c r="I464" s="131"/>
      <c r="J464" s="131"/>
      <c r="K464" s="131"/>
      <c r="L464" s="131"/>
      <c r="M464" s="131"/>
      <c r="N464" s="43"/>
      <c r="O464" s="51"/>
    </row>
    <row r="465">
      <c r="A465" s="16" t="s">
        <v>58</v>
      </c>
      <c r="B465" s="114" t="str">
        <f>IFERROR(VLOOKUP(A465,Internal_lists_bugs!$A$2:$G2033,7,FALSE()),"please select a BUG ID")</f>
        <v>https://opendev.org/openstack/nova/commit/1d551dc96658ade41c8e9fabc6d9b41a28d5ed15</v>
      </c>
      <c r="C465" s="39" t="str">
        <f>IFERROR(VLOOKUP(A465,Internal_lists_bugs!$A$2:$I2033,9,FALSE()),"please select a BUG ID")</f>
        <v>https://review.opendev.org/c/openstack/nova/+/63612</v>
      </c>
      <c r="D465" s="85"/>
      <c r="E465" s="85"/>
      <c r="F465" s="133"/>
      <c r="G465" s="16" t="s">
        <v>650</v>
      </c>
      <c r="H465" s="108" t="s">
        <v>905</v>
      </c>
      <c r="I465" s="131"/>
      <c r="J465" s="131"/>
      <c r="K465" s="131"/>
      <c r="L465" s="131"/>
      <c r="M465" s="131"/>
      <c r="N465" s="43"/>
      <c r="O465" s="51"/>
    </row>
    <row r="466">
      <c r="A466" s="16" t="s">
        <v>58</v>
      </c>
      <c r="B466" s="114" t="str">
        <f>IFERROR(VLOOKUP(A466,Internal_lists_bugs!$A$2:$G2033,7,FALSE()),"please select a BUG ID")</f>
        <v>https://opendev.org/openstack/nova/commit/1d551dc96658ade41c8e9fabc6d9b41a28d5ed15</v>
      </c>
      <c r="C466" s="39" t="str">
        <f>IFERROR(VLOOKUP(A466,Internal_lists_bugs!$A$2:$I2033,9,FALSE()),"please select a BUG ID")</f>
        <v>https://review.opendev.org/c/openstack/nova/+/63612</v>
      </c>
      <c r="D466" s="80"/>
      <c r="E466" s="80"/>
      <c r="F466" s="130"/>
      <c r="G466" s="16" t="s">
        <v>794</v>
      </c>
      <c r="H466" s="108" t="s">
        <v>1091</v>
      </c>
      <c r="I466" s="131"/>
      <c r="J466" s="125"/>
      <c r="K466" s="131"/>
      <c r="L466" s="131"/>
      <c r="M466" s="131"/>
      <c r="N466" s="43"/>
      <c r="O466" s="51"/>
    </row>
    <row r="467">
      <c r="A467" s="16" t="s">
        <v>58</v>
      </c>
      <c r="B467" s="114" t="str">
        <f>IFERROR(VLOOKUP(A467,Internal_lists_bugs!$A$2:$G2033,7,FALSE()),"please select a BUG ID")</f>
        <v>https://opendev.org/openstack/nova/commit/1d551dc96658ade41c8e9fabc6d9b41a28d5ed15</v>
      </c>
      <c r="C467" s="39" t="str">
        <f>IFERROR(VLOOKUP(A467,Internal_lists_bugs!$A$2:$I2033,9,FALSE()),"please select a BUG ID")</f>
        <v>https://review.opendev.org/c/openstack/nova/+/63612</v>
      </c>
      <c r="D467" s="80"/>
      <c r="E467" s="80"/>
      <c r="F467" s="130"/>
      <c r="G467" s="16" t="s">
        <v>796</v>
      </c>
      <c r="H467" s="108" t="s">
        <v>828</v>
      </c>
      <c r="I467" s="131"/>
      <c r="J467" s="125"/>
      <c r="K467" s="131"/>
      <c r="L467" s="131"/>
      <c r="M467" s="131"/>
      <c r="N467" s="43"/>
      <c r="O467" s="51"/>
    </row>
    <row r="468">
      <c r="A468" s="16" t="s">
        <v>58</v>
      </c>
      <c r="B468" s="114" t="str">
        <f>IFERROR(VLOOKUP(A468,Internal_lists_bugs!$A$2:$G2033,7,FALSE()),"please select a BUG ID")</f>
        <v>https://opendev.org/openstack/nova/commit/1d551dc96658ade41c8e9fabc6d9b41a28d5ed15</v>
      </c>
      <c r="C468" s="39" t="str">
        <f>IFERROR(VLOOKUP(A468,Internal_lists_bugs!$A$2:$I2033,9,FALSE()),"please select a BUG ID")</f>
        <v>https://review.opendev.org/c/openstack/nova/+/63612</v>
      </c>
      <c r="D468" s="85"/>
      <c r="E468" s="85"/>
      <c r="F468" s="133"/>
      <c r="G468" s="16" t="s">
        <v>646</v>
      </c>
      <c r="H468" s="108" t="s">
        <v>826</v>
      </c>
      <c r="I468" s="131"/>
      <c r="J468" s="131"/>
      <c r="K468" s="131"/>
      <c r="L468" s="131"/>
      <c r="M468" s="131"/>
      <c r="N468" s="43"/>
      <c r="O468" s="51"/>
    </row>
    <row r="469">
      <c r="A469" s="16" t="s">
        <v>58</v>
      </c>
      <c r="B469" s="114" t="str">
        <f>IFERROR(VLOOKUP(A469,Internal_lists_bugs!$A$2:$G2033,7,FALSE()),"please select a BUG ID")</f>
        <v>https://opendev.org/openstack/nova/commit/1d551dc96658ade41c8e9fabc6d9b41a28d5ed15</v>
      </c>
      <c r="C469" s="39" t="str">
        <f>IFERROR(VLOOKUP(A469,Internal_lists_bugs!$A$2:$I2033,9,FALSE()),"please select a BUG ID")</f>
        <v>https://review.opendev.org/c/openstack/nova/+/63612</v>
      </c>
      <c r="D469" s="85"/>
      <c r="E469" s="85"/>
      <c r="F469" s="133"/>
      <c r="G469" s="16" t="s">
        <v>654</v>
      </c>
      <c r="H469" s="108" t="s">
        <v>832</v>
      </c>
      <c r="I469" s="131"/>
      <c r="J469" s="131"/>
      <c r="K469" s="131"/>
      <c r="L469" s="131"/>
      <c r="M469" s="131"/>
      <c r="N469" s="43"/>
      <c r="O469" s="51"/>
    </row>
    <row r="470">
      <c r="A470" s="16" t="s">
        <v>58</v>
      </c>
      <c r="B470" s="114" t="str">
        <f>IFERROR(VLOOKUP(A470,Internal_lists_bugs!$A$2:$G2033,7,FALSE()),"please select a BUG ID")</f>
        <v>https://opendev.org/openstack/nova/commit/1d551dc96658ade41c8e9fabc6d9b41a28d5ed15</v>
      </c>
      <c r="C470" s="39" t="str">
        <f>IFERROR(VLOOKUP(A470,Internal_lists_bugs!$A$2:$I2033,9,FALSE()),"please select a BUG ID")</f>
        <v>https://review.opendev.org/c/openstack/nova/+/63612</v>
      </c>
      <c r="D470" s="85"/>
      <c r="E470" s="85"/>
      <c r="F470" s="133"/>
      <c r="G470" s="16" t="s">
        <v>839</v>
      </c>
      <c r="H470" s="108" t="s">
        <v>833</v>
      </c>
      <c r="I470" s="131"/>
      <c r="J470" s="131"/>
      <c r="K470" s="131"/>
      <c r="L470" s="131"/>
      <c r="M470" s="131"/>
      <c r="N470" s="43"/>
      <c r="O470" s="51"/>
    </row>
    <row r="471">
      <c r="A471" s="16" t="s">
        <v>58</v>
      </c>
      <c r="B471" s="114" t="str">
        <f>IFERROR(VLOOKUP(A471,Internal_lists_bugs!$A$2:$G2033,7,FALSE()),"please select a BUG ID")</f>
        <v>https://opendev.org/openstack/nova/commit/1d551dc96658ade41c8e9fabc6d9b41a28d5ed15</v>
      </c>
      <c r="C471" s="39" t="str">
        <f>IFERROR(VLOOKUP(A471,Internal_lists_bugs!$A$2:$I2033,9,FALSE()),"please select a BUG ID")</f>
        <v>https://review.opendev.org/c/openstack/nova/+/63612</v>
      </c>
      <c r="D471" s="85"/>
      <c r="E471" s="85"/>
      <c r="F471" s="133"/>
      <c r="G471" s="16" t="s">
        <v>841</v>
      </c>
      <c r="H471" s="108" t="s">
        <v>1092</v>
      </c>
      <c r="I471" s="131"/>
      <c r="J471" s="131"/>
      <c r="K471" s="131"/>
      <c r="L471" s="131"/>
      <c r="M471" s="131"/>
      <c r="N471" s="43"/>
      <c r="O471" s="51"/>
    </row>
    <row r="472">
      <c r="A472" s="16" t="s">
        <v>58</v>
      </c>
      <c r="B472" s="114" t="str">
        <f>IFERROR(VLOOKUP(A472,Internal_lists_bugs!$A$2:$G2033,7,FALSE()),"please select a BUG ID")</f>
        <v>https://opendev.org/openstack/nova/commit/1d551dc96658ade41c8e9fabc6d9b41a28d5ed15</v>
      </c>
      <c r="C472" s="39" t="str">
        <f>IFERROR(VLOOKUP(A472,Internal_lists_bugs!$A$2:$I2033,9,FALSE()),"please select a BUG ID")</f>
        <v>https://review.opendev.org/c/openstack/nova/+/63612</v>
      </c>
      <c r="D472" s="85"/>
      <c r="E472" s="85"/>
      <c r="F472" s="133"/>
      <c r="G472" s="16" t="s">
        <v>1093</v>
      </c>
      <c r="H472" s="108" t="s">
        <v>1094</v>
      </c>
      <c r="I472" s="131"/>
      <c r="J472" s="131"/>
      <c r="K472" s="131"/>
      <c r="L472" s="131"/>
      <c r="M472" s="131"/>
      <c r="N472" s="43"/>
      <c r="O472" s="51"/>
    </row>
    <row r="473">
      <c r="A473" s="16" t="s">
        <v>58</v>
      </c>
      <c r="B473" s="114" t="str">
        <f>IFERROR(VLOOKUP(A473,Internal_lists_bugs!$A$2:$G2033,7,FALSE()),"please select a BUG ID")</f>
        <v>https://opendev.org/openstack/nova/commit/1d551dc96658ade41c8e9fabc6d9b41a28d5ed15</v>
      </c>
      <c r="C473" s="39" t="str">
        <f>IFERROR(VLOOKUP(A473,Internal_lists_bugs!$A$2:$I2033,9,FALSE()),"please select a BUG ID")</f>
        <v>https://review.opendev.org/c/openstack/nova/+/63612</v>
      </c>
      <c r="D473" s="85"/>
      <c r="E473" s="85"/>
      <c r="F473" s="133"/>
      <c r="G473" s="16" t="s">
        <v>1071</v>
      </c>
      <c r="H473" s="108" t="s">
        <v>782</v>
      </c>
      <c r="I473" s="131"/>
      <c r="J473" s="131"/>
      <c r="K473" s="131"/>
      <c r="L473" s="131"/>
      <c r="M473" s="131"/>
      <c r="N473" s="43"/>
      <c r="O473" s="51"/>
    </row>
    <row r="474">
      <c r="A474" s="16" t="s">
        <v>58</v>
      </c>
      <c r="B474" s="114" t="str">
        <f>IFERROR(VLOOKUP(A474,Internal_lists_bugs!$A$2:$G2033,7,FALSE()),"please select a BUG ID")</f>
        <v>https://opendev.org/openstack/nova/commit/1d551dc96658ade41c8e9fabc6d9b41a28d5ed15</v>
      </c>
      <c r="C474" s="39" t="str">
        <f>IFERROR(VLOOKUP(A474,Internal_lists_bugs!$A$2:$I2033,9,FALSE()),"please select a BUG ID")</f>
        <v>https://review.opendev.org/c/openstack/nova/+/63612</v>
      </c>
      <c r="D474" s="85"/>
      <c r="E474" s="85"/>
      <c r="F474" s="133"/>
      <c r="G474" s="16" t="s">
        <v>1095</v>
      </c>
      <c r="H474" s="108" t="s">
        <v>840</v>
      </c>
      <c r="I474" s="131"/>
      <c r="J474" s="131"/>
      <c r="K474" s="131"/>
      <c r="L474" s="131"/>
      <c r="M474" s="131"/>
      <c r="N474" s="43"/>
      <c r="O474" s="51"/>
    </row>
    <row r="475">
      <c r="A475" s="16" t="s">
        <v>58</v>
      </c>
      <c r="B475" s="114" t="str">
        <f>IFERROR(VLOOKUP(A475,Internal_lists_bugs!$A$2:$G2033,7,FALSE()),"please select a BUG ID")</f>
        <v>https://opendev.org/openstack/nova/commit/1d551dc96658ade41c8e9fabc6d9b41a28d5ed15</v>
      </c>
      <c r="C475" s="39" t="str">
        <f>IFERROR(VLOOKUP(A475,Internal_lists_bugs!$A$2:$I2033,9,FALSE()),"please select a BUG ID")</f>
        <v>https://review.opendev.org/c/openstack/nova/+/63612</v>
      </c>
      <c r="D475" s="85"/>
      <c r="E475" s="85"/>
      <c r="F475" s="133"/>
      <c r="G475" s="16" t="s">
        <v>1096</v>
      </c>
      <c r="H475" s="108" t="s">
        <v>1097</v>
      </c>
      <c r="I475" s="131"/>
      <c r="J475" s="131"/>
      <c r="K475" s="131"/>
      <c r="L475" s="131"/>
      <c r="M475" s="131"/>
      <c r="N475" s="43"/>
      <c r="O475" s="51"/>
    </row>
    <row r="476">
      <c r="A476" s="16" t="s">
        <v>58</v>
      </c>
      <c r="B476" s="114" t="str">
        <f>IFERROR(VLOOKUP(A476,Internal_lists_bugs!$A$2:$G2033,7,FALSE()),"please select a BUG ID")</f>
        <v>https://opendev.org/openstack/nova/commit/1d551dc96658ade41c8e9fabc6d9b41a28d5ed15</v>
      </c>
      <c r="C476" s="39" t="str">
        <f>IFERROR(VLOOKUP(A476,Internal_lists_bugs!$A$2:$I2033,9,FALSE()),"please select a BUG ID")</f>
        <v>https://review.opendev.org/c/openstack/nova/+/63612</v>
      </c>
      <c r="D476" s="85"/>
      <c r="E476" s="85"/>
      <c r="F476" s="133"/>
      <c r="G476" s="16" t="s">
        <v>1098</v>
      </c>
      <c r="H476" s="108" t="s">
        <v>1099</v>
      </c>
      <c r="I476" s="131"/>
      <c r="J476" s="131"/>
      <c r="K476" s="131"/>
      <c r="L476" s="131"/>
      <c r="M476" s="131"/>
      <c r="N476" s="43"/>
      <c r="O476" s="51"/>
    </row>
    <row r="477">
      <c r="A477" s="16" t="s">
        <v>58</v>
      </c>
      <c r="B477" s="114" t="str">
        <f>IFERROR(VLOOKUP(A477,Internal_lists_bugs!$A$2:$G2033,7,FALSE()),"please select a BUG ID")</f>
        <v>https://opendev.org/openstack/nova/commit/1d551dc96658ade41c8e9fabc6d9b41a28d5ed15</v>
      </c>
      <c r="C477" s="39" t="str">
        <f>IFERROR(VLOOKUP(A477,Internal_lists_bugs!$A$2:$I2033,9,FALSE()),"please select a BUG ID")</f>
        <v>https://review.opendev.org/c/openstack/nova/+/63612</v>
      </c>
      <c r="D477" s="85"/>
      <c r="E477" s="85"/>
      <c r="F477" s="133"/>
      <c r="G477" s="16" t="s">
        <v>1100</v>
      </c>
      <c r="H477" s="108" t="s">
        <v>1101</v>
      </c>
      <c r="I477" s="131"/>
      <c r="J477" s="131"/>
      <c r="K477" s="131"/>
      <c r="L477" s="131"/>
      <c r="M477" s="131"/>
      <c r="N477" s="43"/>
      <c r="O477" s="51"/>
    </row>
    <row r="478">
      <c r="A478" s="16" t="s">
        <v>58</v>
      </c>
      <c r="B478" s="114" t="str">
        <f>IFERROR(VLOOKUP(A478,Internal_lists_bugs!$A$2:$G2033,7,FALSE()),"please select a BUG ID")</f>
        <v>https://opendev.org/openstack/nova/commit/1d551dc96658ade41c8e9fabc6d9b41a28d5ed15</v>
      </c>
      <c r="C478" s="39" t="str">
        <f>IFERROR(VLOOKUP(A478,Internal_lists_bugs!$A$2:$I2033,9,FALSE()),"please select a BUG ID")</f>
        <v>https://review.opendev.org/c/openstack/nova/+/63612</v>
      </c>
      <c r="D478" s="85"/>
      <c r="E478" s="85"/>
      <c r="F478" s="133"/>
      <c r="G478" s="16" t="s">
        <v>656</v>
      </c>
      <c r="H478" s="108" t="s">
        <v>1102</v>
      </c>
      <c r="I478" s="131"/>
      <c r="J478" s="131"/>
      <c r="K478" s="131"/>
      <c r="L478" s="131"/>
      <c r="M478" s="131"/>
      <c r="N478" s="43"/>
      <c r="O478" s="51"/>
    </row>
    <row r="479">
      <c r="A479" s="16" t="s">
        <v>58</v>
      </c>
      <c r="B479" s="114" t="str">
        <f>IFERROR(VLOOKUP(A479,Internal_lists_bugs!$A$2:$G2033,7,FALSE()),"please select a BUG ID")</f>
        <v>https://opendev.org/openstack/nova/commit/1d551dc96658ade41c8e9fabc6d9b41a28d5ed15</v>
      </c>
      <c r="C479" s="39" t="str">
        <f>IFERROR(VLOOKUP(A479,Internal_lists_bugs!$A$2:$I2033,9,FALSE()),"please select a BUG ID")</f>
        <v>https://review.opendev.org/c/openstack/nova/+/63612</v>
      </c>
      <c r="D479" s="85"/>
      <c r="E479" s="85"/>
      <c r="F479" s="133"/>
      <c r="G479" s="16" t="s">
        <v>906</v>
      </c>
      <c r="H479" s="108" t="s">
        <v>1102</v>
      </c>
      <c r="I479" s="131"/>
      <c r="J479" s="131"/>
      <c r="K479" s="131"/>
      <c r="L479" s="131"/>
      <c r="M479" s="131"/>
      <c r="N479" s="43"/>
      <c r="O479" s="51"/>
    </row>
    <row r="480">
      <c r="A480" s="16" t="s">
        <v>58</v>
      </c>
      <c r="B480" s="114" t="str">
        <f>IFERROR(VLOOKUP(A480,Internal_lists_bugs!$A$2:$G2033,7,FALSE()),"please select a BUG ID")</f>
        <v>https://opendev.org/openstack/nova/commit/1d551dc96658ade41c8e9fabc6d9b41a28d5ed15</v>
      </c>
      <c r="C480" s="39" t="str">
        <f>IFERROR(VLOOKUP(A480,Internal_lists_bugs!$A$2:$I2033,9,FALSE()),"please select a BUG ID")</f>
        <v>https://review.opendev.org/c/openstack/nova/+/63612</v>
      </c>
      <c r="D480" s="85"/>
      <c r="E480" s="85"/>
      <c r="F480" s="133"/>
      <c r="G480" s="16" t="s">
        <v>781</v>
      </c>
      <c r="H480" s="108" t="s">
        <v>1103</v>
      </c>
      <c r="I480" s="131"/>
      <c r="J480" s="131"/>
      <c r="K480" s="131"/>
      <c r="L480" s="131"/>
      <c r="M480" s="131"/>
      <c r="N480" s="43"/>
      <c r="O480" s="51"/>
    </row>
    <row r="481">
      <c r="A481" s="16" t="s">
        <v>58</v>
      </c>
      <c r="B481" s="114" t="str">
        <f>IFERROR(VLOOKUP(A481,Internal_lists_bugs!$A$2:$G2033,7,FALSE()),"please select a BUG ID")</f>
        <v>https://opendev.org/openstack/nova/commit/1d551dc96658ade41c8e9fabc6d9b41a28d5ed15</v>
      </c>
      <c r="C481" s="39" t="str">
        <f>IFERROR(VLOOKUP(A481,Internal_lists_bugs!$A$2:$I2033,9,FALSE()),"please select a BUG ID")</f>
        <v>https://review.opendev.org/c/openstack/nova/+/63612</v>
      </c>
      <c r="D481" s="85"/>
      <c r="E481" s="85"/>
      <c r="F481" s="133"/>
      <c r="G481" s="16" t="s">
        <v>906</v>
      </c>
      <c r="H481" s="108" t="s">
        <v>1103</v>
      </c>
      <c r="I481" s="131"/>
      <c r="J481" s="131"/>
      <c r="K481" s="131"/>
      <c r="L481" s="131"/>
      <c r="M481" s="131"/>
      <c r="N481" s="43"/>
      <c r="O481" s="51"/>
    </row>
    <row r="482">
      <c r="A482" s="16" t="s">
        <v>58</v>
      </c>
      <c r="B482" s="114" t="str">
        <f>IFERROR(VLOOKUP(A482,Internal_lists_bugs!$A$2:$G2033,7,FALSE()),"please select a BUG ID")</f>
        <v>https://opendev.org/openstack/nova/commit/1d551dc96658ade41c8e9fabc6d9b41a28d5ed15</v>
      </c>
      <c r="C482" s="39" t="str">
        <f>IFERROR(VLOOKUP(A482,Internal_lists_bugs!$A$2:$I2033,9,FALSE()),"please select a BUG ID")</f>
        <v>https://review.opendev.org/c/openstack/nova/+/63612</v>
      </c>
      <c r="D482" s="85"/>
      <c r="E482" s="85"/>
      <c r="F482" s="133"/>
      <c r="G482" s="16" t="s">
        <v>856</v>
      </c>
      <c r="H482" s="108" t="s">
        <v>1104</v>
      </c>
      <c r="I482" s="131"/>
      <c r="J482" s="131"/>
      <c r="K482" s="131"/>
      <c r="L482" s="131"/>
      <c r="M482" s="131"/>
      <c r="N482" s="43"/>
      <c r="O482" s="51"/>
    </row>
    <row r="483">
      <c r="A483" s="16" t="s">
        <v>58</v>
      </c>
      <c r="B483" s="114" t="str">
        <f>IFERROR(VLOOKUP(A483,Internal_lists_bugs!$A$2:$G2033,7,FALSE()),"please select a BUG ID")</f>
        <v>https://opendev.org/openstack/nova/commit/1d551dc96658ade41c8e9fabc6d9b41a28d5ed15</v>
      </c>
      <c r="C483" s="39" t="str">
        <f>IFERROR(VLOOKUP(A483,Internal_lists_bugs!$A$2:$I2033,9,FALSE()),"please select a BUG ID")</f>
        <v>https://review.opendev.org/c/openstack/nova/+/63612</v>
      </c>
      <c r="D483" s="85"/>
      <c r="E483" s="85"/>
      <c r="F483" s="133"/>
      <c r="G483" s="16" t="s">
        <v>856</v>
      </c>
      <c r="H483" s="108" t="s">
        <v>1104</v>
      </c>
      <c r="I483" s="131"/>
      <c r="J483" s="131"/>
      <c r="K483" s="131"/>
      <c r="L483" s="131"/>
      <c r="M483" s="131"/>
      <c r="N483" s="43"/>
      <c r="O483" s="51"/>
    </row>
    <row r="484">
      <c r="A484" s="16" t="s">
        <v>58</v>
      </c>
      <c r="B484" s="114" t="str">
        <f>IFERROR(VLOOKUP(A484,Internal_lists_bugs!$A$2:$G2033,7,FALSE()),"please select a BUG ID")</f>
        <v>https://opendev.org/openstack/nova/commit/1d551dc96658ade41c8e9fabc6d9b41a28d5ed15</v>
      </c>
      <c r="C484" s="39" t="str">
        <f>IFERROR(VLOOKUP(A484,Internal_lists_bugs!$A$2:$I2033,9,FALSE()),"please select a BUG ID")</f>
        <v>https://review.opendev.org/c/openstack/nova/+/63612</v>
      </c>
      <c r="D484" s="85"/>
      <c r="E484" s="85"/>
      <c r="F484" s="133"/>
      <c r="G484" s="16" t="s">
        <v>858</v>
      </c>
      <c r="H484" s="108" t="s">
        <v>843</v>
      </c>
      <c r="I484" s="131"/>
      <c r="J484" s="131"/>
      <c r="K484" s="131"/>
      <c r="L484" s="131"/>
      <c r="M484" s="131"/>
      <c r="N484" s="43"/>
      <c r="O484" s="51"/>
    </row>
    <row r="485">
      <c r="A485" s="16" t="s">
        <v>58</v>
      </c>
      <c r="B485" s="114" t="str">
        <f>IFERROR(VLOOKUP(A485,Internal_lists_bugs!$A$2:$G2033,7,FALSE()),"please select a BUG ID")</f>
        <v>https://opendev.org/openstack/nova/commit/1d551dc96658ade41c8e9fabc6d9b41a28d5ed15</v>
      </c>
      <c r="C485" s="39" t="str">
        <f>IFERROR(VLOOKUP(A485,Internal_lists_bugs!$A$2:$I2033,9,FALSE()),"please select a BUG ID")</f>
        <v>https://review.opendev.org/c/openstack/nova/+/63612</v>
      </c>
      <c r="D485" s="85"/>
      <c r="E485" s="85"/>
      <c r="F485" s="133"/>
      <c r="G485" s="16" t="s">
        <v>1105</v>
      </c>
      <c r="H485" s="108" t="s">
        <v>843</v>
      </c>
      <c r="I485" s="131"/>
      <c r="J485" s="131"/>
      <c r="K485" s="131"/>
      <c r="L485" s="131"/>
      <c r="M485" s="131"/>
      <c r="N485" s="43"/>
      <c r="O485" s="51"/>
    </row>
    <row r="486">
      <c r="A486" s="16" t="s">
        <v>58</v>
      </c>
      <c r="B486" s="114" t="str">
        <f>IFERROR(VLOOKUP(A486,Internal_lists_bugs!$A$2:$G2033,7,FALSE()),"please select a BUG ID")</f>
        <v>https://opendev.org/openstack/nova/commit/1d551dc96658ade41c8e9fabc6d9b41a28d5ed15</v>
      </c>
      <c r="C486" s="39" t="str">
        <f>IFERROR(VLOOKUP(A486,Internal_lists_bugs!$A$2:$I2033,9,FALSE()),"please select a BUG ID")</f>
        <v>https://review.opendev.org/c/openstack/nova/+/63612</v>
      </c>
      <c r="D486" s="85"/>
      <c r="E486" s="85"/>
      <c r="F486" s="133"/>
      <c r="G486" s="16" t="s">
        <v>662</v>
      </c>
      <c r="H486" s="108" t="s">
        <v>1106</v>
      </c>
      <c r="I486" s="131"/>
      <c r="J486" s="131"/>
      <c r="K486" s="131"/>
      <c r="L486" s="131"/>
      <c r="M486" s="131"/>
      <c r="N486" s="43"/>
      <c r="O486" s="51"/>
    </row>
    <row r="487">
      <c r="A487" s="16" t="s">
        <v>58</v>
      </c>
      <c r="B487" s="114" t="str">
        <f>IFERROR(VLOOKUP(A487,Internal_lists_bugs!$A$2:$G2033,7,FALSE()),"please select a BUG ID")</f>
        <v>https://opendev.org/openstack/nova/commit/1d551dc96658ade41c8e9fabc6d9b41a28d5ed15</v>
      </c>
      <c r="C487" s="39" t="str">
        <f>IFERROR(VLOOKUP(A487,Internal_lists_bugs!$A$2:$I2033,9,FALSE()),"please select a BUG ID")</f>
        <v>https://review.opendev.org/c/openstack/nova/+/63612</v>
      </c>
      <c r="D487" s="85"/>
      <c r="E487" s="85"/>
      <c r="F487" s="133"/>
      <c r="G487" s="16" t="s">
        <v>788</v>
      </c>
      <c r="H487" s="108" t="s">
        <v>1053</v>
      </c>
      <c r="I487" s="131"/>
      <c r="J487" s="131"/>
      <c r="K487" s="131"/>
      <c r="L487" s="131"/>
      <c r="M487" s="131"/>
      <c r="N487" s="43"/>
      <c r="O487" s="51"/>
    </row>
    <row r="488">
      <c r="A488" s="16" t="s">
        <v>58</v>
      </c>
      <c r="B488" s="114" t="str">
        <f>IFERROR(VLOOKUP(A488,Internal_lists_bugs!$A$2:$G2033,7,FALSE()),"please select a BUG ID")</f>
        <v>https://opendev.org/openstack/nova/commit/1d551dc96658ade41c8e9fabc6d9b41a28d5ed15</v>
      </c>
      <c r="C488" s="39" t="str">
        <f>IFERROR(VLOOKUP(A488,Internal_lists_bugs!$A$2:$I2033,9,FALSE()),"please select a BUG ID")</f>
        <v>https://review.opendev.org/c/openstack/nova/+/63612</v>
      </c>
      <c r="D488" s="85"/>
      <c r="E488" s="85"/>
      <c r="F488" s="133"/>
      <c r="G488" s="16" t="s">
        <v>662</v>
      </c>
      <c r="H488" s="108" t="s">
        <v>1106</v>
      </c>
      <c r="I488" s="131"/>
      <c r="J488" s="131"/>
      <c r="K488" s="131"/>
      <c r="L488" s="131"/>
      <c r="M488" s="131"/>
      <c r="N488" s="43"/>
      <c r="O488" s="51"/>
    </row>
    <row r="489">
      <c r="A489" s="16" t="s">
        <v>58</v>
      </c>
      <c r="B489" s="114" t="str">
        <f>IFERROR(VLOOKUP(A489,Internal_lists_bugs!$A$2:$G2033,7,FALSE()),"please select a BUG ID")</f>
        <v>https://opendev.org/openstack/nova/commit/1d551dc96658ade41c8e9fabc6d9b41a28d5ed15</v>
      </c>
      <c r="C489" s="39" t="str">
        <f>IFERROR(VLOOKUP(A489,Internal_lists_bugs!$A$2:$I2033,9,FALSE()),"please select a BUG ID")</f>
        <v>https://review.opendev.org/c/openstack/nova/+/63612</v>
      </c>
      <c r="D489" s="85"/>
      <c r="E489" s="85"/>
      <c r="F489" s="133"/>
      <c r="G489" s="16" t="s">
        <v>1107</v>
      </c>
      <c r="H489" s="108" t="s">
        <v>1108</v>
      </c>
      <c r="I489" s="131"/>
      <c r="J489" s="131"/>
      <c r="K489" s="131"/>
      <c r="L489" s="131"/>
      <c r="M489" s="131"/>
      <c r="N489" s="43"/>
      <c r="O489" s="51"/>
    </row>
    <row r="490">
      <c r="A490" s="16" t="s">
        <v>58</v>
      </c>
      <c r="B490" s="114" t="str">
        <f>IFERROR(VLOOKUP(A490,Internal_lists_bugs!$A$2:$G2033,7,FALSE()),"please select a BUG ID")</f>
        <v>https://opendev.org/openstack/nova/commit/1d551dc96658ade41c8e9fabc6d9b41a28d5ed15</v>
      </c>
      <c r="C490" s="39" t="str">
        <f>IFERROR(VLOOKUP(A490,Internal_lists_bugs!$A$2:$I2033,9,FALSE()),"please select a BUG ID")</f>
        <v>https://review.opendev.org/c/openstack/nova/+/63612</v>
      </c>
      <c r="D490" s="85"/>
      <c r="E490" s="85"/>
      <c r="F490" s="133"/>
      <c r="G490" s="16" t="s">
        <v>1109</v>
      </c>
      <c r="H490" s="108" t="s">
        <v>1110</v>
      </c>
      <c r="I490" s="131"/>
      <c r="J490" s="131"/>
      <c r="K490" s="131"/>
      <c r="L490" s="131"/>
      <c r="M490" s="131"/>
      <c r="N490" s="43"/>
      <c r="O490" s="51"/>
    </row>
    <row r="491">
      <c r="A491" s="16" t="s">
        <v>58</v>
      </c>
      <c r="B491" s="114" t="str">
        <f>IFERROR(VLOOKUP(A491,Internal_lists_bugs!$A$2:$G2033,7,FALSE()),"please select a BUG ID")</f>
        <v>https://opendev.org/openstack/nova/commit/1d551dc96658ade41c8e9fabc6d9b41a28d5ed15</v>
      </c>
      <c r="C491" s="39" t="str">
        <f>IFERROR(VLOOKUP(A491,Internal_lists_bugs!$A$2:$I2033,9,FALSE()),"please select a BUG ID")</f>
        <v>https://review.opendev.org/c/openstack/nova/+/63612</v>
      </c>
      <c r="D491" s="85"/>
      <c r="E491" s="85"/>
      <c r="F491" s="133"/>
      <c r="G491" s="16" t="s">
        <v>652</v>
      </c>
      <c r="H491" s="108" t="s">
        <v>1111</v>
      </c>
      <c r="I491" s="131"/>
      <c r="J491" s="131"/>
      <c r="K491" s="131"/>
      <c r="L491" s="131"/>
      <c r="M491" s="131"/>
      <c r="N491" s="43"/>
      <c r="O491" s="51"/>
    </row>
    <row r="492">
      <c r="A492" s="16" t="s">
        <v>58</v>
      </c>
      <c r="B492" s="114" t="str">
        <f>IFERROR(VLOOKUP(A492,Internal_lists_bugs!$A$2:$G2033,7,FALSE()),"please select a BUG ID")</f>
        <v>https://opendev.org/openstack/nova/commit/1d551dc96658ade41c8e9fabc6d9b41a28d5ed15</v>
      </c>
      <c r="C492" s="39" t="str">
        <f>IFERROR(VLOOKUP(A492,Internal_lists_bugs!$A$2:$I2033,9,FALSE()),"please select a BUG ID")</f>
        <v>https://review.opendev.org/c/openstack/nova/+/63612</v>
      </c>
      <c r="D492" s="85"/>
      <c r="E492" s="85"/>
      <c r="F492" s="133"/>
      <c r="G492" s="16" t="s">
        <v>1112</v>
      </c>
      <c r="H492" s="108" t="s">
        <v>1113</v>
      </c>
      <c r="I492" s="131"/>
      <c r="J492" s="131"/>
      <c r="K492" s="131"/>
      <c r="L492" s="131"/>
      <c r="M492" s="131"/>
      <c r="N492" s="43"/>
      <c r="O492" s="51"/>
    </row>
    <row r="493">
      <c r="A493" s="16" t="s">
        <v>58</v>
      </c>
      <c r="B493" s="114" t="str">
        <f>IFERROR(VLOOKUP(A493,Internal_lists_bugs!$A$2:$G2033,7,FALSE()),"please select a BUG ID")</f>
        <v>https://opendev.org/openstack/nova/commit/1d551dc96658ade41c8e9fabc6d9b41a28d5ed15</v>
      </c>
      <c r="C493" s="39" t="str">
        <f>IFERROR(VLOOKUP(A493,Internal_lists_bugs!$A$2:$I2033,9,FALSE()),"please select a BUG ID")</f>
        <v>https://review.opendev.org/c/openstack/nova/+/63612</v>
      </c>
      <c r="D493" s="85"/>
      <c r="E493" s="85"/>
      <c r="F493" s="133"/>
      <c r="G493" s="16" t="s">
        <v>658</v>
      </c>
      <c r="H493" s="108" t="s">
        <v>1114</v>
      </c>
      <c r="I493" s="131"/>
      <c r="J493" s="131"/>
      <c r="K493" s="131"/>
      <c r="L493" s="131"/>
      <c r="M493" s="131"/>
      <c r="N493" s="43"/>
      <c r="O493" s="51"/>
    </row>
    <row r="494">
      <c r="A494" s="16" t="s">
        <v>58</v>
      </c>
      <c r="B494" s="114" t="str">
        <f>IFERROR(VLOOKUP(A494,Internal_lists_bugs!$A$2:$G2033,7,FALSE()),"please select a BUG ID")</f>
        <v>https://opendev.org/openstack/nova/commit/1d551dc96658ade41c8e9fabc6d9b41a28d5ed15</v>
      </c>
      <c r="C494" s="39" t="str">
        <f>IFERROR(VLOOKUP(A494,Internal_lists_bugs!$A$2:$I2033,9,FALSE()),"please select a BUG ID")</f>
        <v>https://review.opendev.org/c/openstack/nova/+/63612</v>
      </c>
      <c r="D494" s="85"/>
      <c r="E494" s="85"/>
      <c r="F494" s="133"/>
      <c r="G494" s="16" t="s">
        <v>829</v>
      </c>
      <c r="H494" s="108" t="s">
        <v>1115</v>
      </c>
      <c r="I494" s="131"/>
      <c r="J494" s="131"/>
      <c r="K494" s="131"/>
      <c r="L494" s="131"/>
      <c r="M494" s="131"/>
      <c r="N494" s="43"/>
      <c r="O494" s="51"/>
    </row>
    <row r="495">
      <c r="A495" s="16" t="s">
        <v>58</v>
      </c>
      <c r="B495" s="114" t="str">
        <f>IFERROR(VLOOKUP(A495,Internal_lists_bugs!$A$2:$G2033,7,FALSE()),"please select a BUG ID")</f>
        <v>https://opendev.org/openstack/nova/commit/1d551dc96658ade41c8e9fabc6d9b41a28d5ed15</v>
      </c>
      <c r="C495" s="39" t="str">
        <f>IFERROR(VLOOKUP(A495,Internal_lists_bugs!$A$2:$I2033,9,FALSE()),"please select a BUG ID")</f>
        <v>https://review.opendev.org/c/openstack/nova/+/63612</v>
      </c>
      <c r="D495" s="85"/>
      <c r="E495" s="85"/>
      <c r="F495" s="133"/>
      <c r="G495" s="16" t="s">
        <v>1116</v>
      </c>
      <c r="H495" s="108" t="s">
        <v>1117</v>
      </c>
      <c r="I495" s="131"/>
      <c r="J495" s="131"/>
      <c r="K495" s="131"/>
      <c r="L495" s="131"/>
      <c r="M495" s="131"/>
      <c r="N495" s="43"/>
      <c r="O495" s="51"/>
    </row>
    <row r="496">
      <c r="A496" s="16" t="s">
        <v>58</v>
      </c>
      <c r="B496" s="114" t="str">
        <f>IFERROR(VLOOKUP(A496,Internal_lists_bugs!$A$2:$G2033,7,FALSE()),"please select a BUG ID")</f>
        <v>https://opendev.org/openstack/nova/commit/1d551dc96658ade41c8e9fabc6d9b41a28d5ed15</v>
      </c>
      <c r="C496" s="39" t="str">
        <f>IFERROR(VLOOKUP(A496,Internal_lists_bugs!$A$2:$I2033,9,FALSE()),"please select a BUG ID")</f>
        <v>https://review.opendev.org/c/openstack/nova/+/63612</v>
      </c>
      <c r="D496" s="85"/>
      <c r="E496" s="85"/>
      <c r="F496" s="133"/>
      <c r="G496" s="16" t="s">
        <v>662</v>
      </c>
      <c r="H496" s="108" t="s">
        <v>1118</v>
      </c>
      <c r="I496" s="131"/>
      <c r="J496" s="131"/>
      <c r="K496" s="131"/>
      <c r="L496" s="131"/>
      <c r="M496" s="131"/>
      <c r="N496" s="43"/>
      <c r="O496" s="51"/>
    </row>
    <row r="497">
      <c r="A497" s="16" t="s">
        <v>59</v>
      </c>
      <c r="B497" s="114" t="str">
        <f>IFERROR(VLOOKUP(A497,Internal_lists_bugs!$A$2:$G2033,7,FALSE()),"please select a BUG ID")</f>
        <v>https://opendev.org/openstack/nova/commit/5ee83244f40f3d3c29bf47c5d86952bf53de1684</v>
      </c>
      <c r="C497" s="39" t="str">
        <f>IFERROR(VLOOKUP(A497,Internal_lists_bugs!$A$2:$I2033,9,FALSE()),"please select a BUG ID")</f>
        <v>https://review.opendev.org/c/openstack/nova/+/136717</v>
      </c>
      <c r="D497" s="80" t="s">
        <v>632</v>
      </c>
      <c r="E497" s="80"/>
      <c r="F497" s="130" t="s">
        <v>135</v>
      </c>
      <c r="G497" s="16" t="s">
        <v>698</v>
      </c>
      <c r="H497" s="108" t="s">
        <v>1119</v>
      </c>
      <c r="I497" s="131"/>
      <c r="J497" s="125"/>
      <c r="K497" s="131"/>
      <c r="L497" s="131"/>
      <c r="M497" s="131"/>
      <c r="N497" s="16" t="s">
        <v>634</v>
      </c>
      <c r="O497" s="51"/>
    </row>
    <row r="498">
      <c r="A498" s="16" t="s">
        <v>59</v>
      </c>
      <c r="B498" s="114" t="str">
        <f>IFERROR(VLOOKUP(A498,Internal_lists_bugs!$A$2:$G2033,7,FALSE()),"please select a BUG ID")</f>
        <v>https://opendev.org/openstack/nova/commit/5ee83244f40f3d3c29bf47c5d86952bf53de1684</v>
      </c>
      <c r="C498" s="39" t="str">
        <f>IFERROR(VLOOKUP(A498,Internal_lists_bugs!$A$2:$I2033,9,FALSE()),"please select a BUG ID")</f>
        <v>https://review.opendev.org/c/openstack/nova/+/136717</v>
      </c>
      <c r="D498" s="80"/>
      <c r="E498" s="80"/>
      <c r="F498" s="130"/>
      <c r="G498" s="16" t="s">
        <v>683</v>
      </c>
      <c r="H498" s="108" t="s">
        <v>1120</v>
      </c>
      <c r="I498" s="131"/>
      <c r="J498" s="125"/>
      <c r="K498" s="131"/>
      <c r="L498" s="131"/>
      <c r="M498" s="131"/>
      <c r="N498" s="43"/>
      <c r="O498" s="51"/>
    </row>
    <row r="499">
      <c r="A499" s="16" t="s">
        <v>59</v>
      </c>
      <c r="B499" s="114" t="str">
        <f>IFERROR(VLOOKUP(A499,Internal_lists_bugs!$A$2:$G2033,7,FALSE()),"please select a BUG ID")</f>
        <v>https://opendev.org/openstack/nova/commit/5ee83244f40f3d3c29bf47c5d86952bf53de1684</v>
      </c>
      <c r="C499" s="39" t="str">
        <f>IFERROR(VLOOKUP(A499,Internal_lists_bugs!$A$2:$I2033,9,FALSE()),"please select a BUG ID")</f>
        <v>https://review.opendev.org/c/openstack/nova/+/136717</v>
      </c>
      <c r="D499" s="85"/>
      <c r="E499" s="85"/>
      <c r="F499" s="133"/>
      <c r="G499" s="16" t="s">
        <v>1121</v>
      </c>
      <c r="H499" s="108" t="s">
        <v>1122</v>
      </c>
      <c r="I499" s="131"/>
      <c r="J499" s="131"/>
      <c r="K499" s="131"/>
      <c r="L499" s="131"/>
      <c r="M499" s="131"/>
      <c r="N499" s="43"/>
      <c r="O499" s="51"/>
    </row>
    <row r="500">
      <c r="A500" s="16" t="s">
        <v>59</v>
      </c>
      <c r="B500" s="114" t="str">
        <f>IFERROR(VLOOKUP(A500,Internal_lists_bugs!$A$2:$G2033,7,FALSE()),"please select a BUG ID")</f>
        <v>https://opendev.org/openstack/nova/commit/5ee83244f40f3d3c29bf47c5d86952bf53de1684</v>
      </c>
      <c r="C500" s="39" t="str">
        <f>IFERROR(VLOOKUP(A500,Internal_lists_bugs!$A$2:$I2033,9,FALSE()),"please select a BUG ID")</f>
        <v>https://review.opendev.org/c/openstack/nova/+/136717</v>
      </c>
      <c r="D500" s="85"/>
      <c r="E500" s="85"/>
      <c r="F500" s="133"/>
      <c r="G500" s="16" t="s">
        <v>664</v>
      </c>
      <c r="H500" s="108" t="s">
        <v>1122</v>
      </c>
      <c r="I500" s="131"/>
      <c r="J500" s="131"/>
      <c r="K500" s="131"/>
      <c r="L500" s="131"/>
      <c r="M500" s="131"/>
      <c r="N500" s="43"/>
      <c r="O500" s="51"/>
    </row>
    <row r="501">
      <c r="A501" s="16" t="s">
        <v>59</v>
      </c>
      <c r="B501" s="114" t="str">
        <f>IFERROR(VLOOKUP(A501,Internal_lists_bugs!$A$2:$G2033,7,FALSE()),"please select a BUG ID")</f>
        <v>https://opendev.org/openstack/nova/commit/5ee83244f40f3d3c29bf47c5d86952bf53de1684</v>
      </c>
      <c r="C501" s="39" t="str">
        <f>IFERROR(VLOOKUP(A501,Internal_lists_bugs!$A$2:$I2033,9,FALSE()),"please select a BUG ID")</f>
        <v>https://review.opendev.org/c/openstack/nova/+/136717</v>
      </c>
      <c r="D501" s="85"/>
      <c r="E501" s="85"/>
      <c r="F501" s="133"/>
      <c r="G501" s="16" t="s">
        <v>668</v>
      </c>
      <c r="H501" s="108" t="s">
        <v>1047</v>
      </c>
      <c r="I501" s="131"/>
      <c r="J501" s="131"/>
      <c r="K501" s="131"/>
      <c r="L501" s="131"/>
      <c r="M501" s="131"/>
      <c r="N501" s="43"/>
      <c r="O501" s="51"/>
    </row>
    <row r="502">
      <c r="A502" s="16" t="s">
        <v>59</v>
      </c>
      <c r="B502" s="114" t="str">
        <f>IFERROR(VLOOKUP(A502,Internal_lists_bugs!$A$2:$G2033,7,FALSE()),"please select a BUG ID")</f>
        <v>https://opendev.org/openstack/nova/commit/5ee83244f40f3d3c29bf47c5d86952bf53de1684</v>
      </c>
      <c r="C502" s="39" t="str">
        <f>IFERROR(VLOOKUP(A502,Internal_lists_bugs!$A$2:$I2033,9,FALSE()),"please select a BUG ID")</f>
        <v>https://review.opendev.org/c/openstack/nova/+/136717</v>
      </c>
      <c r="D502" s="85"/>
      <c r="E502" s="85"/>
      <c r="F502" s="133"/>
      <c r="G502" s="16" t="s">
        <v>1123</v>
      </c>
      <c r="H502" s="108" t="s">
        <v>1122</v>
      </c>
      <c r="I502" s="131"/>
      <c r="J502" s="131"/>
      <c r="K502" s="131"/>
      <c r="L502" s="131"/>
      <c r="M502" s="131"/>
      <c r="N502" s="43"/>
      <c r="O502" s="51"/>
    </row>
    <row r="503">
      <c r="A503" s="16" t="s">
        <v>59</v>
      </c>
      <c r="B503" s="114" t="str">
        <f>IFERROR(VLOOKUP(A503,Internal_lists_bugs!$A$2:$G2033,7,FALSE()),"please select a BUG ID")</f>
        <v>https://opendev.org/openstack/nova/commit/5ee83244f40f3d3c29bf47c5d86952bf53de1684</v>
      </c>
      <c r="C503" s="39" t="str">
        <f>IFERROR(VLOOKUP(A503,Internal_lists_bugs!$A$2:$I2033,9,FALSE()),"please select a BUG ID")</f>
        <v>https://review.opendev.org/c/openstack/nova/+/136717</v>
      </c>
      <c r="D503" s="85"/>
      <c r="E503" s="85"/>
      <c r="F503" s="133"/>
      <c r="G503" s="16" t="s">
        <v>685</v>
      </c>
      <c r="H503" s="108" t="s">
        <v>1124</v>
      </c>
      <c r="I503" s="131"/>
      <c r="J503" s="131"/>
      <c r="K503" s="131"/>
      <c r="L503" s="131"/>
      <c r="M503" s="131"/>
      <c r="N503" s="43"/>
      <c r="O503" s="51"/>
    </row>
    <row r="504">
      <c r="A504" s="16" t="s">
        <v>59</v>
      </c>
      <c r="B504" s="114" t="str">
        <f>IFERROR(VLOOKUP(A504,Internal_lists_bugs!$A$2:$G2033,7,FALSE()),"please select a BUG ID")</f>
        <v>https://opendev.org/openstack/nova/commit/5ee83244f40f3d3c29bf47c5d86952bf53de1684</v>
      </c>
      <c r="C504" s="39" t="str">
        <f>IFERROR(VLOOKUP(A504,Internal_lists_bugs!$A$2:$I2033,9,FALSE()),"please select a BUG ID")</f>
        <v>https://review.opendev.org/c/openstack/nova/+/136717</v>
      </c>
      <c r="D504" s="85"/>
      <c r="E504" s="85"/>
      <c r="F504" s="133"/>
      <c r="G504" s="16" t="s">
        <v>670</v>
      </c>
      <c r="H504" s="108" t="s">
        <v>1125</v>
      </c>
      <c r="I504" s="131"/>
      <c r="J504" s="131"/>
      <c r="K504" s="131"/>
      <c r="L504" s="131"/>
      <c r="M504" s="131"/>
      <c r="N504" s="43"/>
      <c r="O504" s="51"/>
    </row>
    <row r="505">
      <c r="A505" s="16" t="s">
        <v>59</v>
      </c>
      <c r="B505" s="114" t="str">
        <f>IFERROR(VLOOKUP(A505,Internal_lists_bugs!$A$2:$G2033,7,FALSE()),"please select a BUG ID")</f>
        <v>https://opendev.org/openstack/nova/commit/5ee83244f40f3d3c29bf47c5d86952bf53de1684</v>
      </c>
      <c r="C505" s="39" t="str">
        <f>IFERROR(VLOOKUP(A505,Internal_lists_bugs!$A$2:$I2033,9,FALSE()),"please select a BUG ID")</f>
        <v>https://review.opendev.org/c/openstack/nova/+/136717</v>
      </c>
      <c r="D505" s="85"/>
      <c r="E505" s="85"/>
      <c r="F505" s="133"/>
      <c r="G505" s="16" t="s">
        <v>672</v>
      </c>
      <c r="H505" s="108" t="s">
        <v>1125</v>
      </c>
      <c r="I505" s="131"/>
      <c r="J505" s="131"/>
      <c r="K505" s="131"/>
      <c r="L505" s="131"/>
      <c r="M505" s="131"/>
      <c r="N505" s="43"/>
      <c r="O505" s="51"/>
    </row>
    <row r="506">
      <c r="A506" s="16" t="s">
        <v>59</v>
      </c>
      <c r="B506" s="114" t="str">
        <f>IFERROR(VLOOKUP(A506,Internal_lists_bugs!$A$2:$G2033,7,FALSE()),"please select a BUG ID")</f>
        <v>https://opendev.org/openstack/nova/commit/5ee83244f40f3d3c29bf47c5d86952bf53de1684</v>
      </c>
      <c r="C506" s="39" t="str">
        <f>IFERROR(VLOOKUP(A506,Internal_lists_bugs!$A$2:$I2033,9,FALSE()),"please select a BUG ID")</f>
        <v>https://review.opendev.org/c/openstack/nova/+/136717</v>
      </c>
      <c r="D506" s="85"/>
      <c r="E506" s="85"/>
      <c r="F506" s="133"/>
      <c r="G506" s="16" t="s">
        <v>1126</v>
      </c>
      <c r="H506" s="108" t="s">
        <v>1127</v>
      </c>
      <c r="I506" s="131"/>
      <c r="J506" s="131"/>
      <c r="K506" s="131"/>
      <c r="L506" s="131"/>
      <c r="M506" s="131"/>
      <c r="N506" s="43"/>
      <c r="O506" s="51"/>
    </row>
    <row r="507">
      <c r="A507" s="16" t="s">
        <v>60</v>
      </c>
      <c r="B507" s="114" t="str">
        <f>IFERROR(VLOOKUP(A507,Internal_lists_bugs!$A$2:$G2033,7,FALSE()),"please select a BUG ID")</f>
        <v>https://opendev.org/openstack/nova/commit/ce28166dcf25a3d589e6f020b2dfa64705d15126</v>
      </c>
      <c r="C507" s="39" t="str">
        <f>IFERROR(VLOOKUP(A507,Internal_lists_bugs!$A$2:$I2033,9,FALSE()),"please select a BUG ID")</f>
        <v>https://review.opendev.org/c/openstack/nova/+/142282</v>
      </c>
      <c r="D507" s="80" t="s">
        <v>632</v>
      </c>
      <c r="E507" s="85"/>
      <c r="F507" s="130" t="s">
        <v>121</v>
      </c>
      <c r="G507" s="16" t="s">
        <v>633</v>
      </c>
      <c r="H507" s="135" t="s">
        <v>123</v>
      </c>
      <c r="I507" s="131"/>
      <c r="J507" s="131"/>
      <c r="K507" s="131"/>
      <c r="L507" s="131"/>
      <c r="M507" s="131"/>
      <c r="N507" s="16" t="s">
        <v>634</v>
      </c>
      <c r="O507" s="51"/>
    </row>
    <row r="508">
      <c r="A508" s="16" t="s">
        <v>60</v>
      </c>
      <c r="B508" s="114" t="str">
        <f>IFERROR(VLOOKUP(A508,Internal_lists_bugs!$A$2:$G2033,7,FALSE()),"please select a BUG ID")</f>
        <v>https://opendev.org/openstack/nova/commit/ce28166dcf25a3d589e6f020b2dfa64705d15126</v>
      </c>
      <c r="C508" s="39" t="str">
        <f>IFERROR(VLOOKUP(A508,Internal_lists_bugs!$A$2:$I2033,9,FALSE()),"please select a BUG ID")</f>
        <v>https://review.opendev.org/c/openstack/nova/+/142282</v>
      </c>
      <c r="D508" s="85"/>
      <c r="E508" s="85"/>
      <c r="F508" s="133"/>
      <c r="G508" s="16" t="s">
        <v>664</v>
      </c>
      <c r="H508" s="108" t="s">
        <v>905</v>
      </c>
      <c r="I508" s="131"/>
      <c r="J508" s="131"/>
      <c r="K508" s="131"/>
      <c r="L508" s="131"/>
      <c r="M508" s="131"/>
      <c r="N508" s="43"/>
      <c r="O508" s="51"/>
    </row>
    <row r="509">
      <c r="A509" s="16" t="s">
        <v>60</v>
      </c>
      <c r="B509" s="114" t="str">
        <f>IFERROR(VLOOKUP(A509,Internal_lists_bugs!$A$2:$G2033,7,FALSE()),"please select a BUG ID")</f>
        <v>https://opendev.org/openstack/nova/commit/ce28166dcf25a3d589e6f020b2dfa64705d15126</v>
      </c>
      <c r="C509" s="39" t="str">
        <f>IFERROR(VLOOKUP(A509,Internal_lists_bugs!$A$2:$I2033,9,FALSE()),"please select a BUG ID")</f>
        <v>https://review.opendev.org/c/openstack/nova/+/142282</v>
      </c>
      <c r="D509" s="85"/>
      <c r="E509" s="85"/>
      <c r="F509" s="133"/>
      <c r="G509" s="16" t="s">
        <v>685</v>
      </c>
      <c r="H509" s="108" t="s">
        <v>669</v>
      </c>
      <c r="I509" s="131"/>
      <c r="J509" s="131"/>
      <c r="K509" s="131"/>
      <c r="L509" s="131"/>
      <c r="M509" s="131"/>
      <c r="N509" s="43"/>
      <c r="O509" s="51"/>
    </row>
    <row r="510">
      <c r="A510" s="16" t="s">
        <v>60</v>
      </c>
      <c r="B510" s="114" t="str">
        <f>IFERROR(VLOOKUP(A510,Internal_lists_bugs!$A$2:$G2033,7,FALSE()),"please select a BUG ID")</f>
        <v>https://opendev.org/openstack/nova/commit/ce28166dcf25a3d589e6f020b2dfa64705d15126</v>
      </c>
      <c r="C510" s="39" t="str">
        <f>IFERROR(VLOOKUP(A510,Internal_lists_bugs!$A$2:$I2033,9,FALSE()),"please select a BUG ID")</f>
        <v>https://review.opendev.org/c/openstack/nova/+/142282</v>
      </c>
      <c r="D510" s="85"/>
      <c r="E510" s="85"/>
      <c r="F510" s="133"/>
      <c r="G510" s="16" t="s">
        <v>702</v>
      </c>
      <c r="H510" s="108" t="s">
        <v>669</v>
      </c>
      <c r="I510" s="131"/>
      <c r="J510" s="131"/>
      <c r="K510" s="131"/>
      <c r="L510" s="131"/>
      <c r="M510" s="131"/>
      <c r="N510" s="43"/>
      <c r="O510" s="51"/>
    </row>
    <row r="511">
      <c r="A511" s="16" t="s">
        <v>60</v>
      </c>
      <c r="B511" s="114" t="str">
        <f>IFERROR(VLOOKUP(A511,Internal_lists_bugs!$A$2:$G2033,7,FALSE()),"please select a BUG ID")</f>
        <v>https://opendev.org/openstack/nova/commit/ce28166dcf25a3d589e6f020b2dfa64705d15126</v>
      </c>
      <c r="C511" s="39" t="str">
        <f>IFERROR(VLOOKUP(A511,Internal_lists_bugs!$A$2:$I2033,9,FALSE()),"please select a BUG ID")</f>
        <v>https://review.opendev.org/c/openstack/nova/+/142282</v>
      </c>
      <c r="D511" s="85"/>
      <c r="E511" s="85"/>
      <c r="F511" s="133"/>
      <c r="G511" s="16" t="s">
        <v>979</v>
      </c>
      <c r="H511" s="108" t="s">
        <v>828</v>
      </c>
      <c r="I511" s="131"/>
      <c r="J511" s="131"/>
      <c r="K511" s="131"/>
      <c r="L511" s="131"/>
      <c r="M511" s="131"/>
      <c r="N511" s="43"/>
      <c r="O511" s="51"/>
    </row>
    <row r="512">
      <c r="A512" s="16" t="s">
        <v>60</v>
      </c>
      <c r="B512" s="114" t="str">
        <f>IFERROR(VLOOKUP(A512,Internal_lists_bugs!$A$2:$G2033,7,FALSE()),"please select a BUG ID")</f>
        <v>https://opendev.org/openstack/nova/commit/ce28166dcf25a3d589e6f020b2dfa64705d15126</v>
      </c>
      <c r="C512" s="39" t="str">
        <f>IFERROR(VLOOKUP(A512,Internal_lists_bugs!$A$2:$I2033,9,FALSE()),"please select a BUG ID")</f>
        <v>https://review.opendev.org/c/openstack/nova/+/142282</v>
      </c>
      <c r="D512" s="85"/>
      <c r="E512" s="85"/>
      <c r="F512" s="133"/>
      <c r="G512" s="16" t="s">
        <v>672</v>
      </c>
      <c r="H512" s="108" t="s">
        <v>1128</v>
      </c>
      <c r="I512" s="131"/>
      <c r="J512" s="131"/>
      <c r="K512" s="131"/>
      <c r="L512" s="131"/>
      <c r="M512" s="131"/>
      <c r="N512" s="43"/>
      <c r="O512" s="51"/>
    </row>
    <row r="513">
      <c r="A513" s="16" t="s">
        <v>60</v>
      </c>
      <c r="B513" s="114" t="str">
        <f>IFERROR(VLOOKUP(A513,Internal_lists_bugs!$A$2:$G2033,7,FALSE()),"please select a BUG ID")</f>
        <v>https://opendev.org/openstack/nova/commit/ce28166dcf25a3d589e6f020b2dfa64705d15126</v>
      </c>
      <c r="C513" s="39" t="str">
        <f>IFERROR(VLOOKUP(A513,Internal_lists_bugs!$A$2:$I2033,9,FALSE()),"please select a BUG ID")</f>
        <v>https://review.opendev.org/c/openstack/nova/+/142282</v>
      </c>
      <c r="D513" s="85"/>
      <c r="E513" s="85"/>
      <c r="F513" s="133"/>
      <c r="G513" s="16" t="s">
        <v>884</v>
      </c>
      <c r="H513" s="108" t="s">
        <v>659</v>
      </c>
      <c r="I513" s="131"/>
      <c r="J513" s="131"/>
      <c r="K513" s="131"/>
      <c r="L513" s="131"/>
      <c r="M513" s="131"/>
      <c r="N513" s="43"/>
      <c r="O513" s="51"/>
    </row>
    <row r="514">
      <c r="A514" s="16" t="s">
        <v>61</v>
      </c>
      <c r="B514" s="114" t="str">
        <f>IFERROR(VLOOKUP(A514,Internal_lists_bugs!$A$2:$G2033,7,FALSE()),"please select a BUG ID")</f>
        <v>https://opendev.org/openstack/nova/commit/7cef50ad800274cad3d07240cc468d038ce4031b</v>
      </c>
      <c r="C514" s="39" t="str">
        <f>IFERROR(VLOOKUP(A514,Internal_lists_bugs!$A$2:$I2033,9,FALSE()),"please select a BUG ID")</f>
        <v>https://review.opendev.org/c/openstack/nova/+/28774</v>
      </c>
      <c r="D514" s="80" t="s">
        <v>632</v>
      </c>
      <c r="E514" s="85"/>
      <c r="F514" s="130" t="s">
        <v>121</v>
      </c>
      <c r="G514" s="16" t="s">
        <v>652</v>
      </c>
      <c r="H514" s="108" t="s">
        <v>1129</v>
      </c>
      <c r="I514" s="131"/>
      <c r="J514" s="131"/>
      <c r="K514" s="131"/>
      <c r="L514" s="131"/>
      <c r="M514" s="131"/>
      <c r="N514" s="16" t="s">
        <v>634</v>
      </c>
      <c r="O514" s="51"/>
    </row>
    <row r="515">
      <c r="A515" s="16" t="s">
        <v>61</v>
      </c>
      <c r="B515" s="114" t="str">
        <f>IFERROR(VLOOKUP(A515,Internal_lists_bugs!$A$2:$G2033,7,FALSE()),"please select a BUG ID")</f>
        <v>https://opendev.org/openstack/nova/commit/7cef50ad800274cad3d07240cc468d038ce4031b</v>
      </c>
      <c r="C515" s="39" t="str">
        <f>IFERROR(VLOOKUP(A515,Internal_lists_bugs!$A$2:$I2033,9,FALSE()),"please select a BUG ID")</f>
        <v>https://review.opendev.org/c/openstack/nova/+/28774</v>
      </c>
      <c r="D515" s="85"/>
      <c r="E515" s="85"/>
      <c r="F515" s="133"/>
      <c r="G515" s="16" t="s">
        <v>798</v>
      </c>
      <c r="H515" s="108" t="s">
        <v>855</v>
      </c>
      <c r="I515" s="131"/>
      <c r="J515" s="131"/>
      <c r="K515" s="131"/>
      <c r="L515" s="131"/>
      <c r="M515" s="131"/>
      <c r="N515" s="43"/>
      <c r="O515" s="51"/>
    </row>
    <row r="516">
      <c r="A516" s="16" t="s">
        <v>62</v>
      </c>
      <c r="B516" s="114" t="str">
        <f>IFERROR(VLOOKUP(A516,Internal_lists_bugs!$A$2:$G2033,7,FALSE()),"please select a BUG ID")</f>
        <v>https://opendev.org/openstack/nova/commit/ac658aa7d0671fb9b5a0a2c504f4b73dff514da9</v>
      </c>
      <c r="C516" s="39" t="str">
        <f>IFERROR(VLOOKUP(A516,Internal_lists_bugs!$A$2:$I2033,9,FALSE()),"please select a BUG ID")</f>
        <v>https://review.opendev.org/c/openstack/nova/+/17839</v>
      </c>
      <c r="D516" s="80" t="s">
        <v>632</v>
      </c>
      <c r="E516" s="85"/>
      <c r="F516" s="130" t="s">
        <v>121</v>
      </c>
      <c r="G516" s="16" t="s">
        <v>1130</v>
      </c>
      <c r="H516" s="16" t="s">
        <v>123</v>
      </c>
      <c r="I516" s="131"/>
      <c r="J516" s="131"/>
      <c r="K516" s="131"/>
      <c r="L516" s="131"/>
      <c r="M516" s="131"/>
      <c r="N516" s="16" t="s">
        <v>634</v>
      </c>
      <c r="O516" s="51"/>
    </row>
    <row r="517">
      <c r="A517" s="16" t="s">
        <v>62</v>
      </c>
      <c r="B517" s="114" t="str">
        <f>IFERROR(VLOOKUP(A517,Internal_lists_bugs!$A$2:$G2033,7,FALSE()),"please select a BUG ID")</f>
        <v>https://opendev.org/openstack/nova/commit/ac658aa7d0671fb9b5a0a2c504f4b73dff514da9</v>
      </c>
      <c r="C517" s="39" t="str">
        <f>IFERROR(VLOOKUP(A517,Internal_lists_bugs!$A$2:$I2033,9,FALSE()),"please select a BUG ID")</f>
        <v>https://review.opendev.org/c/openstack/nova/+/17839</v>
      </c>
      <c r="D517" s="85"/>
      <c r="E517" s="85"/>
      <c r="F517" s="133"/>
      <c r="G517" s="16" t="s">
        <v>884</v>
      </c>
      <c r="H517" s="108" t="s">
        <v>1131</v>
      </c>
      <c r="I517" s="131"/>
      <c r="J517" s="131"/>
      <c r="K517" s="131"/>
      <c r="L517" s="131"/>
      <c r="M517" s="131"/>
      <c r="N517" s="43"/>
      <c r="O517" s="51"/>
    </row>
    <row r="518">
      <c r="A518" s="16" t="s">
        <v>62</v>
      </c>
      <c r="B518" s="114" t="str">
        <f>IFERROR(VLOOKUP(A518,Internal_lists_bugs!$A$2:$G2033,7,FALSE()),"please select a BUG ID")</f>
        <v>https://opendev.org/openstack/nova/commit/ac658aa7d0671fb9b5a0a2c504f4b73dff514da9</v>
      </c>
      <c r="C518" s="39" t="str">
        <f>IFERROR(VLOOKUP(A518,Internal_lists_bugs!$A$2:$I2033,9,FALSE()),"please select a BUG ID")</f>
        <v>https://review.opendev.org/c/openstack/nova/+/17839</v>
      </c>
      <c r="D518" s="85"/>
      <c r="E518" s="85"/>
      <c r="F518" s="133"/>
      <c r="G518" s="16" t="s">
        <v>652</v>
      </c>
      <c r="H518" s="108" t="s">
        <v>1131</v>
      </c>
      <c r="I518" s="131"/>
      <c r="J518" s="131"/>
      <c r="K518" s="131"/>
      <c r="L518" s="131"/>
      <c r="M518" s="131"/>
      <c r="N518" s="43"/>
      <c r="O518" s="51"/>
    </row>
    <row r="519">
      <c r="A519" s="16" t="s">
        <v>62</v>
      </c>
      <c r="B519" s="114" t="str">
        <f>IFERROR(VLOOKUP(A519,Internal_lists_bugs!$A$2:$G2033,7,FALSE()),"please select a BUG ID")</f>
        <v>https://opendev.org/openstack/nova/commit/ac658aa7d0671fb9b5a0a2c504f4b73dff514da9</v>
      </c>
      <c r="C519" s="39" t="str">
        <f>IFERROR(VLOOKUP(A519,Internal_lists_bugs!$A$2:$I2033,9,FALSE()),"please select a BUG ID")</f>
        <v>https://review.opendev.org/c/openstack/nova/+/17839</v>
      </c>
      <c r="D519" s="85"/>
      <c r="E519" s="85"/>
      <c r="F519" s="133"/>
      <c r="G519" s="16" t="s">
        <v>798</v>
      </c>
      <c r="H519" s="108" t="s">
        <v>1132</v>
      </c>
      <c r="I519" s="131"/>
      <c r="J519" s="131"/>
      <c r="K519" s="131"/>
      <c r="L519" s="131"/>
      <c r="M519" s="131"/>
      <c r="N519" s="43"/>
      <c r="O519" s="51"/>
    </row>
    <row r="520">
      <c r="A520" s="16" t="s">
        <v>68</v>
      </c>
      <c r="B520" s="114" t="str">
        <f>IFERROR(VLOOKUP(A520,Internal_lists_bugs!$A$2:$G2033,7,FALSE()),"please select a BUG ID")</f>
        <v>https://github.com/elastic/elasticsearch/commit/91c4824a0f768f2d3e3651958656384d0735a85e</v>
      </c>
      <c r="C520" s="39" t="str">
        <f>IFERROR(VLOOKUP(A520,Internal_lists_bugs!$A$2:$I2033,9,FALSE()),"please select a BUG ID")</f>
        <v>https://github.com/elastic/elasticsearch/pull/7067</v>
      </c>
      <c r="D520" s="80" t="s">
        <v>1133</v>
      </c>
      <c r="E520" s="85"/>
      <c r="F520" s="130" t="s">
        <v>121</v>
      </c>
      <c r="G520" s="16" t="s">
        <v>1045</v>
      </c>
      <c r="H520" s="16" t="s">
        <v>120</v>
      </c>
      <c r="I520" s="131"/>
      <c r="J520" s="131"/>
      <c r="K520" s="131"/>
      <c r="L520" s="131"/>
      <c r="M520" s="131"/>
      <c r="N520" s="16" t="s">
        <v>634</v>
      </c>
      <c r="O520" s="132">
        <v>7067.0</v>
      </c>
    </row>
    <row r="521">
      <c r="A521" s="16" t="s">
        <v>68</v>
      </c>
      <c r="B521" s="114" t="str">
        <f>IFERROR(VLOOKUP(A521,Internal_lists_bugs!$A$2:$G2033,7,FALSE()),"please select a BUG ID")</f>
        <v>https://github.com/elastic/elasticsearch/commit/91c4824a0f768f2d3e3651958656384d0735a85e</v>
      </c>
      <c r="C521" s="39" t="str">
        <f>IFERROR(VLOOKUP(A521,Internal_lists_bugs!$A$2:$I2033,9,FALSE()),"please select a BUG ID")</f>
        <v>https://github.com/elastic/elasticsearch/pull/7067</v>
      </c>
      <c r="D521" s="85"/>
      <c r="E521" s="85"/>
      <c r="F521" s="133"/>
      <c r="G521" s="16" t="s">
        <v>778</v>
      </c>
      <c r="H521" s="16" t="s">
        <v>129</v>
      </c>
      <c r="I521" s="131"/>
      <c r="J521" s="131"/>
      <c r="K521" s="131"/>
      <c r="L521" s="131"/>
      <c r="M521" s="131"/>
      <c r="N521" s="43"/>
      <c r="O521" s="132">
        <v>7067.0</v>
      </c>
    </row>
    <row r="522">
      <c r="A522" s="16" t="s">
        <v>68</v>
      </c>
      <c r="B522" s="114" t="str">
        <f>IFERROR(VLOOKUP(A522,Internal_lists_bugs!$A$2:$G2033,7,FALSE()),"please select a BUG ID")</f>
        <v>https://github.com/elastic/elasticsearch/commit/91c4824a0f768f2d3e3651958656384d0735a85e</v>
      </c>
      <c r="C522" s="39" t="str">
        <f>IFERROR(VLOOKUP(A522,Internal_lists_bugs!$A$2:$I2033,9,FALSE()),"please select a BUG ID")</f>
        <v>https://github.com/elastic/elasticsearch/pull/7067</v>
      </c>
      <c r="D522" s="85"/>
      <c r="E522" s="85"/>
      <c r="F522" s="133"/>
      <c r="G522" s="16" t="s">
        <v>227</v>
      </c>
      <c r="H522" s="16" t="s">
        <v>131</v>
      </c>
      <c r="I522" s="131"/>
      <c r="J522" s="131"/>
      <c r="K522" s="131"/>
      <c r="L522" s="131"/>
      <c r="M522" s="131"/>
      <c r="N522" s="43"/>
      <c r="O522" s="132">
        <v>7067.0</v>
      </c>
    </row>
    <row r="523">
      <c r="A523" s="15" t="s">
        <v>63</v>
      </c>
      <c r="B523" s="114" t="str">
        <f>IFERROR(VLOOKUP(A523,Internal_lists_bugs!$A$2:$G2033,7,FALSE()),"please select a BUG ID")</f>
        <v>https://github.com/elastic/elasticsearch/commit/e5b041c8efd408fdc71fd2f2c84439e5a4985244</v>
      </c>
      <c r="C523" s="51" t="str">
        <f>IFERROR(VLOOKUP(A523,Internal_lists_bugs!$A$2:$I2033,9,FALSE()),"please select a BUG ID")</f>
        <v/>
      </c>
      <c r="D523" s="85"/>
      <c r="E523" s="85"/>
      <c r="F523" s="133"/>
      <c r="G523" s="43"/>
      <c r="I523" s="131"/>
      <c r="J523" s="131"/>
      <c r="K523" s="131"/>
      <c r="L523" s="131"/>
      <c r="M523" s="131"/>
      <c r="N523" s="43"/>
      <c r="O523" s="51"/>
    </row>
    <row r="524">
      <c r="A524" s="15" t="s">
        <v>64</v>
      </c>
      <c r="B524" s="114" t="str">
        <f>IFERROR(VLOOKUP(A524,Internal_lists_bugs!$A$2:$G2033,7,FALSE()),"please select a BUG ID")</f>
        <v>https://github.com/elastic/elasticsearch/commit/7180636df6dfe6b18bf738ee2285549ea95a8cb9</v>
      </c>
      <c r="C524" s="51" t="str">
        <f>IFERROR(VLOOKUP(A524,Internal_lists_bugs!$A$2:$I2033,9,FALSE()),"please select a BUG ID")</f>
        <v/>
      </c>
      <c r="D524" s="85"/>
      <c r="E524" s="85"/>
      <c r="F524" s="133"/>
      <c r="G524" s="43"/>
      <c r="I524" s="131"/>
      <c r="J524" s="131"/>
      <c r="K524" s="131"/>
      <c r="L524" s="131"/>
      <c r="M524" s="131"/>
      <c r="N524" s="43"/>
      <c r="O524" s="51"/>
    </row>
    <row r="525">
      <c r="A525" s="15" t="s">
        <v>65</v>
      </c>
      <c r="B525" s="114" t="str">
        <f>IFERROR(VLOOKUP(A525,Internal_lists_bugs!$A$2:$G2033,7,FALSE()),"please select a BUG ID")</f>
        <v>https://github.com/elastic/elasticsearch/commit/90a339ad5e4a61e750d0342be6326de46f45bedc</v>
      </c>
      <c r="C525" s="51" t="str">
        <f>IFERROR(VLOOKUP(A525,Internal_lists_bugs!$A$2:$I2033,9,FALSE()),"please select a BUG ID")</f>
        <v/>
      </c>
      <c r="D525" s="85"/>
      <c r="E525" s="85"/>
      <c r="F525" s="133"/>
      <c r="G525" s="43"/>
      <c r="I525" s="131"/>
      <c r="J525" s="131"/>
      <c r="K525" s="131"/>
      <c r="L525" s="131"/>
      <c r="M525" s="131"/>
      <c r="N525" s="43"/>
      <c r="O525" s="51"/>
    </row>
    <row r="526">
      <c r="A526" s="15" t="s">
        <v>66</v>
      </c>
      <c r="B526" s="114" t="str">
        <f>IFERROR(VLOOKUP(A526,Internal_lists_bugs!$A$2:$G2033,7,FALSE()),"please select a BUG ID")</f>
        <v>https://github.com/elastic/elasticsearch/commit/8561f897a984807958a543e378ab01349935a739</v>
      </c>
      <c r="C526" s="51" t="str">
        <f>IFERROR(VLOOKUP(A526,Internal_lists_bugs!$A$2:$I2033,9,FALSE()),"please select a BUG ID")</f>
        <v/>
      </c>
      <c r="D526" s="85"/>
      <c r="E526" s="85"/>
      <c r="F526" s="133"/>
      <c r="G526" s="43"/>
      <c r="I526" s="131"/>
      <c r="J526" s="131"/>
      <c r="K526" s="131"/>
      <c r="L526" s="131"/>
      <c r="M526" s="131"/>
      <c r="N526" s="43"/>
      <c r="O526" s="51"/>
    </row>
    <row r="527">
      <c r="A527" s="15" t="s">
        <v>67</v>
      </c>
      <c r="B527" s="114" t="str">
        <f>IFERROR(VLOOKUP(A527,Internal_lists_bugs!$A$2:$G2033,7,FALSE()),"please select a BUG ID")</f>
        <v>https://github.com/elastic/elasticsearch/commit/03ee0a942df39c01e5e4f4ecb392a746e3d979af</v>
      </c>
      <c r="C527" s="51" t="str">
        <f>IFERROR(VLOOKUP(A527,Internal_lists_bugs!$A$2:$I2033,9,FALSE()),"please select a BUG ID")</f>
        <v/>
      </c>
      <c r="D527" s="85"/>
      <c r="E527" s="85"/>
      <c r="F527" s="133"/>
      <c r="G527" s="43"/>
      <c r="I527" s="131"/>
      <c r="J527" s="131"/>
      <c r="K527" s="131"/>
      <c r="L527" s="131"/>
      <c r="M527" s="131"/>
      <c r="N527" s="43"/>
      <c r="O527" s="51"/>
    </row>
    <row r="528">
      <c r="A528" s="15" t="s">
        <v>69</v>
      </c>
      <c r="B528" s="114" t="str">
        <f>IFERROR(VLOOKUP(A528,Internal_lists_bugs!$A$2:$G2033,7,FALSE()),"please select a BUG ID")</f>
        <v>https://github.com/elastic/elasticsearch/commit/a75adaaaaaa632c036464da8fa24770796f77852</v>
      </c>
      <c r="C528" s="51" t="str">
        <f>IFERROR(VLOOKUP(A528,Internal_lists_bugs!$A$2:$I2033,9,FALSE()),"please select a BUG ID")</f>
        <v/>
      </c>
      <c r="D528" s="85"/>
      <c r="E528" s="85"/>
      <c r="F528" s="133"/>
      <c r="G528" s="43"/>
      <c r="I528" s="131"/>
      <c r="J528" s="131"/>
      <c r="K528" s="131"/>
      <c r="L528" s="131"/>
      <c r="M528" s="131"/>
      <c r="N528" s="43"/>
      <c r="O528" s="51"/>
    </row>
    <row r="529">
      <c r="A529" s="15" t="s">
        <v>70</v>
      </c>
      <c r="B529" s="114" t="str">
        <f>IFERROR(VLOOKUP(A529,Internal_lists_bugs!$A$2:$G2033,7,FALSE()),"please select a BUG ID")</f>
        <v>https://github.com/elastic/elasticsearch/commit/976448e3395609276446e2b8dbeddb046823aa2e</v>
      </c>
      <c r="C529" s="51" t="str">
        <f>IFERROR(VLOOKUP(A529,Internal_lists_bugs!$A$2:$I2033,9,FALSE()),"please select a BUG ID")</f>
        <v/>
      </c>
      <c r="D529" s="85"/>
      <c r="E529" s="85"/>
      <c r="F529" s="133"/>
      <c r="G529" s="43"/>
      <c r="I529" s="131"/>
      <c r="J529" s="131"/>
      <c r="K529" s="131"/>
      <c r="L529" s="131"/>
      <c r="M529" s="131"/>
      <c r="N529" s="43"/>
      <c r="O529" s="51"/>
    </row>
    <row r="530">
      <c r="A530" s="15" t="s">
        <v>71</v>
      </c>
      <c r="B530" s="114" t="str">
        <f>IFERROR(VLOOKUP(A530,Internal_lists_bugs!$A$2:$G2033,7,FALSE()),"please select a BUG ID")</f>
        <v>https://github.com/elastic/elasticsearch/commit/10660d390d760cde78fb115107c04e1cf104a4da</v>
      </c>
      <c r="C530" s="51" t="str">
        <f>IFERROR(VLOOKUP(A530,Internal_lists_bugs!$A$2:$I2033,9,FALSE()),"please select a BUG ID")</f>
        <v/>
      </c>
      <c r="D530" s="85"/>
      <c r="E530" s="85"/>
      <c r="F530" s="133"/>
      <c r="G530" s="43"/>
      <c r="I530" s="131"/>
      <c r="J530" s="131"/>
      <c r="K530" s="131"/>
      <c r="L530" s="131"/>
      <c r="M530" s="131"/>
      <c r="N530" s="43"/>
      <c r="O530" s="51"/>
    </row>
    <row r="531">
      <c r="A531" s="15" t="s">
        <v>72</v>
      </c>
      <c r="B531" s="114" t="str">
        <f>IFERROR(VLOOKUP(A531,Internal_lists_bugs!$A$2:$G2033,7,FALSE()),"please select a BUG ID")</f>
        <v>https://github.com/elastic/elasticsearch/commit/8865e60e936b57feb1a31d23b29ba0b212492766</v>
      </c>
      <c r="C531" s="39" t="str">
        <f>IFERROR(VLOOKUP(A531,Internal_lists_bugs!$A$2:$I2033,9,FALSE()),"please select a BUG ID")</f>
        <v>https://github.com/elastic/elasticsearch/pull/6319</v>
      </c>
      <c r="D531" s="80" t="s">
        <v>1133</v>
      </c>
      <c r="E531" s="85"/>
      <c r="F531" s="130" t="s">
        <v>121</v>
      </c>
      <c r="G531" s="16" t="s">
        <v>1045</v>
      </c>
      <c r="H531" s="16" t="s">
        <v>129</v>
      </c>
      <c r="I531" s="131"/>
      <c r="J531" s="131"/>
      <c r="K531" s="131"/>
      <c r="L531" s="131"/>
      <c r="M531" s="131"/>
      <c r="N531" s="16" t="s">
        <v>1134</v>
      </c>
      <c r="O531" s="132">
        <v>6319.0</v>
      </c>
    </row>
    <row r="532">
      <c r="A532" s="15" t="s">
        <v>72</v>
      </c>
      <c r="B532" s="114" t="str">
        <f>IFERROR(VLOOKUP(A532,Internal_lists_bugs!$A$2:$G2033,7,FALSE()),"please select a BUG ID")</f>
        <v>https://github.com/elastic/elasticsearch/commit/8865e60e936b57feb1a31d23b29ba0b212492766</v>
      </c>
      <c r="C532" s="39" t="str">
        <f>IFERROR(VLOOKUP(A532,Internal_lists_bugs!$A$2:$I2033,9,FALSE()),"please select a BUG ID")</f>
        <v>https://github.com/elastic/elasticsearch/pull/6319</v>
      </c>
      <c r="D532" s="85"/>
      <c r="E532" s="85"/>
      <c r="F532" s="133"/>
      <c r="G532" s="16" t="s">
        <v>1135</v>
      </c>
      <c r="H532" s="16" t="s">
        <v>131</v>
      </c>
      <c r="I532" s="131"/>
      <c r="J532" s="131"/>
      <c r="K532" s="131"/>
      <c r="L532" s="131"/>
      <c r="M532" s="131"/>
      <c r="N532" s="43"/>
      <c r="O532" s="132">
        <v>6319.0</v>
      </c>
    </row>
    <row r="533">
      <c r="A533" s="15" t="s">
        <v>72</v>
      </c>
      <c r="B533" s="114" t="str">
        <f>IFERROR(VLOOKUP(A533,Internal_lists_bugs!$A$2:$G2033,7,FALSE()),"please select a BUG ID")</f>
        <v>https://github.com/elastic/elasticsearch/commit/8865e60e936b57feb1a31d23b29ba0b212492766</v>
      </c>
      <c r="C533" s="39" t="str">
        <f>IFERROR(VLOOKUP(A533,Internal_lists_bugs!$A$2:$I2033,9,FALSE()),"please select a BUG ID")</f>
        <v>https://github.com/elastic/elasticsearch/pull/6319</v>
      </c>
      <c r="D533" s="85"/>
      <c r="E533" s="85"/>
      <c r="F533" s="133"/>
      <c r="G533" s="16" t="s">
        <v>1136</v>
      </c>
      <c r="H533" s="16" t="s">
        <v>131</v>
      </c>
      <c r="I533" s="131"/>
      <c r="J533" s="131"/>
      <c r="K533" s="131"/>
      <c r="L533" s="131"/>
      <c r="M533" s="131"/>
      <c r="N533" s="43"/>
      <c r="O533" s="132">
        <v>6319.0</v>
      </c>
    </row>
    <row r="534">
      <c r="A534" s="15" t="s">
        <v>72</v>
      </c>
      <c r="B534" s="114" t="str">
        <f>IFERROR(VLOOKUP(A534,Internal_lists_bugs!$A$2:$G2033,7,FALSE()),"please select a BUG ID")</f>
        <v>https://github.com/elastic/elasticsearch/commit/8865e60e936b57feb1a31d23b29ba0b212492766</v>
      </c>
      <c r="C534" s="39" t="str">
        <f>IFERROR(VLOOKUP(A534,Internal_lists_bugs!$A$2:$I2033,9,FALSE()),"please select a BUG ID")</f>
        <v>https://github.com/elastic/elasticsearch/pull/6319</v>
      </c>
      <c r="D534" s="85"/>
      <c r="E534" s="85"/>
      <c r="F534" s="133"/>
      <c r="G534" s="16" t="s">
        <v>1137</v>
      </c>
      <c r="H534" s="16" t="s">
        <v>149</v>
      </c>
      <c r="I534" s="131"/>
      <c r="J534" s="131"/>
      <c r="K534" s="131"/>
      <c r="L534" s="131"/>
      <c r="M534" s="131"/>
      <c r="N534" s="43"/>
      <c r="O534" s="132">
        <v>6319.0</v>
      </c>
    </row>
    <row r="535">
      <c r="A535" s="15" t="s">
        <v>73</v>
      </c>
      <c r="B535" s="114" t="str">
        <f>IFERROR(VLOOKUP(A535,Internal_lists_bugs!$A$2:$G2033,7,FALSE()),"please select a BUG ID")</f>
        <v>https://github.com/elastic/elasticsearch/commit/4f5e62e9882b36271280ad4e47e61aba2d7669f1</v>
      </c>
      <c r="C535" s="39" t="str">
        <f>IFERROR(VLOOKUP(A535,Internal_lists_bugs!$A$2:$I2033,9,FALSE()),"please select a BUG ID")</f>
        <v>https://github.com/elastic/elasticsearch/pull/1065</v>
      </c>
      <c r="D535" s="80" t="s">
        <v>1133</v>
      </c>
      <c r="E535" s="85"/>
      <c r="F535" s="130" t="s">
        <v>135</v>
      </c>
      <c r="G535" s="16" t="s">
        <v>1045</v>
      </c>
      <c r="H535" s="16" t="s">
        <v>129</v>
      </c>
      <c r="I535" s="131"/>
      <c r="J535" s="131"/>
      <c r="K535" s="131"/>
      <c r="L535" s="131"/>
      <c r="M535" s="131"/>
      <c r="N535" s="16" t="s">
        <v>634</v>
      </c>
      <c r="O535" s="132">
        <v>1065.0</v>
      </c>
    </row>
    <row r="536">
      <c r="A536" s="15" t="s">
        <v>73</v>
      </c>
      <c r="B536" s="114" t="str">
        <f>IFERROR(VLOOKUP(A536,Internal_lists_bugs!$A$2:$G2033,7,FALSE()),"please select a BUG ID")</f>
        <v>https://github.com/elastic/elasticsearch/commit/4f5e62e9882b36271280ad4e47e61aba2d7669f1</v>
      </c>
      <c r="C536" s="39" t="str">
        <f>IFERROR(VLOOKUP(A536,Internal_lists_bugs!$A$2:$I2033,9,FALSE()),"please select a BUG ID")</f>
        <v>https://github.com/elastic/elasticsearch/pull/1065</v>
      </c>
      <c r="D536" s="85"/>
      <c r="E536" s="85"/>
      <c r="F536" s="133"/>
      <c r="G536" s="16" t="s">
        <v>709</v>
      </c>
      <c r="H536" s="16" t="s">
        <v>131</v>
      </c>
      <c r="I536" s="131"/>
      <c r="J536" s="131"/>
      <c r="K536" s="131"/>
      <c r="L536" s="131"/>
      <c r="M536" s="131"/>
      <c r="N536" s="43"/>
      <c r="O536" s="132">
        <v>1065.0</v>
      </c>
    </row>
    <row r="537">
      <c r="A537" s="15" t="s">
        <v>73</v>
      </c>
      <c r="B537" s="114" t="str">
        <f>IFERROR(VLOOKUP(A537,Internal_lists_bugs!$A$2:$G2033,7,FALSE()),"please select a BUG ID")</f>
        <v>https://github.com/elastic/elasticsearch/commit/4f5e62e9882b36271280ad4e47e61aba2d7669f1</v>
      </c>
      <c r="C537" s="39" t="str">
        <f>IFERROR(VLOOKUP(A537,Internal_lists_bugs!$A$2:$I2033,9,FALSE()),"please select a BUG ID")</f>
        <v>https://github.com/elastic/elasticsearch/pull/1065</v>
      </c>
      <c r="D537" s="85"/>
      <c r="E537" s="85"/>
      <c r="F537" s="133"/>
      <c r="G537" s="16" t="s">
        <v>1138</v>
      </c>
      <c r="H537" s="16" t="s">
        <v>149</v>
      </c>
      <c r="I537" s="131"/>
      <c r="J537" s="131"/>
      <c r="K537" s="131"/>
      <c r="L537" s="131"/>
      <c r="M537" s="131"/>
      <c r="N537" s="43"/>
      <c r="O537" s="132">
        <v>1065.0</v>
      </c>
    </row>
    <row r="538">
      <c r="A538" s="15" t="s">
        <v>73</v>
      </c>
      <c r="B538" s="114" t="str">
        <f>IFERROR(VLOOKUP(A538,Internal_lists_bugs!$A$2:$G2033,7,FALSE()),"please select a BUG ID")</f>
        <v>https://github.com/elastic/elasticsearch/commit/4f5e62e9882b36271280ad4e47e61aba2d7669f1</v>
      </c>
      <c r="C538" s="39" t="str">
        <f>IFERROR(VLOOKUP(A538,Internal_lists_bugs!$A$2:$I2033,9,FALSE()),"please select a BUG ID")</f>
        <v>https://github.com/elastic/elasticsearch/pull/1065</v>
      </c>
      <c r="D538" s="85"/>
      <c r="E538" s="85"/>
      <c r="F538" s="133"/>
      <c r="G538" s="16" t="s">
        <v>1138</v>
      </c>
      <c r="H538" s="16" t="s">
        <v>190</v>
      </c>
      <c r="I538" s="131"/>
      <c r="J538" s="131"/>
      <c r="K538" s="131"/>
      <c r="L538" s="131"/>
      <c r="M538" s="131"/>
      <c r="N538" s="43"/>
      <c r="O538" s="132">
        <v>1065.0</v>
      </c>
    </row>
    <row r="539">
      <c r="A539" s="15" t="s">
        <v>73</v>
      </c>
      <c r="B539" s="114" t="str">
        <f>IFERROR(VLOOKUP(A539,Internal_lists_bugs!$A$2:$G2033,7,FALSE()),"please select a BUG ID")</f>
        <v>https://github.com/elastic/elasticsearch/commit/4f5e62e9882b36271280ad4e47e61aba2d7669f1</v>
      </c>
      <c r="C539" s="39" t="str">
        <f>IFERROR(VLOOKUP(A539,Internal_lists_bugs!$A$2:$I2033,9,FALSE()),"please select a BUG ID")</f>
        <v>https://github.com/elastic/elasticsearch/pull/1065</v>
      </c>
      <c r="D539" s="85"/>
      <c r="E539" s="85"/>
      <c r="F539" s="133"/>
      <c r="G539" s="16" t="s">
        <v>1139</v>
      </c>
      <c r="H539" s="16" t="s">
        <v>191</v>
      </c>
      <c r="I539" s="131"/>
      <c r="J539" s="131"/>
      <c r="K539" s="131"/>
      <c r="L539" s="131"/>
      <c r="M539" s="131"/>
      <c r="N539" s="43"/>
      <c r="O539" s="132">
        <v>1065.0</v>
      </c>
    </row>
    <row r="540">
      <c r="A540" s="15" t="s">
        <v>73</v>
      </c>
      <c r="B540" s="114" t="str">
        <f>IFERROR(VLOOKUP(A540,Internal_lists_bugs!$A$2:$G2033,7,FALSE()),"please select a BUG ID")</f>
        <v>https://github.com/elastic/elasticsearch/commit/4f5e62e9882b36271280ad4e47e61aba2d7669f1</v>
      </c>
      <c r="C540" s="39" t="str">
        <f>IFERROR(VLOOKUP(A540,Internal_lists_bugs!$A$2:$I2033,9,FALSE()),"please select a BUG ID")</f>
        <v>https://github.com/elastic/elasticsearch/pull/1065</v>
      </c>
      <c r="D540" s="85"/>
      <c r="E540" s="85"/>
      <c r="F540" s="133"/>
      <c r="G540" s="16" t="s">
        <v>1140</v>
      </c>
      <c r="H540" s="16" t="s">
        <v>192</v>
      </c>
      <c r="I540" s="131"/>
      <c r="J540" s="131"/>
      <c r="K540" s="131"/>
      <c r="L540" s="131"/>
      <c r="M540" s="131"/>
      <c r="N540" s="43"/>
      <c r="O540" s="132">
        <v>1065.0</v>
      </c>
    </row>
    <row r="541">
      <c r="A541" s="15" t="s">
        <v>74</v>
      </c>
      <c r="B541" s="114" t="str">
        <f>IFERROR(VLOOKUP(A541,Internal_lists_bugs!$A$2:$G2033,7,FALSE()),"please select a BUG ID")</f>
        <v>https://github.com/elastic/elasticsearch/commit/b31b0e979c616251ed75b18a87193bd76b75eff3</v>
      </c>
      <c r="C541" s="51" t="str">
        <f>IFERROR(VLOOKUP(A541,Internal_lists_bugs!$A$2:$I2033,9,FALSE()),"please select a BUG ID")</f>
        <v/>
      </c>
      <c r="D541" s="80"/>
      <c r="E541" s="80"/>
      <c r="F541" s="130"/>
      <c r="G541" s="43"/>
      <c r="I541" s="131"/>
      <c r="J541" s="125"/>
      <c r="K541" s="131"/>
      <c r="L541" s="131"/>
      <c r="M541" s="131"/>
      <c r="N541" s="43"/>
      <c r="O541" s="51"/>
    </row>
    <row r="542">
      <c r="A542" s="15" t="s">
        <v>75</v>
      </c>
      <c r="B542" s="114" t="str">
        <f>IFERROR(VLOOKUP(A542,Internal_lists_bugs!$A$2:$G2033,7,FALSE()),"please select a BUG ID")</f>
        <v>https://github.com/elastic/elasticsearch/commit/4f131dfffbdadf5c5f9c9b7a03f9660233e04f72</v>
      </c>
      <c r="C542" s="39" t="str">
        <f>IFERROR(VLOOKUP(A542,Internal_lists_bugs!$A$2:$I2033,9,FALSE()),"please select a BUG ID")</f>
        <v>https://github.com/elastic/elasticsearch/pull/6319</v>
      </c>
      <c r="D542" s="80" t="s">
        <v>1133</v>
      </c>
      <c r="E542" s="80"/>
      <c r="F542" s="130" t="s">
        <v>121</v>
      </c>
      <c r="G542" s="16" t="s">
        <v>1045</v>
      </c>
      <c r="H542" s="16" t="s">
        <v>129</v>
      </c>
      <c r="I542" s="131"/>
      <c r="J542" s="125"/>
      <c r="K542" s="131"/>
      <c r="L542" s="131"/>
      <c r="M542" s="131"/>
      <c r="N542" s="16" t="s">
        <v>1134</v>
      </c>
      <c r="O542" s="132">
        <v>6319.0</v>
      </c>
    </row>
    <row r="543">
      <c r="A543" s="15" t="s">
        <v>75</v>
      </c>
      <c r="B543" s="114" t="str">
        <f>IFERROR(VLOOKUP(A543,Internal_lists_bugs!$A$2:$G2033,7,FALSE()),"please select a BUG ID")</f>
        <v>https://github.com/elastic/elasticsearch/commit/4f131dfffbdadf5c5f9c9b7a03f9660233e04f72</v>
      </c>
      <c r="C543" s="39" t="str">
        <f>IFERROR(VLOOKUP(A543,Internal_lists_bugs!$A$2:$I2033,9,FALSE()),"please select a BUG ID")</f>
        <v>https://github.com/elastic/elasticsearch/pull/6319</v>
      </c>
      <c r="D543" s="85"/>
      <c r="E543" s="85"/>
      <c r="F543" s="133"/>
      <c r="G543" s="16" t="s">
        <v>1135</v>
      </c>
      <c r="H543" s="16" t="s">
        <v>131</v>
      </c>
      <c r="I543" s="131"/>
      <c r="J543" s="131"/>
      <c r="K543" s="131"/>
      <c r="L543" s="131"/>
      <c r="M543" s="131"/>
      <c r="N543" s="43"/>
      <c r="O543" s="132">
        <v>6319.0</v>
      </c>
    </row>
    <row r="544">
      <c r="A544" s="15" t="s">
        <v>75</v>
      </c>
      <c r="B544" s="114" t="str">
        <f>IFERROR(VLOOKUP(A544,Internal_lists_bugs!$A$2:$G2033,7,FALSE()),"please select a BUG ID")</f>
        <v>https://github.com/elastic/elasticsearch/commit/4f131dfffbdadf5c5f9c9b7a03f9660233e04f72</v>
      </c>
      <c r="C544" s="39" t="str">
        <f>IFERROR(VLOOKUP(A544,Internal_lists_bugs!$A$2:$I2033,9,FALSE()),"please select a BUG ID")</f>
        <v>https://github.com/elastic/elasticsearch/pull/6319</v>
      </c>
      <c r="D544" s="85"/>
      <c r="E544" s="85"/>
      <c r="F544" s="133"/>
      <c r="G544" s="16" t="s">
        <v>1136</v>
      </c>
      <c r="H544" s="16" t="s">
        <v>131</v>
      </c>
      <c r="I544" s="131"/>
      <c r="J544" s="131"/>
      <c r="K544" s="131"/>
      <c r="L544" s="131"/>
      <c r="M544" s="131"/>
      <c r="N544" s="43"/>
      <c r="O544" s="132">
        <v>6319.0</v>
      </c>
    </row>
    <row r="545">
      <c r="A545" s="15" t="s">
        <v>75</v>
      </c>
      <c r="B545" s="114" t="str">
        <f>IFERROR(VLOOKUP(A545,Internal_lists_bugs!$A$2:$G2033,7,FALSE()),"please select a BUG ID")</f>
        <v>https://github.com/elastic/elasticsearch/commit/4f131dfffbdadf5c5f9c9b7a03f9660233e04f72</v>
      </c>
      <c r="C545" s="39" t="str">
        <f>IFERROR(VLOOKUP(A545,Internal_lists_bugs!$A$2:$I2033,9,FALSE()),"please select a BUG ID")</f>
        <v>https://github.com/elastic/elasticsearch/pull/6319</v>
      </c>
      <c r="D545" s="85"/>
      <c r="E545" s="85"/>
      <c r="F545" s="133"/>
      <c r="G545" s="16" t="s">
        <v>1137</v>
      </c>
      <c r="H545" s="16" t="s">
        <v>149</v>
      </c>
      <c r="I545" s="131"/>
      <c r="J545" s="131"/>
      <c r="K545" s="131"/>
      <c r="L545" s="131"/>
      <c r="M545" s="131"/>
      <c r="N545" s="43"/>
      <c r="O545" s="132">
        <v>6319.0</v>
      </c>
    </row>
    <row r="546">
      <c r="A546" s="15" t="s">
        <v>76</v>
      </c>
      <c r="B546" s="114" t="str">
        <f>IFERROR(VLOOKUP(A546,Internal_lists_bugs!$A$2:$G2033,7,FALSE()),"please select a BUG ID")</f>
        <v>https://github.com/elastic/elasticsearch/commit/3d310406b71973e82f94f60b8dab0c90729a579a</v>
      </c>
      <c r="C546" s="51" t="str">
        <f>IFERROR(VLOOKUP(A546,Internal_lists_bugs!$A$2:$I2033,9,FALSE()),"please select a BUG ID")</f>
        <v/>
      </c>
      <c r="D546" s="85"/>
      <c r="E546" s="85"/>
      <c r="F546" s="133"/>
      <c r="G546" s="43"/>
      <c r="I546" s="131"/>
      <c r="J546" s="131"/>
      <c r="K546" s="131"/>
      <c r="L546" s="131"/>
      <c r="M546" s="131"/>
      <c r="N546" s="43"/>
      <c r="O546" s="51"/>
    </row>
    <row r="547">
      <c r="A547" s="15" t="s">
        <v>77</v>
      </c>
      <c r="B547" s="114" t="str">
        <f>IFERROR(VLOOKUP(A547,Internal_lists_bugs!$A$2:$G2033,7,FALSE()),"please select a BUG ID")</f>
        <v>https://github.com/elastic/elasticsearch/commit/3f1472505723866794d875c00bde575d988e120d</v>
      </c>
      <c r="C547" s="51" t="str">
        <f>IFERROR(VLOOKUP(A547,Internal_lists_bugs!$A$2:$I2033,9,FALSE()),"please select a BUG ID")</f>
        <v/>
      </c>
      <c r="D547" s="85"/>
      <c r="E547" s="85"/>
      <c r="F547" s="133"/>
      <c r="G547" s="43"/>
      <c r="I547" s="131"/>
      <c r="J547" s="131"/>
      <c r="K547" s="131"/>
      <c r="L547" s="131"/>
      <c r="M547" s="131"/>
      <c r="N547" s="43"/>
      <c r="O547" s="51"/>
    </row>
    <row r="548">
      <c r="A548" s="15" t="s">
        <v>78</v>
      </c>
      <c r="B548" s="114" t="str">
        <f>IFERROR(VLOOKUP(A548,Internal_lists_bugs!$A$2:$G2033,7,FALSE()),"please select a BUG ID")</f>
        <v>https://github.com/elastic/elasticsearch/commit/e7e1667a26de5472e3419c586682b92c37c6e7d3</v>
      </c>
      <c r="C548" s="51" t="str">
        <f>IFERROR(VLOOKUP(A548,Internal_lists_bugs!$A$2:$I2033,9,FALSE()),"please select a BUG ID")</f>
        <v/>
      </c>
      <c r="D548" s="85"/>
      <c r="E548" s="85"/>
      <c r="F548" s="133"/>
      <c r="G548" s="43"/>
      <c r="I548" s="131"/>
      <c r="J548" s="131"/>
      <c r="K548" s="131"/>
      <c r="L548" s="131"/>
      <c r="M548" s="131"/>
      <c r="N548" s="43"/>
      <c r="O548" s="51"/>
    </row>
    <row r="549">
      <c r="A549" s="15" t="s">
        <v>79</v>
      </c>
      <c r="B549" s="114" t="str">
        <f>IFERROR(VLOOKUP(A549,Internal_lists_bugs!$A$2:$G2033,7,FALSE()),"please select a BUG ID")</f>
        <v>https://github.com/elastic/elasticsearch/commit/e88535a67e9594f3135465b5021ba9b502fef950</v>
      </c>
      <c r="C549" s="51" t="str">
        <f>IFERROR(VLOOKUP(A549,Internal_lists_bugs!$A$2:$I2033,9,FALSE()),"please select a BUG ID")</f>
        <v/>
      </c>
      <c r="D549" s="85"/>
      <c r="E549" s="85"/>
      <c r="F549" s="133"/>
      <c r="G549" s="43"/>
      <c r="I549" s="131"/>
      <c r="J549" s="131"/>
      <c r="K549" s="131"/>
      <c r="L549" s="131"/>
      <c r="M549" s="131"/>
      <c r="N549" s="43"/>
      <c r="O549" s="51"/>
    </row>
    <row r="550">
      <c r="A550" s="15" t="s">
        <v>80</v>
      </c>
      <c r="B550" s="114" t="str">
        <f>IFERROR(VLOOKUP(A550,Internal_lists_bugs!$A$2:$G2033,7,FALSE()),"please select a BUG ID")</f>
        <v>https://github.com/elastic/elasticsearch/commit/bc20f068c9c62b69260f3b24adaaf9fb3ff3d371</v>
      </c>
      <c r="C550" s="51" t="str">
        <f>IFERROR(VLOOKUP(A550,Internal_lists_bugs!$A$2:$I2033,9,FALSE()),"please select a BUG ID")</f>
        <v/>
      </c>
      <c r="D550" s="85"/>
      <c r="E550" s="85"/>
      <c r="F550" s="133"/>
      <c r="G550" s="43"/>
      <c r="I550" s="131"/>
      <c r="J550" s="131"/>
      <c r="K550" s="131"/>
      <c r="L550" s="131"/>
      <c r="M550" s="131"/>
      <c r="N550" s="43"/>
      <c r="O550" s="51"/>
    </row>
    <row r="551">
      <c r="A551" s="15" t="s">
        <v>81</v>
      </c>
      <c r="B551" s="114" t="str">
        <f>IFERROR(VLOOKUP(A551,Internal_lists_bugs!$A$2:$G2033,7,FALSE()),"please select a BUG ID")</f>
        <v>https://github.com/elastic/elasticsearch/commit/459d59a04ad4eb1671bac50a6faf3a7ad372d0e4</v>
      </c>
      <c r="C551" s="51" t="str">
        <f>IFERROR(VLOOKUP(A551,Internal_lists_bugs!$A$2:$I2033,9,FALSE()),"please select a BUG ID")</f>
        <v/>
      </c>
      <c r="D551" s="85"/>
      <c r="E551" s="85"/>
      <c r="F551" s="133"/>
      <c r="G551" s="43"/>
      <c r="I551" s="131"/>
      <c r="J551" s="131"/>
      <c r="K551" s="131"/>
      <c r="L551" s="131"/>
      <c r="M551" s="131"/>
      <c r="N551" s="43"/>
      <c r="O551" s="51"/>
    </row>
    <row r="552">
      <c r="A552" s="15" t="s">
        <v>82</v>
      </c>
      <c r="B552" s="114" t="str">
        <f>IFERROR(VLOOKUP(A552,Internal_lists_bugs!$A$2:$G2033,7,FALSE()),"please select a BUG ID")</f>
        <v>https://github.com/elastic/elasticsearch/commit/2ea7423f3ac68578a81d92f50b6484cf1db2203d</v>
      </c>
      <c r="C552" s="51" t="str">
        <f>IFERROR(VLOOKUP(A552,Internal_lists_bugs!$A$2:$I2033,9,FALSE()),"please select a BUG ID")</f>
        <v/>
      </c>
      <c r="D552" s="85"/>
      <c r="E552" s="85"/>
      <c r="F552" s="133"/>
      <c r="G552" s="43"/>
      <c r="I552" s="131"/>
      <c r="J552" s="131"/>
      <c r="K552" s="131"/>
      <c r="L552" s="131"/>
      <c r="M552" s="131"/>
      <c r="N552" s="43"/>
      <c r="O552" s="51"/>
    </row>
    <row r="553">
      <c r="A553" s="15" t="s">
        <v>83</v>
      </c>
      <c r="B553" s="114" t="str">
        <f>IFERROR(VLOOKUP(A553,Internal_lists_bugs!$A$2:$G2033,7,FALSE()),"please select a BUG ID")</f>
        <v>https://github.com/elastic/elasticsearch/commit/aa68667d636d61b0cc67810e1e2489d1246e9af6</v>
      </c>
      <c r="C553" s="51" t="str">
        <f>IFERROR(VLOOKUP(A553,Internal_lists_bugs!$A$2:$I2033,9,FALSE()),"please select a BUG ID")</f>
        <v/>
      </c>
      <c r="D553" s="85"/>
      <c r="E553" s="85"/>
      <c r="F553" s="133"/>
      <c r="G553" s="43"/>
      <c r="I553" s="131"/>
      <c r="J553" s="131"/>
      <c r="K553" s="131"/>
      <c r="L553" s="131"/>
      <c r="M553" s="131"/>
      <c r="N553" s="43"/>
      <c r="O553" s="51"/>
    </row>
    <row r="554">
      <c r="A554" s="15" t="s">
        <v>84</v>
      </c>
      <c r="B554" s="114" t="str">
        <f>IFERROR(VLOOKUP(A554,Internal_lists_bugs!$A$2:$G2033,7,FALSE()),"please select a BUG ID")</f>
        <v>https://github.com/elastic/elasticsearch/commit/567cf6b5c3bbc4486b0472c8abe588ab6215637c</v>
      </c>
      <c r="C554" s="51" t="str">
        <f>IFERROR(VLOOKUP(A554,Internal_lists_bugs!$A$2:$I2033,9,FALSE()),"please select a BUG ID")</f>
        <v/>
      </c>
      <c r="D554" s="85"/>
      <c r="E554" s="85"/>
      <c r="F554" s="133"/>
      <c r="G554" s="43"/>
      <c r="I554" s="131"/>
      <c r="J554" s="131"/>
      <c r="K554" s="131"/>
      <c r="L554" s="131"/>
      <c r="M554" s="131"/>
      <c r="N554" s="43"/>
      <c r="O554" s="51"/>
    </row>
    <row r="555">
      <c r="A555" s="15" t="s">
        <v>85</v>
      </c>
      <c r="B555" s="114" t="str">
        <f>IFERROR(VLOOKUP(A555,Internal_lists_bugs!$A$2:$G2033,7,FALSE()),"please select a BUG ID")</f>
        <v>https://github.com/elastic/elasticsearch/commit/8587f1611912c6633b72909939e91d226575dd90</v>
      </c>
      <c r="C555" s="39" t="str">
        <f>IFERROR(VLOOKUP(A555,Internal_lists_bugs!$A$2:$I2033,9,FALSE()),"please select a BUG ID")</f>
        <v>https://github.com/elastic/elasticsearch/pull/639</v>
      </c>
      <c r="D555" s="80" t="s">
        <v>1133</v>
      </c>
      <c r="E555" s="85"/>
      <c r="F555" s="130" t="s">
        <v>121</v>
      </c>
      <c r="G555" s="16" t="s">
        <v>1045</v>
      </c>
      <c r="H555" s="16" t="s">
        <v>120</v>
      </c>
      <c r="I555" s="131"/>
      <c r="J555" s="131"/>
      <c r="K555" s="131"/>
      <c r="L555" s="131"/>
      <c r="M555" s="131"/>
      <c r="N555" s="16" t="s">
        <v>634</v>
      </c>
      <c r="O555" s="132">
        <v>639.0</v>
      </c>
    </row>
    <row r="556">
      <c r="A556" s="15" t="s">
        <v>86</v>
      </c>
      <c r="B556" s="114" t="str">
        <f>IFERROR(VLOOKUP(A556,Internal_lists_bugs!$A$2:$G2033,7,FALSE()),"please select a BUG ID")</f>
        <v>https://github.com/elastic/elasticsearch/commit/c55341bf515fec6d4135cee8a6e9a7a9764da17f</v>
      </c>
      <c r="C556" s="51" t="str">
        <f>IFERROR(VLOOKUP(A556,Internal_lists_bugs!$A$2:$I2033,9,FALSE()),"please select a BUG ID")</f>
        <v/>
      </c>
      <c r="D556" s="85"/>
      <c r="E556" s="85"/>
      <c r="F556" s="133"/>
      <c r="G556" s="43"/>
      <c r="I556" s="131"/>
      <c r="J556" s="131"/>
      <c r="K556" s="131"/>
      <c r="L556" s="131"/>
      <c r="M556" s="131"/>
      <c r="N556" s="43"/>
      <c r="O556" s="51"/>
    </row>
    <row r="557">
      <c r="A557" s="15" t="s">
        <v>87</v>
      </c>
      <c r="B557" s="114" t="str">
        <f>IFERROR(VLOOKUP(A557,Internal_lists_bugs!$A$2:$G2033,7,FALSE()),"please select a BUG ID")</f>
        <v>https://github.com/elastic/elasticsearch/commit/7a38e384c9ff783f17e9db92a730bdf654dbda6b</v>
      </c>
      <c r="C557" s="51" t="str">
        <f>IFERROR(VLOOKUP(A557,Internal_lists_bugs!$A$2:$I2033,9,FALSE()),"please select a BUG ID")</f>
        <v/>
      </c>
      <c r="D557" s="85"/>
      <c r="E557" s="85"/>
      <c r="F557" s="133"/>
      <c r="G557" s="43"/>
      <c r="I557" s="131"/>
      <c r="J557" s="131"/>
      <c r="K557" s="131"/>
      <c r="L557" s="131"/>
      <c r="M557" s="131"/>
      <c r="N557" s="43"/>
      <c r="O557" s="51"/>
    </row>
    <row r="558">
      <c r="A558" s="15" t="s">
        <v>88</v>
      </c>
      <c r="B558" s="114" t="str">
        <f>IFERROR(VLOOKUP(A558,Internal_lists_bugs!$A$2:$G2033,7,FALSE()),"please select a BUG ID")</f>
        <v>https://github.com/elastic/elasticsearch/commit/1f30681a84fcafe9cf6e6b8a2801ea1791b9edc0</v>
      </c>
      <c r="C558" s="51" t="str">
        <f>IFERROR(VLOOKUP(A558,Internal_lists_bugs!$A$2:$I2033,9,FALSE()),"please select a BUG ID")</f>
        <v/>
      </c>
      <c r="D558" s="85"/>
      <c r="E558" s="85"/>
      <c r="F558" s="133"/>
      <c r="G558" s="43"/>
      <c r="I558" s="131"/>
      <c r="J558" s="131"/>
      <c r="K558" s="131"/>
      <c r="L558" s="131"/>
      <c r="M558" s="131"/>
      <c r="N558" s="43"/>
      <c r="O558" s="51"/>
    </row>
    <row r="559">
      <c r="A559" s="15" t="s">
        <v>89</v>
      </c>
      <c r="B559" s="114" t="str">
        <f>IFERROR(VLOOKUP(A559,Internal_lists_bugs!$A$2:$G2033,7,FALSE()),"please select a BUG ID")</f>
        <v>https://github.com/elastic/elasticsearch/commit/8285ffe22175bf4592e79bb881a6451741ccdac8</v>
      </c>
      <c r="C559" s="51" t="str">
        <f>IFERROR(VLOOKUP(A559,Internal_lists_bugs!$A$2:$I2033,9,FALSE()),"please select a BUG ID")</f>
        <v/>
      </c>
      <c r="D559" s="85"/>
      <c r="E559" s="85"/>
      <c r="F559" s="133"/>
      <c r="G559" s="43"/>
      <c r="I559" s="131"/>
      <c r="J559" s="131"/>
      <c r="K559" s="131"/>
      <c r="L559" s="131"/>
      <c r="M559" s="131"/>
      <c r="N559" s="43"/>
      <c r="O559" s="51"/>
    </row>
    <row r="560">
      <c r="A560" s="15" t="s">
        <v>90</v>
      </c>
      <c r="B560" s="114" t="str">
        <f>IFERROR(VLOOKUP(A560,Internal_lists_bugs!$A$2:$G2033,7,FALSE()),"please select a BUG ID")</f>
        <v>https://github.com/elastic/elasticsearch/commit/bb49554c33b310e0e615c12befe8846a7d27c951</v>
      </c>
      <c r="C560" s="51" t="str">
        <f>IFERROR(VLOOKUP(A560,Internal_lists_bugs!$A$2:$I2033,9,FALSE()),"please select a BUG ID")</f>
        <v/>
      </c>
      <c r="D560" s="85"/>
      <c r="E560" s="85"/>
      <c r="F560" s="133"/>
      <c r="G560" s="43"/>
      <c r="I560" s="131"/>
      <c r="J560" s="131"/>
      <c r="K560" s="131"/>
      <c r="L560" s="131"/>
      <c r="M560" s="131"/>
      <c r="N560" s="43"/>
      <c r="O560" s="51"/>
    </row>
    <row r="561">
      <c r="A561" s="15" t="s">
        <v>91</v>
      </c>
      <c r="B561" s="114" t="str">
        <f>IFERROR(VLOOKUP(A561,Internal_lists_bugs!$A$2:$G2033,7,FALSE()),"please select a BUG ID")</f>
        <v>https://github.com/elastic/elasticsearch/commit/4088236cf75b793c7a2a80f5f7be5b326b607378</v>
      </c>
      <c r="C561" s="39" t="str">
        <f>IFERROR(VLOOKUP(A561,Internal_lists_bugs!$A$2:$I2033,9,FALSE()),"please select a BUG ID")</f>
        <v>https://github.com/elastic/elasticsearch/pull/1258</v>
      </c>
      <c r="D561" s="80" t="s">
        <v>1133</v>
      </c>
      <c r="E561" s="85"/>
      <c r="F561" s="130" t="s">
        <v>135</v>
      </c>
      <c r="G561" s="16" t="s">
        <v>1045</v>
      </c>
      <c r="H561" s="16" t="s">
        <v>129</v>
      </c>
      <c r="I561" s="131"/>
      <c r="J561" s="131"/>
      <c r="K561" s="131"/>
      <c r="L561" s="131"/>
      <c r="M561" s="131"/>
      <c r="N561" s="16" t="s">
        <v>634</v>
      </c>
      <c r="O561" s="132">
        <v>1258.0</v>
      </c>
    </row>
    <row r="562">
      <c r="A562" s="15" t="s">
        <v>91</v>
      </c>
      <c r="B562" s="114" t="str">
        <f>IFERROR(VLOOKUP(A562,Internal_lists_bugs!$A$2:$G2033,7,FALSE()),"please select a BUG ID")</f>
        <v>https://github.com/elastic/elasticsearch/commit/4088236cf75b793c7a2a80f5f7be5b326b607378</v>
      </c>
      <c r="C562" s="39" t="str">
        <f>IFERROR(VLOOKUP(A562,Internal_lists_bugs!$A$2:$I2033,9,FALSE()),"please select a BUG ID")</f>
        <v>https://github.com/elastic/elasticsearch/pull/1258</v>
      </c>
      <c r="D562" s="85"/>
      <c r="E562" s="85"/>
      <c r="F562" s="133"/>
      <c r="G562" s="16" t="s">
        <v>1141</v>
      </c>
      <c r="H562" s="16" t="s">
        <v>129</v>
      </c>
      <c r="I562" s="131"/>
      <c r="J562" s="131"/>
      <c r="K562" s="131"/>
      <c r="L562" s="131"/>
      <c r="M562" s="131"/>
      <c r="N562" s="43"/>
      <c r="O562" s="132">
        <v>1258.0</v>
      </c>
    </row>
    <row r="563">
      <c r="A563" s="15" t="s">
        <v>91</v>
      </c>
      <c r="B563" s="114" t="str">
        <f>IFERROR(VLOOKUP(A563,Internal_lists_bugs!$A$2:$G2033,7,FALSE()),"please select a BUG ID")</f>
        <v>https://github.com/elastic/elasticsearch/commit/4088236cf75b793c7a2a80f5f7be5b326b607378</v>
      </c>
      <c r="C563" s="39" t="str">
        <f>IFERROR(VLOOKUP(A563,Internal_lists_bugs!$A$2:$I2033,9,FALSE()),"please select a BUG ID")</f>
        <v>https://github.com/elastic/elasticsearch/pull/1258</v>
      </c>
      <c r="D563" s="85"/>
      <c r="E563" s="85"/>
      <c r="F563" s="133"/>
      <c r="G563" s="16" t="s">
        <v>1142</v>
      </c>
      <c r="H563" s="16" t="s">
        <v>131</v>
      </c>
      <c r="I563" s="131"/>
      <c r="J563" s="131"/>
      <c r="K563" s="131"/>
      <c r="L563" s="131"/>
      <c r="M563" s="131"/>
      <c r="N563" s="43"/>
      <c r="O563" s="132">
        <v>1258.0</v>
      </c>
    </row>
    <row r="564">
      <c r="A564" s="15" t="s">
        <v>91</v>
      </c>
      <c r="B564" s="114" t="str">
        <f>IFERROR(VLOOKUP(A564,Internal_lists_bugs!$A$2:$G2033,7,FALSE()),"please select a BUG ID")</f>
        <v>https://github.com/elastic/elasticsearch/commit/4088236cf75b793c7a2a80f5f7be5b326b607378</v>
      </c>
      <c r="C564" s="39" t="str">
        <f>IFERROR(VLOOKUP(A564,Internal_lists_bugs!$A$2:$I2033,9,FALSE()),"please select a BUG ID")</f>
        <v>https://github.com/elastic/elasticsearch/pull/1258</v>
      </c>
      <c r="D564" s="85"/>
      <c r="E564" s="85"/>
      <c r="F564" s="133"/>
      <c r="G564" s="16" t="s">
        <v>1143</v>
      </c>
      <c r="H564" s="16" t="s">
        <v>131</v>
      </c>
      <c r="I564" s="131"/>
      <c r="J564" s="131"/>
      <c r="K564" s="131"/>
      <c r="L564" s="131"/>
      <c r="M564" s="131"/>
      <c r="N564" s="43"/>
      <c r="O564" s="132">
        <v>1258.0</v>
      </c>
    </row>
    <row r="565">
      <c r="A565" s="15" t="s">
        <v>91</v>
      </c>
      <c r="B565" s="114" t="str">
        <f>IFERROR(VLOOKUP(A565,Internal_lists_bugs!$A$2:$G2033,7,FALSE()),"please select a BUG ID")</f>
        <v>https://github.com/elastic/elasticsearch/commit/4088236cf75b793c7a2a80f5f7be5b326b607378</v>
      </c>
      <c r="C565" s="39" t="str">
        <f>IFERROR(VLOOKUP(A565,Internal_lists_bugs!$A$2:$I2033,9,FALSE()),"please select a BUG ID")</f>
        <v>https://github.com/elastic/elasticsearch/pull/1258</v>
      </c>
      <c r="D565" s="85"/>
      <c r="E565" s="85"/>
      <c r="F565" s="133"/>
      <c r="G565" s="16" t="s">
        <v>1144</v>
      </c>
      <c r="H565" s="16" t="s">
        <v>149</v>
      </c>
      <c r="I565" s="131"/>
      <c r="J565" s="131"/>
      <c r="K565" s="131"/>
      <c r="L565" s="131"/>
      <c r="M565" s="131"/>
      <c r="N565" s="43"/>
      <c r="O565" s="132">
        <v>1258.0</v>
      </c>
    </row>
    <row r="566">
      <c r="A566" s="15" t="s">
        <v>91</v>
      </c>
      <c r="B566" s="114" t="str">
        <f>IFERROR(VLOOKUP(A566,Internal_lists_bugs!$A$2:$G2033,7,FALSE()),"please select a BUG ID")</f>
        <v>https://github.com/elastic/elasticsearch/commit/4088236cf75b793c7a2a80f5f7be5b326b607378</v>
      </c>
      <c r="C566" s="39" t="str">
        <f>IFERROR(VLOOKUP(A566,Internal_lists_bugs!$A$2:$I2033,9,FALSE()),"please select a BUG ID")</f>
        <v>https://github.com/elastic/elasticsearch/pull/1258</v>
      </c>
      <c r="D566" s="85"/>
      <c r="E566" s="85"/>
      <c r="F566" s="133"/>
      <c r="G566" s="16" t="s">
        <v>1145</v>
      </c>
      <c r="H566" s="16" t="s">
        <v>190</v>
      </c>
      <c r="I566" s="131"/>
      <c r="J566" s="131"/>
      <c r="K566" s="131"/>
      <c r="L566" s="131"/>
      <c r="M566" s="131"/>
      <c r="N566" s="43"/>
      <c r="O566" s="132">
        <v>1258.0</v>
      </c>
    </row>
    <row r="567">
      <c r="A567" s="15" t="s">
        <v>91</v>
      </c>
      <c r="B567" s="114" t="str">
        <f>IFERROR(VLOOKUP(A567,Internal_lists_bugs!$A$2:$G2033,7,FALSE()),"please select a BUG ID")</f>
        <v>https://github.com/elastic/elasticsearch/commit/4088236cf75b793c7a2a80f5f7be5b326b607378</v>
      </c>
      <c r="C567" s="39" t="str">
        <f>IFERROR(VLOOKUP(A567,Internal_lists_bugs!$A$2:$I2033,9,FALSE()),"please select a BUG ID")</f>
        <v>https://github.com/elastic/elasticsearch/pull/1258</v>
      </c>
      <c r="D567" s="85"/>
      <c r="E567" s="85"/>
      <c r="F567" s="133"/>
      <c r="G567" s="16" t="s">
        <v>1146</v>
      </c>
      <c r="H567" s="16" t="s">
        <v>191</v>
      </c>
      <c r="I567" s="131"/>
      <c r="J567" s="131"/>
      <c r="K567" s="131"/>
      <c r="L567" s="131"/>
      <c r="M567" s="131"/>
      <c r="N567" s="43"/>
      <c r="O567" s="132">
        <v>1258.0</v>
      </c>
    </row>
    <row r="568">
      <c r="A568" s="15" t="s">
        <v>91</v>
      </c>
      <c r="B568" s="114" t="str">
        <f>IFERROR(VLOOKUP(A568,Internal_lists_bugs!$A$2:$G2033,7,FALSE()),"please select a BUG ID")</f>
        <v>https://github.com/elastic/elasticsearch/commit/4088236cf75b793c7a2a80f5f7be5b326b607378</v>
      </c>
      <c r="C568" s="39" t="str">
        <f>IFERROR(VLOOKUP(A568,Internal_lists_bugs!$A$2:$I2033,9,FALSE()),"please select a BUG ID")</f>
        <v>https://github.com/elastic/elasticsearch/pull/1258</v>
      </c>
      <c r="D568" s="85"/>
      <c r="E568" s="85"/>
      <c r="F568" s="133"/>
      <c r="G568" s="16" t="s">
        <v>1147</v>
      </c>
      <c r="H568" s="16" t="s">
        <v>192</v>
      </c>
      <c r="I568" s="131"/>
      <c r="J568" s="131"/>
      <c r="K568" s="131"/>
      <c r="L568" s="131"/>
      <c r="M568" s="131"/>
      <c r="N568" s="43"/>
      <c r="O568" s="132">
        <v>1258.0</v>
      </c>
    </row>
    <row r="569">
      <c r="A569" s="15" t="s">
        <v>91</v>
      </c>
      <c r="B569" s="114" t="str">
        <f>IFERROR(VLOOKUP(A569,Internal_lists_bugs!$A$2:$G2033,7,FALSE()),"please select a BUG ID")</f>
        <v>https://github.com/elastic/elasticsearch/commit/4088236cf75b793c7a2a80f5f7be5b326b607378</v>
      </c>
      <c r="C569" s="39" t="str">
        <f>IFERROR(VLOOKUP(A569,Internal_lists_bugs!$A$2:$I2033,9,FALSE()),"please select a BUG ID")</f>
        <v>https://github.com/elastic/elasticsearch/pull/1258</v>
      </c>
      <c r="D569" s="85"/>
      <c r="E569" s="85"/>
      <c r="F569" s="133"/>
      <c r="G569" s="16" t="s">
        <v>1142</v>
      </c>
      <c r="H569" s="16" t="s">
        <v>218</v>
      </c>
      <c r="I569" s="131"/>
      <c r="J569" s="131"/>
      <c r="K569" s="131"/>
      <c r="L569" s="131"/>
      <c r="M569" s="131"/>
      <c r="N569" s="43"/>
      <c r="O569" s="132">
        <v>1258.0</v>
      </c>
    </row>
    <row r="570">
      <c r="A570" s="15" t="s">
        <v>91</v>
      </c>
      <c r="B570" s="114" t="str">
        <f>IFERROR(VLOOKUP(A570,Internal_lists_bugs!$A$2:$G2033,7,FALSE()),"please select a BUG ID")</f>
        <v>https://github.com/elastic/elasticsearch/commit/4088236cf75b793c7a2a80f5f7be5b326b607378</v>
      </c>
      <c r="C570" s="39" t="str">
        <f>IFERROR(VLOOKUP(A570,Internal_lists_bugs!$A$2:$I2033,9,FALSE()),"please select a BUG ID")</f>
        <v>https://github.com/elastic/elasticsearch/pull/1258</v>
      </c>
      <c r="D570" s="85"/>
      <c r="E570" s="85"/>
      <c r="F570" s="133"/>
      <c r="G570" s="16" t="s">
        <v>989</v>
      </c>
      <c r="H570" s="16" t="s">
        <v>219</v>
      </c>
      <c r="I570" s="131"/>
      <c r="J570" s="131"/>
      <c r="K570" s="131"/>
      <c r="L570" s="131"/>
      <c r="M570" s="131"/>
      <c r="N570" s="43"/>
      <c r="O570" s="132">
        <v>1258.0</v>
      </c>
    </row>
    <row r="571">
      <c r="A571" s="15" t="s">
        <v>91</v>
      </c>
      <c r="B571" s="114" t="str">
        <f>IFERROR(VLOOKUP(A571,Internal_lists_bugs!$A$2:$G2033,7,FALSE()),"please select a BUG ID")</f>
        <v>https://github.com/elastic/elasticsearch/commit/4088236cf75b793c7a2a80f5f7be5b326b607378</v>
      </c>
      <c r="C571" s="39" t="str">
        <f>IFERROR(VLOOKUP(A571,Internal_lists_bugs!$A$2:$I2033,9,FALSE()),"please select a BUG ID")</f>
        <v>https://github.com/elastic/elasticsearch/pull/1258</v>
      </c>
      <c r="D571" s="85"/>
      <c r="E571" s="85"/>
      <c r="F571" s="133"/>
      <c r="G571" s="16" t="s">
        <v>1146</v>
      </c>
      <c r="H571" s="16" t="s">
        <v>220</v>
      </c>
      <c r="I571" s="131"/>
      <c r="J571" s="131"/>
      <c r="K571" s="131"/>
      <c r="L571" s="131"/>
      <c r="M571" s="131"/>
      <c r="N571" s="43"/>
      <c r="O571" s="132">
        <v>1258.0</v>
      </c>
    </row>
    <row r="572">
      <c r="A572" s="15" t="s">
        <v>91</v>
      </c>
      <c r="B572" s="114" t="str">
        <f>IFERROR(VLOOKUP(A572,Internal_lists_bugs!$A$2:$G2033,7,FALSE()),"please select a BUG ID")</f>
        <v>https://github.com/elastic/elasticsearch/commit/4088236cf75b793c7a2a80f5f7be5b326b607378</v>
      </c>
      <c r="C572" s="39" t="str">
        <f>IFERROR(VLOOKUP(A572,Internal_lists_bugs!$A$2:$I2033,9,FALSE()),"please select a BUG ID")</f>
        <v>https://github.com/elastic/elasticsearch/pull/1258</v>
      </c>
      <c r="D572" s="85"/>
      <c r="E572" s="85"/>
      <c r="F572" s="133"/>
      <c r="G572" s="16" t="s">
        <v>1148</v>
      </c>
      <c r="H572" s="16" t="s">
        <v>220</v>
      </c>
      <c r="I572" s="131"/>
      <c r="J572" s="131"/>
      <c r="K572" s="131"/>
      <c r="L572" s="131"/>
      <c r="M572" s="131"/>
      <c r="N572" s="43"/>
      <c r="O572" s="132">
        <v>1258.0</v>
      </c>
    </row>
    <row r="573">
      <c r="A573" s="15" t="s">
        <v>91</v>
      </c>
      <c r="B573" s="114" t="str">
        <f>IFERROR(VLOOKUP(A573,Internal_lists_bugs!$A$2:$G2033,7,FALSE()),"please select a BUG ID")</f>
        <v>https://github.com/elastic/elasticsearch/commit/4088236cf75b793c7a2a80f5f7be5b326b607378</v>
      </c>
      <c r="C573" s="39" t="str">
        <f>IFERROR(VLOOKUP(A573,Internal_lists_bugs!$A$2:$I2033,9,FALSE()),"please select a BUG ID")</f>
        <v>https://github.com/elastic/elasticsearch/pull/1258</v>
      </c>
      <c r="D573" s="85"/>
      <c r="E573" s="85"/>
      <c r="F573" s="133"/>
      <c r="G573" s="16" t="s">
        <v>1149</v>
      </c>
      <c r="H573" s="16" t="s">
        <v>222</v>
      </c>
      <c r="I573" s="131"/>
      <c r="J573" s="131"/>
      <c r="K573" s="131"/>
      <c r="L573" s="131"/>
      <c r="M573" s="131"/>
      <c r="N573" s="43"/>
      <c r="O573" s="132">
        <v>1258.0</v>
      </c>
    </row>
    <row r="574">
      <c r="A574" s="15" t="s">
        <v>91</v>
      </c>
      <c r="B574" s="114" t="str">
        <f>IFERROR(VLOOKUP(A574,Internal_lists_bugs!$A$2:$G2033,7,FALSE()),"please select a BUG ID")</f>
        <v>https://github.com/elastic/elasticsearch/commit/4088236cf75b793c7a2a80f5f7be5b326b607378</v>
      </c>
      <c r="C574" s="39" t="str">
        <f>IFERROR(VLOOKUP(A574,Internal_lists_bugs!$A$2:$I2033,9,FALSE()),"please select a BUG ID")</f>
        <v>https://github.com/elastic/elasticsearch/pull/1258</v>
      </c>
      <c r="D574" s="85"/>
      <c r="E574" s="85"/>
      <c r="F574" s="133"/>
      <c r="G574" s="16" t="s">
        <v>1150</v>
      </c>
      <c r="H574" s="16" t="s">
        <v>222</v>
      </c>
      <c r="I574" s="131"/>
      <c r="J574" s="131"/>
      <c r="K574" s="131"/>
      <c r="L574" s="131"/>
      <c r="M574" s="131"/>
      <c r="N574" s="43"/>
      <c r="O574" s="132">
        <v>1258.0</v>
      </c>
    </row>
    <row r="575">
      <c r="A575" s="15" t="s">
        <v>91</v>
      </c>
      <c r="B575" s="114" t="str">
        <f>IFERROR(VLOOKUP(A575,Internal_lists_bugs!$A$2:$G2033,7,FALSE()),"please select a BUG ID")</f>
        <v>https://github.com/elastic/elasticsearch/commit/4088236cf75b793c7a2a80f5f7be5b326b607378</v>
      </c>
      <c r="C575" s="39" t="str">
        <f>IFERROR(VLOOKUP(A575,Internal_lists_bugs!$A$2:$I2033,9,FALSE()),"please select a BUG ID")</f>
        <v>https://github.com/elastic/elasticsearch/pull/1258</v>
      </c>
      <c r="D575" s="85"/>
      <c r="E575" s="85"/>
      <c r="F575" s="133"/>
      <c r="G575" s="16" t="s">
        <v>1151</v>
      </c>
      <c r="H575" s="16" t="s">
        <v>222</v>
      </c>
      <c r="I575" s="131"/>
      <c r="J575" s="131"/>
      <c r="K575" s="131"/>
      <c r="L575" s="131"/>
      <c r="M575" s="131"/>
      <c r="N575" s="43"/>
      <c r="O575" s="132">
        <v>1258.0</v>
      </c>
    </row>
    <row r="576">
      <c r="A576" s="15" t="s">
        <v>91</v>
      </c>
      <c r="B576" s="114" t="str">
        <f>IFERROR(VLOOKUP(A576,Internal_lists_bugs!$A$2:$G2033,7,FALSE()),"please select a BUG ID")</f>
        <v>https://github.com/elastic/elasticsearch/commit/4088236cf75b793c7a2a80f5f7be5b326b607378</v>
      </c>
      <c r="C576" s="39" t="str">
        <f>IFERROR(VLOOKUP(A576,Internal_lists_bugs!$A$2:$I2033,9,FALSE()),"please select a BUG ID")</f>
        <v>https://github.com/elastic/elasticsearch/pull/1258</v>
      </c>
      <c r="D576" s="85"/>
      <c r="E576" s="85"/>
      <c r="F576" s="133"/>
      <c r="G576" s="16" t="s">
        <v>1152</v>
      </c>
      <c r="H576" s="16" t="s">
        <v>224</v>
      </c>
      <c r="I576" s="131"/>
      <c r="J576" s="131"/>
      <c r="K576" s="131"/>
      <c r="L576" s="131"/>
      <c r="M576" s="131"/>
      <c r="N576" s="43"/>
      <c r="O576" s="132">
        <v>1258.0</v>
      </c>
    </row>
    <row r="577">
      <c r="A577" s="15" t="s">
        <v>91</v>
      </c>
      <c r="B577" s="114" t="str">
        <f>IFERROR(VLOOKUP(A577,Internal_lists_bugs!$A$2:$G2033,7,FALSE()),"please select a BUG ID")</f>
        <v>https://github.com/elastic/elasticsearch/commit/4088236cf75b793c7a2a80f5f7be5b326b607378</v>
      </c>
      <c r="C577" s="39" t="str">
        <f>IFERROR(VLOOKUP(A577,Internal_lists_bugs!$A$2:$I2033,9,FALSE()),"please select a BUG ID")</f>
        <v>https://github.com/elastic/elasticsearch/pull/1258</v>
      </c>
      <c r="D577" s="85"/>
      <c r="E577" s="85"/>
      <c r="F577" s="133"/>
      <c r="G577" s="16" t="s">
        <v>1153</v>
      </c>
      <c r="H577" s="16" t="s">
        <v>1154</v>
      </c>
      <c r="I577" s="131"/>
      <c r="J577" s="131"/>
      <c r="K577" s="131"/>
      <c r="L577" s="131"/>
      <c r="M577" s="131"/>
      <c r="N577" s="43"/>
      <c r="O577" s="132">
        <v>1258.0</v>
      </c>
    </row>
    <row r="578">
      <c r="A578" s="15" t="s">
        <v>91</v>
      </c>
      <c r="B578" s="114" t="str">
        <f>IFERROR(VLOOKUP(A578,Internal_lists_bugs!$A$2:$G2033,7,FALSE()),"please select a BUG ID")</f>
        <v>https://github.com/elastic/elasticsearch/commit/4088236cf75b793c7a2a80f5f7be5b326b607378</v>
      </c>
      <c r="C578" s="39" t="str">
        <f>IFERROR(VLOOKUP(A578,Internal_lists_bugs!$A$2:$I2033,9,FALSE()),"please select a BUG ID")</f>
        <v>https://github.com/elastic/elasticsearch/pull/1258</v>
      </c>
      <c r="D578" s="85"/>
      <c r="E578" s="85"/>
      <c r="F578" s="133"/>
      <c r="G578" s="16" t="s">
        <v>1155</v>
      </c>
      <c r="H578" s="16" t="s">
        <v>1154</v>
      </c>
      <c r="I578" s="131"/>
      <c r="J578" s="131"/>
      <c r="K578" s="131"/>
      <c r="L578" s="131"/>
      <c r="M578" s="131"/>
      <c r="N578" s="43"/>
      <c r="O578" s="132">
        <v>1258.0</v>
      </c>
    </row>
    <row r="579">
      <c r="A579" s="15" t="s">
        <v>92</v>
      </c>
      <c r="B579" s="114" t="str">
        <f>IFERROR(VLOOKUP(A579,Internal_lists_bugs!$A$2:$G2033,7,FALSE()),"please select a BUG ID")</f>
        <v>https://github.com/elastic/elasticsearch/commit/fc51ebfce8a87252d868d1f160ae740972b8e48a</v>
      </c>
      <c r="C579" s="51" t="str">
        <f>IFERROR(VLOOKUP(A579,Internal_lists_bugs!$A$2:$I2033,9,FALSE()),"please select a BUG ID")</f>
        <v/>
      </c>
      <c r="D579" s="85"/>
      <c r="E579" s="85"/>
      <c r="F579" s="133"/>
      <c r="G579" s="43"/>
      <c r="I579" s="131"/>
      <c r="J579" s="131"/>
      <c r="K579" s="131"/>
      <c r="L579" s="131"/>
      <c r="M579" s="131"/>
      <c r="N579" s="43"/>
      <c r="O579" s="51"/>
    </row>
    <row r="580">
      <c r="A580" s="15" t="s">
        <v>93</v>
      </c>
      <c r="B580" s="114" t="str">
        <f>IFERROR(VLOOKUP(A580,Internal_lists_bugs!$A$2:$G2033,7,FALSE()),"please select a BUG ID")</f>
        <v>https://github.com/elastic/elasticsearch/commit/07443089ce761cdfcf9206ad179381db7249d01a</v>
      </c>
      <c r="C580" s="51" t="str">
        <f>IFERROR(VLOOKUP(A580,Internal_lists_bugs!$A$2:$I2033,9,FALSE()),"please select a BUG ID")</f>
        <v/>
      </c>
      <c r="D580" s="85"/>
      <c r="E580" s="85"/>
      <c r="F580" s="133"/>
      <c r="G580" s="43"/>
      <c r="I580" s="131"/>
      <c r="J580" s="131"/>
      <c r="K580" s="131"/>
      <c r="L580" s="131"/>
      <c r="M580" s="131"/>
      <c r="N580" s="43"/>
      <c r="O580" s="51"/>
    </row>
    <row r="581">
      <c r="A581" s="15" t="s">
        <v>94</v>
      </c>
      <c r="B581" s="114" t="str">
        <f>IFERROR(VLOOKUP(A581,Internal_lists_bugs!$A$2:$G2033,7,FALSE()),"please select a BUG ID")</f>
        <v>https://github.com/elastic/elasticsearch/commit/16a046f686c26309ee0041df8987a4d2ffedd956</v>
      </c>
      <c r="C581" s="51" t="str">
        <f>IFERROR(VLOOKUP(A581,Internal_lists_bugs!$A$2:$I2033,9,FALSE()),"please select a BUG ID")</f>
        <v/>
      </c>
      <c r="D581" s="85"/>
      <c r="E581" s="85"/>
      <c r="F581" s="133"/>
      <c r="G581" s="43"/>
      <c r="I581" s="131"/>
      <c r="J581" s="131"/>
      <c r="K581" s="131"/>
      <c r="L581" s="131"/>
      <c r="M581" s="131"/>
      <c r="N581" s="43"/>
      <c r="O581" s="51"/>
    </row>
    <row r="582">
      <c r="A582" s="15" t="s">
        <v>95</v>
      </c>
      <c r="B582" s="114" t="str">
        <f>IFERROR(VLOOKUP(A582,Internal_lists_bugs!$A$2:$G2033,7,FALSE()),"please select a BUG ID")</f>
        <v>https://github.com/elastic/elasticsearch/commit/7caee2fa4d918d4c6978bcf986a158d03bf7db2a</v>
      </c>
      <c r="C582" s="51" t="str">
        <f>IFERROR(VLOOKUP(A582,Internal_lists_bugs!$A$2:$I2033,9,FALSE()),"please select a BUG ID")</f>
        <v>https://github.com/elastic/elasticsearch/pull/15336 
https://github.com/elastic/elasticsearch/pull/14899 </v>
      </c>
      <c r="D582" s="80" t="s">
        <v>1133</v>
      </c>
      <c r="E582" s="85"/>
      <c r="F582" s="130" t="s">
        <v>135</v>
      </c>
      <c r="G582" s="16" t="s">
        <v>1045</v>
      </c>
      <c r="H582" s="16" t="s">
        <v>129</v>
      </c>
      <c r="I582" s="131"/>
      <c r="J582" s="131"/>
      <c r="K582" s="131"/>
      <c r="L582" s="131"/>
      <c r="M582" s="131"/>
      <c r="N582" s="16" t="s">
        <v>1134</v>
      </c>
      <c r="O582" s="132">
        <v>15336.0</v>
      </c>
    </row>
    <row r="583">
      <c r="A583" s="15" t="s">
        <v>95</v>
      </c>
      <c r="B583" s="114" t="str">
        <f>IFERROR(VLOOKUP(A583,Internal_lists_bugs!$A$2:$G2033,7,FALSE()),"please select a BUG ID")</f>
        <v>https://github.com/elastic/elasticsearch/commit/7caee2fa4d918d4c6978bcf986a158d03bf7db2a</v>
      </c>
      <c r="C583" s="51" t="str">
        <f>IFERROR(VLOOKUP(A583,Internal_lists_bugs!$A$2:$I2033,9,FALSE()),"please select a BUG ID")</f>
        <v>https://github.com/elastic/elasticsearch/pull/15336 
https://github.com/elastic/elasticsearch/pull/14899 </v>
      </c>
      <c r="D583" s="85"/>
      <c r="E583" s="85"/>
      <c r="F583" s="133"/>
      <c r="G583" s="16" t="s">
        <v>1141</v>
      </c>
      <c r="H583" s="16" t="s">
        <v>129</v>
      </c>
      <c r="I583" s="131"/>
      <c r="J583" s="131"/>
      <c r="K583" s="131"/>
      <c r="L583" s="131"/>
      <c r="M583" s="131"/>
      <c r="N583" s="43"/>
      <c r="O583" s="132">
        <v>15336.0</v>
      </c>
    </row>
    <row r="584">
      <c r="A584" s="15" t="s">
        <v>95</v>
      </c>
      <c r="B584" s="114" t="str">
        <f>IFERROR(VLOOKUP(A584,Internal_lists_bugs!$A$2:$G2033,7,FALSE()),"please select a BUG ID")</f>
        <v>https://github.com/elastic/elasticsearch/commit/7caee2fa4d918d4c6978bcf986a158d03bf7db2a</v>
      </c>
      <c r="C584" s="51" t="str">
        <f>IFERROR(VLOOKUP(A584,Internal_lists_bugs!$A$2:$I2033,9,FALSE()),"please select a BUG ID")</f>
        <v>https://github.com/elastic/elasticsearch/pull/15336 
https://github.com/elastic/elasticsearch/pull/14899 </v>
      </c>
      <c r="D584" s="85"/>
      <c r="E584" s="85"/>
      <c r="F584" s="133"/>
      <c r="G584" s="16" t="s">
        <v>993</v>
      </c>
      <c r="H584" s="16" t="s">
        <v>131</v>
      </c>
      <c r="I584" s="131"/>
      <c r="J584" s="131"/>
      <c r="K584" s="131"/>
      <c r="L584" s="131"/>
      <c r="M584" s="131"/>
      <c r="N584" s="43"/>
      <c r="O584" s="132">
        <v>15336.0</v>
      </c>
    </row>
    <row r="585">
      <c r="A585" s="15" t="s">
        <v>95</v>
      </c>
      <c r="B585" s="114" t="str">
        <f>IFERROR(VLOOKUP(A585,Internal_lists_bugs!$A$2:$G2033,7,FALSE()),"please select a BUG ID")</f>
        <v>https://github.com/elastic/elasticsearch/commit/7caee2fa4d918d4c6978bcf986a158d03bf7db2a</v>
      </c>
      <c r="C585" s="51" t="str">
        <f>IFERROR(VLOOKUP(A585,Internal_lists_bugs!$A$2:$I2033,9,FALSE()),"please select a BUG ID")</f>
        <v>https://github.com/elastic/elasticsearch/pull/15336 
https://github.com/elastic/elasticsearch/pull/14899 </v>
      </c>
      <c r="D585" s="85"/>
      <c r="E585" s="85"/>
      <c r="F585" s="133"/>
      <c r="G585" s="16" t="s">
        <v>1156</v>
      </c>
      <c r="H585" s="16" t="s">
        <v>149</v>
      </c>
      <c r="I585" s="131"/>
      <c r="J585" s="131"/>
      <c r="K585" s="131"/>
      <c r="L585" s="131"/>
      <c r="M585" s="131"/>
      <c r="N585" s="43"/>
      <c r="O585" s="132">
        <v>15336.0</v>
      </c>
    </row>
    <row r="586">
      <c r="A586" s="15" t="s">
        <v>95</v>
      </c>
      <c r="B586" s="114" t="str">
        <f>IFERROR(VLOOKUP(A586,Internal_lists_bugs!$A$2:$G2033,7,FALSE()),"please select a BUG ID")</f>
        <v>https://github.com/elastic/elasticsearch/commit/7caee2fa4d918d4c6978bcf986a158d03bf7db2a</v>
      </c>
      <c r="C586" s="51" t="str">
        <f>IFERROR(VLOOKUP(A586,Internal_lists_bugs!$A$2:$I2033,9,FALSE()),"please select a BUG ID")</f>
        <v>https://github.com/elastic/elasticsearch/pull/15336 
https://github.com/elastic/elasticsearch/pull/14899 </v>
      </c>
      <c r="D586" s="85"/>
      <c r="E586" s="85"/>
      <c r="F586" s="133"/>
      <c r="G586" s="16" t="s">
        <v>709</v>
      </c>
      <c r="H586" s="16" t="s">
        <v>190</v>
      </c>
      <c r="I586" s="131"/>
      <c r="J586" s="131"/>
      <c r="K586" s="131"/>
      <c r="L586" s="131"/>
      <c r="M586" s="131"/>
      <c r="N586" s="43"/>
      <c r="O586" s="132">
        <v>15336.0</v>
      </c>
    </row>
    <row r="587">
      <c r="A587" s="15" t="s">
        <v>95</v>
      </c>
      <c r="B587" s="114" t="str">
        <f>IFERROR(VLOOKUP(A587,Internal_lists_bugs!$A$2:$G2033,7,FALSE()),"please select a BUG ID")</f>
        <v>https://github.com/elastic/elasticsearch/commit/7caee2fa4d918d4c6978bcf986a158d03bf7db2a</v>
      </c>
      <c r="C587" s="51" t="str">
        <f>IFERROR(VLOOKUP(A587,Internal_lists_bugs!$A$2:$I2033,9,FALSE()),"please select a BUG ID")</f>
        <v>https://github.com/elastic/elasticsearch/pull/15336 
https://github.com/elastic/elasticsearch/pull/14899 </v>
      </c>
      <c r="D587" s="85"/>
      <c r="E587" s="85"/>
      <c r="F587" s="133"/>
      <c r="G587" s="16" t="s">
        <v>1157</v>
      </c>
      <c r="H587" s="16" t="s">
        <v>191</v>
      </c>
      <c r="I587" s="131"/>
      <c r="J587" s="131"/>
      <c r="K587" s="131"/>
      <c r="L587" s="131"/>
      <c r="M587" s="131"/>
      <c r="N587" s="43"/>
      <c r="O587" s="132">
        <v>15336.0</v>
      </c>
    </row>
    <row r="588">
      <c r="A588" s="15" t="s">
        <v>95</v>
      </c>
      <c r="B588" s="114" t="str">
        <f>IFERROR(VLOOKUP(A588,Internal_lists_bugs!$A$2:$G2033,7,FALSE()),"please select a BUG ID")</f>
        <v>https://github.com/elastic/elasticsearch/commit/7caee2fa4d918d4c6978bcf986a158d03bf7db2a</v>
      </c>
      <c r="C588" s="51" t="str">
        <f>IFERROR(VLOOKUP(A588,Internal_lists_bugs!$A$2:$I2033,9,FALSE()),"please select a BUG ID")</f>
        <v>https://github.com/elastic/elasticsearch/pull/15336 
https://github.com/elastic/elasticsearch/pull/14899 </v>
      </c>
      <c r="D588" s="85"/>
      <c r="E588" s="85"/>
      <c r="F588" s="133"/>
      <c r="G588" s="16" t="s">
        <v>1158</v>
      </c>
      <c r="H588" s="16" t="s">
        <v>191</v>
      </c>
      <c r="I588" s="131"/>
      <c r="J588" s="131"/>
      <c r="K588" s="131"/>
      <c r="L588" s="131"/>
      <c r="M588" s="131"/>
      <c r="N588" s="43"/>
      <c r="O588" s="132">
        <v>15336.0</v>
      </c>
    </row>
    <row r="589">
      <c r="A589" s="15" t="s">
        <v>95</v>
      </c>
      <c r="B589" s="114" t="str">
        <f>IFERROR(VLOOKUP(A589,Internal_lists_bugs!$A$2:$G2033,7,FALSE()),"please select a BUG ID")</f>
        <v>https://github.com/elastic/elasticsearch/commit/7caee2fa4d918d4c6978bcf986a158d03bf7db2a</v>
      </c>
      <c r="C589" s="51" t="str">
        <f>IFERROR(VLOOKUP(A589,Internal_lists_bugs!$A$2:$I2033,9,FALSE()),"please select a BUG ID")</f>
        <v>https://github.com/elastic/elasticsearch/pull/15336 
https://github.com/elastic/elasticsearch/pull/14899 </v>
      </c>
      <c r="D589" s="85"/>
      <c r="E589" s="85"/>
      <c r="F589" s="133"/>
      <c r="G589" s="16" t="s">
        <v>1159</v>
      </c>
      <c r="H589" s="16" t="s">
        <v>192</v>
      </c>
      <c r="I589" s="131"/>
      <c r="J589" s="131"/>
      <c r="K589" s="131"/>
      <c r="L589" s="131"/>
      <c r="M589" s="131"/>
      <c r="N589" s="43"/>
      <c r="O589" s="132">
        <v>15336.0</v>
      </c>
    </row>
    <row r="590">
      <c r="A590" s="15" t="s">
        <v>95</v>
      </c>
      <c r="B590" s="114" t="str">
        <f>IFERROR(VLOOKUP(A590,Internal_lists_bugs!$A$2:$G2033,7,FALSE()),"please select a BUG ID")</f>
        <v>https://github.com/elastic/elasticsearch/commit/7caee2fa4d918d4c6978bcf986a158d03bf7db2a</v>
      </c>
      <c r="C590" s="51" t="str">
        <f>IFERROR(VLOOKUP(A590,Internal_lists_bugs!$A$2:$I2033,9,FALSE()),"please select a BUG ID")</f>
        <v>https://github.com/elastic/elasticsearch/pull/15336 
https://github.com/elastic/elasticsearch/pull/14899 </v>
      </c>
      <c r="D590" s="85"/>
      <c r="E590" s="85"/>
      <c r="F590" s="133"/>
      <c r="G590" s="16" t="s">
        <v>1160</v>
      </c>
      <c r="H590" s="16" t="s">
        <v>218</v>
      </c>
      <c r="I590" s="131"/>
      <c r="J590" s="131"/>
      <c r="K590" s="131"/>
      <c r="L590" s="131"/>
      <c r="M590" s="131"/>
      <c r="N590" s="43"/>
      <c r="O590" s="132">
        <v>15336.0</v>
      </c>
    </row>
    <row r="591">
      <c r="A591" s="15" t="s">
        <v>95</v>
      </c>
      <c r="B591" s="114" t="str">
        <f>IFERROR(VLOOKUP(A591,Internal_lists_bugs!$A$2:$G2033,7,FALSE()),"please select a BUG ID")</f>
        <v>https://github.com/elastic/elasticsearch/commit/7caee2fa4d918d4c6978bcf986a158d03bf7db2a</v>
      </c>
      <c r="C591" s="51" t="str">
        <f>IFERROR(VLOOKUP(A591,Internal_lists_bugs!$A$2:$I2033,9,FALSE()),"please select a BUG ID")</f>
        <v>https://github.com/elastic/elasticsearch/pull/15336 
https://github.com/elastic/elasticsearch/pull/14899 </v>
      </c>
      <c r="D591" s="80" t="s">
        <v>1133</v>
      </c>
      <c r="E591" s="85"/>
      <c r="F591" s="130" t="s">
        <v>135</v>
      </c>
      <c r="G591" s="16" t="s">
        <v>1045</v>
      </c>
      <c r="H591" s="16" t="s">
        <v>129</v>
      </c>
      <c r="I591" s="131"/>
      <c r="J591" s="131"/>
      <c r="K591" s="131"/>
      <c r="L591" s="131"/>
      <c r="M591" s="131"/>
      <c r="N591" s="16" t="s">
        <v>634</v>
      </c>
      <c r="O591" s="132">
        <v>14899.0</v>
      </c>
    </row>
    <row r="592">
      <c r="A592" s="15" t="s">
        <v>95</v>
      </c>
      <c r="B592" s="114" t="str">
        <f>IFERROR(VLOOKUP(A592,Internal_lists_bugs!$A$2:$G2033,7,FALSE()),"please select a BUG ID")</f>
        <v>https://github.com/elastic/elasticsearch/commit/7caee2fa4d918d4c6978bcf986a158d03bf7db2a</v>
      </c>
      <c r="C592" s="51" t="str">
        <f>IFERROR(VLOOKUP(A592,Internal_lists_bugs!$A$2:$I2033,9,FALSE()),"please select a BUG ID")</f>
        <v>https://github.com/elastic/elasticsearch/pull/15336 
https://github.com/elastic/elasticsearch/pull/14899 </v>
      </c>
      <c r="D592" s="85"/>
      <c r="E592" s="85"/>
      <c r="F592" s="133"/>
      <c r="G592" s="16" t="s">
        <v>778</v>
      </c>
      <c r="H592" s="16" t="s">
        <v>129</v>
      </c>
      <c r="I592" s="131"/>
      <c r="J592" s="131"/>
      <c r="K592" s="131"/>
      <c r="L592" s="131"/>
      <c r="M592" s="131"/>
      <c r="N592" s="43"/>
      <c r="O592" s="132">
        <v>14899.0</v>
      </c>
    </row>
    <row r="593">
      <c r="A593" s="15" t="s">
        <v>95</v>
      </c>
      <c r="B593" s="114" t="str">
        <f>IFERROR(VLOOKUP(A593,Internal_lists_bugs!$A$2:$G2033,7,FALSE()),"please select a BUG ID")</f>
        <v>https://github.com/elastic/elasticsearch/commit/7caee2fa4d918d4c6978bcf986a158d03bf7db2a</v>
      </c>
      <c r="C593" s="51" t="str">
        <f>IFERROR(VLOOKUP(A593,Internal_lists_bugs!$A$2:$I2033,9,FALSE()),"please select a BUG ID")</f>
        <v>https://github.com/elastic/elasticsearch/pull/15336 
https://github.com/elastic/elasticsearch/pull/14899 </v>
      </c>
      <c r="D593" s="85"/>
      <c r="E593" s="85"/>
      <c r="F593" s="133"/>
      <c r="G593" s="16" t="s">
        <v>1161</v>
      </c>
      <c r="H593" s="16" t="s">
        <v>131</v>
      </c>
      <c r="I593" s="131"/>
      <c r="J593" s="131"/>
      <c r="K593" s="131"/>
      <c r="L593" s="131"/>
      <c r="M593" s="131"/>
      <c r="N593" s="43"/>
      <c r="O593" s="132">
        <v>14899.0</v>
      </c>
    </row>
    <row r="594">
      <c r="A594" s="15" t="s">
        <v>95</v>
      </c>
      <c r="B594" s="114" t="str">
        <f>IFERROR(VLOOKUP(A594,Internal_lists_bugs!$A$2:$G2033,7,FALSE()),"please select a BUG ID")</f>
        <v>https://github.com/elastic/elasticsearch/commit/7caee2fa4d918d4c6978bcf986a158d03bf7db2a</v>
      </c>
      <c r="C594" s="51" t="str">
        <f>IFERROR(VLOOKUP(A594,Internal_lists_bugs!$A$2:$I2033,9,FALSE()),"please select a BUG ID")</f>
        <v>https://github.com/elastic/elasticsearch/pull/15336 
https://github.com/elastic/elasticsearch/pull/14899 </v>
      </c>
      <c r="D594" s="85"/>
      <c r="E594" s="85"/>
      <c r="F594" s="133"/>
      <c r="G594" s="16" t="s">
        <v>709</v>
      </c>
      <c r="H594" s="16" t="s">
        <v>149</v>
      </c>
      <c r="I594" s="131"/>
      <c r="J594" s="131"/>
      <c r="K594" s="131"/>
      <c r="L594" s="131"/>
      <c r="M594" s="131"/>
      <c r="N594" s="43"/>
      <c r="O594" s="132">
        <v>14899.0</v>
      </c>
    </row>
    <row r="595">
      <c r="A595" s="15" t="s">
        <v>95</v>
      </c>
      <c r="B595" s="114" t="str">
        <f>IFERROR(VLOOKUP(A595,Internal_lists_bugs!$A$2:$G2033,7,FALSE()),"please select a BUG ID")</f>
        <v>https://github.com/elastic/elasticsearch/commit/7caee2fa4d918d4c6978bcf986a158d03bf7db2a</v>
      </c>
      <c r="C595" s="51" t="str">
        <f>IFERROR(VLOOKUP(A595,Internal_lists_bugs!$A$2:$I2033,9,FALSE()),"please select a BUG ID")</f>
        <v>https://github.com/elastic/elasticsearch/pull/15336 
https://github.com/elastic/elasticsearch/pull/14899 </v>
      </c>
      <c r="D595" s="80"/>
      <c r="E595" s="80"/>
      <c r="F595" s="133"/>
      <c r="G595" s="16" t="s">
        <v>1162</v>
      </c>
      <c r="H595" s="16" t="s">
        <v>190</v>
      </c>
      <c r="I595" s="131"/>
      <c r="J595" s="131"/>
      <c r="K595" s="131"/>
      <c r="L595" s="131"/>
      <c r="M595" s="131"/>
      <c r="N595" s="43"/>
      <c r="O595" s="132">
        <v>14899.0</v>
      </c>
    </row>
    <row r="596">
      <c r="A596" s="15" t="s">
        <v>95</v>
      </c>
      <c r="B596" s="114" t="str">
        <f>IFERROR(VLOOKUP(A596,Internal_lists_bugs!$A$2:$G2033,7,FALSE()),"please select a BUG ID")</f>
        <v>https://github.com/elastic/elasticsearch/commit/7caee2fa4d918d4c6978bcf986a158d03bf7db2a</v>
      </c>
      <c r="C596" s="51" t="str">
        <f>IFERROR(VLOOKUP(A596,Internal_lists_bugs!$A$2:$I2033,9,FALSE()),"please select a BUG ID")</f>
        <v>https://github.com/elastic/elasticsearch/pull/15336 
https://github.com/elastic/elasticsearch/pull/14899 </v>
      </c>
      <c r="D596" s="80"/>
      <c r="E596" s="80"/>
      <c r="F596" s="130"/>
      <c r="G596" s="16" t="s">
        <v>709</v>
      </c>
      <c r="H596" s="16" t="s">
        <v>191</v>
      </c>
      <c r="I596" s="131"/>
      <c r="J596" s="125"/>
      <c r="K596" s="131"/>
      <c r="L596" s="131"/>
      <c r="M596" s="131"/>
      <c r="N596" s="43"/>
      <c r="O596" s="132">
        <v>14899.0</v>
      </c>
    </row>
    <row r="597">
      <c r="A597" s="15" t="s">
        <v>95</v>
      </c>
      <c r="B597" s="114" t="str">
        <f>IFERROR(VLOOKUP(A597,Internal_lists_bugs!$A$2:$G2033,7,FALSE()),"please select a BUG ID")</f>
        <v>https://github.com/elastic/elasticsearch/commit/7caee2fa4d918d4c6978bcf986a158d03bf7db2a</v>
      </c>
      <c r="C597" s="51" t="str">
        <f>IFERROR(VLOOKUP(A597,Internal_lists_bugs!$A$2:$I2033,9,FALSE()),"please select a BUG ID")</f>
        <v>https://github.com/elastic/elasticsearch/pull/15336 
https://github.com/elastic/elasticsearch/pull/14899 </v>
      </c>
      <c r="D597" s="85"/>
      <c r="E597" s="85"/>
      <c r="F597" s="133"/>
      <c r="G597" s="16" t="s">
        <v>1163</v>
      </c>
      <c r="H597" s="16" t="s">
        <v>192</v>
      </c>
      <c r="I597" s="131"/>
      <c r="J597" s="131"/>
      <c r="K597" s="131"/>
      <c r="L597" s="131"/>
      <c r="M597" s="131"/>
      <c r="N597" s="43"/>
      <c r="O597" s="132">
        <v>14899.0</v>
      </c>
    </row>
    <row r="598">
      <c r="A598" s="15" t="s">
        <v>95</v>
      </c>
      <c r="B598" s="114" t="str">
        <f>IFERROR(VLOOKUP(A598,Internal_lists_bugs!$A$2:$G2033,7,FALSE()),"please select a BUG ID")</f>
        <v>https://github.com/elastic/elasticsearch/commit/7caee2fa4d918d4c6978bcf986a158d03bf7db2a</v>
      </c>
      <c r="C598" s="51" t="str">
        <f>IFERROR(VLOOKUP(A598,Internal_lists_bugs!$A$2:$I2033,9,FALSE()),"please select a BUG ID")</f>
        <v>https://github.com/elastic/elasticsearch/pull/15336 
https://github.com/elastic/elasticsearch/pull/14899 </v>
      </c>
      <c r="D598" s="85"/>
      <c r="E598" s="85"/>
      <c r="F598" s="133"/>
      <c r="G598" s="16" t="s">
        <v>1164</v>
      </c>
      <c r="H598" s="16" t="s">
        <v>192</v>
      </c>
      <c r="I598" s="131"/>
      <c r="J598" s="131"/>
      <c r="K598" s="131"/>
      <c r="L598" s="131"/>
      <c r="M598" s="131"/>
      <c r="N598" s="43"/>
      <c r="O598" s="132">
        <v>14899.0</v>
      </c>
    </row>
    <row r="599">
      <c r="A599" s="15" t="s">
        <v>95</v>
      </c>
      <c r="B599" s="114" t="str">
        <f>IFERROR(VLOOKUP(A599,Internal_lists_bugs!$A$2:$G2033,7,FALSE()),"please select a BUG ID")</f>
        <v>https://github.com/elastic/elasticsearch/commit/7caee2fa4d918d4c6978bcf986a158d03bf7db2a</v>
      </c>
      <c r="C599" s="51" t="str">
        <f>IFERROR(VLOOKUP(A599,Internal_lists_bugs!$A$2:$I2033,9,FALSE()),"please select a BUG ID")</f>
        <v>https://github.com/elastic/elasticsearch/pull/15336 
https://github.com/elastic/elasticsearch/pull/14899 </v>
      </c>
      <c r="D599" s="85"/>
      <c r="E599" s="85"/>
      <c r="F599" s="133"/>
      <c r="G599" s="16" t="s">
        <v>709</v>
      </c>
      <c r="H599" s="16" t="s">
        <v>218</v>
      </c>
      <c r="I599" s="131"/>
      <c r="J599" s="131"/>
      <c r="K599" s="131"/>
      <c r="L599" s="131"/>
      <c r="M599" s="131"/>
      <c r="N599" s="43"/>
      <c r="O599" s="132">
        <v>14899.0</v>
      </c>
    </row>
    <row r="600">
      <c r="A600" s="15" t="s">
        <v>95</v>
      </c>
      <c r="B600" s="114" t="str">
        <f>IFERROR(VLOOKUP(A600,Internal_lists_bugs!$A$2:$G2033,7,FALSE()),"please select a BUG ID")</f>
        <v>https://github.com/elastic/elasticsearch/commit/7caee2fa4d918d4c6978bcf986a158d03bf7db2a</v>
      </c>
      <c r="C600" s="51" t="str">
        <f>IFERROR(VLOOKUP(A600,Internal_lists_bugs!$A$2:$I2033,9,FALSE()),"please select a BUG ID")</f>
        <v>https://github.com/elastic/elasticsearch/pull/15336 
https://github.com/elastic/elasticsearch/pull/14899 </v>
      </c>
      <c r="D600" s="85"/>
      <c r="E600" s="85"/>
      <c r="F600" s="133"/>
      <c r="G600" s="16" t="s">
        <v>1165</v>
      </c>
      <c r="H600" s="16" t="s">
        <v>219</v>
      </c>
      <c r="I600" s="131"/>
      <c r="J600" s="131"/>
      <c r="K600" s="131"/>
      <c r="L600" s="131"/>
      <c r="M600" s="131"/>
      <c r="N600" s="43"/>
      <c r="O600" s="132">
        <v>14899.0</v>
      </c>
    </row>
    <row r="601">
      <c r="A601" s="15" t="s">
        <v>95</v>
      </c>
      <c r="B601" s="114" t="str">
        <f>IFERROR(VLOOKUP(A601,Internal_lists_bugs!$A$2:$G2033,7,FALSE()),"please select a BUG ID")</f>
        <v>https://github.com/elastic/elasticsearch/commit/7caee2fa4d918d4c6978bcf986a158d03bf7db2a</v>
      </c>
      <c r="C601" s="51" t="str">
        <f>IFERROR(VLOOKUP(A601,Internal_lists_bugs!$A$2:$I2033,9,FALSE()),"please select a BUG ID")</f>
        <v>https://github.com/elastic/elasticsearch/pull/15336 
https://github.com/elastic/elasticsearch/pull/14899 </v>
      </c>
      <c r="D601" s="85"/>
      <c r="E601" s="85"/>
      <c r="F601" s="133"/>
      <c r="G601" s="16" t="s">
        <v>709</v>
      </c>
      <c r="H601" s="16" t="s">
        <v>220</v>
      </c>
      <c r="I601" s="131"/>
      <c r="J601" s="131"/>
      <c r="K601" s="131"/>
      <c r="L601" s="131"/>
      <c r="M601" s="131"/>
      <c r="N601" s="43"/>
      <c r="O601" s="132">
        <v>14899.0</v>
      </c>
    </row>
    <row r="602">
      <c r="A602" s="15" t="s">
        <v>95</v>
      </c>
      <c r="B602" s="114" t="str">
        <f>IFERROR(VLOOKUP(A602,Internal_lists_bugs!$A$2:$G2033,7,FALSE()),"please select a BUG ID")</f>
        <v>https://github.com/elastic/elasticsearch/commit/7caee2fa4d918d4c6978bcf986a158d03bf7db2a</v>
      </c>
      <c r="C602" s="51" t="str">
        <f>IFERROR(VLOOKUP(A602,Internal_lists_bugs!$A$2:$I2033,9,FALSE()),"please select a BUG ID")</f>
        <v>https://github.com/elastic/elasticsearch/pull/15336 
https://github.com/elastic/elasticsearch/pull/14899 </v>
      </c>
      <c r="D602" s="85"/>
      <c r="E602" s="85"/>
      <c r="F602" s="133"/>
      <c r="G602" s="16" t="s">
        <v>993</v>
      </c>
      <c r="H602" s="16" t="s">
        <v>222</v>
      </c>
      <c r="I602" s="131"/>
      <c r="J602" s="131"/>
      <c r="K602" s="131"/>
      <c r="L602" s="131"/>
      <c r="M602" s="131"/>
      <c r="N602" s="43"/>
      <c r="O602" s="132">
        <v>14899.0</v>
      </c>
    </row>
    <row r="603">
      <c r="A603" s="15" t="s">
        <v>95</v>
      </c>
      <c r="B603" s="114" t="str">
        <f>IFERROR(VLOOKUP(A603,Internal_lists_bugs!$A$2:$G2033,7,FALSE()),"please select a BUG ID")</f>
        <v>https://github.com/elastic/elasticsearch/commit/7caee2fa4d918d4c6978bcf986a158d03bf7db2a</v>
      </c>
      <c r="C603" s="51" t="str">
        <f>IFERROR(VLOOKUP(A603,Internal_lists_bugs!$A$2:$I2033,9,FALSE()),"please select a BUG ID")</f>
        <v>https://github.com/elastic/elasticsearch/pull/15336 
https://github.com/elastic/elasticsearch/pull/14899 </v>
      </c>
      <c r="D603" s="85"/>
      <c r="E603" s="85"/>
      <c r="F603" s="133"/>
      <c r="G603" s="16" t="s">
        <v>709</v>
      </c>
      <c r="H603" s="16" t="s">
        <v>224</v>
      </c>
      <c r="I603" s="131"/>
      <c r="J603" s="131"/>
      <c r="K603" s="131"/>
      <c r="L603" s="131"/>
      <c r="M603" s="131"/>
      <c r="N603" s="43"/>
      <c r="O603" s="132">
        <v>14899.0</v>
      </c>
    </row>
    <row r="604">
      <c r="A604" s="15" t="s">
        <v>95</v>
      </c>
      <c r="B604" s="114" t="str">
        <f>IFERROR(VLOOKUP(A604,Internal_lists_bugs!$A$2:$G2033,7,FALSE()),"please select a BUG ID")</f>
        <v>https://github.com/elastic/elasticsearch/commit/7caee2fa4d918d4c6978bcf986a158d03bf7db2a</v>
      </c>
      <c r="C604" s="51" t="str">
        <f>IFERROR(VLOOKUP(A604,Internal_lists_bugs!$A$2:$I2033,9,FALSE()),"please select a BUG ID")</f>
        <v>https://github.com/elastic/elasticsearch/pull/15336 
https://github.com/elastic/elasticsearch/pull/14899 </v>
      </c>
      <c r="D604" s="85"/>
      <c r="E604" s="85"/>
      <c r="F604" s="133"/>
      <c r="G604" s="16" t="s">
        <v>1166</v>
      </c>
      <c r="H604" s="16" t="s">
        <v>1154</v>
      </c>
      <c r="I604" s="131"/>
      <c r="J604" s="131"/>
      <c r="K604" s="131"/>
      <c r="L604" s="131"/>
      <c r="M604" s="131"/>
      <c r="N604" s="43"/>
      <c r="O604" s="132">
        <v>14899.0</v>
      </c>
    </row>
    <row r="605">
      <c r="A605" s="15" t="s">
        <v>95</v>
      </c>
      <c r="B605" s="114" t="str">
        <f>IFERROR(VLOOKUP(A605,Internal_lists_bugs!$A$2:$G2033,7,FALSE()),"please select a BUG ID")</f>
        <v>https://github.com/elastic/elasticsearch/commit/7caee2fa4d918d4c6978bcf986a158d03bf7db2a</v>
      </c>
      <c r="C605" s="51" t="str">
        <f>IFERROR(VLOOKUP(A605,Internal_lists_bugs!$A$2:$I2033,9,FALSE()),"please select a BUG ID")</f>
        <v>https://github.com/elastic/elasticsearch/pull/15336 
https://github.com/elastic/elasticsearch/pull/14899 </v>
      </c>
      <c r="D605" s="85"/>
      <c r="E605" s="85"/>
      <c r="F605" s="133"/>
      <c r="G605" s="16" t="s">
        <v>1150</v>
      </c>
      <c r="H605" s="16" t="s">
        <v>1154</v>
      </c>
      <c r="I605" s="131"/>
      <c r="J605" s="131"/>
      <c r="K605" s="131"/>
      <c r="L605" s="131"/>
      <c r="M605" s="131"/>
      <c r="N605" s="43"/>
      <c r="O605" s="132">
        <v>14899.0</v>
      </c>
    </row>
    <row r="606">
      <c r="A606" s="15" t="s">
        <v>95</v>
      </c>
      <c r="B606" s="114" t="str">
        <f>IFERROR(VLOOKUP(A606,Internal_lists_bugs!$A$2:$G2033,7,FALSE()),"please select a BUG ID")</f>
        <v>https://github.com/elastic/elasticsearch/commit/7caee2fa4d918d4c6978bcf986a158d03bf7db2a</v>
      </c>
      <c r="C606" s="51" t="str">
        <f>IFERROR(VLOOKUP(A606,Internal_lists_bugs!$A$2:$I2033,9,FALSE()),"please select a BUG ID")</f>
        <v>https://github.com/elastic/elasticsearch/pull/15336 
https://github.com/elastic/elasticsearch/pull/14899 </v>
      </c>
      <c r="D606" s="85"/>
      <c r="E606" s="85"/>
      <c r="F606" s="133"/>
      <c r="G606" s="16" t="s">
        <v>227</v>
      </c>
      <c r="H606" s="16" t="s">
        <v>1167</v>
      </c>
      <c r="I606" s="131"/>
      <c r="J606" s="131"/>
      <c r="K606" s="131"/>
      <c r="L606" s="131"/>
      <c r="M606" s="131"/>
      <c r="N606" s="43"/>
      <c r="O606" s="132">
        <v>14899.0</v>
      </c>
    </row>
    <row r="607">
      <c r="A607" s="15" t="s">
        <v>96</v>
      </c>
      <c r="B607" s="114" t="str">
        <f>IFERROR(VLOOKUP(A607,Internal_lists_bugs!$A$2:$G2033,7,FALSE()),"please select a BUG ID")</f>
        <v>https://github.com/elastic/elasticsearch/commit/22722840d4331a83fcfdd8edea22d372feba16ab</v>
      </c>
      <c r="C607" s="51" t="str">
        <f>IFERROR(VLOOKUP(A607,Internal_lists_bugs!$A$2:$I2033,9,FALSE()),"please select a BUG ID")</f>
        <v/>
      </c>
      <c r="D607" s="85"/>
      <c r="E607" s="85"/>
      <c r="F607" s="133"/>
      <c r="G607" s="43"/>
      <c r="I607" s="131"/>
      <c r="J607" s="131"/>
      <c r="K607" s="131"/>
      <c r="L607" s="131"/>
      <c r="M607" s="131"/>
      <c r="N607" s="43"/>
      <c r="O607" s="51"/>
    </row>
    <row r="608">
      <c r="A608" s="15" t="s">
        <v>97</v>
      </c>
      <c r="B608" s="114" t="str">
        <f>IFERROR(VLOOKUP(A608,Internal_lists_bugs!$A$2:$G2033,7,FALSE()),"please select a BUG ID")</f>
        <v>https://github.com/elastic/elasticsearch/commit/ef85412f98e97ff5471013eab59fd8cb3046c17a</v>
      </c>
      <c r="C608" s="51" t="str">
        <f>IFERROR(VLOOKUP(A608,Internal_lists_bugs!$A$2:$I2033,9,FALSE()),"please select a BUG ID")</f>
        <v/>
      </c>
      <c r="D608" s="85"/>
      <c r="E608" s="85"/>
      <c r="F608" s="133"/>
      <c r="G608" s="43"/>
      <c r="I608" s="131"/>
      <c r="J608" s="131"/>
      <c r="K608" s="131"/>
      <c r="L608" s="131"/>
      <c r="M608" s="131"/>
      <c r="N608" s="43"/>
      <c r="O608" s="51"/>
    </row>
    <row r="609">
      <c r="A609" s="15" t="s">
        <v>98</v>
      </c>
      <c r="B609" s="114" t="str">
        <f>IFERROR(VLOOKUP(A609,Internal_lists_bugs!$A$2:$G2033,7,FALSE()),"please select a BUG ID")</f>
        <v>https://github.com/elastic/elasticsearch/commit/a235a5594338789a448742fce19549206dd5b30c</v>
      </c>
      <c r="C609" s="51" t="str">
        <f>IFERROR(VLOOKUP(A609,Internal_lists_bugs!$A$2:$I2033,9,FALSE()),"please select a BUG ID")</f>
        <v/>
      </c>
      <c r="D609" s="85"/>
      <c r="E609" s="85"/>
      <c r="F609" s="133"/>
      <c r="G609" s="43"/>
      <c r="I609" s="131"/>
      <c r="J609" s="131"/>
      <c r="K609" s="131"/>
      <c r="L609" s="131"/>
      <c r="M609" s="131"/>
      <c r="N609" s="43"/>
      <c r="O609" s="51"/>
    </row>
    <row r="610">
      <c r="A610" s="15" t="s">
        <v>99</v>
      </c>
      <c r="B610" s="114" t="str">
        <f>IFERROR(VLOOKUP(A610,Internal_lists_bugs!$A$2:$G2033,7,FALSE()),"please select a BUG ID")</f>
        <v>https://github.com/elastic/elasticsearch/commit/103221e58a85dc5d133cc70af898102735c4375f</v>
      </c>
      <c r="C610" s="51" t="str">
        <f>IFERROR(VLOOKUP(A610,Internal_lists_bugs!$A$2:$I2033,9,FALSE()),"please select a BUG ID")</f>
        <v/>
      </c>
      <c r="D610" s="85"/>
      <c r="E610" s="85"/>
      <c r="F610" s="133"/>
      <c r="G610" s="43"/>
      <c r="I610" s="131"/>
      <c r="J610" s="131"/>
      <c r="K610" s="131"/>
      <c r="L610" s="131"/>
      <c r="M610" s="131"/>
      <c r="N610" s="43"/>
      <c r="O610" s="51"/>
    </row>
    <row r="611">
      <c r="A611" s="15" t="s">
        <v>100</v>
      </c>
      <c r="B611" s="114" t="str">
        <f>IFERROR(VLOOKUP(A611,Internal_lists_bugs!$A$2:$G2033,7,FALSE()),"please select a BUG ID")</f>
        <v>https://github.com/elastic/elasticsearch/commit/093791e82dfe7c3e16ddb1f199fede2cf86b6797</v>
      </c>
      <c r="C611" s="39" t="str">
        <f>IFERROR(VLOOKUP(A611,Internal_lists_bugs!$A$2:$I2033,9,FALSE()),"please select a BUG ID")</f>
        <v>https://github.com/elastic/elasticsearch/pull/13704</v>
      </c>
      <c r="D611" s="80" t="s">
        <v>1133</v>
      </c>
      <c r="E611" s="85"/>
      <c r="F611" s="130" t="s">
        <v>121</v>
      </c>
      <c r="G611" s="16" t="s">
        <v>1045</v>
      </c>
      <c r="H611" s="16" t="s">
        <v>120</v>
      </c>
      <c r="I611" s="131"/>
      <c r="J611" s="131"/>
      <c r="K611" s="131"/>
      <c r="L611" s="131"/>
      <c r="M611" s="131"/>
      <c r="N611" s="16" t="s">
        <v>634</v>
      </c>
      <c r="O611" s="132">
        <v>13704.0</v>
      </c>
    </row>
    <row r="612">
      <c r="A612" s="15" t="s">
        <v>100</v>
      </c>
      <c r="B612" s="114" t="str">
        <f>IFERROR(VLOOKUP(A612,Internal_lists_bugs!$A$2:$G2033,7,FALSE()),"please select a BUG ID")</f>
        <v>https://github.com/elastic/elasticsearch/commit/093791e82dfe7c3e16ddb1f199fede2cf86b6797</v>
      </c>
      <c r="C612" s="39" t="str">
        <f>IFERROR(VLOOKUP(A612,Internal_lists_bugs!$A$2:$I2033,9,FALSE()),"please select a BUG ID")</f>
        <v>https://github.com/elastic/elasticsearch/pull/13704</v>
      </c>
      <c r="D612" s="85"/>
      <c r="E612" s="85"/>
      <c r="F612" s="133"/>
      <c r="G612" s="16" t="s">
        <v>227</v>
      </c>
      <c r="H612" s="16" t="s">
        <v>131</v>
      </c>
      <c r="I612" s="131"/>
      <c r="J612" s="131"/>
      <c r="K612" s="131"/>
      <c r="L612" s="131"/>
      <c r="M612" s="131"/>
      <c r="N612" s="43"/>
      <c r="O612" s="132">
        <v>13704.0</v>
      </c>
    </row>
    <row r="613">
      <c r="A613" s="15"/>
      <c r="B613" s="59"/>
      <c r="C613" s="51"/>
      <c r="D613" s="80"/>
      <c r="E613" s="85"/>
      <c r="F613" s="130"/>
      <c r="G613" s="43"/>
      <c r="I613" s="145"/>
      <c r="J613" s="131"/>
      <c r="K613" s="145"/>
      <c r="L613" s="131"/>
      <c r="M613" s="145"/>
      <c r="N613" s="43"/>
      <c r="O613" s="132"/>
    </row>
    <row r="614">
      <c r="A614" s="48"/>
      <c r="B614" s="59"/>
      <c r="C614" s="51"/>
      <c r="D614" s="85"/>
      <c r="E614" s="85"/>
      <c r="F614" s="133"/>
      <c r="G614" s="43"/>
      <c r="I614" s="131"/>
      <c r="J614" s="131"/>
      <c r="K614" s="131"/>
      <c r="L614" s="131"/>
      <c r="M614" s="131"/>
      <c r="N614" s="43"/>
      <c r="O614" s="132"/>
    </row>
    <row r="615">
      <c r="A615" s="43"/>
      <c r="B615" s="59"/>
      <c r="C615" s="51"/>
      <c r="D615" s="80"/>
      <c r="E615" s="85"/>
      <c r="F615" s="130"/>
      <c r="G615" s="43"/>
      <c r="I615" s="131"/>
      <c r="J615" s="131"/>
      <c r="K615" s="131"/>
      <c r="L615" s="131"/>
      <c r="M615" s="131"/>
      <c r="N615" s="43"/>
      <c r="O615" s="132"/>
    </row>
    <row r="616">
      <c r="A616" s="43"/>
      <c r="B616" s="59"/>
      <c r="C616" s="51"/>
      <c r="D616" s="85"/>
      <c r="E616" s="85"/>
      <c r="F616" s="133"/>
      <c r="G616" s="43"/>
      <c r="I616" s="131"/>
      <c r="J616" s="131"/>
      <c r="K616" s="131"/>
      <c r="L616" s="131"/>
      <c r="M616" s="131"/>
      <c r="N616" s="43"/>
      <c r="O616" s="132"/>
    </row>
    <row r="617">
      <c r="A617" s="43"/>
      <c r="B617" s="59"/>
      <c r="C617" s="51"/>
      <c r="D617" s="80"/>
      <c r="E617" s="80"/>
      <c r="F617" s="130"/>
      <c r="G617" s="43"/>
      <c r="H617" s="108"/>
      <c r="I617" s="131"/>
      <c r="J617" s="125"/>
      <c r="K617" s="131"/>
      <c r="L617" s="131"/>
      <c r="M617" s="131"/>
      <c r="N617" s="43"/>
      <c r="O617" s="132"/>
    </row>
    <row r="618">
      <c r="A618" s="43"/>
      <c r="B618" s="59"/>
      <c r="C618" s="51"/>
      <c r="D618" s="85"/>
      <c r="E618" s="85"/>
      <c r="F618" s="133"/>
      <c r="G618" s="43"/>
      <c r="H618" s="108"/>
      <c r="I618" s="131"/>
      <c r="J618" s="131"/>
      <c r="K618" s="131"/>
      <c r="L618" s="131"/>
      <c r="M618" s="131"/>
      <c r="N618" s="43"/>
      <c r="O618" s="132"/>
    </row>
    <row r="619">
      <c r="A619" s="43"/>
      <c r="B619" s="59"/>
      <c r="C619" s="51"/>
      <c r="D619" s="85"/>
      <c r="E619" s="85"/>
      <c r="F619" s="133"/>
      <c r="G619" s="43"/>
      <c r="H619" s="108"/>
      <c r="I619" s="131"/>
      <c r="J619" s="131"/>
      <c r="K619" s="131"/>
      <c r="L619" s="131"/>
      <c r="M619" s="131"/>
      <c r="N619" s="43"/>
      <c r="O619" s="132"/>
    </row>
    <row r="620">
      <c r="A620" s="43"/>
      <c r="B620" s="59"/>
      <c r="C620" s="51"/>
      <c r="D620" s="85"/>
      <c r="E620" s="85"/>
      <c r="F620" s="133"/>
      <c r="G620" s="43"/>
      <c r="H620" s="108"/>
      <c r="I620" s="131"/>
      <c r="J620" s="131"/>
      <c r="K620" s="131"/>
      <c r="L620" s="131"/>
      <c r="M620" s="131"/>
      <c r="N620" s="43"/>
      <c r="O620" s="132"/>
    </row>
    <row r="621">
      <c r="A621" s="43"/>
      <c r="B621" s="59"/>
      <c r="C621" s="51"/>
      <c r="D621" s="85"/>
      <c r="E621" s="85"/>
      <c r="F621" s="133"/>
      <c r="G621" s="43"/>
      <c r="H621" s="135"/>
      <c r="I621" s="131"/>
      <c r="J621" s="131"/>
      <c r="K621" s="131"/>
      <c r="L621" s="131"/>
      <c r="M621" s="131"/>
      <c r="N621" s="43"/>
      <c r="O621" s="132"/>
    </row>
    <row r="622">
      <c r="A622" s="43"/>
      <c r="B622" s="59"/>
      <c r="C622" s="51"/>
      <c r="D622" s="85"/>
      <c r="E622" s="85"/>
      <c r="F622" s="133"/>
      <c r="G622" s="43"/>
      <c r="H622" s="108"/>
      <c r="I622" s="131"/>
      <c r="J622" s="131"/>
      <c r="K622" s="131"/>
      <c r="L622" s="131"/>
      <c r="M622" s="131"/>
      <c r="N622" s="43"/>
      <c r="O622" s="132"/>
    </row>
    <row r="623">
      <c r="A623" s="43"/>
      <c r="B623" s="59"/>
      <c r="C623" s="51"/>
      <c r="D623" s="85"/>
      <c r="E623" s="85"/>
      <c r="F623" s="133"/>
      <c r="G623" s="43"/>
      <c r="H623" s="108"/>
      <c r="I623" s="131"/>
      <c r="J623" s="131"/>
      <c r="K623" s="131"/>
      <c r="L623" s="131"/>
      <c r="M623" s="131"/>
      <c r="N623" s="43"/>
      <c r="O623" s="132"/>
    </row>
    <row r="624">
      <c r="A624" s="43"/>
      <c r="B624" s="59"/>
      <c r="C624" s="51"/>
      <c r="D624" s="85"/>
      <c r="E624" s="85"/>
      <c r="F624" s="133"/>
      <c r="G624" s="43"/>
      <c r="H624" s="108"/>
      <c r="I624" s="131"/>
      <c r="J624" s="131"/>
      <c r="K624" s="131"/>
      <c r="L624" s="131"/>
      <c r="M624" s="131"/>
      <c r="N624" s="43"/>
      <c r="O624" s="132"/>
    </row>
    <row r="625">
      <c r="A625" s="43"/>
      <c r="B625" s="59"/>
      <c r="C625" s="51"/>
      <c r="D625" s="85"/>
      <c r="E625" s="85"/>
      <c r="F625" s="133"/>
      <c r="G625" s="43"/>
      <c r="H625" s="108"/>
      <c r="I625" s="131"/>
      <c r="J625" s="131"/>
      <c r="K625" s="131"/>
      <c r="L625" s="131"/>
      <c r="M625" s="131"/>
      <c r="N625" s="43"/>
      <c r="O625" s="132"/>
    </row>
    <row r="626">
      <c r="A626" s="43"/>
      <c r="B626" s="59"/>
      <c r="C626" s="51"/>
      <c r="D626" s="85"/>
      <c r="E626" s="85"/>
      <c r="F626" s="133"/>
      <c r="G626" s="43"/>
      <c r="H626" s="108"/>
      <c r="I626" s="131"/>
      <c r="J626" s="131"/>
      <c r="K626" s="131"/>
      <c r="L626" s="131"/>
      <c r="M626" s="131"/>
      <c r="N626" s="43"/>
      <c r="O626" s="132"/>
    </row>
    <row r="627">
      <c r="A627" s="43"/>
      <c r="B627" s="59"/>
      <c r="C627" s="51"/>
      <c r="D627" s="85"/>
      <c r="E627" s="85"/>
      <c r="F627" s="133"/>
      <c r="G627" s="43"/>
      <c r="H627" s="108"/>
      <c r="I627" s="131"/>
      <c r="J627" s="131"/>
      <c r="K627" s="131"/>
      <c r="L627" s="131"/>
      <c r="M627" s="131"/>
      <c r="N627" s="43"/>
      <c r="O627" s="132"/>
    </row>
    <row r="628">
      <c r="A628" s="43"/>
      <c r="B628" s="59"/>
      <c r="C628" s="51"/>
      <c r="D628" s="85"/>
      <c r="E628" s="85"/>
      <c r="F628" s="133"/>
      <c r="G628" s="43"/>
      <c r="H628" s="108"/>
      <c r="I628" s="131"/>
      <c r="J628" s="131"/>
      <c r="K628" s="131"/>
      <c r="L628" s="131"/>
      <c r="M628" s="131"/>
      <c r="N628" s="43"/>
      <c r="O628" s="132"/>
    </row>
    <row r="629">
      <c r="A629" s="43"/>
      <c r="B629" s="59"/>
      <c r="C629" s="51"/>
      <c r="D629" s="85"/>
      <c r="E629" s="85"/>
      <c r="F629" s="133"/>
      <c r="G629" s="43"/>
      <c r="H629" s="108"/>
      <c r="I629" s="131"/>
      <c r="J629" s="131"/>
      <c r="K629" s="131"/>
      <c r="L629" s="131"/>
      <c r="M629" s="131"/>
      <c r="N629" s="43"/>
      <c r="O629" s="132"/>
    </row>
    <row r="630">
      <c r="A630" s="43"/>
      <c r="B630" s="59"/>
      <c r="C630" s="51"/>
      <c r="D630" s="85"/>
      <c r="E630" s="85"/>
      <c r="F630" s="133"/>
      <c r="G630" s="43"/>
      <c r="H630" s="108"/>
      <c r="I630" s="131"/>
      <c r="J630" s="131"/>
      <c r="K630" s="131"/>
      <c r="L630" s="131"/>
      <c r="M630" s="131"/>
      <c r="N630" s="43"/>
      <c r="O630" s="132"/>
    </row>
    <row r="631">
      <c r="A631" s="43"/>
      <c r="B631" s="59"/>
      <c r="C631" s="51"/>
      <c r="D631" s="85"/>
      <c r="E631" s="85"/>
      <c r="F631" s="133"/>
      <c r="G631" s="43"/>
      <c r="H631" s="108"/>
      <c r="I631" s="131"/>
      <c r="J631" s="131"/>
      <c r="K631" s="131"/>
      <c r="L631" s="131"/>
      <c r="M631" s="131"/>
      <c r="N631" s="43"/>
      <c r="O631" s="132"/>
    </row>
    <row r="632">
      <c r="A632" s="43"/>
      <c r="B632" s="59"/>
      <c r="C632" s="51"/>
      <c r="D632" s="85"/>
      <c r="E632" s="85"/>
      <c r="F632" s="133"/>
      <c r="G632" s="43"/>
      <c r="H632" s="108"/>
      <c r="I632" s="131"/>
      <c r="J632" s="131"/>
      <c r="K632" s="131"/>
      <c r="L632" s="131"/>
      <c r="M632" s="131"/>
      <c r="N632" s="43"/>
      <c r="O632" s="132"/>
    </row>
    <row r="633">
      <c r="A633" s="43"/>
      <c r="B633" s="59"/>
      <c r="C633" s="51"/>
      <c r="D633" s="85"/>
      <c r="E633" s="85"/>
      <c r="F633" s="133"/>
      <c r="G633" s="43"/>
      <c r="I633" s="131"/>
      <c r="J633" s="131"/>
      <c r="K633" s="131"/>
      <c r="L633" s="131"/>
      <c r="M633" s="131"/>
      <c r="N633" s="43"/>
      <c r="O633" s="132"/>
    </row>
    <row r="634">
      <c r="A634" s="43"/>
      <c r="B634" s="59"/>
      <c r="C634" s="51"/>
      <c r="D634" s="80"/>
      <c r="E634" s="85"/>
      <c r="F634" s="130"/>
      <c r="G634" s="43"/>
      <c r="H634" s="108"/>
      <c r="I634" s="131"/>
      <c r="J634" s="131"/>
      <c r="K634" s="131"/>
      <c r="L634" s="131"/>
      <c r="M634" s="131"/>
      <c r="N634" s="43"/>
      <c r="O634" s="132"/>
    </row>
    <row r="635">
      <c r="A635" s="43"/>
      <c r="B635" s="59"/>
      <c r="C635" s="51"/>
      <c r="D635" s="85"/>
      <c r="E635" s="85"/>
      <c r="F635" s="133"/>
      <c r="G635" s="43"/>
      <c r="H635" s="108"/>
      <c r="I635" s="131"/>
      <c r="J635" s="131"/>
      <c r="K635" s="131"/>
      <c r="L635" s="131"/>
      <c r="M635" s="131"/>
      <c r="N635" s="43"/>
      <c r="O635" s="132"/>
    </row>
    <row r="636">
      <c r="A636" s="43"/>
      <c r="B636" s="59"/>
      <c r="C636" s="51"/>
      <c r="D636" s="85"/>
      <c r="E636" s="85"/>
      <c r="F636" s="133"/>
      <c r="G636" s="43"/>
      <c r="H636" s="108"/>
      <c r="I636" s="131"/>
      <c r="J636" s="131"/>
      <c r="K636" s="131"/>
      <c r="L636" s="131"/>
      <c r="M636" s="131"/>
      <c r="N636" s="43"/>
      <c r="O636" s="132"/>
    </row>
    <row r="637">
      <c r="A637" s="43"/>
      <c r="B637" s="59"/>
      <c r="C637" s="51"/>
      <c r="D637" s="85"/>
      <c r="E637" s="85"/>
      <c r="F637" s="133"/>
      <c r="G637" s="43"/>
      <c r="H637" s="108"/>
      <c r="I637" s="131"/>
      <c r="J637" s="131"/>
      <c r="K637" s="131"/>
      <c r="L637" s="131"/>
      <c r="M637" s="131"/>
      <c r="N637" s="43"/>
      <c r="O637" s="132"/>
    </row>
    <row r="638">
      <c r="A638" s="43"/>
      <c r="B638" s="59"/>
      <c r="C638" s="51"/>
      <c r="D638" s="85"/>
      <c r="E638" s="85"/>
      <c r="F638" s="133"/>
      <c r="G638" s="43"/>
      <c r="H638" s="108"/>
      <c r="I638" s="131"/>
      <c r="J638" s="131"/>
      <c r="K638" s="131"/>
      <c r="L638" s="131"/>
      <c r="M638" s="131"/>
      <c r="N638" s="43"/>
      <c r="O638" s="132"/>
    </row>
    <row r="639">
      <c r="A639" s="43"/>
      <c r="B639" s="59"/>
      <c r="C639" s="51"/>
      <c r="D639" s="85"/>
      <c r="E639" s="85"/>
      <c r="F639" s="133"/>
      <c r="G639" s="43"/>
      <c r="H639" s="108"/>
      <c r="I639" s="131"/>
      <c r="J639" s="131"/>
      <c r="K639" s="131"/>
      <c r="L639" s="131"/>
      <c r="M639" s="131"/>
      <c r="N639" s="43"/>
      <c r="O639" s="132"/>
    </row>
    <row r="640">
      <c r="A640" s="43"/>
      <c r="B640" s="59"/>
      <c r="C640" s="51"/>
      <c r="D640" s="85"/>
      <c r="E640" s="85"/>
      <c r="F640" s="133"/>
      <c r="G640" s="43"/>
      <c r="H640" s="108"/>
      <c r="I640" s="131"/>
      <c r="J640" s="131"/>
      <c r="K640" s="131"/>
      <c r="L640" s="131"/>
      <c r="M640" s="131"/>
      <c r="N640" s="43"/>
      <c r="O640" s="132"/>
    </row>
    <row r="641">
      <c r="A641" s="43"/>
      <c r="B641" s="59" t="str">
        <f>IFERROR(VLOOKUP(A641,Internal_lists_bugs!$A$2:$G2033,7,FALSE()),"please select a BUG ID")</f>
        <v>please select a BUG ID</v>
      </c>
      <c r="C641" s="51" t="str">
        <f>IFERROR(VLOOKUP(A641,Internal_lists_bugs!$A$2:$I2033,9,FALSE()),"please select a BUG ID")</f>
        <v>please select a BUG ID</v>
      </c>
      <c r="D641" s="85"/>
      <c r="E641" s="85"/>
      <c r="F641" s="133"/>
      <c r="G641" s="43"/>
      <c r="I641" s="131"/>
      <c r="J641" s="131"/>
      <c r="K641" s="131"/>
      <c r="L641" s="131"/>
      <c r="M641" s="131"/>
      <c r="N641" s="43"/>
      <c r="O641" s="51"/>
    </row>
    <row r="642">
      <c r="A642" s="43"/>
      <c r="B642" s="59" t="str">
        <f>IFERROR(VLOOKUP(A642,Internal_lists_bugs!$A$2:$G2033,7,FALSE()),"please select a BUG ID")</f>
        <v>please select a BUG ID</v>
      </c>
      <c r="C642" s="51" t="str">
        <f>IFERROR(VLOOKUP(A642,Internal_lists_bugs!$A$2:$I2033,9,FALSE()),"please select a BUG ID")</f>
        <v>please select a BUG ID</v>
      </c>
      <c r="D642" s="85"/>
      <c r="E642" s="85"/>
      <c r="F642" s="133"/>
      <c r="G642" s="43"/>
      <c r="I642" s="131"/>
      <c r="J642" s="131"/>
      <c r="K642" s="131"/>
      <c r="L642" s="131"/>
      <c r="M642" s="131"/>
      <c r="N642" s="43"/>
      <c r="O642" s="51"/>
    </row>
    <row r="643">
      <c r="A643" s="43"/>
      <c r="B643" s="59" t="str">
        <f>IFERROR(VLOOKUP(A643,Internal_lists_bugs!$A$2:$G2033,7,FALSE()),"please select a BUG ID")</f>
        <v>please select a BUG ID</v>
      </c>
      <c r="C643" s="51" t="str">
        <f>IFERROR(VLOOKUP(A643,Internal_lists_bugs!$A$2:$I2033,9,FALSE()),"please select a BUG ID")</f>
        <v>please select a BUG ID</v>
      </c>
      <c r="D643" s="85"/>
      <c r="E643" s="85"/>
      <c r="F643" s="133"/>
      <c r="G643" s="43"/>
      <c r="I643" s="131"/>
      <c r="J643" s="131"/>
      <c r="K643" s="131"/>
      <c r="L643" s="131"/>
      <c r="M643" s="131"/>
      <c r="N643" s="43"/>
      <c r="O643" s="51"/>
    </row>
    <row r="644">
      <c r="A644" s="43"/>
      <c r="B644" s="59" t="str">
        <f>IFERROR(VLOOKUP(A644,Internal_lists_bugs!$A$2:$G2033,7,FALSE()),"please select a BUG ID")</f>
        <v>please select a BUG ID</v>
      </c>
      <c r="C644" s="51" t="str">
        <f>IFERROR(VLOOKUP(A644,Internal_lists_bugs!$A$2:$I2033,9,FALSE()),"please select a BUG ID")</f>
        <v>please select a BUG ID</v>
      </c>
      <c r="D644" s="85"/>
      <c r="E644" s="85"/>
      <c r="F644" s="133"/>
      <c r="G644" s="43"/>
      <c r="I644" s="131"/>
      <c r="J644" s="131"/>
      <c r="K644" s="131"/>
      <c r="L644" s="131"/>
      <c r="M644" s="131"/>
      <c r="N644" s="43"/>
      <c r="O644" s="51"/>
    </row>
    <row r="645">
      <c r="A645" s="43"/>
      <c r="B645" s="59" t="str">
        <f>IFERROR(VLOOKUP(A645,Internal_lists_bugs!$A$2:$G2033,7,FALSE()),"please select a BUG ID")</f>
        <v>please select a BUG ID</v>
      </c>
      <c r="C645" s="51" t="str">
        <f>IFERROR(VLOOKUP(A645,Internal_lists_bugs!$A$2:$I2033,9,FALSE()),"please select a BUG ID")</f>
        <v>please select a BUG ID</v>
      </c>
      <c r="D645" s="85"/>
      <c r="E645" s="85"/>
      <c r="F645" s="133"/>
      <c r="G645" s="43"/>
      <c r="I645" s="131"/>
      <c r="J645" s="131"/>
      <c r="K645" s="131"/>
      <c r="L645" s="131"/>
      <c r="M645" s="131"/>
      <c r="N645" s="43"/>
      <c r="O645" s="51"/>
    </row>
    <row r="646">
      <c r="A646" s="43"/>
      <c r="B646" s="59" t="str">
        <f>IFERROR(VLOOKUP(A646,Internal_lists_bugs!$A$2:$G2033,7,FALSE()),"please select a BUG ID")</f>
        <v>please select a BUG ID</v>
      </c>
      <c r="C646" s="51" t="str">
        <f>IFERROR(VLOOKUP(A646,Internal_lists_bugs!$A$2:$I2033,9,FALSE()),"please select a BUG ID")</f>
        <v>please select a BUG ID</v>
      </c>
      <c r="D646" s="85"/>
      <c r="E646" s="85"/>
      <c r="F646" s="133"/>
      <c r="G646" s="43"/>
      <c r="I646" s="131"/>
      <c r="J646" s="131"/>
      <c r="K646" s="131"/>
      <c r="L646" s="131"/>
      <c r="M646" s="131"/>
      <c r="N646" s="43"/>
      <c r="O646" s="51"/>
    </row>
    <row r="647">
      <c r="A647" s="43"/>
      <c r="B647" s="59" t="str">
        <f>IFERROR(VLOOKUP(A647,Internal_lists_bugs!$A$2:$G2033,7,FALSE()),"please select a BUG ID")</f>
        <v>please select a BUG ID</v>
      </c>
      <c r="C647" s="51" t="str">
        <f>IFERROR(VLOOKUP(A647,Internal_lists_bugs!$A$2:$I2033,9,FALSE()),"please select a BUG ID")</f>
        <v>please select a BUG ID</v>
      </c>
      <c r="D647" s="85"/>
      <c r="E647" s="85"/>
      <c r="F647" s="133"/>
      <c r="G647" s="43"/>
      <c r="I647" s="131"/>
      <c r="J647" s="131"/>
      <c r="K647" s="131"/>
      <c r="L647" s="131"/>
      <c r="M647" s="131"/>
      <c r="N647" s="43"/>
      <c r="O647" s="51"/>
    </row>
    <row r="648">
      <c r="A648" s="43"/>
      <c r="B648" s="59" t="str">
        <f>IFERROR(VLOOKUP(A648,Internal_lists_bugs!$A$2:$G2033,7,FALSE()),"please select a BUG ID")</f>
        <v>please select a BUG ID</v>
      </c>
      <c r="C648" s="51" t="str">
        <f>IFERROR(VLOOKUP(A648,Internal_lists_bugs!$A$2:$I2033,9,FALSE()),"please select a BUG ID")</f>
        <v>please select a BUG ID</v>
      </c>
      <c r="D648" s="85"/>
      <c r="E648" s="85"/>
      <c r="F648" s="133"/>
      <c r="G648" s="43"/>
      <c r="I648" s="131"/>
      <c r="J648" s="131"/>
      <c r="K648" s="131"/>
      <c r="L648" s="131"/>
      <c r="M648" s="131"/>
      <c r="N648" s="43"/>
      <c r="O648" s="51"/>
    </row>
    <row r="649">
      <c r="A649" s="43"/>
      <c r="B649" s="59" t="str">
        <f>IFERROR(VLOOKUP(A649,Internal_lists_bugs!$A$2:$G2033,7,FALSE()),"please select a BUG ID")</f>
        <v>please select a BUG ID</v>
      </c>
      <c r="C649" s="51" t="str">
        <f>IFERROR(VLOOKUP(A649,Internal_lists_bugs!$A$2:$I2033,9,FALSE()),"please select a BUG ID")</f>
        <v>please select a BUG ID</v>
      </c>
      <c r="D649" s="85"/>
      <c r="E649" s="85"/>
      <c r="F649" s="133"/>
      <c r="G649" s="43"/>
      <c r="I649" s="131"/>
      <c r="J649" s="131"/>
      <c r="K649" s="131"/>
      <c r="L649" s="131"/>
      <c r="M649" s="131"/>
      <c r="N649" s="43"/>
      <c r="O649" s="51"/>
    </row>
    <row r="650">
      <c r="A650" s="43"/>
      <c r="B650" s="59" t="str">
        <f>IFERROR(VLOOKUP(A650,Internal_lists_bugs!$A$2:$G2033,7,FALSE()),"please select a BUG ID")</f>
        <v>please select a BUG ID</v>
      </c>
      <c r="C650" s="51" t="str">
        <f>IFERROR(VLOOKUP(A650,Internal_lists_bugs!$A$2:$I2033,9,FALSE()),"please select a BUG ID")</f>
        <v>please select a BUG ID</v>
      </c>
      <c r="D650" s="85"/>
      <c r="E650" s="85"/>
      <c r="F650" s="133"/>
      <c r="G650" s="43"/>
      <c r="I650" s="131"/>
      <c r="J650" s="131"/>
      <c r="K650" s="131"/>
      <c r="L650" s="131"/>
      <c r="M650" s="131"/>
      <c r="N650" s="43"/>
      <c r="O650" s="51"/>
    </row>
    <row r="651">
      <c r="A651" s="43"/>
      <c r="B651" s="59" t="str">
        <f>IFERROR(VLOOKUP(A651,Internal_lists_bugs!$A$2:$G2033,7,FALSE()),"please select a BUG ID")</f>
        <v>please select a BUG ID</v>
      </c>
      <c r="C651" s="51" t="str">
        <f>IFERROR(VLOOKUP(A651,Internal_lists_bugs!$A$2:$I2033,9,FALSE()),"please select a BUG ID")</f>
        <v>please select a BUG ID</v>
      </c>
      <c r="D651" s="85"/>
      <c r="E651" s="85"/>
      <c r="F651" s="133"/>
      <c r="G651" s="43"/>
      <c r="I651" s="131"/>
      <c r="J651" s="131"/>
      <c r="K651" s="131"/>
      <c r="L651" s="131"/>
      <c r="M651" s="131"/>
      <c r="N651" s="43"/>
      <c r="O651" s="51"/>
    </row>
    <row r="652">
      <c r="A652" s="43"/>
      <c r="B652" s="59" t="str">
        <f>IFERROR(VLOOKUP(A652,Internal_lists_bugs!$A$2:$G2033,7,FALSE()),"please select a BUG ID")</f>
        <v>please select a BUG ID</v>
      </c>
      <c r="C652" s="51" t="str">
        <f>IFERROR(VLOOKUP(A652,Internal_lists_bugs!$A$2:$I2033,9,FALSE()),"please select a BUG ID")</f>
        <v>please select a BUG ID</v>
      </c>
      <c r="D652" s="85"/>
      <c r="E652" s="85"/>
      <c r="F652" s="133"/>
      <c r="G652" s="43"/>
      <c r="I652" s="131"/>
      <c r="J652" s="131"/>
      <c r="K652" s="131"/>
      <c r="L652" s="131"/>
      <c r="M652" s="131"/>
      <c r="N652" s="43"/>
      <c r="O652" s="51"/>
    </row>
    <row r="653">
      <c r="A653" s="43"/>
      <c r="B653" s="59" t="str">
        <f>IFERROR(VLOOKUP(A653,Internal_lists_bugs!$A$2:$G2033,7,FALSE()),"please select a BUG ID")</f>
        <v>please select a BUG ID</v>
      </c>
      <c r="C653" s="51" t="str">
        <f>IFERROR(VLOOKUP(A653,Internal_lists_bugs!$A$2:$I2033,9,FALSE()),"please select a BUG ID")</f>
        <v>please select a BUG ID</v>
      </c>
      <c r="D653" s="85"/>
      <c r="E653" s="85"/>
      <c r="F653" s="133"/>
      <c r="G653" s="43"/>
      <c r="I653" s="131"/>
      <c r="J653" s="131"/>
      <c r="K653" s="131"/>
      <c r="L653" s="131"/>
      <c r="M653" s="131"/>
      <c r="N653" s="43"/>
      <c r="O653" s="51"/>
    </row>
    <row r="654">
      <c r="A654" s="43"/>
      <c r="B654" s="59" t="str">
        <f>IFERROR(VLOOKUP(A654,Internal_lists_bugs!$A$2:$G2033,7,FALSE()),"please select a BUG ID")</f>
        <v>please select a BUG ID</v>
      </c>
      <c r="C654" s="51" t="str">
        <f>IFERROR(VLOOKUP(A654,Internal_lists_bugs!$A$2:$I2033,9,FALSE()),"please select a BUG ID")</f>
        <v>please select a BUG ID</v>
      </c>
      <c r="D654" s="85"/>
      <c r="E654" s="85"/>
      <c r="F654" s="133"/>
      <c r="G654" s="43"/>
      <c r="I654" s="131"/>
      <c r="J654" s="131"/>
      <c r="K654" s="131"/>
      <c r="L654" s="131"/>
      <c r="M654" s="131"/>
      <c r="N654" s="43"/>
      <c r="O654" s="51"/>
    </row>
    <row r="655">
      <c r="A655" s="43"/>
      <c r="B655" s="59" t="str">
        <f>IFERROR(VLOOKUP(A655,Internal_lists_bugs!$A$2:$G2033,7,FALSE()),"please select a BUG ID")</f>
        <v>please select a BUG ID</v>
      </c>
      <c r="C655" s="51" t="str">
        <f>IFERROR(VLOOKUP(A655,Internal_lists_bugs!$A$2:$I2033,9,FALSE()),"please select a BUG ID")</f>
        <v>please select a BUG ID</v>
      </c>
      <c r="D655" s="85"/>
      <c r="E655" s="85"/>
      <c r="F655" s="133"/>
      <c r="G655" s="43"/>
      <c r="I655" s="131"/>
      <c r="J655" s="131"/>
      <c r="K655" s="131"/>
      <c r="L655" s="131"/>
      <c r="M655" s="131"/>
      <c r="N655" s="43"/>
      <c r="O655" s="51"/>
    </row>
    <row r="656">
      <c r="A656" s="43"/>
      <c r="B656" s="59" t="str">
        <f>IFERROR(VLOOKUP(A656,Internal_lists_bugs!$A$2:$G2033,7,FALSE()),"please select a BUG ID")</f>
        <v>please select a BUG ID</v>
      </c>
      <c r="C656" s="51" t="str">
        <f>IFERROR(VLOOKUP(A656,Internal_lists_bugs!$A$2:$I2033,9,FALSE()),"please select a BUG ID")</f>
        <v>please select a BUG ID</v>
      </c>
      <c r="D656" s="85"/>
      <c r="E656" s="85"/>
      <c r="F656" s="133"/>
      <c r="G656" s="43"/>
      <c r="I656" s="131"/>
      <c r="J656" s="131"/>
      <c r="K656" s="131"/>
      <c r="L656" s="131"/>
      <c r="M656" s="131"/>
      <c r="N656" s="43"/>
      <c r="O656" s="51"/>
    </row>
    <row r="657">
      <c r="A657" s="43"/>
      <c r="B657" s="59" t="str">
        <f>IFERROR(VLOOKUP(A657,Internal_lists_bugs!$A$2:$G2033,7,FALSE()),"please select a BUG ID")</f>
        <v>please select a BUG ID</v>
      </c>
      <c r="C657" s="51" t="str">
        <f>IFERROR(VLOOKUP(A657,Internal_lists_bugs!$A$2:$I2033,9,FALSE()),"please select a BUG ID")</f>
        <v>please select a BUG ID</v>
      </c>
      <c r="D657" s="85"/>
      <c r="E657" s="85"/>
      <c r="F657" s="133"/>
      <c r="G657" s="43"/>
      <c r="I657" s="131"/>
      <c r="J657" s="131"/>
      <c r="K657" s="131"/>
      <c r="L657" s="131"/>
      <c r="M657" s="131"/>
      <c r="N657" s="43"/>
      <c r="O657" s="51"/>
    </row>
    <row r="658">
      <c r="A658" s="43"/>
      <c r="B658" s="59" t="str">
        <f>IFERROR(VLOOKUP(A658,Internal_lists_bugs!$A$2:$G2033,7,FALSE()),"please select a BUG ID")</f>
        <v>please select a BUG ID</v>
      </c>
      <c r="C658" s="51" t="str">
        <f>IFERROR(VLOOKUP(A658,Internal_lists_bugs!$A$2:$I2033,9,FALSE()),"please select a BUG ID")</f>
        <v>please select a BUG ID</v>
      </c>
      <c r="D658" s="85"/>
      <c r="E658" s="85"/>
      <c r="F658" s="133"/>
      <c r="G658" s="43"/>
      <c r="I658" s="131"/>
      <c r="J658" s="131"/>
      <c r="K658" s="131"/>
      <c r="L658" s="131"/>
      <c r="M658" s="131"/>
      <c r="N658" s="43"/>
      <c r="O658" s="51"/>
    </row>
    <row r="659">
      <c r="A659" s="43"/>
      <c r="B659" s="59" t="str">
        <f>IFERROR(VLOOKUP(A659,Internal_lists_bugs!$A$2:$G2033,7,FALSE()),"please select a BUG ID")</f>
        <v>please select a BUG ID</v>
      </c>
      <c r="C659" s="51" t="str">
        <f>IFERROR(VLOOKUP(A659,Internal_lists_bugs!$A$2:$I2033,9,FALSE()),"please select a BUG ID")</f>
        <v>please select a BUG ID</v>
      </c>
      <c r="D659" s="85"/>
      <c r="E659" s="85"/>
      <c r="F659" s="133"/>
      <c r="G659" s="43"/>
      <c r="I659" s="131"/>
      <c r="J659" s="131"/>
      <c r="K659" s="131"/>
      <c r="L659" s="131"/>
      <c r="M659" s="131"/>
      <c r="N659" s="43"/>
      <c r="O659" s="51"/>
    </row>
    <row r="660">
      <c r="A660" s="43"/>
      <c r="B660" s="59" t="str">
        <f>IFERROR(VLOOKUP(A660,Internal_lists_bugs!$A$2:$G2033,7,FALSE()),"please select a BUG ID")</f>
        <v>please select a BUG ID</v>
      </c>
      <c r="C660" s="51" t="str">
        <f>IFERROR(VLOOKUP(A660,Internal_lists_bugs!$A$2:$I2033,9,FALSE()),"please select a BUG ID")</f>
        <v>please select a BUG ID</v>
      </c>
      <c r="D660" s="85"/>
      <c r="E660" s="85"/>
      <c r="F660" s="133"/>
      <c r="G660" s="43"/>
      <c r="I660" s="131"/>
      <c r="J660" s="131"/>
      <c r="K660" s="131"/>
      <c r="L660" s="131"/>
      <c r="M660" s="131"/>
      <c r="N660" s="43"/>
      <c r="O660" s="51"/>
    </row>
    <row r="661">
      <c r="A661" s="43"/>
      <c r="B661" s="59" t="str">
        <f>IFERROR(VLOOKUP(A661,Internal_lists_bugs!$A$2:$G2033,7,FALSE()),"please select a BUG ID")</f>
        <v>please select a BUG ID</v>
      </c>
      <c r="C661" s="51" t="str">
        <f>IFERROR(VLOOKUP(A661,Internal_lists_bugs!$A$2:$I2033,9,FALSE()),"please select a BUG ID")</f>
        <v>please select a BUG ID</v>
      </c>
      <c r="D661" s="85"/>
      <c r="E661" s="85"/>
      <c r="F661" s="133"/>
      <c r="G661" s="43"/>
      <c r="I661" s="131"/>
      <c r="J661" s="131"/>
      <c r="K661" s="131"/>
      <c r="L661" s="131"/>
      <c r="M661" s="131"/>
      <c r="N661" s="43"/>
      <c r="O661" s="51"/>
    </row>
    <row r="662">
      <c r="A662" s="43"/>
      <c r="B662" s="59" t="str">
        <f>IFERROR(VLOOKUP(A662,Internal_lists_bugs!$A$2:$G2033,7,FALSE()),"please select a BUG ID")</f>
        <v>please select a BUG ID</v>
      </c>
      <c r="C662" s="51" t="str">
        <f>IFERROR(VLOOKUP(A662,Internal_lists_bugs!$A$2:$I2033,9,FALSE()),"please select a BUG ID")</f>
        <v>please select a BUG ID</v>
      </c>
      <c r="D662" s="85"/>
      <c r="E662" s="85"/>
      <c r="F662" s="133"/>
      <c r="G662" s="43"/>
      <c r="I662" s="131"/>
      <c r="J662" s="131"/>
      <c r="K662" s="131"/>
      <c r="L662" s="131"/>
      <c r="M662" s="131"/>
      <c r="N662" s="43"/>
      <c r="O662" s="51"/>
    </row>
    <row r="663">
      <c r="A663" s="43"/>
      <c r="B663" s="59" t="str">
        <f>IFERROR(VLOOKUP(A663,Internal_lists_bugs!$A$2:$G2033,7,FALSE()),"please select a BUG ID")</f>
        <v>please select a BUG ID</v>
      </c>
      <c r="C663" s="51" t="str">
        <f>IFERROR(VLOOKUP(A663,Internal_lists_bugs!$A$2:$I2033,9,FALSE()),"please select a BUG ID")</f>
        <v>please select a BUG ID</v>
      </c>
      <c r="D663" s="85"/>
      <c r="E663" s="85"/>
      <c r="F663" s="133"/>
      <c r="G663" s="43"/>
      <c r="I663" s="131"/>
      <c r="J663" s="131"/>
      <c r="K663" s="131"/>
      <c r="L663" s="131"/>
      <c r="M663" s="131"/>
      <c r="N663" s="43"/>
      <c r="O663" s="51"/>
    </row>
    <row r="664">
      <c r="A664" s="43"/>
      <c r="B664" s="59" t="str">
        <f>IFERROR(VLOOKUP(A664,Internal_lists_bugs!$A$2:$G2033,7,FALSE()),"please select a BUG ID")</f>
        <v>please select a BUG ID</v>
      </c>
      <c r="C664" s="51" t="str">
        <f>IFERROR(VLOOKUP(A664,Internal_lists_bugs!$A$2:$I2033,9,FALSE()),"please select a BUG ID")</f>
        <v>please select a BUG ID</v>
      </c>
      <c r="D664" s="85"/>
      <c r="E664" s="85"/>
      <c r="F664" s="133"/>
      <c r="G664" s="43"/>
      <c r="I664" s="131"/>
      <c r="J664" s="131"/>
      <c r="K664" s="131"/>
      <c r="L664" s="131"/>
      <c r="M664" s="131"/>
      <c r="N664" s="43"/>
      <c r="O664" s="51"/>
    </row>
    <row r="665">
      <c r="A665" s="43"/>
      <c r="B665" s="59" t="str">
        <f>IFERROR(VLOOKUP(A665,Internal_lists_bugs!$A$2:$G2033,7,FALSE()),"please select a BUG ID")</f>
        <v>please select a BUG ID</v>
      </c>
      <c r="C665" s="51" t="str">
        <f>IFERROR(VLOOKUP(A665,Internal_lists_bugs!$A$2:$I2033,9,FALSE()),"please select a BUG ID")</f>
        <v>please select a BUG ID</v>
      </c>
      <c r="D665" s="85"/>
      <c r="E665" s="85"/>
      <c r="F665" s="133"/>
      <c r="G665" s="43"/>
      <c r="I665" s="131"/>
      <c r="J665" s="131"/>
      <c r="K665" s="131"/>
      <c r="L665" s="131"/>
      <c r="M665" s="131"/>
      <c r="N665" s="43"/>
      <c r="O665" s="51"/>
    </row>
    <row r="666">
      <c r="A666" s="43"/>
      <c r="B666" s="59" t="str">
        <f>IFERROR(VLOOKUP(A666,Internal_lists_bugs!$A$2:$G2033,7,FALSE()),"please select a BUG ID")</f>
        <v>please select a BUG ID</v>
      </c>
      <c r="C666" s="51" t="str">
        <f>IFERROR(VLOOKUP(A666,Internal_lists_bugs!$A$2:$I2033,9,FALSE()),"please select a BUG ID")</f>
        <v>please select a BUG ID</v>
      </c>
      <c r="D666" s="85"/>
      <c r="E666" s="85"/>
      <c r="F666" s="133"/>
      <c r="G666" s="43"/>
      <c r="I666" s="131"/>
      <c r="J666" s="131"/>
      <c r="K666" s="131"/>
      <c r="L666" s="131"/>
      <c r="M666" s="131"/>
      <c r="N666" s="43"/>
      <c r="O666" s="51"/>
    </row>
    <row r="667">
      <c r="A667" s="43"/>
      <c r="B667" s="59" t="str">
        <f>IFERROR(VLOOKUP(A667,Internal_lists_bugs!$A$2:$G2033,7,FALSE()),"please select a BUG ID")</f>
        <v>please select a BUG ID</v>
      </c>
      <c r="C667" s="51" t="str">
        <f>IFERROR(VLOOKUP(A667,Internal_lists_bugs!$A$2:$I2033,9,FALSE()),"please select a BUG ID")</f>
        <v>please select a BUG ID</v>
      </c>
      <c r="D667" s="85"/>
      <c r="E667" s="85"/>
      <c r="F667" s="133"/>
      <c r="G667" s="43"/>
      <c r="I667" s="131"/>
      <c r="J667" s="131"/>
      <c r="K667" s="131"/>
      <c r="L667" s="131"/>
      <c r="M667" s="131"/>
      <c r="N667" s="43"/>
      <c r="O667" s="51"/>
    </row>
    <row r="668">
      <c r="A668" s="43"/>
      <c r="B668" s="59" t="str">
        <f>IFERROR(VLOOKUP(A668,Internal_lists_bugs!$A$2:$G2033,7,FALSE()),"please select a BUG ID")</f>
        <v>please select a BUG ID</v>
      </c>
      <c r="C668" s="51" t="str">
        <f>IFERROR(VLOOKUP(A668,Internal_lists_bugs!$A$2:$I2033,9,FALSE()),"please select a BUG ID")</f>
        <v>please select a BUG ID</v>
      </c>
      <c r="D668" s="85"/>
      <c r="E668" s="85"/>
      <c r="F668" s="133"/>
      <c r="G668" s="43"/>
      <c r="I668" s="131"/>
      <c r="J668" s="131"/>
      <c r="K668" s="131"/>
      <c r="L668" s="131"/>
      <c r="M668" s="131"/>
      <c r="N668" s="43"/>
      <c r="O668" s="51"/>
    </row>
    <row r="669">
      <c r="A669" s="43"/>
      <c r="B669" s="59" t="str">
        <f>IFERROR(VLOOKUP(A669,Internal_lists_bugs!$A$2:$G2033,7,FALSE()),"please select a BUG ID")</f>
        <v>please select a BUG ID</v>
      </c>
      <c r="C669" s="51" t="str">
        <f>IFERROR(VLOOKUP(A669,Internal_lists_bugs!$A$2:$I2033,9,FALSE()),"please select a BUG ID")</f>
        <v>please select a BUG ID</v>
      </c>
      <c r="D669" s="85"/>
      <c r="E669" s="85"/>
      <c r="F669" s="133"/>
      <c r="G669" s="43"/>
      <c r="I669" s="131"/>
      <c r="J669" s="131"/>
      <c r="K669" s="131"/>
      <c r="L669" s="131"/>
      <c r="M669" s="131"/>
      <c r="N669" s="43"/>
      <c r="O669" s="51"/>
    </row>
    <row r="670">
      <c r="A670" s="43"/>
      <c r="B670" s="59" t="str">
        <f>IFERROR(VLOOKUP(A670,Internal_lists_bugs!$A$2:$G2033,7,FALSE()),"please select a BUG ID")</f>
        <v>please select a BUG ID</v>
      </c>
      <c r="C670" s="51" t="str">
        <f>IFERROR(VLOOKUP(A670,Internal_lists_bugs!$A$2:$I2033,9,FALSE()),"please select a BUG ID")</f>
        <v>please select a BUG ID</v>
      </c>
      <c r="D670" s="85"/>
      <c r="E670" s="85"/>
      <c r="F670" s="133"/>
      <c r="G670" s="43"/>
      <c r="I670" s="131"/>
      <c r="J670" s="131"/>
      <c r="K670" s="131"/>
      <c r="L670" s="131"/>
      <c r="M670" s="131"/>
      <c r="N670" s="43"/>
      <c r="O670" s="51"/>
    </row>
    <row r="671">
      <c r="A671" s="43"/>
      <c r="B671" s="59" t="str">
        <f>IFERROR(VLOOKUP(A671,Internal_lists_bugs!$A$2:$G2033,7,FALSE()),"please select a BUG ID")</f>
        <v>please select a BUG ID</v>
      </c>
      <c r="C671" s="51" t="str">
        <f>IFERROR(VLOOKUP(A671,Internal_lists_bugs!$A$2:$I2033,9,FALSE()),"please select a BUG ID")</f>
        <v>please select a BUG ID</v>
      </c>
      <c r="D671" s="85"/>
      <c r="E671" s="85"/>
      <c r="F671" s="133"/>
      <c r="G671" s="43"/>
      <c r="I671" s="131"/>
      <c r="J671" s="131"/>
      <c r="K671" s="131"/>
      <c r="L671" s="131"/>
      <c r="M671" s="131"/>
      <c r="N671" s="43"/>
      <c r="O671" s="51"/>
    </row>
    <row r="672">
      <c r="A672" s="43"/>
      <c r="B672" s="59" t="str">
        <f>IFERROR(VLOOKUP(A672,Internal_lists_bugs!$A$2:$G2033,7,FALSE()),"please select a BUG ID")</f>
        <v>please select a BUG ID</v>
      </c>
      <c r="C672" s="51" t="str">
        <f>IFERROR(VLOOKUP(A672,Internal_lists_bugs!$A$2:$I2033,9,FALSE()),"please select a BUG ID")</f>
        <v>please select a BUG ID</v>
      </c>
      <c r="D672" s="85"/>
      <c r="E672" s="85"/>
      <c r="F672" s="133"/>
      <c r="G672" s="43"/>
      <c r="I672" s="131"/>
      <c r="J672" s="131"/>
      <c r="K672" s="131"/>
      <c r="L672" s="131"/>
      <c r="M672" s="131"/>
      <c r="N672" s="43"/>
      <c r="O672" s="51"/>
    </row>
    <row r="673">
      <c r="A673" s="43"/>
      <c r="B673" s="59" t="str">
        <f>IFERROR(VLOOKUP(A673,Internal_lists_bugs!$A$2:$G2033,7,FALSE()),"please select a BUG ID")</f>
        <v>please select a BUG ID</v>
      </c>
      <c r="C673" s="51" t="str">
        <f>IFERROR(VLOOKUP(A673,Internal_lists_bugs!$A$2:$I2033,9,FALSE()),"please select a BUG ID")</f>
        <v>please select a BUG ID</v>
      </c>
      <c r="D673" s="85"/>
      <c r="E673" s="85"/>
      <c r="F673" s="133"/>
      <c r="G673" s="43"/>
      <c r="I673" s="131"/>
      <c r="J673" s="131"/>
      <c r="K673" s="131"/>
      <c r="L673" s="131"/>
      <c r="M673" s="131"/>
      <c r="N673" s="43"/>
      <c r="O673" s="51"/>
    </row>
    <row r="674">
      <c r="A674" s="43"/>
      <c r="B674" s="59" t="str">
        <f>IFERROR(VLOOKUP(A674,Internal_lists_bugs!$A$2:$G2033,7,FALSE()),"please select a BUG ID")</f>
        <v>please select a BUG ID</v>
      </c>
      <c r="C674" s="51" t="str">
        <f>IFERROR(VLOOKUP(A674,Internal_lists_bugs!$A$2:$I2033,9,FALSE()),"please select a BUG ID")</f>
        <v>please select a BUG ID</v>
      </c>
      <c r="D674" s="85"/>
      <c r="E674" s="85"/>
      <c r="F674" s="133"/>
      <c r="G674" s="43"/>
      <c r="I674" s="131"/>
      <c r="J674" s="131"/>
      <c r="K674" s="131"/>
      <c r="L674" s="131"/>
      <c r="M674" s="131"/>
      <c r="N674" s="43"/>
      <c r="O674" s="51"/>
    </row>
    <row r="675">
      <c r="A675" s="43"/>
      <c r="B675" s="59" t="str">
        <f>IFERROR(VLOOKUP(A675,Internal_lists_bugs!$A$2:$G2033,7,FALSE()),"please select a BUG ID")</f>
        <v>please select a BUG ID</v>
      </c>
      <c r="C675" s="51" t="str">
        <f>IFERROR(VLOOKUP(A675,Internal_lists_bugs!$A$2:$I2033,9,FALSE()),"please select a BUG ID")</f>
        <v>please select a BUG ID</v>
      </c>
      <c r="D675" s="85"/>
      <c r="E675" s="85"/>
      <c r="F675" s="133"/>
      <c r="G675" s="43"/>
      <c r="I675" s="131"/>
      <c r="J675" s="131"/>
      <c r="K675" s="131"/>
      <c r="L675" s="131"/>
      <c r="M675" s="131"/>
      <c r="N675" s="43"/>
      <c r="O675" s="51"/>
    </row>
    <row r="676">
      <c r="A676" s="43"/>
      <c r="B676" s="59" t="str">
        <f>IFERROR(VLOOKUP(A676,Internal_lists_bugs!$A$2:$G2033,7,FALSE()),"please select a BUG ID")</f>
        <v>please select a BUG ID</v>
      </c>
      <c r="C676" s="51" t="str">
        <f>IFERROR(VLOOKUP(A676,Internal_lists_bugs!$A$2:$I2033,9,FALSE()),"please select a BUG ID")</f>
        <v>please select a BUG ID</v>
      </c>
      <c r="D676" s="85"/>
      <c r="E676" s="85"/>
      <c r="F676" s="133"/>
      <c r="G676" s="43"/>
      <c r="I676" s="131"/>
      <c r="J676" s="131"/>
      <c r="K676" s="131"/>
      <c r="L676" s="131"/>
      <c r="M676" s="131"/>
      <c r="N676" s="43"/>
      <c r="O676" s="51"/>
    </row>
    <row r="677">
      <c r="A677" s="43"/>
      <c r="B677" s="59" t="str">
        <f>IFERROR(VLOOKUP(A677,Internal_lists_bugs!$A$2:$G2033,7,FALSE()),"please select a BUG ID")</f>
        <v>please select a BUG ID</v>
      </c>
      <c r="C677" s="51" t="str">
        <f>IFERROR(VLOOKUP(A677,Internal_lists_bugs!$A$2:$I2033,9,FALSE()),"please select a BUG ID")</f>
        <v>please select a BUG ID</v>
      </c>
      <c r="D677" s="85"/>
      <c r="E677" s="85"/>
      <c r="F677" s="133"/>
      <c r="G677" s="43"/>
      <c r="I677" s="131"/>
      <c r="J677" s="131"/>
      <c r="K677" s="131"/>
      <c r="L677" s="131"/>
      <c r="M677" s="131"/>
      <c r="N677" s="43"/>
      <c r="O677" s="51"/>
    </row>
    <row r="678">
      <c r="A678" s="43"/>
      <c r="B678" s="59" t="str">
        <f>IFERROR(VLOOKUP(A678,Internal_lists_bugs!$A$2:$G2033,7,FALSE()),"please select a BUG ID")</f>
        <v>please select a BUG ID</v>
      </c>
      <c r="C678" s="51" t="str">
        <f>IFERROR(VLOOKUP(A678,Internal_lists_bugs!$A$2:$I2033,9,FALSE()),"please select a BUG ID")</f>
        <v>please select a BUG ID</v>
      </c>
      <c r="D678" s="85"/>
      <c r="E678" s="85"/>
      <c r="F678" s="133"/>
      <c r="G678" s="43"/>
      <c r="I678" s="131"/>
      <c r="J678" s="131"/>
      <c r="K678" s="131"/>
      <c r="L678" s="131"/>
      <c r="M678" s="131"/>
      <c r="N678" s="43"/>
      <c r="O678" s="51"/>
    </row>
    <row r="679">
      <c r="A679" s="43"/>
      <c r="B679" s="59" t="str">
        <f>IFERROR(VLOOKUP(A679,Internal_lists_bugs!$A$2:$G2033,7,FALSE()),"please select a BUG ID")</f>
        <v>please select a BUG ID</v>
      </c>
      <c r="C679" s="51" t="str">
        <f>IFERROR(VLOOKUP(A679,Internal_lists_bugs!$A$2:$I2033,9,FALSE()),"please select a BUG ID")</f>
        <v>please select a BUG ID</v>
      </c>
      <c r="D679" s="85"/>
      <c r="E679" s="85"/>
      <c r="F679" s="133"/>
      <c r="G679" s="43"/>
      <c r="I679" s="131"/>
      <c r="J679" s="131"/>
      <c r="K679" s="131"/>
      <c r="L679" s="131"/>
      <c r="M679" s="131"/>
      <c r="N679" s="43"/>
      <c r="O679" s="51"/>
    </row>
    <row r="680">
      <c r="A680" s="43"/>
      <c r="B680" s="59" t="str">
        <f>IFERROR(VLOOKUP(A680,Internal_lists_bugs!$A$2:$G2033,7,FALSE()),"please select a BUG ID")</f>
        <v>please select a BUG ID</v>
      </c>
      <c r="C680" s="51" t="str">
        <f>IFERROR(VLOOKUP(A680,Internal_lists_bugs!$A$2:$I2033,9,FALSE()),"please select a BUG ID")</f>
        <v>please select a BUG ID</v>
      </c>
      <c r="D680" s="85"/>
      <c r="E680" s="85"/>
      <c r="F680" s="133"/>
      <c r="G680" s="43"/>
      <c r="I680" s="131"/>
      <c r="J680" s="131"/>
      <c r="K680" s="131"/>
      <c r="L680" s="131"/>
      <c r="M680" s="131"/>
      <c r="N680" s="43"/>
      <c r="O680" s="51"/>
    </row>
    <row r="681">
      <c r="A681" s="43"/>
      <c r="B681" s="59" t="str">
        <f>IFERROR(VLOOKUP(A681,Internal_lists_bugs!$A$2:$G2033,7,FALSE()),"please select a BUG ID")</f>
        <v>please select a BUG ID</v>
      </c>
      <c r="C681" s="51" t="str">
        <f>IFERROR(VLOOKUP(A681,Internal_lists_bugs!$A$2:$I2033,9,FALSE()),"please select a BUG ID")</f>
        <v>please select a BUG ID</v>
      </c>
      <c r="D681" s="85"/>
      <c r="E681" s="85"/>
      <c r="F681" s="133"/>
      <c r="G681" s="43"/>
      <c r="I681" s="131"/>
      <c r="J681" s="131"/>
      <c r="K681" s="131"/>
      <c r="L681" s="131"/>
      <c r="M681" s="131"/>
      <c r="N681" s="43"/>
      <c r="O681" s="51"/>
    </row>
    <row r="682">
      <c r="A682" s="43"/>
      <c r="B682" s="59" t="str">
        <f>IFERROR(VLOOKUP(A682,Internal_lists_bugs!$A$2:$G2033,7,FALSE()),"please select a BUG ID")</f>
        <v>please select a BUG ID</v>
      </c>
      <c r="C682" s="51" t="str">
        <f>IFERROR(VLOOKUP(A682,Internal_lists_bugs!$A$2:$I2033,9,FALSE()),"please select a BUG ID")</f>
        <v>please select a BUG ID</v>
      </c>
      <c r="D682" s="85"/>
      <c r="E682" s="85"/>
      <c r="F682" s="133"/>
      <c r="G682" s="43"/>
      <c r="I682" s="131"/>
      <c r="J682" s="131"/>
      <c r="K682" s="131"/>
      <c r="L682" s="131"/>
      <c r="M682" s="131"/>
      <c r="N682" s="43"/>
      <c r="O682" s="51"/>
    </row>
    <row r="683">
      <c r="A683" s="43"/>
      <c r="B683" s="59" t="str">
        <f>IFERROR(VLOOKUP(A683,Internal_lists_bugs!$A$2:$G2033,7,FALSE()),"please select a BUG ID")</f>
        <v>please select a BUG ID</v>
      </c>
      <c r="C683" s="51" t="str">
        <f>IFERROR(VLOOKUP(A683,Internal_lists_bugs!$A$2:$I2033,9,FALSE()),"please select a BUG ID")</f>
        <v>please select a BUG ID</v>
      </c>
      <c r="D683" s="85"/>
      <c r="E683" s="85"/>
      <c r="F683" s="133"/>
      <c r="G683" s="43"/>
      <c r="I683" s="131"/>
      <c r="J683" s="131"/>
      <c r="K683" s="131"/>
      <c r="L683" s="131"/>
      <c r="M683" s="131"/>
      <c r="N683" s="43"/>
      <c r="O683" s="51"/>
    </row>
    <row r="684">
      <c r="A684" s="43"/>
      <c r="B684" s="59" t="str">
        <f>IFERROR(VLOOKUP(A684,Internal_lists_bugs!$A$2:$G2033,7,FALSE()),"please select a BUG ID")</f>
        <v>please select a BUG ID</v>
      </c>
      <c r="C684" s="51" t="str">
        <f>IFERROR(VLOOKUP(A684,Internal_lists_bugs!$A$2:$I2033,9,FALSE()),"please select a BUG ID")</f>
        <v>please select a BUG ID</v>
      </c>
      <c r="D684" s="85"/>
      <c r="E684" s="85"/>
      <c r="F684" s="133"/>
      <c r="G684" s="43"/>
      <c r="I684" s="131"/>
      <c r="J684" s="131"/>
      <c r="K684" s="131"/>
      <c r="L684" s="131"/>
      <c r="M684" s="131"/>
      <c r="N684" s="43"/>
      <c r="O684" s="51"/>
    </row>
    <row r="685">
      <c r="A685" s="43"/>
      <c r="B685" s="59" t="str">
        <f>IFERROR(VLOOKUP(A685,Internal_lists_bugs!$A$2:$G2033,7,FALSE()),"please select a BUG ID")</f>
        <v>please select a BUG ID</v>
      </c>
      <c r="C685" s="51" t="str">
        <f>IFERROR(VLOOKUP(A685,Internal_lists_bugs!$A$2:$I2033,9,FALSE()),"please select a BUG ID")</f>
        <v>please select a BUG ID</v>
      </c>
      <c r="D685" s="85"/>
      <c r="E685" s="85"/>
      <c r="F685" s="133"/>
      <c r="G685" s="43"/>
      <c r="I685" s="131"/>
      <c r="J685" s="131"/>
      <c r="K685" s="131"/>
      <c r="L685" s="131"/>
      <c r="M685" s="131"/>
      <c r="N685" s="43"/>
      <c r="O685" s="51"/>
    </row>
    <row r="686">
      <c r="A686" s="43"/>
      <c r="B686" s="59" t="str">
        <f>IFERROR(VLOOKUP(A686,Internal_lists_bugs!$A$2:$G2033,7,FALSE()),"please select a BUG ID")</f>
        <v>please select a BUG ID</v>
      </c>
      <c r="C686" s="51" t="str">
        <f>IFERROR(VLOOKUP(A686,Internal_lists_bugs!$A$2:$I2033,9,FALSE()),"please select a BUG ID")</f>
        <v>please select a BUG ID</v>
      </c>
      <c r="D686" s="85"/>
      <c r="E686" s="85"/>
      <c r="F686" s="133"/>
      <c r="G686" s="43"/>
      <c r="I686" s="131"/>
      <c r="J686" s="131"/>
      <c r="K686" s="131"/>
      <c r="L686" s="131"/>
      <c r="M686" s="131"/>
      <c r="N686" s="43"/>
      <c r="O686" s="51"/>
    </row>
    <row r="687">
      <c r="A687" s="43"/>
      <c r="B687" s="59" t="str">
        <f>IFERROR(VLOOKUP(A687,Internal_lists_bugs!$A$2:$G2033,7,FALSE()),"please select a BUG ID")</f>
        <v>please select a BUG ID</v>
      </c>
      <c r="C687" s="51" t="str">
        <f>IFERROR(VLOOKUP(A687,Internal_lists_bugs!$A$2:$I2033,9,FALSE()),"please select a BUG ID")</f>
        <v>please select a BUG ID</v>
      </c>
      <c r="D687" s="85"/>
      <c r="E687" s="85"/>
      <c r="F687" s="133"/>
      <c r="G687" s="43"/>
      <c r="I687" s="131"/>
      <c r="J687" s="131"/>
      <c r="K687" s="131"/>
      <c r="L687" s="131"/>
      <c r="M687" s="131"/>
      <c r="N687" s="43"/>
      <c r="O687" s="51"/>
    </row>
    <row r="688">
      <c r="A688" s="43"/>
      <c r="B688" s="59" t="str">
        <f>IFERROR(VLOOKUP(A688,Internal_lists_bugs!$A$2:$G2033,7,FALSE()),"please select a BUG ID")</f>
        <v>please select a BUG ID</v>
      </c>
      <c r="C688" s="51" t="str">
        <f>IFERROR(VLOOKUP(A688,Internal_lists_bugs!$A$2:$I2033,9,FALSE()),"please select a BUG ID")</f>
        <v>please select a BUG ID</v>
      </c>
      <c r="D688" s="85"/>
      <c r="E688" s="85"/>
      <c r="F688" s="133"/>
      <c r="G688" s="43"/>
      <c r="I688" s="131"/>
      <c r="J688" s="131"/>
      <c r="K688" s="131"/>
      <c r="L688" s="131"/>
      <c r="M688" s="131"/>
      <c r="N688" s="43"/>
      <c r="O688" s="51"/>
    </row>
    <row r="689">
      <c r="A689" s="43"/>
      <c r="B689" s="59" t="str">
        <f>IFERROR(VLOOKUP(A689,Internal_lists_bugs!$A$2:$G2033,7,FALSE()),"please select a BUG ID")</f>
        <v>please select a BUG ID</v>
      </c>
      <c r="C689" s="51" t="str">
        <f>IFERROR(VLOOKUP(A689,Internal_lists_bugs!$A$2:$I2033,9,FALSE()),"please select a BUG ID")</f>
        <v>please select a BUG ID</v>
      </c>
      <c r="D689" s="85"/>
      <c r="E689" s="85"/>
      <c r="F689" s="133"/>
      <c r="G689" s="43"/>
      <c r="I689" s="131"/>
      <c r="J689" s="131"/>
      <c r="K689" s="131"/>
      <c r="L689" s="131"/>
      <c r="M689" s="131"/>
      <c r="N689" s="43"/>
      <c r="O689" s="51"/>
    </row>
    <row r="690">
      <c r="A690" s="43"/>
      <c r="B690" s="59" t="str">
        <f>IFERROR(VLOOKUP(A690,Internal_lists_bugs!$A$2:$G2033,7,FALSE()),"please select a BUG ID")</f>
        <v>please select a BUG ID</v>
      </c>
      <c r="C690" s="51" t="str">
        <f>IFERROR(VLOOKUP(A690,Internal_lists_bugs!$A$2:$I2033,9,FALSE()),"please select a BUG ID")</f>
        <v>please select a BUG ID</v>
      </c>
      <c r="D690" s="85"/>
      <c r="E690" s="85"/>
      <c r="F690" s="133"/>
      <c r="G690" s="43"/>
      <c r="I690" s="131"/>
      <c r="J690" s="131"/>
      <c r="K690" s="131"/>
      <c r="L690" s="131"/>
      <c r="M690" s="131"/>
      <c r="N690" s="43"/>
      <c r="O690" s="51"/>
    </row>
    <row r="691">
      <c r="A691" s="43"/>
      <c r="B691" s="59" t="str">
        <f>IFERROR(VLOOKUP(A691,Internal_lists_bugs!$A$2:$G2033,7,FALSE()),"please select a BUG ID")</f>
        <v>please select a BUG ID</v>
      </c>
      <c r="C691" s="51" t="str">
        <f>IFERROR(VLOOKUP(A691,Internal_lists_bugs!$A$2:$I2033,9,FALSE()),"please select a BUG ID")</f>
        <v>please select a BUG ID</v>
      </c>
      <c r="D691" s="85"/>
      <c r="E691" s="85"/>
      <c r="F691" s="133"/>
      <c r="G691" s="43"/>
      <c r="I691" s="131"/>
      <c r="J691" s="131"/>
      <c r="K691" s="131"/>
      <c r="L691" s="131"/>
      <c r="M691" s="131"/>
      <c r="N691" s="43"/>
      <c r="O691" s="51"/>
    </row>
    <row r="692">
      <c r="A692" s="43"/>
      <c r="B692" s="59" t="str">
        <f>IFERROR(VLOOKUP(A692,Internal_lists_bugs!$A$2:$G2033,7,FALSE()),"please select a BUG ID")</f>
        <v>please select a BUG ID</v>
      </c>
      <c r="C692" s="51" t="str">
        <f>IFERROR(VLOOKUP(A692,Internal_lists_bugs!$A$2:$I2033,9,FALSE()),"please select a BUG ID")</f>
        <v>please select a BUG ID</v>
      </c>
      <c r="D692" s="85"/>
      <c r="E692" s="85"/>
      <c r="F692" s="133"/>
      <c r="G692" s="43"/>
      <c r="I692" s="131"/>
      <c r="J692" s="131"/>
      <c r="K692" s="131"/>
      <c r="L692" s="131"/>
      <c r="M692" s="131"/>
      <c r="N692" s="43"/>
      <c r="O692" s="51"/>
    </row>
    <row r="693">
      <c r="A693" s="43"/>
      <c r="B693" s="59" t="str">
        <f>IFERROR(VLOOKUP(A693,Internal_lists_bugs!$A$2:$G2033,7,FALSE()),"please select a BUG ID")</f>
        <v>please select a BUG ID</v>
      </c>
      <c r="C693" s="51" t="str">
        <f>IFERROR(VLOOKUP(A693,Internal_lists_bugs!$A$2:$I2033,9,FALSE()),"please select a BUG ID")</f>
        <v>please select a BUG ID</v>
      </c>
      <c r="D693" s="85"/>
      <c r="E693" s="85"/>
      <c r="F693" s="133"/>
      <c r="G693" s="43"/>
      <c r="I693" s="131"/>
      <c r="J693" s="131"/>
      <c r="K693" s="131"/>
      <c r="L693" s="131"/>
      <c r="M693" s="131"/>
      <c r="N693" s="43"/>
      <c r="O693" s="51"/>
    </row>
    <row r="694">
      <c r="A694" s="43"/>
      <c r="B694" s="59" t="str">
        <f>IFERROR(VLOOKUP(A694,Internal_lists_bugs!$A$2:$G2033,7,FALSE()),"please select a BUG ID")</f>
        <v>please select a BUG ID</v>
      </c>
      <c r="C694" s="51" t="str">
        <f>IFERROR(VLOOKUP(A694,Internal_lists_bugs!$A$2:$I2033,9,FALSE()),"please select a BUG ID")</f>
        <v>please select a BUG ID</v>
      </c>
      <c r="D694" s="85"/>
      <c r="E694" s="85"/>
      <c r="F694" s="133"/>
      <c r="G694" s="43"/>
      <c r="I694" s="131"/>
      <c r="J694" s="131"/>
      <c r="K694" s="131"/>
      <c r="L694" s="131"/>
      <c r="M694" s="131"/>
      <c r="N694" s="43"/>
      <c r="O694" s="51"/>
    </row>
    <row r="695">
      <c r="A695" s="43"/>
      <c r="B695" s="59" t="str">
        <f>IFERROR(VLOOKUP(A695,Internal_lists_bugs!$A$2:$G2033,7,FALSE()),"please select a BUG ID")</f>
        <v>please select a BUG ID</v>
      </c>
      <c r="C695" s="51" t="str">
        <f>IFERROR(VLOOKUP(A695,Internal_lists_bugs!$A$2:$I2033,9,FALSE()),"please select a BUG ID")</f>
        <v>please select a BUG ID</v>
      </c>
      <c r="D695" s="85"/>
      <c r="E695" s="85"/>
      <c r="F695" s="133"/>
      <c r="G695" s="43"/>
      <c r="I695" s="131"/>
      <c r="J695" s="131"/>
      <c r="K695" s="131"/>
      <c r="L695" s="131"/>
      <c r="M695" s="131"/>
      <c r="N695" s="43"/>
      <c r="O695" s="51"/>
    </row>
    <row r="696">
      <c r="A696" s="43"/>
      <c r="B696" s="59" t="str">
        <f>IFERROR(VLOOKUP(A696,Internal_lists_bugs!$A$2:$G2033,7,FALSE()),"please select a BUG ID")</f>
        <v>please select a BUG ID</v>
      </c>
      <c r="C696" s="51" t="str">
        <f>IFERROR(VLOOKUP(A696,Internal_lists_bugs!$A$2:$I2033,9,FALSE()),"please select a BUG ID")</f>
        <v>please select a BUG ID</v>
      </c>
      <c r="D696" s="85"/>
      <c r="E696" s="85"/>
      <c r="F696" s="133"/>
      <c r="G696" s="43"/>
      <c r="I696" s="131"/>
      <c r="J696" s="131"/>
      <c r="K696" s="131"/>
      <c r="L696" s="131"/>
      <c r="M696" s="131"/>
      <c r="N696" s="43"/>
      <c r="O696" s="51"/>
    </row>
    <row r="697">
      <c r="A697" s="43"/>
      <c r="B697" s="59" t="str">
        <f>IFERROR(VLOOKUP(A697,Internal_lists_bugs!$A$2:$G2033,7,FALSE()),"please select a BUG ID")</f>
        <v>please select a BUG ID</v>
      </c>
      <c r="C697" s="51" t="str">
        <f>IFERROR(VLOOKUP(A697,Internal_lists_bugs!$A$2:$I2033,9,FALSE()),"please select a BUG ID")</f>
        <v>please select a BUG ID</v>
      </c>
      <c r="D697" s="85"/>
      <c r="E697" s="85"/>
      <c r="F697" s="133"/>
      <c r="G697" s="43"/>
      <c r="I697" s="131"/>
      <c r="J697" s="131"/>
      <c r="K697" s="131"/>
      <c r="L697" s="131"/>
      <c r="M697" s="131"/>
      <c r="N697" s="43"/>
      <c r="O697" s="51"/>
    </row>
    <row r="698">
      <c r="A698" s="43"/>
      <c r="B698" s="59" t="str">
        <f>IFERROR(VLOOKUP(A698,Internal_lists_bugs!$A$2:$G2033,7,FALSE()),"please select a BUG ID")</f>
        <v>please select a BUG ID</v>
      </c>
      <c r="C698" s="51" t="str">
        <f>IFERROR(VLOOKUP(A698,Internal_lists_bugs!$A$2:$I2033,9,FALSE()),"please select a BUG ID")</f>
        <v>please select a BUG ID</v>
      </c>
      <c r="D698" s="80"/>
      <c r="E698" s="80"/>
      <c r="F698" s="130"/>
      <c r="G698" s="43"/>
      <c r="I698" s="131"/>
      <c r="J698" s="125"/>
      <c r="K698" s="131"/>
      <c r="L698" s="131"/>
      <c r="M698" s="131"/>
      <c r="N698" s="43"/>
      <c r="O698" s="51"/>
    </row>
    <row r="699">
      <c r="A699" s="43"/>
      <c r="B699" s="59" t="str">
        <f>IFERROR(VLOOKUP(A699,Internal_lists_bugs!$A$2:$G2033,7,FALSE()),"please select a BUG ID")</f>
        <v>please select a BUG ID</v>
      </c>
      <c r="C699" s="51" t="str">
        <f>IFERROR(VLOOKUP(A699,Internal_lists_bugs!$A$2:$I2033,9,FALSE()),"please select a BUG ID")</f>
        <v>please select a BUG ID</v>
      </c>
      <c r="D699" s="85"/>
      <c r="E699" s="85"/>
      <c r="F699" s="133"/>
      <c r="G699" s="43"/>
      <c r="I699" s="131"/>
      <c r="J699" s="131"/>
      <c r="K699" s="131"/>
      <c r="L699" s="131"/>
      <c r="M699" s="131"/>
      <c r="N699" s="43"/>
      <c r="O699" s="51"/>
    </row>
    <row r="700">
      <c r="A700" s="43"/>
      <c r="B700" s="59" t="str">
        <f>IFERROR(VLOOKUP(A700,Internal_lists_bugs!$A$2:$G2033,7,FALSE()),"please select a BUG ID")</f>
        <v>please select a BUG ID</v>
      </c>
      <c r="C700" s="51" t="str">
        <f>IFERROR(VLOOKUP(A700,Internal_lists_bugs!$A$2:$I2033,9,FALSE()),"please select a BUG ID")</f>
        <v>please select a BUG ID</v>
      </c>
      <c r="D700" s="85"/>
      <c r="E700" s="85"/>
      <c r="F700" s="133"/>
      <c r="G700" s="43"/>
      <c r="I700" s="131"/>
      <c r="J700" s="131"/>
      <c r="K700" s="131"/>
      <c r="L700" s="131"/>
      <c r="M700" s="131"/>
      <c r="N700" s="43"/>
      <c r="O700" s="51"/>
    </row>
    <row r="701">
      <c r="A701" s="43"/>
      <c r="B701" s="59" t="str">
        <f>IFERROR(VLOOKUP(A701,Internal_lists_bugs!$A$2:$G2033,7,FALSE()),"please select a BUG ID")</f>
        <v>please select a BUG ID</v>
      </c>
      <c r="C701" s="51" t="str">
        <f>IFERROR(VLOOKUP(A701,Internal_lists_bugs!$A$2:$I2033,9,FALSE()),"please select a BUG ID")</f>
        <v>please select a BUG ID</v>
      </c>
      <c r="D701" s="85"/>
      <c r="E701" s="85"/>
      <c r="F701" s="133"/>
      <c r="G701" s="43"/>
      <c r="I701" s="131"/>
      <c r="J701" s="131"/>
      <c r="K701" s="131"/>
      <c r="L701" s="131"/>
      <c r="M701" s="131"/>
      <c r="N701" s="43"/>
      <c r="O701" s="51"/>
    </row>
    <row r="702">
      <c r="A702" s="43"/>
      <c r="B702" s="59" t="str">
        <f>IFERROR(VLOOKUP(A702,Internal_lists_bugs!$A$2:$G2033,7,FALSE()),"please select a BUG ID")</f>
        <v>please select a BUG ID</v>
      </c>
      <c r="C702" s="51" t="str">
        <f>IFERROR(VLOOKUP(A702,Internal_lists_bugs!$A$2:$I2033,9,FALSE()),"please select a BUG ID")</f>
        <v>please select a BUG ID</v>
      </c>
      <c r="D702" s="85"/>
      <c r="E702" s="85"/>
      <c r="F702" s="133"/>
      <c r="G702" s="43"/>
      <c r="I702" s="131"/>
      <c r="J702" s="131"/>
      <c r="K702" s="131"/>
      <c r="L702" s="131"/>
      <c r="M702" s="131"/>
      <c r="N702" s="43"/>
      <c r="O702" s="51"/>
    </row>
    <row r="703">
      <c r="A703" s="43"/>
      <c r="B703" s="59" t="str">
        <f>IFERROR(VLOOKUP(A703,Internal_lists_bugs!$A$2:$G2033,7,FALSE()),"please select a BUG ID")</f>
        <v>please select a BUG ID</v>
      </c>
      <c r="C703" s="51" t="str">
        <f>IFERROR(VLOOKUP(A703,Internal_lists_bugs!$A$2:$I2033,9,FALSE()),"please select a BUG ID")</f>
        <v>please select a BUG ID</v>
      </c>
      <c r="D703" s="85"/>
      <c r="E703" s="85"/>
      <c r="F703" s="133"/>
      <c r="G703" s="43"/>
      <c r="I703" s="131"/>
      <c r="J703" s="131"/>
      <c r="K703" s="131"/>
      <c r="L703" s="131"/>
      <c r="M703" s="131"/>
      <c r="N703" s="43"/>
      <c r="O703" s="51"/>
    </row>
    <row r="704">
      <c r="A704" s="43"/>
      <c r="B704" s="59" t="str">
        <f>IFERROR(VLOOKUP(A704,Internal_lists_bugs!$A$2:$G2033,7,FALSE()),"please select a BUG ID")</f>
        <v>please select a BUG ID</v>
      </c>
      <c r="C704" s="51" t="str">
        <f>IFERROR(VLOOKUP(A704,Internal_lists_bugs!$A$2:$I2033,9,FALSE()),"please select a BUG ID")</f>
        <v>please select a BUG ID</v>
      </c>
      <c r="D704" s="85"/>
      <c r="E704" s="85"/>
      <c r="F704" s="133"/>
      <c r="G704" s="43"/>
      <c r="I704" s="131"/>
      <c r="J704" s="131"/>
      <c r="K704" s="131"/>
      <c r="L704" s="131"/>
      <c r="M704" s="131"/>
      <c r="N704" s="43"/>
      <c r="O704" s="51"/>
    </row>
    <row r="705">
      <c r="A705" s="43"/>
      <c r="B705" s="59" t="str">
        <f>IFERROR(VLOOKUP(A705,Internal_lists_bugs!$A$2:$G2033,7,FALSE()),"please select a BUG ID")</f>
        <v>please select a BUG ID</v>
      </c>
      <c r="C705" s="51" t="str">
        <f>IFERROR(VLOOKUP(A705,Internal_lists_bugs!$A$2:$I2033,9,FALSE()),"please select a BUG ID")</f>
        <v>please select a BUG ID</v>
      </c>
      <c r="D705" s="85"/>
      <c r="E705" s="85"/>
      <c r="F705" s="133"/>
      <c r="G705" s="43"/>
      <c r="I705" s="131"/>
      <c r="J705" s="131"/>
      <c r="K705" s="131"/>
      <c r="L705" s="131"/>
      <c r="M705" s="131"/>
      <c r="N705" s="43"/>
      <c r="O705" s="51"/>
    </row>
    <row r="706">
      <c r="A706" s="43"/>
      <c r="B706" s="59" t="str">
        <f>IFERROR(VLOOKUP(A706,Internal_lists_bugs!$A$2:$G2033,7,FALSE()),"please select a BUG ID")</f>
        <v>please select a BUG ID</v>
      </c>
      <c r="C706" s="51" t="str">
        <f>IFERROR(VLOOKUP(A706,Internal_lists_bugs!$A$2:$I2033,9,FALSE()),"please select a BUG ID")</f>
        <v>please select a BUG ID</v>
      </c>
      <c r="D706" s="85"/>
      <c r="E706" s="85"/>
      <c r="F706" s="133"/>
      <c r="G706" s="43"/>
      <c r="I706" s="131"/>
      <c r="J706" s="131"/>
      <c r="K706" s="131"/>
      <c r="L706" s="131"/>
      <c r="M706" s="131"/>
      <c r="N706" s="43"/>
      <c r="O706" s="51"/>
    </row>
    <row r="707">
      <c r="A707" s="43"/>
      <c r="B707" s="59" t="str">
        <f>IFERROR(VLOOKUP(A707,Internal_lists_bugs!$A$2:$G2033,7,FALSE()),"please select a BUG ID")</f>
        <v>please select a BUG ID</v>
      </c>
      <c r="C707" s="51" t="str">
        <f>IFERROR(VLOOKUP(A707,Internal_lists_bugs!$A$2:$I2033,9,FALSE()),"please select a BUG ID")</f>
        <v>please select a BUG ID</v>
      </c>
      <c r="D707" s="85"/>
      <c r="E707" s="85"/>
      <c r="F707" s="133"/>
      <c r="G707" s="43"/>
      <c r="I707" s="131"/>
      <c r="J707" s="131"/>
      <c r="K707" s="131"/>
      <c r="L707" s="131"/>
      <c r="M707" s="131"/>
      <c r="N707" s="43"/>
      <c r="O707" s="51"/>
    </row>
    <row r="708">
      <c r="A708" s="43"/>
      <c r="B708" s="59" t="str">
        <f>IFERROR(VLOOKUP(A708,Internal_lists_bugs!$A$2:$G2033,7,FALSE()),"please select a BUG ID")</f>
        <v>please select a BUG ID</v>
      </c>
      <c r="C708" s="51" t="str">
        <f>IFERROR(VLOOKUP(A708,Internal_lists_bugs!$A$2:$I2033,9,FALSE()),"please select a BUG ID")</f>
        <v>please select a BUG ID</v>
      </c>
      <c r="D708" s="85"/>
      <c r="E708" s="85"/>
      <c r="F708" s="133"/>
      <c r="G708" s="43"/>
      <c r="I708" s="131"/>
      <c r="J708" s="131"/>
      <c r="K708" s="131"/>
      <c r="L708" s="131"/>
      <c r="M708" s="131"/>
      <c r="N708" s="43"/>
      <c r="O708" s="51"/>
    </row>
    <row r="709">
      <c r="A709" s="43"/>
      <c r="B709" s="59" t="str">
        <f>IFERROR(VLOOKUP(A709,Internal_lists_bugs!$A$2:$G2033,7,FALSE()),"please select a BUG ID")</f>
        <v>please select a BUG ID</v>
      </c>
      <c r="C709" s="51" t="str">
        <f>IFERROR(VLOOKUP(A709,Internal_lists_bugs!$A$2:$I2033,9,FALSE()),"please select a BUG ID")</f>
        <v>please select a BUG ID</v>
      </c>
      <c r="D709" s="85"/>
      <c r="E709" s="85"/>
      <c r="F709" s="133"/>
      <c r="G709" s="43"/>
      <c r="I709" s="131"/>
      <c r="J709" s="131"/>
      <c r="K709" s="131"/>
      <c r="L709" s="131"/>
      <c r="M709" s="131"/>
      <c r="N709" s="43"/>
      <c r="O709" s="51"/>
    </row>
    <row r="710">
      <c r="A710" s="43"/>
      <c r="B710" s="59" t="str">
        <f>IFERROR(VLOOKUP(A710,Internal_lists_bugs!$A$2:$G2033,7,FALSE()),"please select a BUG ID")</f>
        <v>please select a BUG ID</v>
      </c>
      <c r="C710" s="51" t="str">
        <f>IFERROR(VLOOKUP(A710,Internal_lists_bugs!$A$2:$I2033,9,FALSE()),"please select a BUG ID")</f>
        <v>please select a BUG ID</v>
      </c>
      <c r="D710" s="85"/>
      <c r="E710" s="85"/>
      <c r="F710" s="133"/>
      <c r="G710" s="43"/>
      <c r="I710" s="131"/>
      <c r="J710" s="131"/>
      <c r="K710" s="131"/>
      <c r="L710" s="131"/>
      <c r="M710" s="131"/>
      <c r="N710" s="43"/>
      <c r="O710" s="51"/>
    </row>
    <row r="711">
      <c r="A711" s="43"/>
      <c r="B711" s="59" t="str">
        <f>IFERROR(VLOOKUP(A711,Internal_lists_bugs!$A$2:$G2033,7,FALSE()),"please select a BUG ID")</f>
        <v>please select a BUG ID</v>
      </c>
      <c r="C711" s="51" t="str">
        <f>IFERROR(VLOOKUP(A711,Internal_lists_bugs!$A$2:$I2033,9,FALSE()),"please select a BUG ID")</f>
        <v>please select a BUG ID</v>
      </c>
      <c r="D711" s="85"/>
      <c r="E711" s="85"/>
      <c r="F711" s="133"/>
      <c r="G711" s="43"/>
      <c r="I711" s="131"/>
      <c r="J711" s="131"/>
      <c r="K711" s="131"/>
      <c r="L711" s="131"/>
      <c r="M711" s="131"/>
      <c r="N711" s="43"/>
      <c r="O711" s="51"/>
    </row>
    <row r="712">
      <c r="A712" s="43"/>
      <c r="B712" s="59" t="str">
        <f>IFERROR(VLOOKUP(A712,Internal_lists_bugs!$A$2:$G2033,7,FALSE()),"please select a BUG ID")</f>
        <v>please select a BUG ID</v>
      </c>
      <c r="C712" s="51" t="str">
        <f>IFERROR(VLOOKUP(A712,Internal_lists_bugs!$A$2:$I2033,9,FALSE()),"please select a BUG ID")</f>
        <v>please select a BUG ID</v>
      </c>
      <c r="D712" s="85"/>
      <c r="E712" s="85"/>
      <c r="F712" s="133"/>
      <c r="G712" s="43"/>
      <c r="I712" s="131"/>
      <c r="J712" s="131"/>
      <c r="K712" s="131"/>
      <c r="L712" s="131"/>
      <c r="M712" s="131"/>
      <c r="N712" s="43"/>
      <c r="O712" s="51"/>
    </row>
    <row r="713">
      <c r="A713" s="43"/>
      <c r="B713" s="59" t="str">
        <f>IFERROR(VLOOKUP(A713,Internal_lists_bugs!$A$2:$G2033,7,FALSE()),"please select a BUG ID")</f>
        <v>please select a BUG ID</v>
      </c>
      <c r="C713" s="51" t="str">
        <f>IFERROR(VLOOKUP(A713,Internal_lists_bugs!$A$2:$I2033,9,FALSE()),"please select a BUG ID")</f>
        <v>please select a BUG ID</v>
      </c>
      <c r="D713" s="85"/>
      <c r="E713" s="85"/>
      <c r="F713" s="133"/>
      <c r="G713" s="43"/>
      <c r="I713" s="131"/>
      <c r="J713" s="131"/>
      <c r="K713" s="131"/>
      <c r="L713" s="131"/>
      <c r="M713" s="131"/>
      <c r="N713" s="43"/>
      <c r="O713" s="51"/>
    </row>
    <row r="714">
      <c r="A714" s="43"/>
      <c r="B714" s="59" t="str">
        <f>IFERROR(VLOOKUP(A714,Internal_lists_bugs!$A$2:$G2033,7,FALSE()),"please select a BUG ID")</f>
        <v>please select a BUG ID</v>
      </c>
      <c r="C714" s="51" t="str">
        <f>IFERROR(VLOOKUP(A714,Internal_lists_bugs!$A$2:$I2033,9,FALSE()),"please select a BUG ID")</f>
        <v>please select a BUG ID</v>
      </c>
      <c r="D714" s="85"/>
      <c r="E714" s="85"/>
      <c r="F714" s="133"/>
      <c r="G714" s="43"/>
      <c r="I714" s="131"/>
      <c r="J714" s="131"/>
      <c r="K714" s="131"/>
      <c r="L714" s="131"/>
      <c r="M714" s="131"/>
      <c r="N714" s="43"/>
      <c r="O714" s="51"/>
    </row>
    <row r="715">
      <c r="A715" s="43"/>
      <c r="B715" s="59" t="str">
        <f>IFERROR(VLOOKUP(A715,Internal_lists_bugs!$A$2:$G2033,7,FALSE()),"please select a BUG ID")</f>
        <v>please select a BUG ID</v>
      </c>
      <c r="C715" s="51" t="str">
        <f>IFERROR(VLOOKUP(A715,Internal_lists_bugs!$A$2:$I2033,9,FALSE()),"please select a BUG ID")</f>
        <v>please select a BUG ID</v>
      </c>
      <c r="D715" s="85"/>
      <c r="E715" s="85"/>
      <c r="F715" s="133"/>
      <c r="G715" s="43"/>
      <c r="I715" s="131"/>
      <c r="J715" s="131"/>
      <c r="K715" s="131"/>
      <c r="L715" s="131"/>
      <c r="M715" s="131"/>
      <c r="N715" s="43"/>
      <c r="O715" s="51"/>
    </row>
    <row r="716">
      <c r="A716" s="43"/>
      <c r="B716" s="59" t="str">
        <f>IFERROR(VLOOKUP(A716,Internal_lists_bugs!$A$2:$G2033,7,FALSE()),"please select a BUG ID")</f>
        <v>please select a BUG ID</v>
      </c>
      <c r="C716" s="51" t="str">
        <f>IFERROR(VLOOKUP(A716,Internal_lists_bugs!$A$2:$I2033,9,FALSE()),"please select a BUG ID")</f>
        <v>please select a BUG ID</v>
      </c>
      <c r="D716" s="85"/>
      <c r="E716" s="85"/>
      <c r="F716" s="133"/>
      <c r="G716" s="43"/>
      <c r="I716" s="131"/>
      <c r="J716" s="131"/>
      <c r="K716" s="131"/>
      <c r="L716" s="131"/>
      <c r="M716" s="131"/>
      <c r="N716" s="43"/>
      <c r="O716" s="51"/>
    </row>
    <row r="717">
      <c r="A717" s="43"/>
      <c r="B717" s="59" t="str">
        <f>IFERROR(VLOOKUP(A717,Internal_lists_bugs!$A$2:$G2033,7,FALSE()),"please select a BUG ID")</f>
        <v>please select a BUG ID</v>
      </c>
      <c r="C717" s="51" t="str">
        <f>IFERROR(VLOOKUP(A717,Internal_lists_bugs!$A$2:$I2033,9,FALSE()),"please select a BUG ID")</f>
        <v>please select a BUG ID</v>
      </c>
      <c r="D717" s="85"/>
      <c r="E717" s="85"/>
      <c r="F717" s="133"/>
      <c r="G717" s="43"/>
      <c r="I717" s="131"/>
      <c r="J717" s="131"/>
      <c r="K717" s="131"/>
      <c r="L717" s="131"/>
      <c r="M717" s="131"/>
      <c r="N717" s="43"/>
      <c r="O717" s="51"/>
    </row>
    <row r="718">
      <c r="A718" s="43"/>
      <c r="B718" s="59" t="str">
        <f>IFERROR(VLOOKUP(A718,Internal_lists_bugs!$A$2:$G2033,7,FALSE()),"please select a BUG ID")</f>
        <v>please select a BUG ID</v>
      </c>
      <c r="C718" s="51" t="str">
        <f>IFERROR(VLOOKUP(A718,Internal_lists_bugs!$A$2:$I2033,9,FALSE()),"please select a BUG ID")</f>
        <v>please select a BUG ID</v>
      </c>
      <c r="D718" s="85"/>
      <c r="E718" s="85"/>
      <c r="F718" s="133"/>
      <c r="G718" s="43"/>
      <c r="I718" s="131"/>
      <c r="J718" s="131"/>
      <c r="K718" s="131"/>
      <c r="L718" s="131"/>
      <c r="M718" s="131"/>
      <c r="N718" s="43"/>
      <c r="O718" s="51"/>
    </row>
    <row r="719">
      <c r="A719" s="43"/>
      <c r="B719" s="59" t="str">
        <f>IFERROR(VLOOKUP(A719,Internal_lists_bugs!$A$2:$G2033,7,FALSE()),"please select a BUG ID")</f>
        <v>please select a BUG ID</v>
      </c>
      <c r="C719" s="51" t="str">
        <f>IFERROR(VLOOKUP(A719,Internal_lists_bugs!$A$2:$I2033,9,FALSE()),"please select a BUG ID")</f>
        <v>please select a BUG ID</v>
      </c>
      <c r="D719" s="85"/>
      <c r="E719" s="85"/>
      <c r="F719" s="133"/>
      <c r="G719" s="43"/>
      <c r="I719" s="131"/>
      <c r="J719" s="131"/>
      <c r="K719" s="131"/>
      <c r="L719" s="131"/>
      <c r="M719" s="131"/>
      <c r="N719" s="43"/>
      <c r="O719" s="51"/>
    </row>
    <row r="720">
      <c r="A720" s="43"/>
      <c r="B720" s="59" t="str">
        <f>IFERROR(VLOOKUP(A720,Internal_lists_bugs!$A$2:$G2033,7,FALSE()),"please select a BUG ID")</f>
        <v>please select a BUG ID</v>
      </c>
      <c r="C720" s="51" t="str">
        <f>IFERROR(VLOOKUP(A720,Internal_lists_bugs!$A$2:$I2033,9,FALSE()),"please select a BUG ID")</f>
        <v>please select a BUG ID</v>
      </c>
      <c r="D720" s="85"/>
      <c r="E720" s="85"/>
      <c r="F720" s="133"/>
      <c r="G720" s="43"/>
      <c r="I720" s="131"/>
      <c r="J720" s="131"/>
      <c r="K720" s="131"/>
      <c r="L720" s="131"/>
      <c r="M720" s="131"/>
      <c r="N720" s="43"/>
      <c r="O720" s="51"/>
    </row>
    <row r="721">
      <c r="A721" s="43"/>
      <c r="B721" s="59" t="str">
        <f>IFERROR(VLOOKUP(A721,Internal_lists_bugs!$A$2:$G2033,7,FALSE()),"please select a BUG ID")</f>
        <v>please select a BUG ID</v>
      </c>
      <c r="C721" s="51" t="str">
        <f>IFERROR(VLOOKUP(A721,Internal_lists_bugs!$A$2:$I2033,9,FALSE()),"please select a BUG ID")</f>
        <v>please select a BUG ID</v>
      </c>
      <c r="D721" s="85"/>
      <c r="E721" s="85"/>
      <c r="F721" s="133"/>
      <c r="G721" s="43"/>
      <c r="I721" s="131"/>
      <c r="J721" s="131"/>
      <c r="K721" s="131"/>
      <c r="L721" s="131"/>
      <c r="M721" s="131"/>
      <c r="N721" s="43"/>
      <c r="O721" s="51"/>
    </row>
    <row r="722">
      <c r="A722" s="43"/>
      <c r="B722" s="59" t="str">
        <f>IFERROR(VLOOKUP(A722,Internal_lists_bugs!$A$2:$G2033,7,FALSE()),"please select a BUG ID")</f>
        <v>please select a BUG ID</v>
      </c>
      <c r="C722" s="51" t="str">
        <f>IFERROR(VLOOKUP(A722,Internal_lists_bugs!$A$2:$I2033,9,FALSE()),"please select a BUG ID")</f>
        <v>please select a BUG ID</v>
      </c>
      <c r="D722" s="85"/>
      <c r="E722" s="85"/>
      <c r="F722" s="133"/>
      <c r="G722" s="43"/>
      <c r="I722" s="131"/>
      <c r="J722" s="131"/>
      <c r="K722" s="131"/>
      <c r="L722" s="131"/>
      <c r="M722" s="131"/>
      <c r="N722" s="43"/>
      <c r="O722" s="51"/>
    </row>
    <row r="723">
      <c r="A723" s="43"/>
      <c r="B723" s="59" t="str">
        <f>IFERROR(VLOOKUP(A723,Internal_lists_bugs!$A$2:$G2033,7,FALSE()),"please select a BUG ID")</f>
        <v>please select a BUG ID</v>
      </c>
      <c r="C723" s="51" t="str">
        <f>IFERROR(VLOOKUP(A723,Internal_lists_bugs!$A$2:$I2033,9,FALSE()),"please select a BUG ID")</f>
        <v>please select a BUG ID</v>
      </c>
      <c r="D723" s="85"/>
      <c r="E723" s="85"/>
      <c r="F723" s="133"/>
      <c r="G723" s="43"/>
      <c r="I723" s="131"/>
      <c r="J723" s="131"/>
      <c r="K723" s="131"/>
      <c r="L723" s="131"/>
      <c r="M723" s="131"/>
      <c r="N723" s="43"/>
      <c r="O723" s="51"/>
    </row>
    <row r="724">
      <c r="A724" s="43"/>
      <c r="B724" s="59" t="str">
        <f>IFERROR(VLOOKUP(A724,Internal_lists_bugs!$A$2:$G2033,7,FALSE()),"please select a BUG ID")</f>
        <v>please select a BUG ID</v>
      </c>
      <c r="C724" s="51" t="str">
        <f>IFERROR(VLOOKUP(A724,Internal_lists_bugs!$A$2:$I2033,9,FALSE()),"please select a BUG ID")</f>
        <v>please select a BUG ID</v>
      </c>
      <c r="D724" s="85"/>
      <c r="E724" s="85"/>
      <c r="F724" s="133"/>
      <c r="G724" s="43"/>
      <c r="I724" s="131"/>
      <c r="J724" s="131"/>
      <c r="K724" s="131"/>
      <c r="L724" s="131"/>
      <c r="M724" s="131"/>
      <c r="N724" s="43"/>
      <c r="O724" s="51"/>
    </row>
    <row r="725">
      <c r="A725" s="43"/>
      <c r="B725" s="59" t="str">
        <f>IFERROR(VLOOKUP(A725,Internal_lists_bugs!$A$2:$G2033,7,FALSE()),"please select a BUG ID")</f>
        <v>please select a BUG ID</v>
      </c>
      <c r="C725" s="51" t="str">
        <f>IFERROR(VLOOKUP(A725,Internal_lists_bugs!$A$2:$I2033,9,FALSE()),"please select a BUG ID")</f>
        <v>please select a BUG ID</v>
      </c>
      <c r="D725" s="85"/>
      <c r="E725" s="85"/>
      <c r="F725" s="133"/>
      <c r="G725" s="43"/>
      <c r="I725" s="131"/>
      <c r="J725" s="131"/>
      <c r="K725" s="131"/>
      <c r="L725" s="131"/>
      <c r="M725" s="131"/>
      <c r="N725" s="43"/>
      <c r="O725" s="51"/>
    </row>
    <row r="726">
      <c r="A726" s="43"/>
      <c r="B726" s="59" t="str">
        <f>IFERROR(VLOOKUP(A726,Internal_lists_bugs!$A$2:$G2033,7,FALSE()),"please select a BUG ID")</f>
        <v>please select a BUG ID</v>
      </c>
      <c r="C726" s="51" t="str">
        <f>IFERROR(VLOOKUP(A726,Internal_lists_bugs!$A$2:$I2033,9,FALSE()),"please select a BUG ID")</f>
        <v>please select a BUG ID</v>
      </c>
      <c r="D726" s="85"/>
      <c r="E726" s="85"/>
      <c r="F726" s="133"/>
      <c r="G726" s="43"/>
      <c r="I726" s="131"/>
      <c r="J726" s="131"/>
      <c r="K726" s="131"/>
      <c r="L726" s="131"/>
      <c r="M726" s="131"/>
      <c r="N726" s="43"/>
      <c r="O726" s="51"/>
    </row>
    <row r="727">
      <c r="A727" s="43"/>
      <c r="B727" s="59" t="str">
        <f>IFERROR(VLOOKUP(A727,Internal_lists_bugs!$A$2:$G2033,7,FALSE()),"please select a BUG ID")</f>
        <v>please select a BUG ID</v>
      </c>
      <c r="C727" s="51" t="str">
        <f>IFERROR(VLOOKUP(A727,Internal_lists_bugs!$A$2:$I2033,9,FALSE()),"please select a BUG ID")</f>
        <v>please select a BUG ID</v>
      </c>
      <c r="D727" s="85"/>
      <c r="E727" s="85"/>
      <c r="F727" s="133"/>
      <c r="G727" s="43"/>
      <c r="I727" s="131"/>
      <c r="J727" s="131"/>
      <c r="K727" s="131"/>
      <c r="L727" s="131"/>
      <c r="M727" s="131"/>
      <c r="N727" s="43"/>
      <c r="O727" s="51"/>
    </row>
    <row r="728">
      <c r="A728" s="43"/>
      <c r="B728" s="59" t="str">
        <f>IFERROR(VLOOKUP(A728,Internal_lists_bugs!$A$2:$G2033,7,FALSE()),"please select a BUG ID")</f>
        <v>please select a BUG ID</v>
      </c>
      <c r="C728" s="51" t="str">
        <f>IFERROR(VLOOKUP(A728,Internal_lists_bugs!$A$2:$I2033,9,FALSE()),"please select a BUG ID")</f>
        <v>please select a BUG ID</v>
      </c>
      <c r="D728" s="85"/>
      <c r="E728" s="85"/>
      <c r="F728" s="133"/>
      <c r="G728" s="43"/>
      <c r="I728" s="131"/>
      <c r="J728" s="131"/>
      <c r="K728" s="131"/>
      <c r="L728" s="131"/>
      <c r="M728" s="131"/>
      <c r="N728" s="43"/>
      <c r="O728" s="51"/>
    </row>
    <row r="729">
      <c r="A729" s="43"/>
      <c r="B729" s="59" t="str">
        <f>IFERROR(VLOOKUP(A729,Internal_lists_bugs!$A$2:$G2033,7,FALSE()),"please select a BUG ID")</f>
        <v>please select a BUG ID</v>
      </c>
      <c r="C729" s="51" t="str">
        <f>IFERROR(VLOOKUP(A729,Internal_lists_bugs!$A$2:$I2033,9,FALSE()),"please select a BUG ID")</f>
        <v>please select a BUG ID</v>
      </c>
      <c r="D729" s="85"/>
      <c r="E729" s="85"/>
      <c r="F729" s="133"/>
      <c r="G729" s="43"/>
      <c r="I729" s="131"/>
      <c r="J729" s="131"/>
      <c r="K729" s="131"/>
      <c r="L729" s="131"/>
      <c r="M729" s="131"/>
      <c r="N729" s="43"/>
      <c r="O729" s="51"/>
    </row>
    <row r="730">
      <c r="A730" s="43"/>
      <c r="B730" s="59" t="str">
        <f>IFERROR(VLOOKUP(A730,Internal_lists_bugs!$A$2:$G2033,7,FALSE()),"please select a BUG ID")</f>
        <v>please select a BUG ID</v>
      </c>
      <c r="C730" s="51" t="str">
        <f>IFERROR(VLOOKUP(A730,Internal_lists_bugs!$A$2:$I2033,9,FALSE()),"please select a BUG ID")</f>
        <v>please select a BUG ID</v>
      </c>
      <c r="D730" s="85"/>
      <c r="E730" s="85"/>
      <c r="F730" s="133"/>
      <c r="G730" s="43"/>
      <c r="I730" s="131"/>
      <c r="J730" s="131"/>
      <c r="K730" s="131"/>
      <c r="L730" s="131"/>
      <c r="M730" s="131"/>
      <c r="N730" s="43"/>
      <c r="O730" s="51"/>
    </row>
    <row r="731">
      <c r="A731" s="43"/>
      <c r="B731" s="59" t="str">
        <f>IFERROR(VLOOKUP(A731,Internal_lists_bugs!$A$2:$G2033,7,FALSE()),"please select a BUG ID")</f>
        <v>please select a BUG ID</v>
      </c>
      <c r="C731" s="51" t="str">
        <f>IFERROR(VLOOKUP(A731,Internal_lists_bugs!$A$2:$I2033,9,FALSE()),"please select a BUG ID")</f>
        <v>please select a BUG ID</v>
      </c>
      <c r="D731" s="85"/>
      <c r="E731" s="85"/>
      <c r="F731" s="133"/>
      <c r="G731" s="43"/>
      <c r="I731" s="131"/>
      <c r="J731" s="131"/>
      <c r="K731" s="131"/>
      <c r="L731" s="131"/>
      <c r="M731" s="131"/>
      <c r="N731" s="43"/>
      <c r="O731" s="51"/>
    </row>
    <row r="732">
      <c r="A732" s="43"/>
      <c r="B732" s="59" t="str">
        <f>IFERROR(VLOOKUP(A732,Internal_lists_bugs!$A$2:$G2033,7,FALSE()),"please select a BUG ID")</f>
        <v>please select a BUG ID</v>
      </c>
      <c r="C732" s="51" t="str">
        <f>IFERROR(VLOOKUP(A732,Internal_lists_bugs!$A$2:$I2033,9,FALSE()),"please select a BUG ID")</f>
        <v>please select a BUG ID</v>
      </c>
      <c r="D732" s="85"/>
      <c r="E732" s="85"/>
      <c r="F732" s="133"/>
      <c r="G732" s="43"/>
      <c r="I732" s="131"/>
      <c r="J732" s="131"/>
      <c r="K732" s="131"/>
      <c r="L732" s="131"/>
      <c r="M732" s="131"/>
      <c r="N732" s="43"/>
      <c r="O732" s="51"/>
    </row>
    <row r="733">
      <c r="A733" s="43"/>
      <c r="B733" s="59" t="str">
        <f>IFERROR(VLOOKUP(A733,Internal_lists_bugs!$A$2:$G2033,7,FALSE()),"please select a BUG ID")</f>
        <v>please select a BUG ID</v>
      </c>
      <c r="C733" s="51" t="str">
        <f>IFERROR(VLOOKUP(A733,Internal_lists_bugs!$A$2:$I2033,9,FALSE()),"please select a BUG ID")</f>
        <v>please select a BUG ID</v>
      </c>
      <c r="D733" s="85"/>
      <c r="E733" s="85"/>
      <c r="F733" s="133"/>
      <c r="G733" s="43"/>
      <c r="I733" s="131"/>
      <c r="J733" s="131"/>
      <c r="K733" s="131"/>
      <c r="L733" s="131"/>
      <c r="M733" s="131"/>
      <c r="N733" s="43"/>
      <c r="O733" s="51"/>
    </row>
    <row r="734">
      <c r="A734" s="43"/>
      <c r="B734" s="59" t="str">
        <f>IFERROR(VLOOKUP(A734,Internal_lists_bugs!$A$2:$G2033,7,FALSE()),"please select a BUG ID")</f>
        <v>please select a BUG ID</v>
      </c>
      <c r="C734" s="51" t="str">
        <f>IFERROR(VLOOKUP(A734,Internal_lists_bugs!$A$2:$I2033,9,FALSE()),"please select a BUG ID")</f>
        <v>please select a BUG ID</v>
      </c>
      <c r="D734" s="85"/>
      <c r="E734" s="85"/>
      <c r="F734" s="133"/>
      <c r="G734" s="43"/>
      <c r="I734" s="131"/>
      <c r="J734" s="131"/>
      <c r="K734" s="131"/>
      <c r="L734" s="131"/>
      <c r="M734" s="131"/>
      <c r="N734" s="43"/>
      <c r="O734" s="51"/>
    </row>
    <row r="735">
      <c r="A735" s="43"/>
      <c r="B735" s="59" t="str">
        <f>IFERROR(VLOOKUP(A735,Internal_lists_bugs!$A$2:$G2033,7,FALSE()),"please select a BUG ID")</f>
        <v>please select a BUG ID</v>
      </c>
      <c r="C735" s="51" t="str">
        <f>IFERROR(VLOOKUP(A735,Internal_lists_bugs!$A$2:$I2033,9,FALSE()),"please select a BUG ID")</f>
        <v>please select a BUG ID</v>
      </c>
      <c r="D735" s="85"/>
      <c r="E735" s="85"/>
      <c r="F735" s="133"/>
      <c r="G735" s="43"/>
      <c r="I735" s="131"/>
      <c r="J735" s="131"/>
      <c r="K735" s="131"/>
      <c r="L735" s="131"/>
      <c r="M735" s="131"/>
      <c r="N735" s="43"/>
      <c r="O735" s="51"/>
    </row>
    <row r="736">
      <c r="A736" s="43"/>
      <c r="B736" s="59" t="str">
        <f>IFERROR(VLOOKUP(A736,Internal_lists_bugs!$A$2:$G2033,7,FALSE()),"please select a BUG ID")</f>
        <v>please select a BUG ID</v>
      </c>
      <c r="C736" s="51" t="str">
        <f>IFERROR(VLOOKUP(A736,Internal_lists_bugs!$A$2:$I2033,9,FALSE()),"please select a BUG ID")</f>
        <v>please select a BUG ID</v>
      </c>
      <c r="D736" s="85"/>
      <c r="E736" s="85"/>
      <c r="F736" s="133"/>
      <c r="G736" s="43"/>
      <c r="I736" s="131"/>
      <c r="J736" s="131"/>
      <c r="K736" s="131"/>
      <c r="L736" s="131"/>
      <c r="M736" s="131"/>
      <c r="N736" s="43"/>
      <c r="O736" s="51"/>
    </row>
    <row r="737">
      <c r="A737" s="43"/>
      <c r="B737" s="59" t="str">
        <f>IFERROR(VLOOKUP(A737,Internal_lists_bugs!$A$2:$G2033,7,FALSE()),"please select a BUG ID")</f>
        <v>please select a BUG ID</v>
      </c>
      <c r="C737" s="51" t="str">
        <f>IFERROR(VLOOKUP(A737,Internal_lists_bugs!$A$2:$I2033,9,FALSE()),"please select a BUG ID")</f>
        <v>please select a BUG ID</v>
      </c>
      <c r="D737" s="85"/>
      <c r="E737" s="85"/>
      <c r="F737" s="133"/>
      <c r="G737" s="43"/>
      <c r="I737" s="131"/>
      <c r="J737" s="131"/>
      <c r="K737" s="131"/>
      <c r="L737" s="131"/>
      <c r="M737" s="131"/>
      <c r="N737" s="43"/>
      <c r="O737" s="51"/>
    </row>
    <row r="738">
      <c r="A738" s="43"/>
      <c r="B738" s="59" t="str">
        <f>IFERROR(VLOOKUP(A738,Internal_lists_bugs!$A$2:$G2033,7,FALSE()),"please select a BUG ID")</f>
        <v>please select a BUG ID</v>
      </c>
      <c r="C738" s="51" t="str">
        <f>IFERROR(VLOOKUP(A738,Internal_lists_bugs!$A$2:$I2033,9,FALSE()),"please select a BUG ID")</f>
        <v>please select a BUG ID</v>
      </c>
      <c r="D738" s="85"/>
      <c r="E738" s="85"/>
      <c r="F738" s="133"/>
      <c r="G738" s="43"/>
      <c r="I738" s="131"/>
      <c r="J738" s="131"/>
      <c r="K738" s="131"/>
      <c r="L738" s="131"/>
      <c r="M738" s="131"/>
      <c r="N738" s="43"/>
      <c r="O738" s="51"/>
    </row>
    <row r="739">
      <c r="A739" s="43"/>
      <c r="B739" s="59" t="str">
        <f>IFERROR(VLOOKUP(A739,Internal_lists_bugs!$A$2:$G2033,7,FALSE()),"please select a BUG ID")</f>
        <v>please select a BUG ID</v>
      </c>
      <c r="C739" s="51" t="str">
        <f>IFERROR(VLOOKUP(A739,Internal_lists_bugs!$A$2:$I2033,9,FALSE()),"please select a BUG ID")</f>
        <v>please select a BUG ID</v>
      </c>
      <c r="D739" s="85"/>
      <c r="E739" s="85"/>
      <c r="F739" s="133"/>
      <c r="G739" s="43"/>
      <c r="I739" s="131"/>
      <c r="J739" s="131"/>
      <c r="K739" s="131"/>
      <c r="L739" s="131"/>
      <c r="M739" s="131"/>
      <c r="N739" s="43"/>
      <c r="O739" s="51"/>
    </row>
    <row r="740">
      <c r="A740" s="43"/>
      <c r="B740" s="59" t="str">
        <f>IFERROR(VLOOKUP(A740,Internal_lists_bugs!$A$2:$G2033,7,FALSE()),"please select a BUG ID")</f>
        <v>please select a BUG ID</v>
      </c>
      <c r="C740" s="51" t="str">
        <f>IFERROR(VLOOKUP(A740,Internal_lists_bugs!$A$2:$I2033,9,FALSE()),"please select a BUG ID")</f>
        <v>please select a BUG ID</v>
      </c>
      <c r="D740" s="85"/>
      <c r="E740" s="85"/>
      <c r="F740" s="133"/>
      <c r="G740" s="43"/>
      <c r="I740" s="131"/>
      <c r="J740" s="131"/>
      <c r="K740" s="131"/>
      <c r="L740" s="131"/>
      <c r="M740" s="131"/>
      <c r="N740" s="43"/>
      <c r="O740" s="51"/>
    </row>
    <row r="741">
      <c r="A741" s="43"/>
      <c r="B741" s="59" t="str">
        <f>IFERROR(VLOOKUP(A741,Internal_lists_bugs!$A$2:$G2033,7,FALSE()),"please select a BUG ID")</f>
        <v>please select a BUG ID</v>
      </c>
      <c r="C741" s="51" t="str">
        <f>IFERROR(VLOOKUP(A741,Internal_lists_bugs!$A$2:$I2033,9,FALSE()),"please select a BUG ID")</f>
        <v>please select a BUG ID</v>
      </c>
      <c r="D741" s="85"/>
      <c r="E741" s="85"/>
      <c r="F741" s="133"/>
      <c r="G741" s="43"/>
      <c r="I741" s="131"/>
      <c r="J741" s="131"/>
      <c r="K741" s="131"/>
      <c r="L741" s="131"/>
      <c r="M741" s="131"/>
      <c r="N741" s="43"/>
      <c r="O741" s="51"/>
    </row>
    <row r="742">
      <c r="A742" s="43"/>
      <c r="B742" s="59" t="str">
        <f>IFERROR(VLOOKUP(A742,Internal_lists_bugs!$A$2:$G2033,7,FALSE()),"please select a BUG ID")</f>
        <v>please select a BUG ID</v>
      </c>
      <c r="C742" s="51" t="str">
        <f>IFERROR(VLOOKUP(A742,Internal_lists_bugs!$A$2:$I2033,9,FALSE()),"please select a BUG ID")</f>
        <v>please select a BUG ID</v>
      </c>
      <c r="D742" s="80"/>
      <c r="E742" s="80"/>
      <c r="F742" s="130"/>
      <c r="G742" s="43"/>
      <c r="I742" s="131"/>
      <c r="J742" s="125"/>
      <c r="K742" s="131"/>
      <c r="L742" s="131"/>
      <c r="M742" s="131"/>
      <c r="N742" s="43"/>
      <c r="O742" s="51"/>
    </row>
    <row r="743">
      <c r="A743" s="43"/>
      <c r="B743" s="59" t="str">
        <f>IFERROR(VLOOKUP(A743,Internal_lists_bugs!$A$2:$G2033,7,FALSE()),"please select a BUG ID")</f>
        <v>please select a BUG ID</v>
      </c>
      <c r="C743" s="51" t="str">
        <f>IFERROR(VLOOKUP(A743,Internal_lists_bugs!$A$2:$I2033,9,FALSE()),"please select a BUG ID")</f>
        <v>please select a BUG ID</v>
      </c>
      <c r="D743" s="80"/>
      <c r="E743" s="80"/>
      <c r="F743" s="130"/>
      <c r="G743" s="43"/>
      <c r="I743" s="131"/>
      <c r="J743" s="125"/>
      <c r="K743" s="131"/>
      <c r="L743" s="131"/>
      <c r="M743" s="131"/>
      <c r="N743" s="43"/>
      <c r="O743" s="51"/>
    </row>
    <row r="744">
      <c r="A744" s="43"/>
      <c r="B744" s="59" t="str">
        <f>IFERROR(VLOOKUP(A744,Internal_lists_bugs!$A$2:$G2033,7,FALSE()),"please select a BUG ID")</f>
        <v>please select a BUG ID</v>
      </c>
      <c r="C744" s="51" t="str">
        <f>IFERROR(VLOOKUP(A744,Internal_lists_bugs!$A$2:$I2033,9,FALSE()),"please select a BUG ID")</f>
        <v>please select a BUG ID</v>
      </c>
      <c r="D744" s="85"/>
      <c r="E744" s="85"/>
      <c r="F744" s="133"/>
      <c r="G744" s="43"/>
      <c r="I744" s="131"/>
      <c r="J744" s="131"/>
      <c r="K744" s="131"/>
      <c r="L744" s="131"/>
      <c r="M744" s="131"/>
      <c r="N744" s="43"/>
      <c r="O744" s="51"/>
    </row>
    <row r="745">
      <c r="A745" s="43"/>
      <c r="B745" s="59" t="str">
        <f>IFERROR(VLOOKUP(A745,Internal_lists_bugs!$A$2:$G2033,7,FALSE()),"please select a BUG ID")</f>
        <v>please select a BUG ID</v>
      </c>
      <c r="C745" s="51" t="str">
        <f>IFERROR(VLOOKUP(A745,Internal_lists_bugs!$A$2:$I2033,9,FALSE()),"please select a BUG ID")</f>
        <v>please select a BUG ID</v>
      </c>
      <c r="D745" s="85"/>
      <c r="E745" s="85"/>
      <c r="F745" s="133"/>
      <c r="G745" s="43"/>
      <c r="I745" s="131"/>
      <c r="J745" s="131"/>
      <c r="K745" s="131"/>
      <c r="L745" s="131"/>
      <c r="M745" s="131"/>
      <c r="N745" s="43"/>
      <c r="O745" s="51"/>
    </row>
    <row r="746">
      <c r="A746" s="43"/>
      <c r="B746" s="59" t="str">
        <f>IFERROR(VLOOKUP(A746,Internal_lists_bugs!$A$2:$G2033,7,FALSE()),"please select a BUG ID")</f>
        <v>please select a BUG ID</v>
      </c>
      <c r="C746" s="51" t="str">
        <f>IFERROR(VLOOKUP(A746,Internal_lists_bugs!$A$2:$I2033,9,FALSE()),"please select a BUG ID")</f>
        <v>please select a BUG ID</v>
      </c>
      <c r="D746" s="85"/>
      <c r="E746" s="85"/>
      <c r="F746" s="133"/>
      <c r="G746" s="43"/>
      <c r="I746" s="131"/>
      <c r="J746" s="131"/>
      <c r="K746" s="131"/>
      <c r="L746" s="131"/>
      <c r="M746" s="131"/>
      <c r="N746" s="43"/>
      <c r="O746" s="51"/>
    </row>
    <row r="747">
      <c r="A747" s="43"/>
      <c r="B747" s="59" t="str">
        <f>IFERROR(VLOOKUP(A747,Internal_lists_bugs!$A$2:$G2033,7,FALSE()),"please select a BUG ID")</f>
        <v>please select a BUG ID</v>
      </c>
      <c r="C747" s="51" t="str">
        <f>IFERROR(VLOOKUP(A747,Internal_lists_bugs!$A$2:$I2033,9,FALSE()),"please select a BUG ID")</f>
        <v>please select a BUG ID</v>
      </c>
      <c r="D747" s="85"/>
      <c r="E747" s="85"/>
      <c r="F747" s="133"/>
      <c r="G747" s="43"/>
      <c r="I747" s="131"/>
      <c r="J747" s="131"/>
      <c r="K747" s="131"/>
      <c r="L747" s="131"/>
      <c r="M747" s="131"/>
      <c r="N747" s="43"/>
      <c r="O747" s="51"/>
    </row>
    <row r="748">
      <c r="A748" s="43"/>
      <c r="B748" s="59" t="str">
        <f>IFERROR(VLOOKUP(A748,Internal_lists_bugs!$A$2:$G2033,7,FALSE()),"please select a BUG ID")</f>
        <v>please select a BUG ID</v>
      </c>
      <c r="C748" s="51" t="str">
        <f>IFERROR(VLOOKUP(A748,Internal_lists_bugs!$A$2:$I2033,9,FALSE()),"please select a BUG ID")</f>
        <v>please select a BUG ID</v>
      </c>
      <c r="D748" s="85"/>
      <c r="E748" s="85"/>
      <c r="F748" s="133"/>
      <c r="G748" s="43"/>
      <c r="I748" s="131"/>
      <c r="J748" s="131"/>
      <c r="K748" s="131"/>
      <c r="L748" s="131"/>
      <c r="M748" s="131"/>
      <c r="N748" s="43"/>
      <c r="O748" s="51"/>
    </row>
    <row r="749">
      <c r="A749" s="43"/>
      <c r="B749" s="59" t="str">
        <f>IFERROR(VLOOKUP(A749,Internal_lists_bugs!$A$2:$G2033,7,FALSE()),"please select a BUG ID")</f>
        <v>please select a BUG ID</v>
      </c>
      <c r="C749" s="51" t="str">
        <f>IFERROR(VLOOKUP(A749,Internal_lists_bugs!$A$2:$I2033,9,FALSE()),"please select a BUG ID")</f>
        <v>please select a BUG ID</v>
      </c>
      <c r="D749" s="85"/>
      <c r="E749" s="85"/>
      <c r="F749" s="133"/>
      <c r="G749" s="43"/>
      <c r="I749" s="131"/>
      <c r="J749" s="131"/>
      <c r="K749" s="131"/>
      <c r="L749" s="131"/>
      <c r="M749" s="131"/>
      <c r="N749" s="43"/>
      <c r="O749" s="51"/>
    </row>
    <row r="750">
      <c r="A750" s="43"/>
      <c r="B750" s="59" t="str">
        <f>IFERROR(VLOOKUP(A750,Internal_lists_bugs!$A$2:$G2033,7,FALSE()),"please select a BUG ID")</f>
        <v>please select a BUG ID</v>
      </c>
      <c r="C750" s="51" t="str">
        <f>IFERROR(VLOOKUP(A750,Internal_lists_bugs!$A$2:$I2033,9,FALSE()),"please select a BUG ID")</f>
        <v>please select a BUG ID</v>
      </c>
      <c r="D750" s="85"/>
      <c r="E750" s="85"/>
      <c r="F750" s="133"/>
      <c r="G750" s="43"/>
      <c r="I750" s="131"/>
      <c r="J750" s="131"/>
      <c r="K750" s="131"/>
      <c r="L750" s="131"/>
      <c r="M750" s="131"/>
      <c r="N750" s="43"/>
      <c r="O750" s="51"/>
    </row>
    <row r="751">
      <c r="A751" s="43"/>
      <c r="B751" s="59" t="str">
        <f>IFERROR(VLOOKUP(A751,Internal_lists_bugs!$A$2:$G2033,7,FALSE()),"please select a BUG ID")</f>
        <v>please select a BUG ID</v>
      </c>
      <c r="C751" s="51" t="str">
        <f>IFERROR(VLOOKUP(A751,Internal_lists_bugs!$A$2:$I2033,9,FALSE()),"please select a BUG ID")</f>
        <v>please select a BUG ID</v>
      </c>
      <c r="D751" s="85"/>
      <c r="E751" s="85"/>
      <c r="F751" s="133"/>
      <c r="G751" s="43"/>
      <c r="I751" s="131"/>
      <c r="J751" s="131"/>
      <c r="K751" s="131"/>
      <c r="L751" s="131"/>
      <c r="M751" s="131"/>
      <c r="N751" s="43"/>
      <c r="O751" s="51"/>
    </row>
    <row r="752">
      <c r="A752" s="43"/>
      <c r="B752" s="59" t="str">
        <f>IFERROR(VLOOKUP(A752,Internal_lists_bugs!$A$2:$G2033,7,FALSE()),"please select a BUG ID")</f>
        <v>please select a BUG ID</v>
      </c>
      <c r="C752" s="51" t="str">
        <f>IFERROR(VLOOKUP(A752,Internal_lists_bugs!$A$2:$I2033,9,FALSE()),"please select a BUG ID")</f>
        <v>please select a BUG ID</v>
      </c>
      <c r="D752" s="85"/>
      <c r="E752" s="85"/>
      <c r="F752" s="133"/>
      <c r="G752" s="43"/>
      <c r="I752" s="131"/>
      <c r="J752" s="131"/>
      <c r="K752" s="131"/>
      <c r="L752" s="131"/>
      <c r="M752" s="131"/>
      <c r="N752" s="43"/>
      <c r="O752" s="51"/>
    </row>
    <row r="753">
      <c r="A753" s="43"/>
      <c r="B753" s="59" t="str">
        <f>IFERROR(VLOOKUP(A753,Internal_lists_bugs!$A$2:$G2033,7,FALSE()),"please select a BUG ID")</f>
        <v>please select a BUG ID</v>
      </c>
      <c r="C753" s="51" t="str">
        <f>IFERROR(VLOOKUP(A753,Internal_lists_bugs!$A$2:$I2033,9,FALSE()),"please select a BUG ID")</f>
        <v>please select a BUG ID</v>
      </c>
      <c r="D753" s="85"/>
      <c r="E753" s="85"/>
      <c r="F753" s="133"/>
      <c r="G753" s="43"/>
      <c r="I753" s="131"/>
      <c r="J753" s="131"/>
      <c r="K753" s="131"/>
      <c r="L753" s="131"/>
      <c r="M753" s="131"/>
      <c r="N753" s="43"/>
      <c r="O753" s="51"/>
    </row>
    <row r="754">
      <c r="A754" s="43"/>
      <c r="B754" s="59" t="str">
        <f>IFERROR(VLOOKUP(A754,Internal_lists_bugs!$A$2:$G2033,7,FALSE()),"please select a BUG ID")</f>
        <v>please select a BUG ID</v>
      </c>
      <c r="C754" s="51" t="str">
        <f>IFERROR(VLOOKUP(A754,Internal_lists_bugs!$A$2:$I2033,9,FALSE()),"please select a BUG ID")</f>
        <v>please select a BUG ID</v>
      </c>
      <c r="D754" s="85"/>
      <c r="E754" s="85"/>
      <c r="F754" s="133"/>
      <c r="G754" s="43"/>
      <c r="I754" s="131"/>
      <c r="J754" s="131"/>
      <c r="K754" s="131"/>
      <c r="L754" s="131"/>
      <c r="M754" s="131"/>
      <c r="N754" s="43"/>
      <c r="O754" s="51"/>
    </row>
    <row r="755">
      <c r="A755" s="43"/>
      <c r="B755" s="59" t="str">
        <f>IFERROR(VLOOKUP(A755,Internal_lists_bugs!$A$2:$G2033,7,FALSE()),"please select a BUG ID")</f>
        <v>please select a BUG ID</v>
      </c>
      <c r="C755" s="51" t="str">
        <f>IFERROR(VLOOKUP(A755,Internal_lists_bugs!$A$2:$I2033,9,FALSE()),"please select a BUG ID")</f>
        <v>please select a BUG ID</v>
      </c>
      <c r="D755" s="85"/>
      <c r="E755" s="85"/>
      <c r="F755" s="133"/>
      <c r="G755" s="43"/>
      <c r="H755" s="74"/>
      <c r="I755" s="131"/>
      <c r="J755" s="131"/>
      <c r="K755" s="131"/>
      <c r="L755" s="131"/>
      <c r="M755" s="131"/>
      <c r="N755" s="43"/>
      <c r="O755" s="51"/>
    </row>
    <row r="756">
      <c r="A756" s="43"/>
      <c r="B756" s="59" t="str">
        <f>IFERROR(VLOOKUP(A756,Internal_lists_bugs!$A$2:$G2033,7,FALSE()),"please select a BUG ID")</f>
        <v>please select a BUG ID</v>
      </c>
      <c r="C756" s="51" t="str">
        <f>IFERROR(VLOOKUP(A756,Internal_lists_bugs!$A$2:$I2033,9,FALSE()),"please select a BUG ID")</f>
        <v>please select a BUG ID</v>
      </c>
      <c r="D756" s="85"/>
      <c r="E756" s="85"/>
      <c r="F756" s="133"/>
      <c r="G756" s="43"/>
      <c r="I756" s="131"/>
      <c r="J756" s="131"/>
      <c r="K756" s="131"/>
      <c r="L756" s="131"/>
      <c r="M756" s="131"/>
      <c r="N756" s="43"/>
      <c r="O756" s="51"/>
    </row>
    <row r="757">
      <c r="A757" s="43"/>
      <c r="B757" s="59" t="str">
        <f>IFERROR(VLOOKUP(A757,Internal_lists_bugs!$A$2:$G2033,7,FALSE()),"please select a BUG ID")</f>
        <v>please select a BUG ID</v>
      </c>
      <c r="C757" s="51" t="str">
        <f>IFERROR(VLOOKUP(A757,Internal_lists_bugs!$A$2:$I2033,9,FALSE()),"please select a BUG ID")</f>
        <v>please select a BUG ID</v>
      </c>
      <c r="D757" s="85"/>
      <c r="E757" s="85"/>
      <c r="F757" s="133"/>
      <c r="G757" s="43"/>
      <c r="I757" s="131"/>
      <c r="J757" s="131"/>
      <c r="K757" s="131"/>
      <c r="L757" s="131"/>
      <c r="M757" s="131"/>
      <c r="N757" s="43"/>
      <c r="O757" s="51"/>
    </row>
    <row r="758">
      <c r="A758" s="43"/>
      <c r="B758" s="59" t="str">
        <f>IFERROR(VLOOKUP(A758,Internal_lists_bugs!$A$2:$G2033,7,FALSE()),"please select a BUG ID")</f>
        <v>please select a BUG ID</v>
      </c>
      <c r="C758" s="51" t="str">
        <f>IFERROR(VLOOKUP(A758,Internal_lists_bugs!$A$2:$I2033,9,FALSE()),"please select a BUG ID")</f>
        <v>please select a BUG ID</v>
      </c>
      <c r="D758" s="85"/>
      <c r="E758" s="85"/>
      <c r="F758" s="133"/>
      <c r="G758" s="43"/>
      <c r="I758" s="131"/>
      <c r="J758" s="131"/>
      <c r="K758" s="131"/>
      <c r="L758" s="131"/>
      <c r="M758" s="131"/>
      <c r="N758" s="43"/>
      <c r="O758" s="51"/>
    </row>
    <row r="759">
      <c r="A759" s="43"/>
      <c r="B759" s="59" t="str">
        <f>IFERROR(VLOOKUP(A759,Internal_lists_bugs!$A$2:$G2033,7,FALSE()),"please select a BUG ID")</f>
        <v>please select a BUG ID</v>
      </c>
      <c r="C759" s="51" t="str">
        <f>IFERROR(VLOOKUP(A759,Internal_lists_bugs!$A$2:$I2033,9,FALSE()),"please select a BUG ID")</f>
        <v>please select a BUG ID</v>
      </c>
      <c r="D759" s="85"/>
      <c r="E759" s="85"/>
      <c r="F759" s="133"/>
      <c r="G759" s="43"/>
      <c r="I759" s="131"/>
      <c r="J759" s="131"/>
      <c r="K759" s="131"/>
      <c r="L759" s="131"/>
      <c r="M759" s="131"/>
      <c r="N759" s="43"/>
      <c r="O759" s="51"/>
    </row>
    <row r="760">
      <c r="A760" s="43"/>
      <c r="B760" s="59" t="str">
        <f>IFERROR(VLOOKUP(A760,Internal_lists_bugs!$A$2:$G2033,7,FALSE()),"please select a BUG ID")</f>
        <v>please select a BUG ID</v>
      </c>
      <c r="C760" s="51" t="str">
        <f>IFERROR(VLOOKUP(A760,Internal_lists_bugs!$A$2:$I2033,9,FALSE()),"please select a BUG ID")</f>
        <v>please select a BUG ID</v>
      </c>
      <c r="D760" s="85"/>
      <c r="E760" s="85"/>
      <c r="F760" s="133"/>
      <c r="G760" s="43"/>
      <c r="I760" s="131"/>
      <c r="J760" s="131"/>
      <c r="K760" s="131"/>
      <c r="L760" s="131"/>
      <c r="M760" s="131"/>
      <c r="N760" s="43"/>
      <c r="O760" s="51"/>
    </row>
    <row r="761">
      <c r="A761" s="43"/>
      <c r="B761" s="59" t="str">
        <f>IFERROR(VLOOKUP(A761,Internal_lists_bugs!$A$2:$G2033,7,FALSE()),"please select a BUG ID")</f>
        <v>please select a BUG ID</v>
      </c>
      <c r="C761" s="51" t="str">
        <f>IFERROR(VLOOKUP(A761,Internal_lists_bugs!$A$2:$I2033,9,FALSE()),"please select a BUG ID")</f>
        <v>please select a BUG ID</v>
      </c>
      <c r="D761" s="85"/>
      <c r="E761" s="85"/>
      <c r="F761" s="133"/>
      <c r="G761" s="43"/>
      <c r="I761" s="131"/>
      <c r="J761" s="131"/>
      <c r="K761" s="131"/>
      <c r="L761" s="131"/>
      <c r="M761" s="131"/>
      <c r="N761" s="43"/>
      <c r="O761" s="51"/>
    </row>
    <row r="762">
      <c r="A762" s="43"/>
      <c r="B762" s="59" t="str">
        <f>IFERROR(VLOOKUP(A762,Internal_lists_bugs!$A$2:$G2033,7,FALSE()),"please select a BUG ID")</f>
        <v>please select a BUG ID</v>
      </c>
      <c r="C762" s="51" t="str">
        <f>IFERROR(VLOOKUP(A762,Internal_lists_bugs!$A$2:$I2033,9,FALSE()),"please select a BUG ID")</f>
        <v>please select a BUG ID</v>
      </c>
      <c r="D762" s="85"/>
      <c r="E762" s="85"/>
      <c r="F762" s="133"/>
      <c r="G762" s="43"/>
      <c r="I762" s="131"/>
      <c r="J762" s="131"/>
      <c r="K762" s="131"/>
      <c r="L762" s="131"/>
      <c r="M762" s="131"/>
      <c r="N762" s="43"/>
      <c r="O762" s="51"/>
    </row>
    <row r="763">
      <c r="A763" s="43"/>
      <c r="B763" s="59" t="str">
        <f>IFERROR(VLOOKUP(A763,Internal_lists_bugs!$A$2:$G2033,7,FALSE()),"please select a BUG ID")</f>
        <v>please select a BUG ID</v>
      </c>
      <c r="C763" s="51" t="str">
        <f>IFERROR(VLOOKUP(A763,Internal_lists_bugs!$A$2:$I2033,9,FALSE()),"please select a BUG ID")</f>
        <v>please select a BUG ID</v>
      </c>
      <c r="D763" s="85"/>
      <c r="E763" s="85"/>
      <c r="F763" s="133"/>
      <c r="G763" s="43"/>
      <c r="I763" s="131"/>
      <c r="J763" s="131"/>
      <c r="K763" s="131"/>
      <c r="L763" s="131"/>
      <c r="M763" s="131"/>
      <c r="N763" s="43"/>
      <c r="O763" s="51"/>
    </row>
    <row r="764">
      <c r="A764" s="43"/>
      <c r="B764" s="59" t="str">
        <f>IFERROR(VLOOKUP(A764,Internal_lists_bugs!$A$2:$G2033,7,FALSE()),"please select a BUG ID")</f>
        <v>please select a BUG ID</v>
      </c>
      <c r="C764" s="51" t="str">
        <f>IFERROR(VLOOKUP(A764,Internal_lists_bugs!$A$2:$I2033,9,FALSE()),"please select a BUG ID")</f>
        <v>please select a BUG ID</v>
      </c>
      <c r="D764" s="85"/>
      <c r="E764" s="85"/>
      <c r="F764" s="133"/>
      <c r="G764" s="43"/>
      <c r="I764" s="131"/>
      <c r="J764" s="131"/>
      <c r="K764" s="131"/>
      <c r="L764" s="131"/>
      <c r="M764" s="131"/>
      <c r="N764" s="43"/>
      <c r="O764" s="51"/>
    </row>
    <row r="765">
      <c r="A765" s="43"/>
      <c r="B765" s="59" t="str">
        <f>IFERROR(VLOOKUP(A765,Internal_lists_bugs!$A$2:$G2033,7,FALSE()),"please select a BUG ID")</f>
        <v>please select a BUG ID</v>
      </c>
      <c r="C765" s="51" t="str">
        <f>IFERROR(VLOOKUP(A765,Internal_lists_bugs!$A$2:$I2033,9,FALSE()),"please select a BUG ID")</f>
        <v>please select a BUG ID</v>
      </c>
      <c r="D765" s="85"/>
      <c r="E765" s="85"/>
      <c r="F765" s="133"/>
      <c r="G765" s="43"/>
      <c r="I765" s="131"/>
      <c r="J765" s="131"/>
      <c r="K765" s="131"/>
      <c r="L765" s="131"/>
      <c r="M765" s="131"/>
      <c r="N765" s="43"/>
      <c r="O765" s="51"/>
    </row>
    <row r="766">
      <c r="A766" s="43"/>
      <c r="B766" s="59" t="str">
        <f>IFERROR(VLOOKUP(A766,Internal_lists_bugs!$A$2:$G2033,7,FALSE()),"please select a BUG ID")</f>
        <v>please select a BUG ID</v>
      </c>
      <c r="C766" s="51" t="str">
        <f>IFERROR(VLOOKUP(A766,Internal_lists_bugs!$A$2:$I2033,9,FALSE()),"please select a BUG ID")</f>
        <v>please select a BUG ID</v>
      </c>
      <c r="D766" s="85"/>
      <c r="E766" s="85"/>
      <c r="F766" s="133"/>
      <c r="G766" s="43"/>
      <c r="I766" s="131"/>
      <c r="J766" s="131"/>
      <c r="K766" s="131"/>
      <c r="L766" s="131"/>
      <c r="M766" s="131"/>
      <c r="N766" s="43"/>
      <c r="O766" s="51"/>
    </row>
    <row r="767">
      <c r="A767" s="43"/>
      <c r="B767" s="59" t="str">
        <f>IFERROR(VLOOKUP(A767,Internal_lists_bugs!$A$2:$G2033,7,FALSE()),"please select a BUG ID")</f>
        <v>please select a BUG ID</v>
      </c>
      <c r="C767" s="51" t="str">
        <f>IFERROR(VLOOKUP(A767,Internal_lists_bugs!$A$2:$I2033,9,FALSE()),"please select a BUG ID")</f>
        <v>please select a BUG ID</v>
      </c>
      <c r="D767" s="85"/>
      <c r="E767" s="85"/>
      <c r="F767" s="133"/>
      <c r="G767" s="43"/>
      <c r="I767" s="131"/>
      <c r="J767" s="131"/>
      <c r="K767" s="131"/>
      <c r="L767" s="131"/>
      <c r="M767" s="131"/>
      <c r="N767" s="43"/>
      <c r="O767" s="51"/>
    </row>
    <row r="768">
      <c r="A768" s="43"/>
      <c r="B768" s="59" t="str">
        <f>IFERROR(VLOOKUP(A768,Internal_lists_bugs!$A$2:$G2033,7,FALSE()),"please select a BUG ID")</f>
        <v>please select a BUG ID</v>
      </c>
      <c r="C768" s="51" t="str">
        <f>IFERROR(VLOOKUP(A768,Internal_lists_bugs!$A$2:$I2033,9,FALSE()),"please select a BUG ID")</f>
        <v>please select a BUG ID</v>
      </c>
      <c r="D768" s="85"/>
      <c r="E768" s="85"/>
      <c r="F768" s="133"/>
      <c r="G768" s="43"/>
      <c r="I768" s="131"/>
      <c r="J768" s="131"/>
      <c r="K768" s="131"/>
      <c r="L768" s="131"/>
      <c r="M768" s="131"/>
      <c r="N768" s="43"/>
      <c r="O768" s="51"/>
    </row>
    <row r="769">
      <c r="A769" s="43"/>
      <c r="B769" s="59" t="str">
        <f>IFERROR(VLOOKUP(A769,Internal_lists_bugs!$A$2:$G2033,7,FALSE()),"please select a BUG ID")</f>
        <v>please select a BUG ID</v>
      </c>
      <c r="C769" s="51" t="str">
        <f>IFERROR(VLOOKUP(A769,Internal_lists_bugs!$A$2:$I2033,9,FALSE()),"please select a BUG ID")</f>
        <v>please select a BUG ID</v>
      </c>
      <c r="D769" s="85"/>
      <c r="E769" s="85"/>
      <c r="F769" s="133"/>
      <c r="G769" s="43"/>
      <c r="I769" s="131"/>
      <c r="J769" s="131"/>
      <c r="K769" s="131"/>
      <c r="L769" s="131"/>
      <c r="M769" s="131"/>
      <c r="N769" s="43"/>
      <c r="O769" s="51"/>
    </row>
    <row r="770">
      <c r="A770" s="43"/>
      <c r="B770" s="59" t="str">
        <f>IFERROR(VLOOKUP(A770,Internal_lists_bugs!$A$2:$G2033,7,FALSE()),"please select a BUG ID")</f>
        <v>please select a BUG ID</v>
      </c>
      <c r="C770" s="51" t="str">
        <f>IFERROR(VLOOKUP(A770,Internal_lists_bugs!$A$2:$I2033,9,FALSE()),"please select a BUG ID")</f>
        <v>please select a BUG ID</v>
      </c>
      <c r="D770" s="85"/>
      <c r="E770" s="85"/>
      <c r="F770" s="133"/>
      <c r="G770" s="43"/>
      <c r="I770" s="131"/>
      <c r="J770" s="131"/>
      <c r="K770" s="131"/>
      <c r="L770" s="131"/>
      <c r="M770" s="131"/>
      <c r="N770" s="43"/>
      <c r="O770" s="51"/>
    </row>
    <row r="771">
      <c r="A771" s="43"/>
      <c r="B771" s="59" t="str">
        <f>IFERROR(VLOOKUP(A771,Internal_lists_bugs!$A$2:$G2033,7,FALSE()),"please select a BUG ID")</f>
        <v>please select a BUG ID</v>
      </c>
      <c r="C771" s="51" t="str">
        <f>IFERROR(VLOOKUP(A771,Internal_lists_bugs!$A$2:$I2033,9,FALSE()),"please select a BUG ID")</f>
        <v>please select a BUG ID</v>
      </c>
      <c r="D771" s="85"/>
      <c r="E771" s="85"/>
      <c r="F771" s="133"/>
      <c r="G771" s="43"/>
      <c r="I771" s="131"/>
      <c r="J771" s="131"/>
      <c r="K771" s="131"/>
      <c r="L771" s="131"/>
      <c r="M771" s="131"/>
      <c r="N771" s="43"/>
      <c r="O771" s="51"/>
    </row>
    <row r="772">
      <c r="A772" s="43"/>
      <c r="B772" s="59" t="str">
        <f>IFERROR(VLOOKUP(A772,Internal_lists_bugs!$A$2:$G2033,7,FALSE()),"please select a BUG ID")</f>
        <v>please select a BUG ID</v>
      </c>
      <c r="C772" s="51" t="str">
        <f>IFERROR(VLOOKUP(A772,Internal_lists_bugs!$A$2:$I2033,9,FALSE()),"please select a BUG ID")</f>
        <v>please select a BUG ID</v>
      </c>
      <c r="D772" s="85"/>
      <c r="E772" s="85"/>
      <c r="F772" s="133"/>
      <c r="G772" s="43"/>
      <c r="I772" s="131"/>
      <c r="J772" s="131"/>
      <c r="K772" s="131"/>
      <c r="L772" s="131"/>
      <c r="M772" s="131"/>
      <c r="N772" s="43"/>
      <c r="O772" s="51"/>
    </row>
    <row r="773">
      <c r="A773" s="43"/>
      <c r="B773" s="59" t="str">
        <f>IFERROR(VLOOKUP(A773,Internal_lists_bugs!$A$2:$G2033,7,FALSE()),"please select a BUG ID")</f>
        <v>please select a BUG ID</v>
      </c>
      <c r="C773" s="51" t="str">
        <f>IFERROR(VLOOKUP(A773,Internal_lists_bugs!$A$2:$I2033,9,FALSE()),"please select a BUG ID")</f>
        <v>please select a BUG ID</v>
      </c>
      <c r="D773" s="85"/>
      <c r="E773" s="85"/>
      <c r="F773" s="133"/>
      <c r="G773" s="43"/>
      <c r="I773" s="131"/>
      <c r="J773" s="131"/>
      <c r="K773" s="131"/>
      <c r="L773" s="131"/>
      <c r="M773" s="131"/>
      <c r="N773" s="43"/>
      <c r="O773" s="51"/>
    </row>
    <row r="774">
      <c r="A774" s="43"/>
      <c r="B774" s="59" t="str">
        <f>IFERROR(VLOOKUP(A774,Internal_lists_bugs!$A$2:$G2033,7,FALSE()),"please select a BUG ID")</f>
        <v>please select a BUG ID</v>
      </c>
      <c r="C774" s="51" t="str">
        <f>IFERROR(VLOOKUP(A774,Internal_lists_bugs!$A$2:$I2033,9,FALSE()),"please select a BUG ID")</f>
        <v>please select a BUG ID</v>
      </c>
      <c r="D774" s="85"/>
      <c r="E774" s="85"/>
      <c r="F774" s="133"/>
      <c r="G774" s="43"/>
      <c r="I774" s="131"/>
      <c r="J774" s="131"/>
      <c r="K774" s="131"/>
      <c r="L774" s="131"/>
      <c r="M774" s="131"/>
      <c r="N774" s="43"/>
      <c r="O774" s="51"/>
    </row>
    <row r="775">
      <c r="A775" s="43"/>
      <c r="B775" s="59" t="str">
        <f>IFERROR(VLOOKUP(A775,Internal_lists_bugs!$A$2:$G2033,7,FALSE()),"please select a BUG ID")</f>
        <v>please select a BUG ID</v>
      </c>
      <c r="C775" s="51" t="str">
        <f>IFERROR(VLOOKUP(A775,Internal_lists_bugs!$A$2:$I2033,9,FALSE()),"please select a BUG ID")</f>
        <v>please select a BUG ID</v>
      </c>
      <c r="D775" s="85"/>
      <c r="E775" s="85"/>
      <c r="F775" s="133"/>
      <c r="G775" s="43"/>
      <c r="I775" s="131"/>
      <c r="J775" s="131"/>
      <c r="K775" s="131"/>
      <c r="L775" s="131"/>
      <c r="M775" s="131"/>
      <c r="N775" s="43"/>
      <c r="O775" s="51"/>
    </row>
    <row r="776">
      <c r="A776" s="43"/>
      <c r="B776" s="59" t="str">
        <f>IFERROR(VLOOKUP(A776,Internal_lists_bugs!$A$2:$G2033,7,FALSE()),"please select a BUG ID")</f>
        <v>please select a BUG ID</v>
      </c>
      <c r="C776" s="51" t="str">
        <f>IFERROR(VLOOKUP(A776,Internal_lists_bugs!$A$2:$I2033,9,FALSE()),"please select a BUG ID")</f>
        <v>please select a BUG ID</v>
      </c>
      <c r="D776" s="85"/>
      <c r="E776" s="85"/>
      <c r="F776" s="133"/>
      <c r="G776" s="43"/>
      <c r="I776" s="131"/>
      <c r="J776" s="131"/>
      <c r="K776" s="131"/>
      <c r="L776" s="131"/>
      <c r="M776" s="131"/>
      <c r="N776" s="43"/>
      <c r="O776" s="51"/>
    </row>
    <row r="777">
      <c r="A777" s="43"/>
      <c r="B777" s="59" t="str">
        <f>IFERROR(VLOOKUP(A777,Internal_lists_bugs!$A$2:$G2033,7,FALSE()),"please select a BUG ID")</f>
        <v>please select a BUG ID</v>
      </c>
      <c r="C777" s="51" t="str">
        <f>IFERROR(VLOOKUP(A777,Internal_lists_bugs!$A$2:$I2033,9,FALSE()),"please select a BUG ID")</f>
        <v>please select a BUG ID</v>
      </c>
      <c r="D777" s="85"/>
      <c r="E777" s="85"/>
      <c r="F777" s="133"/>
      <c r="G777" s="43"/>
      <c r="I777" s="131"/>
      <c r="J777" s="131"/>
      <c r="K777" s="131"/>
      <c r="L777" s="131"/>
      <c r="M777" s="131"/>
      <c r="N777" s="43"/>
      <c r="O777" s="51"/>
    </row>
    <row r="778">
      <c r="A778" s="43"/>
      <c r="B778" s="59" t="str">
        <f>IFERROR(VLOOKUP(A778,Internal_lists_bugs!$A$2:$G2033,7,FALSE()),"please select a BUG ID")</f>
        <v>please select a BUG ID</v>
      </c>
      <c r="C778" s="51" t="str">
        <f>IFERROR(VLOOKUP(A778,Internal_lists_bugs!$A$2:$I2033,9,FALSE()),"please select a BUG ID")</f>
        <v>please select a BUG ID</v>
      </c>
      <c r="D778" s="85"/>
      <c r="E778" s="85"/>
      <c r="F778" s="133"/>
      <c r="G778" s="43"/>
      <c r="I778" s="131"/>
      <c r="J778" s="131"/>
      <c r="K778" s="131"/>
      <c r="L778" s="131"/>
      <c r="M778" s="131"/>
      <c r="N778" s="43"/>
      <c r="O778" s="51"/>
    </row>
    <row r="779">
      <c r="A779" s="43"/>
      <c r="B779" s="59" t="str">
        <f>IFERROR(VLOOKUP(A779,Internal_lists_bugs!$A$2:$G2033,7,FALSE()),"please select a BUG ID")</f>
        <v>please select a BUG ID</v>
      </c>
      <c r="C779" s="51" t="str">
        <f>IFERROR(VLOOKUP(A779,Internal_lists_bugs!$A$2:$I2033,9,FALSE()),"please select a BUG ID")</f>
        <v>please select a BUG ID</v>
      </c>
      <c r="D779" s="85"/>
      <c r="E779" s="85"/>
      <c r="F779" s="133"/>
      <c r="G779" s="43"/>
      <c r="I779" s="131"/>
      <c r="J779" s="131"/>
      <c r="K779" s="131"/>
      <c r="L779" s="131"/>
      <c r="M779" s="131"/>
      <c r="N779" s="43"/>
      <c r="O779" s="51"/>
    </row>
    <row r="780">
      <c r="A780" s="43"/>
      <c r="B780" s="59" t="str">
        <f>IFERROR(VLOOKUP(A780,Internal_lists_bugs!$A$2:$G2033,7,FALSE()),"please select a BUG ID")</f>
        <v>please select a BUG ID</v>
      </c>
      <c r="C780" s="51" t="str">
        <f>IFERROR(VLOOKUP(A780,Internal_lists_bugs!$A$2:$I2033,9,FALSE()),"please select a BUG ID")</f>
        <v>please select a BUG ID</v>
      </c>
      <c r="D780" s="85"/>
      <c r="E780" s="85"/>
      <c r="F780" s="133"/>
      <c r="G780" s="43"/>
      <c r="I780" s="131"/>
      <c r="J780" s="131"/>
      <c r="K780" s="131"/>
      <c r="L780" s="131"/>
      <c r="M780" s="131"/>
      <c r="N780" s="43"/>
      <c r="O780" s="51"/>
    </row>
    <row r="781">
      <c r="A781" s="43"/>
      <c r="B781" s="59" t="str">
        <f>IFERROR(VLOOKUP(A781,Internal_lists_bugs!$A$2:$G2033,7,FALSE()),"please select a BUG ID")</f>
        <v>please select a BUG ID</v>
      </c>
      <c r="C781" s="51" t="str">
        <f>IFERROR(VLOOKUP(A781,Internal_lists_bugs!$A$2:$I2033,9,FALSE()),"please select a BUG ID")</f>
        <v>please select a BUG ID</v>
      </c>
      <c r="D781" s="85"/>
      <c r="E781" s="85"/>
      <c r="F781" s="133"/>
      <c r="G781" s="43"/>
      <c r="I781" s="131"/>
      <c r="J781" s="131"/>
      <c r="K781" s="131"/>
      <c r="L781" s="131"/>
      <c r="M781" s="131"/>
      <c r="N781" s="43"/>
      <c r="O781" s="51"/>
    </row>
    <row r="782">
      <c r="A782" s="43"/>
      <c r="B782" s="59" t="str">
        <f>IFERROR(VLOOKUP(A782,Internal_lists_bugs!$A$2:$G2033,7,FALSE()),"please select a BUG ID")</f>
        <v>please select a BUG ID</v>
      </c>
      <c r="C782" s="51" t="str">
        <f>IFERROR(VLOOKUP(A782,Internal_lists_bugs!$A$2:$I2033,9,FALSE()),"please select a BUG ID")</f>
        <v>please select a BUG ID</v>
      </c>
      <c r="D782" s="85"/>
      <c r="E782" s="85"/>
      <c r="F782" s="133"/>
      <c r="G782" s="43"/>
      <c r="I782" s="131"/>
      <c r="J782" s="131"/>
      <c r="K782" s="131"/>
      <c r="L782" s="131"/>
      <c r="M782" s="131"/>
      <c r="N782" s="43"/>
      <c r="O782" s="51"/>
    </row>
    <row r="783">
      <c r="A783" s="43"/>
      <c r="B783" s="59" t="str">
        <f>IFERROR(VLOOKUP(A783,Internal_lists_bugs!$A$2:$G2033,7,FALSE()),"please select a BUG ID")</f>
        <v>please select a BUG ID</v>
      </c>
      <c r="C783" s="51" t="str">
        <f>IFERROR(VLOOKUP(A783,Internal_lists_bugs!$A$2:$I2033,9,FALSE()),"please select a BUG ID")</f>
        <v>please select a BUG ID</v>
      </c>
      <c r="D783" s="85"/>
      <c r="E783" s="85"/>
      <c r="F783" s="133"/>
      <c r="G783" s="43"/>
      <c r="I783" s="131"/>
      <c r="J783" s="131"/>
      <c r="K783" s="131"/>
      <c r="L783" s="131"/>
      <c r="M783" s="131"/>
      <c r="N783" s="43"/>
      <c r="O783" s="51"/>
    </row>
    <row r="784">
      <c r="A784" s="43"/>
      <c r="B784" s="59" t="str">
        <f>IFERROR(VLOOKUP(A784,Internal_lists_bugs!$A$2:$G2033,7,FALSE()),"please select a BUG ID")</f>
        <v>please select a BUG ID</v>
      </c>
      <c r="C784" s="51" t="str">
        <f>IFERROR(VLOOKUP(A784,Internal_lists_bugs!$A$2:$I2033,9,FALSE()),"please select a BUG ID")</f>
        <v>please select a BUG ID</v>
      </c>
      <c r="D784" s="85"/>
      <c r="E784" s="85"/>
      <c r="F784" s="133"/>
      <c r="G784" s="43"/>
      <c r="I784" s="131"/>
      <c r="J784" s="131"/>
      <c r="K784" s="131"/>
      <c r="L784" s="131"/>
      <c r="M784" s="131"/>
      <c r="N784" s="43"/>
      <c r="O784" s="51"/>
    </row>
    <row r="785">
      <c r="A785" s="43"/>
      <c r="B785" s="59" t="str">
        <f>IFERROR(VLOOKUP(A785,Internal_lists_bugs!$A$2:$G2033,7,FALSE()),"please select a BUG ID")</f>
        <v>please select a BUG ID</v>
      </c>
      <c r="C785" s="51" t="str">
        <f>IFERROR(VLOOKUP(A785,Internal_lists_bugs!$A$2:$I2033,9,FALSE()),"please select a BUG ID")</f>
        <v>please select a BUG ID</v>
      </c>
      <c r="D785" s="85"/>
      <c r="E785" s="85"/>
      <c r="F785" s="133"/>
      <c r="G785" s="43"/>
      <c r="I785" s="131"/>
      <c r="J785" s="131"/>
      <c r="K785" s="131"/>
      <c r="L785" s="131"/>
      <c r="M785" s="131"/>
      <c r="N785" s="43"/>
      <c r="O785" s="51"/>
    </row>
    <row r="786">
      <c r="A786" s="43"/>
      <c r="B786" s="59" t="str">
        <f>IFERROR(VLOOKUP(A786,Internal_lists_bugs!$A$2:$G2033,7,FALSE()),"please select a BUG ID")</f>
        <v>please select a BUG ID</v>
      </c>
      <c r="C786" s="51" t="str">
        <f>IFERROR(VLOOKUP(A786,Internal_lists_bugs!$A$2:$I2033,9,FALSE()),"please select a BUG ID")</f>
        <v>please select a BUG ID</v>
      </c>
      <c r="D786" s="80"/>
      <c r="E786" s="80"/>
      <c r="F786" s="130"/>
      <c r="G786" s="43"/>
      <c r="I786" s="131"/>
      <c r="J786" s="125"/>
      <c r="K786" s="131"/>
      <c r="L786" s="131"/>
      <c r="M786" s="131"/>
      <c r="N786" s="43"/>
      <c r="O786" s="51"/>
    </row>
    <row r="787">
      <c r="A787" s="43"/>
      <c r="B787" s="59" t="str">
        <f>IFERROR(VLOOKUP(A787,Internal_lists_bugs!$A$2:$G2033,7,FALSE()),"please select a BUG ID")</f>
        <v>please select a BUG ID</v>
      </c>
      <c r="C787" s="51" t="str">
        <f>IFERROR(VLOOKUP(A787,Internal_lists_bugs!$A$2:$I2033,9,FALSE()),"please select a BUG ID")</f>
        <v>please select a BUG ID</v>
      </c>
      <c r="D787" s="85"/>
      <c r="E787" s="85"/>
      <c r="F787" s="133"/>
      <c r="G787" s="43"/>
      <c r="I787" s="131"/>
      <c r="J787" s="131"/>
      <c r="K787" s="131"/>
      <c r="L787" s="131"/>
      <c r="M787" s="131"/>
      <c r="N787" s="43"/>
      <c r="O787" s="51"/>
    </row>
    <row r="788">
      <c r="A788" s="43"/>
      <c r="B788" s="59" t="str">
        <f>IFERROR(VLOOKUP(A788,Internal_lists_bugs!$A$2:$G2033,7,FALSE()),"please select a BUG ID")</f>
        <v>please select a BUG ID</v>
      </c>
      <c r="C788" s="51" t="str">
        <f>IFERROR(VLOOKUP(A788,Internal_lists_bugs!$A$2:$I2033,9,FALSE()),"please select a BUG ID")</f>
        <v>please select a BUG ID</v>
      </c>
      <c r="D788" s="85"/>
      <c r="E788" s="85"/>
      <c r="F788" s="133"/>
      <c r="G788" s="43"/>
      <c r="I788" s="131"/>
      <c r="J788" s="131"/>
      <c r="K788" s="131"/>
      <c r="L788" s="131"/>
      <c r="M788" s="131"/>
      <c r="N788" s="43"/>
      <c r="O788" s="51"/>
    </row>
    <row r="789">
      <c r="A789" s="43"/>
      <c r="B789" s="59" t="str">
        <f>IFERROR(VLOOKUP(A789,Internal_lists_bugs!$A$2:$G2033,7,FALSE()),"please select a BUG ID")</f>
        <v>please select a BUG ID</v>
      </c>
      <c r="C789" s="51" t="str">
        <f>IFERROR(VLOOKUP(A789,Internal_lists_bugs!$A$2:$I2033,9,FALSE()),"please select a BUG ID")</f>
        <v>please select a BUG ID</v>
      </c>
      <c r="D789" s="85"/>
      <c r="E789" s="85"/>
      <c r="F789" s="133"/>
      <c r="G789" s="43"/>
      <c r="I789" s="131"/>
      <c r="J789" s="131"/>
      <c r="K789" s="131"/>
      <c r="L789" s="131"/>
      <c r="M789" s="131"/>
      <c r="N789" s="43"/>
      <c r="O789" s="51"/>
    </row>
    <row r="790">
      <c r="A790" s="43"/>
      <c r="B790" s="59" t="str">
        <f>IFERROR(VLOOKUP(A790,Internal_lists_bugs!$A$2:$G2033,7,FALSE()),"please select a BUG ID")</f>
        <v>please select a BUG ID</v>
      </c>
      <c r="C790" s="51" t="str">
        <f>IFERROR(VLOOKUP(A790,Internal_lists_bugs!$A$2:$I2033,9,FALSE()),"please select a BUG ID")</f>
        <v>please select a BUG ID</v>
      </c>
      <c r="D790" s="85"/>
      <c r="E790" s="85"/>
      <c r="F790" s="133"/>
      <c r="G790" s="43"/>
      <c r="I790" s="131"/>
      <c r="J790" s="131"/>
      <c r="K790" s="131"/>
      <c r="L790" s="131"/>
      <c r="M790" s="131"/>
      <c r="N790" s="43"/>
      <c r="O790" s="51"/>
    </row>
    <row r="791">
      <c r="A791" s="43"/>
      <c r="B791" s="59" t="str">
        <f>IFERROR(VLOOKUP(A791,Internal_lists_bugs!$A$2:$G2033,7,FALSE()),"please select a BUG ID")</f>
        <v>please select a BUG ID</v>
      </c>
      <c r="C791" s="51" t="str">
        <f>IFERROR(VLOOKUP(A791,Internal_lists_bugs!$A$2:$I2033,9,FALSE()),"please select a BUG ID")</f>
        <v>please select a BUG ID</v>
      </c>
      <c r="D791" s="85"/>
      <c r="E791" s="85"/>
      <c r="F791" s="133"/>
      <c r="G791" s="43"/>
      <c r="I791" s="131"/>
      <c r="J791" s="131"/>
      <c r="K791" s="131"/>
      <c r="L791" s="131"/>
      <c r="M791" s="131"/>
      <c r="N791" s="43"/>
      <c r="O791" s="51"/>
    </row>
    <row r="792">
      <c r="A792" s="43"/>
      <c r="B792" s="59" t="str">
        <f>IFERROR(VLOOKUP(A792,Internal_lists_bugs!$A$2:$G2033,7,FALSE()),"please select a BUG ID")</f>
        <v>please select a BUG ID</v>
      </c>
      <c r="C792" s="51" t="str">
        <f>IFERROR(VLOOKUP(A792,Internal_lists_bugs!$A$2:$I2033,9,FALSE()),"please select a BUG ID")</f>
        <v>please select a BUG ID</v>
      </c>
      <c r="D792" s="85"/>
      <c r="E792" s="85"/>
      <c r="F792" s="133"/>
      <c r="G792" s="43"/>
      <c r="I792" s="131"/>
      <c r="J792" s="131"/>
      <c r="K792" s="131"/>
      <c r="L792" s="131"/>
      <c r="M792" s="131"/>
      <c r="N792" s="43"/>
      <c r="O792" s="51"/>
    </row>
    <row r="793">
      <c r="A793" s="43"/>
      <c r="B793" s="59" t="str">
        <f>IFERROR(VLOOKUP(A793,Internal_lists_bugs!$A$2:$G2033,7,FALSE()),"please select a BUG ID")</f>
        <v>please select a BUG ID</v>
      </c>
      <c r="C793" s="51" t="str">
        <f>IFERROR(VLOOKUP(A793,Internal_lists_bugs!$A$2:$I2033,9,FALSE()),"please select a BUG ID")</f>
        <v>please select a BUG ID</v>
      </c>
      <c r="D793" s="85"/>
      <c r="E793" s="85"/>
      <c r="F793" s="133"/>
      <c r="G793" s="43"/>
      <c r="I793" s="131"/>
      <c r="J793" s="131"/>
      <c r="K793" s="131"/>
      <c r="L793" s="131"/>
      <c r="M793" s="131"/>
      <c r="N793" s="43"/>
      <c r="O793" s="51"/>
    </row>
    <row r="794">
      <c r="A794" s="43"/>
      <c r="B794" s="59" t="str">
        <f>IFERROR(VLOOKUP(A794,Internal_lists_bugs!$A$2:$G2033,7,FALSE()),"please select a BUG ID")</f>
        <v>please select a BUG ID</v>
      </c>
      <c r="C794" s="51" t="str">
        <f>IFERROR(VLOOKUP(A794,Internal_lists_bugs!$A$2:$I2033,9,FALSE()),"please select a BUG ID")</f>
        <v>please select a BUG ID</v>
      </c>
      <c r="D794" s="85"/>
      <c r="E794" s="85"/>
      <c r="F794" s="133"/>
      <c r="G794" s="43"/>
      <c r="I794" s="131"/>
      <c r="J794" s="131"/>
      <c r="K794" s="131"/>
      <c r="L794" s="131"/>
      <c r="M794" s="131"/>
      <c r="N794" s="43"/>
      <c r="O794" s="51"/>
    </row>
    <row r="795">
      <c r="A795" s="43"/>
      <c r="B795" s="59" t="str">
        <f>IFERROR(VLOOKUP(A795,Internal_lists_bugs!$A$2:$G2033,7,FALSE()),"please select a BUG ID")</f>
        <v>please select a BUG ID</v>
      </c>
      <c r="C795" s="51" t="str">
        <f>IFERROR(VLOOKUP(A795,Internal_lists_bugs!$A$2:$I2033,9,FALSE()),"please select a BUG ID")</f>
        <v>please select a BUG ID</v>
      </c>
      <c r="D795" s="85"/>
      <c r="E795" s="85"/>
      <c r="F795" s="133"/>
      <c r="G795" s="43"/>
      <c r="I795" s="131"/>
      <c r="J795" s="131"/>
      <c r="K795" s="131"/>
      <c r="L795" s="131"/>
      <c r="M795" s="131"/>
      <c r="N795" s="43"/>
      <c r="O795" s="51"/>
    </row>
    <row r="796">
      <c r="A796" s="43"/>
      <c r="B796" s="59" t="str">
        <f>IFERROR(VLOOKUP(A796,Internal_lists_bugs!$A$2:$G2033,7,FALSE()),"please select a BUG ID")</f>
        <v>please select a BUG ID</v>
      </c>
      <c r="C796" s="51" t="str">
        <f>IFERROR(VLOOKUP(A796,Internal_lists_bugs!$A$2:$I2033,9,FALSE()),"please select a BUG ID")</f>
        <v>please select a BUG ID</v>
      </c>
      <c r="D796" s="85"/>
      <c r="E796" s="85"/>
      <c r="F796" s="133"/>
      <c r="G796" s="43"/>
      <c r="I796" s="131"/>
      <c r="J796" s="131"/>
      <c r="K796" s="131"/>
      <c r="L796" s="131"/>
      <c r="M796" s="131"/>
      <c r="N796" s="43"/>
      <c r="O796" s="51"/>
    </row>
    <row r="797">
      <c r="A797" s="43"/>
      <c r="B797" s="59" t="str">
        <f>IFERROR(VLOOKUP(A797,Internal_lists_bugs!$A$2:$G2033,7,FALSE()),"please select a BUG ID")</f>
        <v>please select a BUG ID</v>
      </c>
      <c r="C797" s="51" t="str">
        <f>IFERROR(VLOOKUP(A797,Internal_lists_bugs!$A$2:$I2033,9,FALSE()),"please select a BUG ID")</f>
        <v>please select a BUG ID</v>
      </c>
      <c r="D797" s="85"/>
      <c r="E797" s="85"/>
      <c r="F797" s="133"/>
      <c r="G797" s="43"/>
      <c r="I797" s="131"/>
      <c r="J797" s="131"/>
      <c r="K797" s="131"/>
      <c r="L797" s="131"/>
      <c r="M797" s="131"/>
      <c r="N797" s="43"/>
      <c r="O797" s="51"/>
    </row>
    <row r="798">
      <c r="A798" s="43"/>
      <c r="B798" s="59" t="str">
        <f>IFERROR(VLOOKUP(A798,Internal_lists_bugs!$A$2:$G2033,7,FALSE()),"please select a BUG ID")</f>
        <v>please select a BUG ID</v>
      </c>
      <c r="C798" s="51" t="str">
        <f>IFERROR(VLOOKUP(A798,Internal_lists_bugs!$A$2:$I2033,9,FALSE()),"please select a BUG ID")</f>
        <v>please select a BUG ID</v>
      </c>
      <c r="D798" s="85"/>
      <c r="E798" s="85"/>
      <c r="F798" s="133"/>
      <c r="G798" s="43"/>
      <c r="I798" s="131"/>
      <c r="J798" s="131"/>
      <c r="K798" s="131"/>
      <c r="L798" s="131"/>
      <c r="M798" s="131"/>
      <c r="N798" s="43"/>
      <c r="O798" s="51"/>
    </row>
    <row r="799">
      <c r="A799" s="43"/>
      <c r="B799" s="59" t="str">
        <f>IFERROR(VLOOKUP(A799,Internal_lists_bugs!$A$2:$G2033,7,FALSE()),"please select a BUG ID")</f>
        <v>please select a BUG ID</v>
      </c>
      <c r="C799" s="51" t="str">
        <f>IFERROR(VLOOKUP(A799,Internal_lists_bugs!$A$2:$I2033,9,FALSE()),"please select a BUG ID")</f>
        <v>please select a BUG ID</v>
      </c>
      <c r="D799" s="85"/>
      <c r="E799" s="85"/>
      <c r="F799" s="133"/>
      <c r="G799" s="43"/>
      <c r="I799" s="131"/>
      <c r="J799" s="131"/>
      <c r="K799" s="131"/>
      <c r="L799" s="131"/>
      <c r="M799" s="131"/>
      <c r="N799" s="43"/>
      <c r="O799" s="51"/>
    </row>
    <row r="800">
      <c r="A800" s="43"/>
      <c r="B800" s="59" t="str">
        <f>IFERROR(VLOOKUP(A800,Internal_lists_bugs!$A$2:$G2033,7,FALSE()),"please select a BUG ID")</f>
        <v>please select a BUG ID</v>
      </c>
      <c r="C800" s="51" t="str">
        <f>IFERROR(VLOOKUP(A800,Internal_lists_bugs!$A$2:$I2033,9,FALSE()),"please select a BUG ID")</f>
        <v>please select a BUG ID</v>
      </c>
      <c r="D800" s="85"/>
      <c r="E800" s="85"/>
      <c r="F800" s="133"/>
      <c r="G800" s="43"/>
      <c r="I800" s="131"/>
      <c r="J800" s="131"/>
      <c r="K800" s="131"/>
      <c r="L800" s="131"/>
      <c r="M800" s="131"/>
      <c r="N800" s="43"/>
      <c r="O800" s="51"/>
    </row>
    <row r="801">
      <c r="A801" s="43"/>
      <c r="B801" s="59" t="str">
        <f>IFERROR(VLOOKUP(A801,Internal_lists_bugs!$A$2:$G2033,7,FALSE()),"please select a BUG ID")</f>
        <v>please select a BUG ID</v>
      </c>
      <c r="C801" s="51" t="str">
        <f>IFERROR(VLOOKUP(A801,Internal_lists_bugs!$A$2:$I2033,9,FALSE()),"please select a BUG ID")</f>
        <v>please select a BUG ID</v>
      </c>
      <c r="D801" s="85"/>
      <c r="E801" s="85"/>
      <c r="F801" s="133"/>
      <c r="G801" s="43"/>
      <c r="I801" s="131"/>
      <c r="J801" s="131"/>
      <c r="K801" s="131"/>
      <c r="L801" s="131"/>
      <c r="M801" s="131"/>
      <c r="N801" s="43"/>
      <c r="O801" s="51"/>
    </row>
    <row r="802">
      <c r="A802" s="43"/>
      <c r="B802" s="59" t="str">
        <f>IFERROR(VLOOKUP(A802,Internal_lists_bugs!$A$2:$G2033,7,FALSE()),"please select a BUG ID")</f>
        <v>please select a BUG ID</v>
      </c>
      <c r="C802" s="51" t="str">
        <f>IFERROR(VLOOKUP(A802,Internal_lists_bugs!$A$2:$I2033,9,FALSE()),"please select a BUG ID")</f>
        <v>please select a BUG ID</v>
      </c>
      <c r="D802" s="85"/>
      <c r="E802" s="85"/>
      <c r="F802" s="133"/>
      <c r="G802" s="43"/>
      <c r="I802" s="131"/>
      <c r="J802" s="131"/>
      <c r="K802" s="131"/>
      <c r="L802" s="131"/>
      <c r="M802" s="131"/>
      <c r="N802" s="43"/>
      <c r="O802" s="51"/>
    </row>
    <row r="803">
      <c r="A803" s="43"/>
      <c r="B803" s="59" t="str">
        <f>IFERROR(VLOOKUP(A803,Internal_lists_bugs!$A$2:$G2033,7,FALSE()),"please select a BUG ID")</f>
        <v>please select a BUG ID</v>
      </c>
      <c r="C803" s="51" t="str">
        <f>IFERROR(VLOOKUP(A803,Internal_lists_bugs!$A$2:$I2033,9,FALSE()),"please select a BUG ID")</f>
        <v>please select a BUG ID</v>
      </c>
      <c r="D803" s="85"/>
      <c r="E803" s="85"/>
      <c r="F803" s="133"/>
      <c r="G803" s="43"/>
      <c r="I803" s="131"/>
      <c r="J803" s="131"/>
      <c r="K803" s="131"/>
      <c r="L803" s="131"/>
      <c r="M803" s="131"/>
      <c r="N803" s="43"/>
      <c r="O803" s="51"/>
    </row>
    <row r="804">
      <c r="A804" s="43"/>
      <c r="B804" s="59" t="str">
        <f>IFERROR(VLOOKUP(A804,Internal_lists_bugs!$A$2:$G2033,7,FALSE()),"please select a BUG ID")</f>
        <v>please select a BUG ID</v>
      </c>
      <c r="C804" s="51" t="str">
        <f>IFERROR(VLOOKUP(A804,Internal_lists_bugs!$A$2:$I2033,9,FALSE()),"please select a BUG ID")</f>
        <v>please select a BUG ID</v>
      </c>
      <c r="D804" s="85"/>
      <c r="E804" s="85"/>
      <c r="F804" s="133"/>
      <c r="G804" s="43"/>
      <c r="I804" s="131"/>
      <c r="J804" s="131"/>
      <c r="K804" s="131"/>
      <c r="L804" s="131"/>
      <c r="M804" s="131"/>
      <c r="N804" s="43"/>
      <c r="O804" s="51"/>
    </row>
    <row r="805">
      <c r="A805" s="43"/>
      <c r="B805" s="59" t="str">
        <f>IFERROR(VLOOKUP(A805,Internal_lists_bugs!$A$2:$G2033,7,FALSE()),"please select a BUG ID")</f>
        <v>please select a BUG ID</v>
      </c>
      <c r="C805" s="51" t="str">
        <f>IFERROR(VLOOKUP(A805,Internal_lists_bugs!$A$2:$I2033,9,FALSE()),"please select a BUG ID")</f>
        <v>please select a BUG ID</v>
      </c>
      <c r="D805" s="85"/>
      <c r="E805" s="85"/>
      <c r="F805" s="133"/>
      <c r="G805" s="43"/>
      <c r="I805" s="131"/>
      <c r="J805" s="131"/>
      <c r="K805" s="131"/>
      <c r="L805" s="131"/>
      <c r="M805" s="131"/>
      <c r="N805" s="43"/>
      <c r="O805" s="51"/>
    </row>
    <row r="806">
      <c r="A806" s="43"/>
      <c r="B806" s="59" t="str">
        <f>IFERROR(VLOOKUP(A806,Internal_lists_bugs!$A$2:$G2033,7,FALSE()),"please select a BUG ID")</f>
        <v>please select a BUG ID</v>
      </c>
      <c r="C806" s="51" t="str">
        <f>IFERROR(VLOOKUP(A806,Internal_lists_bugs!$A$2:$I2033,9,FALSE()),"please select a BUG ID")</f>
        <v>please select a BUG ID</v>
      </c>
      <c r="D806" s="85"/>
      <c r="E806" s="85"/>
      <c r="F806" s="133"/>
      <c r="G806" s="43"/>
      <c r="I806" s="131"/>
      <c r="J806" s="131"/>
      <c r="K806" s="131"/>
      <c r="L806" s="131"/>
      <c r="M806" s="131"/>
      <c r="N806" s="43"/>
      <c r="O806" s="51"/>
    </row>
    <row r="807">
      <c r="A807" s="43"/>
      <c r="B807" s="59" t="str">
        <f>IFERROR(VLOOKUP(A807,Internal_lists_bugs!$A$2:$G2033,7,FALSE()),"please select a BUG ID")</f>
        <v>please select a BUG ID</v>
      </c>
      <c r="C807" s="51" t="str">
        <f>IFERROR(VLOOKUP(A807,Internal_lists_bugs!$A$2:$I2033,9,FALSE()),"please select a BUG ID")</f>
        <v>please select a BUG ID</v>
      </c>
      <c r="D807" s="85"/>
      <c r="E807" s="85"/>
      <c r="F807" s="133"/>
      <c r="G807" s="43"/>
      <c r="I807" s="131"/>
      <c r="J807" s="131"/>
      <c r="K807" s="131"/>
      <c r="L807" s="131"/>
      <c r="M807" s="131"/>
      <c r="N807" s="43"/>
      <c r="O807" s="51"/>
    </row>
    <row r="808">
      <c r="A808" s="43"/>
      <c r="B808" s="59" t="str">
        <f>IFERROR(VLOOKUP(A808,Internal_lists_bugs!$A$2:$G2033,7,FALSE()),"please select a BUG ID")</f>
        <v>please select a BUG ID</v>
      </c>
      <c r="C808" s="51" t="str">
        <f>IFERROR(VLOOKUP(A808,Internal_lists_bugs!$A$2:$I2033,9,FALSE()),"please select a BUG ID")</f>
        <v>please select a BUG ID</v>
      </c>
      <c r="D808" s="85"/>
      <c r="E808" s="85"/>
      <c r="F808" s="133"/>
      <c r="G808" s="43"/>
      <c r="I808" s="131"/>
      <c r="J808" s="131"/>
      <c r="K808" s="131"/>
      <c r="L808" s="131"/>
      <c r="M808" s="131"/>
      <c r="N808" s="43"/>
      <c r="O808" s="51"/>
    </row>
    <row r="809">
      <c r="A809" s="43"/>
      <c r="B809" s="59" t="str">
        <f>IFERROR(VLOOKUP(A809,Internal_lists_bugs!$A$2:$G2033,7,FALSE()),"please select a BUG ID")</f>
        <v>please select a BUG ID</v>
      </c>
      <c r="C809" s="51" t="str">
        <f>IFERROR(VLOOKUP(A809,Internal_lists_bugs!$A$2:$I2033,9,FALSE()),"please select a BUG ID")</f>
        <v>please select a BUG ID</v>
      </c>
      <c r="D809" s="85"/>
      <c r="E809" s="85"/>
      <c r="F809" s="133"/>
      <c r="G809" s="43"/>
      <c r="I809" s="131"/>
      <c r="J809" s="131"/>
      <c r="K809" s="131"/>
      <c r="L809" s="131"/>
      <c r="M809" s="131"/>
      <c r="N809" s="43"/>
      <c r="O809" s="51"/>
    </row>
    <row r="810">
      <c r="A810" s="43"/>
      <c r="B810" s="59" t="str">
        <f>IFERROR(VLOOKUP(A810,Internal_lists_bugs!$A$2:$G2033,7,FALSE()),"please select a BUG ID")</f>
        <v>please select a BUG ID</v>
      </c>
      <c r="C810" s="51" t="str">
        <f>IFERROR(VLOOKUP(A810,Internal_lists_bugs!$A$2:$I2033,9,FALSE()),"please select a BUG ID")</f>
        <v>please select a BUG ID</v>
      </c>
      <c r="D810" s="85"/>
      <c r="E810" s="85"/>
      <c r="F810" s="133"/>
      <c r="G810" s="43"/>
      <c r="I810" s="131"/>
      <c r="J810" s="131"/>
      <c r="K810" s="131"/>
      <c r="L810" s="131"/>
      <c r="M810" s="131"/>
      <c r="N810" s="43"/>
      <c r="O810" s="51"/>
    </row>
    <row r="811">
      <c r="A811" s="43"/>
      <c r="B811" s="59" t="str">
        <f>IFERROR(VLOOKUP(A811,Internal_lists_bugs!$A$2:$G2033,7,FALSE()),"please select a BUG ID")</f>
        <v>please select a BUG ID</v>
      </c>
      <c r="C811" s="51" t="str">
        <f>IFERROR(VLOOKUP(A811,Internal_lists_bugs!$A$2:$I2033,9,FALSE()),"please select a BUG ID")</f>
        <v>please select a BUG ID</v>
      </c>
      <c r="D811" s="85"/>
      <c r="E811" s="85"/>
      <c r="F811" s="133"/>
      <c r="G811" s="43"/>
      <c r="I811" s="131"/>
      <c r="J811" s="131"/>
      <c r="K811" s="131"/>
      <c r="L811" s="131"/>
      <c r="M811" s="131"/>
      <c r="N811" s="43"/>
      <c r="O811" s="51"/>
    </row>
    <row r="812">
      <c r="A812" s="43"/>
      <c r="B812" s="59" t="str">
        <f>IFERROR(VLOOKUP(A812,Internal_lists_bugs!$A$2:$G2033,7,FALSE()),"please select a BUG ID")</f>
        <v>please select a BUG ID</v>
      </c>
      <c r="C812" s="51" t="str">
        <f>IFERROR(VLOOKUP(A812,Internal_lists_bugs!$A$2:$I2033,9,FALSE()),"please select a BUG ID")</f>
        <v>please select a BUG ID</v>
      </c>
      <c r="D812" s="80"/>
      <c r="E812" s="80"/>
      <c r="F812" s="130"/>
      <c r="G812" s="43"/>
      <c r="I812" s="131"/>
      <c r="J812" s="125"/>
      <c r="K812" s="131"/>
      <c r="L812" s="131"/>
      <c r="M812" s="131"/>
      <c r="N812" s="43"/>
      <c r="O812" s="51"/>
    </row>
    <row r="813">
      <c r="A813" s="43"/>
      <c r="B813" s="59" t="str">
        <f>IFERROR(VLOOKUP(A813,Internal_lists_bugs!$A$2:$G2033,7,FALSE()),"please select a BUG ID")</f>
        <v>please select a BUG ID</v>
      </c>
      <c r="C813" s="51" t="str">
        <f>IFERROR(VLOOKUP(A813,Internal_lists_bugs!$A$2:$I2033,9,FALSE()),"please select a BUG ID")</f>
        <v>please select a BUG ID</v>
      </c>
      <c r="D813" s="85"/>
      <c r="E813" s="85"/>
      <c r="F813" s="133"/>
      <c r="G813" s="43"/>
      <c r="I813" s="131"/>
      <c r="J813" s="131"/>
      <c r="K813" s="131"/>
      <c r="L813" s="131"/>
      <c r="M813" s="131"/>
      <c r="N813" s="43"/>
      <c r="O813" s="51"/>
    </row>
    <row r="814">
      <c r="A814" s="43"/>
      <c r="B814" s="59" t="str">
        <f>IFERROR(VLOOKUP(A814,Internal_lists_bugs!$A$2:$G2033,7,FALSE()),"please select a BUG ID")</f>
        <v>please select a BUG ID</v>
      </c>
      <c r="C814" s="51" t="str">
        <f>IFERROR(VLOOKUP(A814,Internal_lists_bugs!$A$2:$I2033,9,FALSE()),"please select a BUG ID")</f>
        <v>please select a BUG ID</v>
      </c>
      <c r="D814" s="85"/>
      <c r="E814" s="85"/>
      <c r="F814" s="133"/>
      <c r="G814" s="43"/>
      <c r="I814" s="131"/>
      <c r="J814" s="131"/>
      <c r="K814" s="131"/>
      <c r="L814" s="131"/>
      <c r="M814" s="131"/>
      <c r="N814" s="43"/>
      <c r="O814" s="51"/>
    </row>
    <row r="815">
      <c r="A815" s="43"/>
      <c r="B815" s="59" t="str">
        <f>IFERROR(VLOOKUP(A815,Internal_lists_bugs!$A$2:$G2033,7,FALSE()),"please select a BUG ID")</f>
        <v>please select a BUG ID</v>
      </c>
      <c r="C815" s="51" t="str">
        <f>IFERROR(VLOOKUP(A815,Internal_lists_bugs!$A$2:$I2033,9,FALSE()),"please select a BUG ID")</f>
        <v>please select a BUG ID</v>
      </c>
      <c r="D815" s="85"/>
      <c r="E815" s="85"/>
      <c r="F815" s="133"/>
      <c r="G815" s="43"/>
      <c r="I815" s="131"/>
      <c r="J815" s="131"/>
      <c r="K815" s="131"/>
      <c r="L815" s="131"/>
      <c r="M815" s="131"/>
      <c r="N815" s="43"/>
      <c r="O815" s="51"/>
    </row>
    <row r="816">
      <c r="A816" s="43"/>
      <c r="B816" s="59" t="str">
        <f>IFERROR(VLOOKUP(A816,Internal_lists_bugs!$A$2:$G2033,7,FALSE()),"please select a BUG ID")</f>
        <v>please select a BUG ID</v>
      </c>
      <c r="C816" s="51" t="str">
        <f>IFERROR(VLOOKUP(A816,Internal_lists_bugs!$A$2:$I2033,9,FALSE()),"please select a BUG ID")</f>
        <v>please select a BUG ID</v>
      </c>
      <c r="D816" s="85"/>
      <c r="E816" s="85"/>
      <c r="F816" s="133"/>
      <c r="G816" s="43"/>
      <c r="I816" s="131"/>
      <c r="J816" s="131"/>
      <c r="K816" s="131"/>
      <c r="L816" s="131"/>
      <c r="M816" s="131"/>
      <c r="N816" s="43"/>
      <c r="O816" s="51"/>
    </row>
    <row r="817">
      <c r="A817" s="43"/>
      <c r="B817" s="59" t="str">
        <f>IFERROR(VLOOKUP(A817,Internal_lists_bugs!$A$2:$G2033,7,FALSE()),"please select a BUG ID")</f>
        <v>please select a BUG ID</v>
      </c>
      <c r="C817" s="51" t="str">
        <f>IFERROR(VLOOKUP(A817,Internal_lists_bugs!$A$2:$I2033,9,FALSE()),"please select a BUG ID")</f>
        <v>please select a BUG ID</v>
      </c>
      <c r="D817" s="85"/>
      <c r="E817" s="85"/>
      <c r="F817" s="133"/>
      <c r="G817" s="43"/>
      <c r="I817" s="131"/>
      <c r="J817" s="131"/>
      <c r="K817" s="131"/>
      <c r="L817" s="131"/>
      <c r="M817" s="131"/>
      <c r="N817" s="43"/>
      <c r="O817" s="51"/>
    </row>
    <row r="818">
      <c r="A818" s="43"/>
      <c r="B818" s="59" t="str">
        <f>IFERROR(VLOOKUP(A818,Internal_lists_bugs!$A$2:$G2033,7,FALSE()),"please select a BUG ID")</f>
        <v>please select a BUG ID</v>
      </c>
      <c r="C818" s="51" t="str">
        <f>IFERROR(VLOOKUP(A818,Internal_lists_bugs!$A$2:$I2033,9,FALSE()),"please select a BUG ID")</f>
        <v>please select a BUG ID</v>
      </c>
      <c r="D818" s="85"/>
      <c r="E818" s="85"/>
      <c r="F818" s="133"/>
      <c r="G818" s="43"/>
      <c r="I818" s="131"/>
      <c r="J818" s="131"/>
      <c r="K818" s="131"/>
      <c r="L818" s="131"/>
      <c r="M818" s="131"/>
      <c r="N818" s="43"/>
      <c r="O818" s="51"/>
    </row>
    <row r="819">
      <c r="A819" s="43"/>
      <c r="B819" s="59" t="str">
        <f>IFERROR(VLOOKUP(A819,Internal_lists_bugs!$A$2:$G2033,7,FALSE()),"please select a BUG ID")</f>
        <v>please select a BUG ID</v>
      </c>
      <c r="C819" s="51" t="str">
        <f>IFERROR(VLOOKUP(A819,Internal_lists_bugs!$A$2:$I2033,9,FALSE()),"please select a BUG ID")</f>
        <v>please select a BUG ID</v>
      </c>
      <c r="D819" s="85"/>
      <c r="E819" s="85"/>
      <c r="F819" s="133"/>
      <c r="G819" s="43"/>
      <c r="I819" s="131"/>
      <c r="J819" s="131"/>
      <c r="K819" s="131"/>
      <c r="L819" s="131"/>
      <c r="M819" s="131"/>
      <c r="N819" s="43"/>
      <c r="O819" s="51"/>
    </row>
    <row r="820">
      <c r="A820" s="43"/>
      <c r="B820" s="59" t="str">
        <f>IFERROR(VLOOKUP(A820,Internal_lists_bugs!$A$2:$G2033,7,FALSE()),"please select a BUG ID")</f>
        <v>please select a BUG ID</v>
      </c>
      <c r="C820" s="51" t="str">
        <f>IFERROR(VLOOKUP(A820,Internal_lists_bugs!$A$2:$I2033,9,FALSE()),"please select a BUG ID")</f>
        <v>please select a BUG ID</v>
      </c>
      <c r="D820" s="85"/>
      <c r="E820" s="85"/>
      <c r="F820" s="133"/>
      <c r="G820" s="43"/>
      <c r="I820" s="131"/>
      <c r="J820" s="131"/>
      <c r="K820" s="131"/>
      <c r="L820" s="131"/>
      <c r="M820" s="131"/>
      <c r="N820" s="43"/>
      <c r="O820" s="51"/>
    </row>
    <row r="821">
      <c r="A821" s="43"/>
      <c r="B821" s="59" t="str">
        <f>IFERROR(VLOOKUP(A821,Internal_lists_bugs!$A$2:$G2033,7,FALSE()),"please select a BUG ID")</f>
        <v>please select a BUG ID</v>
      </c>
      <c r="C821" s="51" t="str">
        <f>IFERROR(VLOOKUP(A821,Internal_lists_bugs!$A$2:$I2033,9,FALSE()),"please select a BUG ID")</f>
        <v>please select a BUG ID</v>
      </c>
      <c r="D821" s="85"/>
      <c r="E821" s="85"/>
      <c r="F821" s="133"/>
      <c r="G821" s="43"/>
      <c r="I821" s="131"/>
      <c r="J821" s="131"/>
      <c r="K821" s="131"/>
      <c r="L821" s="131"/>
      <c r="M821" s="131"/>
      <c r="N821" s="43"/>
      <c r="O821" s="51"/>
    </row>
    <row r="822">
      <c r="A822" s="43"/>
      <c r="B822" s="59" t="str">
        <f>IFERROR(VLOOKUP(A822,Internal_lists_bugs!$A$2:$G2033,7,FALSE()),"please select a BUG ID")</f>
        <v>please select a BUG ID</v>
      </c>
      <c r="C822" s="51" t="str">
        <f>IFERROR(VLOOKUP(A822,Internal_lists_bugs!$A$2:$I2033,9,FALSE()),"please select a BUG ID")</f>
        <v>please select a BUG ID</v>
      </c>
      <c r="D822" s="85"/>
      <c r="E822" s="85"/>
      <c r="F822" s="133"/>
      <c r="G822" s="43"/>
      <c r="I822" s="131"/>
      <c r="J822" s="131"/>
      <c r="K822" s="131"/>
      <c r="L822" s="131"/>
      <c r="M822" s="131"/>
      <c r="N822" s="43"/>
      <c r="O822" s="51"/>
    </row>
    <row r="823">
      <c r="A823" s="43"/>
      <c r="B823" s="59" t="str">
        <f>IFERROR(VLOOKUP(A823,Internal_lists_bugs!$A$2:$G2033,7,FALSE()),"please select a BUG ID")</f>
        <v>please select a BUG ID</v>
      </c>
      <c r="C823" s="51" t="str">
        <f>IFERROR(VLOOKUP(A823,Internal_lists_bugs!$A$2:$I2033,9,FALSE()),"please select a BUG ID")</f>
        <v>please select a BUG ID</v>
      </c>
      <c r="D823" s="85"/>
      <c r="E823" s="85"/>
      <c r="F823" s="133"/>
      <c r="G823" s="43"/>
      <c r="I823" s="131"/>
      <c r="J823" s="131"/>
      <c r="K823" s="131"/>
      <c r="L823" s="131"/>
      <c r="M823" s="131"/>
      <c r="N823" s="43"/>
      <c r="O823" s="51"/>
    </row>
    <row r="824">
      <c r="A824" s="43"/>
      <c r="B824" s="59" t="str">
        <f>IFERROR(VLOOKUP(A824,Internal_lists_bugs!$A$2:$G2033,7,FALSE()),"please select a BUG ID")</f>
        <v>please select a BUG ID</v>
      </c>
      <c r="C824" s="51" t="str">
        <f>IFERROR(VLOOKUP(A824,Internal_lists_bugs!$A$2:$I2033,9,FALSE()),"please select a BUG ID")</f>
        <v>please select a BUG ID</v>
      </c>
      <c r="D824" s="85"/>
      <c r="E824" s="85"/>
      <c r="F824" s="133"/>
      <c r="G824" s="43"/>
      <c r="I824" s="131"/>
      <c r="J824" s="131"/>
      <c r="K824" s="131"/>
      <c r="L824" s="131"/>
      <c r="M824" s="131"/>
      <c r="N824" s="43"/>
      <c r="O824" s="51"/>
    </row>
    <row r="825">
      <c r="A825" s="43"/>
      <c r="B825" s="59" t="str">
        <f>IFERROR(VLOOKUP(A825,Internal_lists_bugs!$A$2:$G2033,7,FALSE()),"please select a BUG ID")</f>
        <v>please select a BUG ID</v>
      </c>
      <c r="C825" s="51" t="str">
        <f>IFERROR(VLOOKUP(A825,Internal_lists_bugs!$A$2:$I2033,9,FALSE()),"please select a BUG ID")</f>
        <v>please select a BUG ID</v>
      </c>
      <c r="D825" s="85"/>
      <c r="E825" s="85"/>
      <c r="F825" s="133"/>
      <c r="G825" s="43"/>
      <c r="I825" s="131"/>
      <c r="J825" s="131"/>
      <c r="K825" s="131"/>
      <c r="L825" s="131"/>
      <c r="M825" s="131"/>
      <c r="N825" s="43"/>
      <c r="O825" s="51"/>
    </row>
    <row r="826">
      <c r="A826" s="43"/>
      <c r="B826" s="59" t="str">
        <f>IFERROR(VLOOKUP(A826,Internal_lists_bugs!$A$2:$G2033,7,FALSE()),"please select a BUG ID")</f>
        <v>please select a BUG ID</v>
      </c>
      <c r="C826" s="51" t="str">
        <f>IFERROR(VLOOKUP(A826,Internal_lists_bugs!$A$2:$I2033,9,FALSE()),"please select a BUG ID")</f>
        <v>please select a BUG ID</v>
      </c>
      <c r="D826" s="85"/>
      <c r="E826" s="85"/>
      <c r="F826" s="133"/>
      <c r="G826" s="43"/>
      <c r="I826" s="131"/>
      <c r="J826" s="131"/>
      <c r="K826" s="131"/>
      <c r="L826" s="131"/>
      <c r="M826" s="131"/>
      <c r="N826" s="43"/>
      <c r="O826" s="51"/>
    </row>
    <row r="827">
      <c r="A827" s="43"/>
      <c r="B827" s="59" t="str">
        <f>IFERROR(VLOOKUP(A827,Internal_lists_bugs!$A$2:$G2033,7,FALSE()),"please select a BUG ID")</f>
        <v>please select a BUG ID</v>
      </c>
      <c r="C827" s="51" t="str">
        <f>IFERROR(VLOOKUP(A827,Internal_lists_bugs!$A$2:$I2033,9,FALSE()),"please select a BUG ID")</f>
        <v>please select a BUG ID</v>
      </c>
      <c r="D827" s="85"/>
      <c r="E827" s="85"/>
      <c r="F827" s="133"/>
      <c r="G827" s="43"/>
      <c r="I827" s="131"/>
      <c r="J827" s="131"/>
      <c r="K827" s="131"/>
      <c r="L827" s="131"/>
      <c r="M827" s="131"/>
      <c r="N827" s="43"/>
      <c r="O827" s="51"/>
    </row>
    <row r="828">
      <c r="A828" s="43"/>
      <c r="B828" s="59" t="str">
        <f>IFERROR(VLOOKUP(A828,Internal_lists_bugs!$A$2:$G2033,7,FALSE()),"please select a BUG ID")</f>
        <v>please select a BUG ID</v>
      </c>
      <c r="C828" s="51" t="str">
        <f>IFERROR(VLOOKUP(A828,Internal_lists_bugs!$A$2:$I2033,9,FALSE()),"please select a BUG ID")</f>
        <v>please select a BUG ID</v>
      </c>
      <c r="D828" s="85"/>
      <c r="E828" s="85"/>
      <c r="F828" s="133"/>
      <c r="G828" s="43"/>
      <c r="I828" s="131"/>
      <c r="J828" s="131"/>
      <c r="K828" s="131"/>
      <c r="L828" s="131"/>
      <c r="M828" s="131"/>
      <c r="N828" s="43"/>
      <c r="O828" s="51"/>
    </row>
    <row r="829">
      <c r="A829" s="43"/>
      <c r="B829" s="59" t="str">
        <f>IFERROR(VLOOKUP(A829,Internal_lists_bugs!$A$2:$G2033,7,FALSE()),"please select a BUG ID")</f>
        <v>please select a BUG ID</v>
      </c>
      <c r="C829" s="51" t="str">
        <f>IFERROR(VLOOKUP(A829,Internal_lists_bugs!$A$2:$I2033,9,FALSE()),"please select a BUG ID")</f>
        <v>please select a BUG ID</v>
      </c>
      <c r="D829" s="85"/>
      <c r="E829" s="85"/>
      <c r="F829" s="133"/>
      <c r="G829" s="43"/>
      <c r="I829" s="131"/>
      <c r="J829" s="131"/>
      <c r="K829" s="131"/>
      <c r="L829" s="131"/>
      <c r="M829" s="131"/>
      <c r="N829" s="43"/>
      <c r="O829" s="51"/>
    </row>
    <row r="830">
      <c r="A830" s="43"/>
      <c r="B830" s="59" t="str">
        <f>IFERROR(VLOOKUP(A830,Internal_lists_bugs!$A$2:$G2033,7,FALSE()),"please select a BUG ID")</f>
        <v>please select a BUG ID</v>
      </c>
      <c r="C830" s="51" t="str">
        <f>IFERROR(VLOOKUP(A830,Internal_lists_bugs!$A$2:$I2033,9,FALSE()),"please select a BUG ID")</f>
        <v>please select a BUG ID</v>
      </c>
      <c r="D830" s="85"/>
      <c r="E830" s="85"/>
      <c r="F830" s="133"/>
      <c r="G830" s="43"/>
      <c r="I830" s="131"/>
      <c r="J830" s="131"/>
      <c r="K830" s="131"/>
      <c r="L830" s="131"/>
      <c r="M830" s="131"/>
      <c r="N830" s="43"/>
      <c r="O830" s="51"/>
    </row>
    <row r="831">
      <c r="A831" s="43"/>
      <c r="B831" s="59" t="str">
        <f>IFERROR(VLOOKUP(A831,Internal_lists_bugs!$A$2:$G2033,7,FALSE()),"please select a BUG ID")</f>
        <v>please select a BUG ID</v>
      </c>
      <c r="C831" s="51" t="str">
        <f>IFERROR(VLOOKUP(A831,Internal_lists_bugs!$A$2:$I2033,9,FALSE()),"please select a BUG ID")</f>
        <v>please select a BUG ID</v>
      </c>
      <c r="D831" s="85"/>
      <c r="E831" s="85"/>
      <c r="F831" s="133"/>
      <c r="G831" s="43"/>
      <c r="I831" s="131"/>
      <c r="J831" s="131"/>
      <c r="K831" s="131"/>
      <c r="L831" s="131"/>
      <c r="M831" s="131"/>
      <c r="N831" s="43"/>
      <c r="O831" s="51"/>
    </row>
    <row r="832">
      <c r="A832" s="43"/>
      <c r="B832" s="59" t="str">
        <f>IFERROR(VLOOKUP(A832,Internal_lists_bugs!$A$2:$G2033,7,FALSE()),"please select a BUG ID")</f>
        <v>please select a BUG ID</v>
      </c>
      <c r="C832" s="51" t="str">
        <f>IFERROR(VLOOKUP(A832,Internal_lists_bugs!$A$2:$I2033,9,FALSE()),"please select a BUG ID")</f>
        <v>please select a BUG ID</v>
      </c>
      <c r="D832" s="85"/>
      <c r="E832" s="85"/>
      <c r="F832" s="133"/>
      <c r="G832" s="43"/>
      <c r="I832" s="131"/>
      <c r="J832" s="131"/>
      <c r="K832" s="131"/>
      <c r="L832" s="131"/>
      <c r="M832" s="131"/>
      <c r="N832" s="43"/>
      <c r="O832" s="51"/>
    </row>
    <row r="833">
      <c r="A833" s="43"/>
      <c r="B833" s="59" t="str">
        <f>IFERROR(VLOOKUP(A833,Internal_lists_bugs!$A$2:$G2033,7,FALSE()),"please select a BUG ID")</f>
        <v>please select a BUG ID</v>
      </c>
      <c r="C833" s="51" t="str">
        <f>IFERROR(VLOOKUP(A833,Internal_lists_bugs!$A$2:$I2033,9,FALSE()),"please select a BUG ID")</f>
        <v>please select a BUG ID</v>
      </c>
      <c r="D833" s="85"/>
      <c r="E833" s="85"/>
      <c r="F833" s="133"/>
      <c r="G833" s="43"/>
      <c r="I833" s="131"/>
      <c r="J833" s="131"/>
      <c r="K833" s="131"/>
      <c r="L833" s="131"/>
      <c r="M833" s="131"/>
      <c r="N833" s="43"/>
      <c r="O833" s="51"/>
    </row>
    <row r="834">
      <c r="A834" s="43"/>
      <c r="B834" s="59" t="str">
        <f>IFERROR(VLOOKUP(A834,Internal_lists_bugs!$A$2:$G2033,7,FALSE()),"please select a BUG ID")</f>
        <v>please select a BUG ID</v>
      </c>
      <c r="C834" s="51" t="str">
        <f>IFERROR(VLOOKUP(A834,Internal_lists_bugs!$A$2:$I2033,9,FALSE()),"please select a BUG ID")</f>
        <v>please select a BUG ID</v>
      </c>
      <c r="D834" s="85"/>
      <c r="E834" s="85"/>
      <c r="F834" s="133"/>
      <c r="G834" s="43"/>
      <c r="I834" s="131"/>
      <c r="J834" s="131"/>
      <c r="K834" s="131"/>
      <c r="L834" s="131"/>
      <c r="M834" s="131"/>
      <c r="N834" s="43"/>
      <c r="O834" s="51"/>
    </row>
    <row r="835">
      <c r="A835" s="43"/>
      <c r="B835" s="59" t="str">
        <f>IFERROR(VLOOKUP(A835,Internal_lists_bugs!$A$2:$G2033,7,FALSE()),"please select a BUG ID")</f>
        <v>please select a BUG ID</v>
      </c>
      <c r="C835" s="51" t="str">
        <f>IFERROR(VLOOKUP(A835,Internal_lists_bugs!$A$2:$I2033,9,FALSE()),"please select a BUG ID")</f>
        <v>please select a BUG ID</v>
      </c>
      <c r="D835" s="85"/>
      <c r="E835" s="85"/>
      <c r="F835" s="133"/>
      <c r="G835" s="43"/>
      <c r="I835" s="131"/>
      <c r="J835" s="131"/>
      <c r="K835" s="131"/>
      <c r="L835" s="131"/>
      <c r="M835" s="131"/>
      <c r="N835" s="43"/>
      <c r="O835" s="51"/>
    </row>
    <row r="836">
      <c r="A836" s="43"/>
      <c r="B836" s="59" t="str">
        <f>IFERROR(VLOOKUP(A836,Internal_lists_bugs!$A$2:$G2033,7,FALSE()),"please select a BUG ID")</f>
        <v>please select a BUG ID</v>
      </c>
      <c r="C836" s="51" t="str">
        <f>IFERROR(VLOOKUP(A836,Internal_lists_bugs!$A$2:$I2033,9,FALSE()),"please select a BUG ID")</f>
        <v>please select a BUG ID</v>
      </c>
      <c r="D836" s="85"/>
      <c r="E836" s="85"/>
      <c r="F836" s="133"/>
      <c r="G836" s="43"/>
      <c r="I836" s="131"/>
      <c r="J836" s="131"/>
      <c r="K836" s="131"/>
      <c r="L836" s="131"/>
      <c r="M836" s="131"/>
      <c r="N836" s="43"/>
      <c r="O836" s="51"/>
    </row>
    <row r="837">
      <c r="A837" s="43"/>
      <c r="B837" s="59" t="str">
        <f>IFERROR(VLOOKUP(A837,Internal_lists_bugs!$A$2:$G2033,7,FALSE()),"please select a BUG ID")</f>
        <v>please select a BUG ID</v>
      </c>
      <c r="C837" s="51" t="str">
        <f>IFERROR(VLOOKUP(A837,Internal_lists_bugs!$A$2:$I2033,9,FALSE()),"please select a BUG ID")</f>
        <v>please select a BUG ID</v>
      </c>
      <c r="D837" s="85"/>
      <c r="E837" s="85"/>
      <c r="F837" s="133"/>
      <c r="G837" s="43"/>
      <c r="I837" s="131"/>
      <c r="J837" s="131"/>
      <c r="K837" s="131"/>
      <c r="L837" s="131"/>
      <c r="M837" s="131"/>
      <c r="N837" s="43"/>
      <c r="O837" s="51"/>
    </row>
    <row r="838">
      <c r="A838" s="43"/>
      <c r="B838" s="59" t="str">
        <f>IFERROR(VLOOKUP(A838,Internal_lists_bugs!$A$2:$G2033,7,FALSE()),"please select a BUG ID")</f>
        <v>please select a BUG ID</v>
      </c>
      <c r="C838" s="51" t="str">
        <f>IFERROR(VLOOKUP(A838,Internal_lists_bugs!$A$2:$I2033,9,FALSE()),"please select a BUG ID")</f>
        <v>please select a BUG ID</v>
      </c>
      <c r="D838" s="85"/>
      <c r="E838" s="85"/>
      <c r="F838" s="133"/>
      <c r="G838" s="43"/>
      <c r="I838" s="131"/>
      <c r="J838" s="131"/>
      <c r="K838" s="131"/>
      <c r="L838" s="131"/>
      <c r="M838" s="131"/>
      <c r="N838" s="43"/>
      <c r="O838" s="51"/>
    </row>
    <row r="839">
      <c r="A839" s="43"/>
      <c r="B839" s="59" t="str">
        <f>IFERROR(VLOOKUP(A839,Internal_lists_bugs!$A$2:$G2033,7,FALSE()),"please select a BUG ID")</f>
        <v>please select a BUG ID</v>
      </c>
      <c r="C839" s="51" t="str">
        <f>IFERROR(VLOOKUP(A839,Internal_lists_bugs!$A$2:$I2033,9,FALSE()),"please select a BUG ID")</f>
        <v>please select a BUG ID</v>
      </c>
      <c r="D839" s="85"/>
      <c r="E839" s="85"/>
      <c r="F839" s="133"/>
      <c r="G839" s="43"/>
      <c r="I839" s="131"/>
      <c r="J839" s="131"/>
      <c r="K839" s="131"/>
      <c r="L839" s="131"/>
      <c r="M839" s="131"/>
      <c r="N839" s="43"/>
      <c r="O839" s="51"/>
    </row>
    <row r="840">
      <c r="A840" s="43"/>
      <c r="B840" s="59" t="str">
        <f>IFERROR(VLOOKUP(A840,Internal_lists_bugs!$A$2:$G2033,7,FALSE()),"please select a BUG ID")</f>
        <v>please select a BUG ID</v>
      </c>
      <c r="C840" s="51" t="str">
        <f>IFERROR(VLOOKUP(A840,Internal_lists_bugs!$A$2:$I2033,9,FALSE()),"please select a BUG ID")</f>
        <v>please select a BUG ID</v>
      </c>
      <c r="D840" s="85"/>
      <c r="E840" s="85"/>
      <c r="F840" s="133"/>
      <c r="G840" s="43"/>
      <c r="I840" s="131"/>
      <c r="J840" s="131"/>
      <c r="K840" s="131"/>
      <c r="L840" s="131"/>
      <c r="M840" s="131"/>
      <c r="N840" s="43"/>
      <c r="O840" s="51"/>
    </row>
    <row r="841">
      <c r="A841" s="43"/>
      <c r="B841" s="59" t="str">
        <f>IFERROR(VLOOKUP(A841,Internal_lists_bugs!$A$2:$G2033,7,FALSE()),"please select a BUG ID")</f>
        <v>please select a BUG ID</v>
      </c>
      <c r="C841" s="51" t="str">
        <f>IFERROR(VLOOKUP(A841,Internal_lists_bugs!$A$2:$I2033,9,FALSE()),"please select a BUG ID")</f>
        <v>please select a BUG ID</v>
      </c>
      <c r="D841" s="85"/>
      <c r="E841" s="85"/>
      <c r="F841" s="133"/>
      <c r="G841" s="43"/>
      <c r="I841" s="131"/>
      <c r="J841" s="131"/>
      <c r="K841" s="131"/>
      <c r="L841" s="131"/>
      <c r="M841" s="131"/>
      <c r="N841" s="43"/>
      <c r="O841" s="51"/>
    </row>
    <row r="842">
      <c r="A842" s="43"/>
      <c r="B842" s="59" t="str">
        <f>IFERROR(VLOOKUP(A842,Internal_lists_bugs!$A$2:$G2033,7,FALSE()),"please select a BUG ID")</f>
        <v>please select a BUG ID</v>
      </c>
      <c r="C842" s="51" t="str">
        <f>IFERROR(VLOOKUP(A842,Internal_lists_bugs!$A$2:$I2033,9,FALSE()),"please select a BUG ID")</f>
        <v>please select a BUG ID</v>
      </c>
      <c r="D842" s="85"/>
      <c r="E842" s="85"/>
      <c r="F842" s="133"/>
      <c r="G842" s="43"/>
      <c r="I842" s="131"/>
      <c r="J842" s="131"/>
      <c r="K842" s="131"/>
      <c r="L842" s="131"/>
      <c r="M842" s="131"/>
      <c r="N842" s="43"/>
      <c r="O842" s="51"/>
    </row>
    <row r="843">
      <c r="A843" s="43"/>
      <c r="B843" s="59" t="str">
        <f>IFERROR(VLOOKUP(A843,Internal_lists_bugs!$A$2:$G2033,7,FALSE()),"please select a BUG ID")</f>
        <v>please select a BUG ID</v>
      </c>
      <c r="C843" s="51" t="str">
        <f>IFERROR(VLOOKUP(A843,Internal_lists_bugs!$A$2:$I2033,9,FALSE()),"please select a BUG ID")</f>
        <v>please select a BUG ID</v>
      </c>
      <c r="D843" s="85"/>
      <c r="E843" s="85"/>
      <c r="F843" s="133"/>
      <c r="G843" s="43"/>
      <c r="I843" s="131"/>
      <c r="J843" s="131"/>
      <c r="K843" s="131"/>
      <c r="L843" s="131"/>
      <c r="M843" s="131"/>
      <c r="N843" s="43"/>
      <c r="O843" s="51"/>
    </row>
    <row r="844">
      <c r="A844" s="43"/>
      <c r="B844" s="59" t="str">
        <f>IFERROR(VLOOKUP(A844,Internal_lists_bugs!$A$2:$G2033,7,FALSE()),"please select a BUG ID")</f>
        <v>please select a BUG ID</v>
      </c>
      <c r="C844" s="51" t="str">
        <f>IFERROR(VLOOKUP(A844,Internal_lists_bugs!$A$2:$I2033,9,FALSE()),"please select a BUG ID")</f>
        <v>please select a BUG ID</v>
      </c>
      <c r="D844" s="85"/>
      <c r="E844" s="85"/>
      <c r="F844" s="133"/>
      <c r="G844" s="43"/>
      <c r="I844" s="131"/>
      <c r="J844" s="131"/>
      <c r="K844" s="131"/>
      <c r="L844" s="131"/>
      <c r="M844" s="131"/>
      <c r="N844" s="43"/>
      <c r="O844" s="51"/>
    </row>
    <row r="845">
      <c r="A845" s="43"/>
      <c r="B845" s="59" t="str">
        <f>IFERROR(VLOOKUP(A845,Internal_lists_bugs!$A$2:$G2033,7,FALSE()),"please select a BUG ID")</f>
        <v>please select a BUG ID</v>
      </c>
      <c r="C845" s="51" t="str">
        <f>IFERROR(VLOOKUP(A845,Internal_lists_bugs!$A$2:$I2033,9,FALSE()),"please select a BUG ID")</f>
        <v>please select a BUG ID</v>
      </c>
      <c r="D845" s="85"/>
      <c r="E845" s="85"/>
      <c r="F845" s="133"/>
      <c r="G845" s="43"/>
      <c r="I845" s="131"/>
      <c r="J845" s="131"/>
      <c r="K845" s="131"/>
      <c r="L845" s="131"/>
      <c r="M845" s="131"/>
      <c r="N845" s="43"/>
      <c r="O845" s="51"/>
    </row>
    <row r="846">
      <c r="A846" s="43"/>
      <c r="B846" s="59" t="str">
        <f>IFERROR(VLOOKUP(A846,Internal_lists_bugs!$A$2:$G2033,7,FALSE()),"please select a BUG ID")</f>
        <v>please select a BUG ID</v>
      </c>
      <c r="C846" s="51" t="str">
        <f>IFERROR(VLOOKUP(A846,Internal_lists_bugs!$A$2:$I2033,9,FALSE()),"please select a BUG ID")</f>
        <v>please select a BUG ID</v>
      </c>
      <c r="D846" s="85"/>
      <c r="E846" s="85"/>
      <c r="F846" s="133"/>
      <c r="G846" s="43"/>
      <c r="H846" s="115"/>
      <c r="I846" s="131"/>
      <c r="J846" s="131"/>
      <c r="K846" s="131"/>
      <c r="L846" s="131"/>
      <c r="M846" s="131"/>
      <c r="N846" s="43"/>
      <c r="O846" s="51"/>
    </row>
    <row r="847">
      <c r="A847" s="43"/>
      <c r="B847" s="59" t="str">
        <f>IFERROR(VLOOKUP(A847,Internal_lists_bugs!$A$2:$G2033,7,FALSE()),"please select a BUG ID")</f>
        <v>please select a BUG ID</v>
      </c>
      <c r="C847" s="51" t="str">
        <f>IFERROR(VLOOKUP(A847,Internal_lists_bugs!$A$2:$I2033,9,FALSE()),"please select a BUG ID")</f>
        <v>please select a BUG ID</v>
      </c>
      <c r="D847" s="85"/>
      <c r="E847" s="85"/>
      <c r="F847" s="133"/>
      <c r="G847" s="43"/>
      <c r="H847" s="115"/>
      <c r="I847" s="131"/>
      <c r="J847" s="131"/>
      <c r="K847" s="131"/>
      <c r="L847" s="131"/>
      <c r="M847" s="131"/>
      <c r="N847" s="43"/>
      <c r="O847" s="51"/>
    </row>
    <row r="848">
      <c r="A848" s="43"/>
      <c r="B848" s="59" t="str">
        <f>IFERROR(VLOOKUP(A848,Internal_lists_bugs!$A$2:$G2033,7,FALSE()),"please select a BUG ID")</f>
        <v>please select a BUG ID</v>
      </c>
      <c r="C848" s="51" t="str">
        <f>IFERROR(VLOOKUP(A848,Internal_lists_bugs!$A$2:$I2033,9,FALSE()),"please select a BUG ID")</f>
        <v>please select a BUG ID</v>
      </c>
      <c r="D848" s="85"/>
      <c r="E848" s="85"/>
      <c r="F848" s="133"/>
      <c r="G848" s="43"/>
      <c r="H848" s="115"/>
      <c r="I848" s="131"/>
      <c r="J848" s="131"/>
      <c r="K848" s="131"/>
      <c r="L848" s="131"/>
      <c r="M848" s="131"/>
      <c r="N848" s="43"/>
      <c r="O848" s="51"/>
    </row>
    <row r="849">
      <c r="A849" s="43"/>
      <c r="B849" s="59" t="str">
        <f>IFERROR(VLOOKUP(A849,Internal_lists_bugs!$A$2:$G2033,7,FALSE()),"please select a BUG ID")</f>
        <v>please select a BUG ID</v>
      </c>
      <c r="C849" s="51" t="str">
        <f>IFERROR(VLOOKUP(A849,Internal_lists_bugs!$A$2:$I2033,9,FALSE()),"please select a BUG ID")</f>
        <v>please select a BUG ID</v>
      </c>
      <c r="D849" s="85"/>
      <c r="E849" s="85"/>
      <c r="F849" s="133"/>
      <c r="G849" s="43"/>
      <c r="H849" s="115"/>
      <c r="I849" s="131"/>
      <c r="J849" s="131"/>
      <c r="K849" s="131"/>
      <c r="L849" s="131"/>
      <c r="M849" s="131"/>
      <c r="N849" s="43"/>
      <c r="O849" s="51"/>
    </row>
    <row r="850">
      <c r="A850" s="43"/>
      <c r="B850" s="59" t="str">
        <f>IFERROR(VLOOKUP(A850,Internal_lists_bugs!$A$2:$G2033,7,FALSE()),"please select a BUG ID")</f>
        <v>please select a BUG ID</v>
      </c>
      <c r="C850" s="51" t="str">
        <f>IFERROR(VLOOKUP(A850,Internal_lists_bugs!$A$2:$I2033,9,FALSE()),"please select a BUG ID")</f>
        <v>please select a BUG ID</v>
      </c>
      <c r="D850" s="85"/>
      <c r="E850" s="85"/>
      <c r="F850" s="133"/>
      <c r="G850" s="43"/>
      <c r="H850" s="115"/>
      <c r="I850" s="131"/>
      <c r="J850" s="131"/>
      <c r="K850" s="131"/>
      <c r="L850" s="131"/>
      <c r="M850" s="131"/>
      <c r="N850" s="43"/>
      <c r="O850" s="51"/>
    </row>
    <row r="851">
      <c r="A851" s="43"/>
      <c r="B851" s="59" t="str">
        <f>IFERROR(VLOOKUP(A851,Internal_lists_bugs!$A$2:$G2033,7,FALSE()),"please select a BUG ID")</f>
        <v>please select a BUG ID</v>
      </c>
      <c r="C851" s="51" t="str">
        <f>IFERROR(VLOOKUP(A851,Internal_lists_bugs!$A$2:$I2033,9,FALSE()),"please select a BUG ID")</f>
        <v>please select a BUG ID</v>
      </c>
      <c r="D851" s="85"/>
      <c r="E851" s="85"/>
      <c r="F851" s="133"/>
      <c r="G851" s="43"/>
      <c r="H851" s="46"/>
      <c r="I851" s="131"/>
      <c r="J851" s="131"/>
      <c r="K851" s="131"/>
      <c r="L851" s="131"/>
      <c r="M851" s="131"/>
      <c r="N851" s="43"/>
      <c r="O851" s="51"/>
    </row>
    <row r="852">
      <c r="A852" s="43"/>
      <c r="B852" s="59" t="str">
        <f>IFERROR(VLOOKUP(A852,Internal_lists_bugs!$A$2:$G2033,7,FALSE()),"please select a BUG ID")</f>
        <v>please select a BUG ID</v>
      </c>
      <c r="C852" s="51" t="str">
        <f>IFERROR(VLOOKUP(A852,Internal_lists_bugs!$A$2:$I2033,9,FALSE()),"please select a BUG ID")</f>
        <v>please select a BUG ID</v>
      </c>
      <c r="D852" s="80"/>
      <c r="E852" s="80"/>
      <c r="F852" s="146"/>
      <c r="G852" s="43"/>
      <c r="H852" s="115"/>
      <c r="I852" s="131"/>
      <c r="J852" s="125"/>
      <c r="K852" s="131"/>
      <c r="L852" s="131"/>
      <c r="M852" s="131"/>
      <c r="N852" s="43"/>
      <c r="O852" s="51"/>
    </row>
    <row r="853">
      <c r="A853" s="43"/>
      <c r="B853" s="59" t="str">
        <f>IFERROR(VLOOKUP(A853,Internal_lists_bugs!$A$2:$G2033,7,FALSE()),"please select a BUG ID")</f>
        <v>please select a BUG ID</v>
      </c>
      <c r="C853" s="51" t="str">
        <f>IFERROR(VLOOKUP(A853,Internal_lists_bugs!$A$2:$I2033,9,FALSE()),"please select a BUG ID")</f>
        <v>please select a BUG ID</v>
      </c>
      <c r="D853" s="85"/>
      <c r="E853" s="85"/>
      <c r="F853" s="133"/>
      <c r="G853" s="43"/>
      <c r="H853" s="115"/>
      <c r="I853" s="131"/>
      <c r="J853" s="131"/>
      <c r="K853" s="131"/>
      <c r="L853" s="131"/>
      <c r="M853" s="131"/>
      <c r="N853" s="43"/>
      <c r="O853" s="51"/>
    </row>
    <row r="854">
      <c r="A854" s="43"/>
      <c r="B854" s="59" t="str">
        <f>IFERROR(VLOOKUP(A854,Internal_lists_bugs!$A$2:$G2033,7,FALSE()),"please select a BUG ID")</f>
        <v>please select a BUG ID</v>
      </c>
      <c r="C854" s="51" t="str">
        <f>IFERROR(VLOOKUP(A854,Internal_lists_bugs!$A$2:$I2033,9,FALSE()),"please select a BUG ID")</f>
        <v>please select a BUG ID</v>
      </c>
      <c r="D854" s="85"/>
      <c r="E854" s="85"/>
      <c r="F854" s="133"/>
      <c r="G854" s="43"/>
      <c r="H854" s="115"/>
      <c r="I854" s="131"/>
      <c r="J854" s="131"/>
      <c r="K854" s="131"/>
      <c r="L854" s="131"/>
      <c r="M854" s="131"/>
      <c r="N854" s="43"/>
      <c r="O854" s="51"/>
    </row>
    <row r="855">
      <c r="A855" s="43"/>
      <c r="B855" s="59" t="str">
        <f>IFERROR(VLOOKUP(A855,Internal_lists_bugs!$A$2:$G2033,7,FALSE()),"please select a BUG ID")</f>
        <v>please select a BUG ID</v>
      </c>
      <c r="C855" s="51" t="str">
        <f>IFERROR(VLOOKUP(A855,Internal_lists_bugs!$A$2:$I2033,9,FALSE()),"please select a BUG ID")</f>
        <v>please select a BUG ID</v>
      </c>
      <c r="D855" s="85"/>
      <c r="E855" s="85"/>
      <c r="F855" s="133"/>
      <c r="G855" s="43"/>
      <c r="H855" s="115"/>
      <c r="I855" s="131"/>
      <c r="J855" s="131"/>
      <c r="K855" s="131"/>
      <c r="L855" s="131"/>
      <c r="M855" s="131"/>
      <c r="N855" s="43"/>
      <c r="O855" s="51"/>
    </row>
    <row r="856">
      <c r="A856" s="43"/>
      <c r="B856" s="59" t="str">
        <f>IFERROR(VLOOKUP(A856,Internal_lists_bugs!$A$2:$G2033,7,FALSE()),"please select a BUG ID")</f>
        <v>please select a BUG ID</v>
      </c>
      <c r="C856" s="51" t="str">
        <f>IFERROR(VLOOKUP(A856,Internal_lists_bugs!$A$2:$I2033,9,FALSE()),"please select a BUG ID")</f>
        <v>please select a BUG ID</v>
      </c>
      <c r="D856" s="85"/>
      <c r="E856" s="85"/>
      <c r="F856" s="133"/>
      <c r="G856" s="43"/>
      <c r="H856" s="115"/>
      <c r="I856" s="131"/>
      <c r="J856" s="131"/>
      <c r="K856" s="131"/>
      <c r="L856" s="131"/>
      <c r="M856" s="131"/>
      <c r="N856" s="43"/>
      <c r="O856" s="51"/>
    </row>
    <row r="857">
      <c r="A857" s="43"/>
      <c r="B857" s="59" t="str">
        <f>IFERROR(VLOOKUP(A857,Internal_lists_bugs!$A$2:$G2033,7,FALSE()),"please select a BUG ID")</f>
        <v>please select a BUG ID</v>
      </c>
      <c r="C857" s="51" t="str">
        <f>IFERROR(VLOOKUP(A857,Internal_lists_bugs!$A$2:$I2033,9,FALSE()),"please select a BUG ID")</f>
        <v>please select a BUG ID</v>
      </c>
      <c r="D857" s="85"/>
      <c r="E857" s="85"/>
      <c r="F857" s="133"/>
      <c r="G857" s="43"/>
      <c r="H857" s="115"/>
      <c r="I857" s="131"/>
      <c r="J857" s="131"/>
      <c r="K857" s="131"/>
      <c r="L857" s="131"/>
      <c r="M857" s="131"/>
      <c r="N857" s="43"/>
      <c r="O857" s="51"/>
    </row>
    <row r="858">
      <c r="A858" s="43"/>
      <c r="B858" s="59" t="str">
        <f>IFERROR(VLOOKUP(A858,Internal_lists_bugs!$A$2:$G2033,7,FALSE()),"please select a BUG ID")</f>
        <v>please select a BUG ID</v>
      </c>
      <c r="C858" s="51" t="str">
        <f>IFERROR(VLOOKUP(A858,Internal_lists_bugs!$A$2:$I2033,9,FALSE()),"please select a BUG ID")</f>
        <v>please select a BUG ID</v>
      </c>
      <c r="D858" s="85"/>
      <c r="E858" s="85"/>
      <c r="F858" s="133"/>
      <c r="G858" s="43"/>
      <c r="H858" s="115"/>
      <c r="I858" s="131"/>
      <c r="J858" s="131"/>
      <c r="K858" s="131"/>
      <c r="L858" s="131"/>
      <c r="M858" s="131"/>
      <c r="N858" s="43"/>
      <c r="O858" s="51"/>
    </row>
    <row r="859">
      <c r="A859" s="43"/>
      <c r="B859" s="59" t="str">
        <f>IFERROR(VLOOKUP(A859,Internal_lists_bugs!$A$2:$G2033,7,FALSE()),"please select a BUG ID")</f>
        <v>please select a BUG ID</v>
      </c>
      <c r="C859" s="51" t="str">
        <f>IFERROR(VLOOKUP(A859,Internal_lists_bugs!$A$2:$I2033,9,FALSE()),"please select a BUG ID")</f>
        <v>please select a BUG ID</v>
      </c>
      <c r="D859" s="85"/>
      <c r="E859" s="85"/>
      <c r="F859" s="133"/>
      <c r="G859" s="43"/>
      <c r="I859" s="131"/>
      <c r="J859" s="131"/>
      <c r="K859" s="131"/>
      <c r="L859" s="131"/>
      <c r="M859" s="131"/>
      <c r="N859" s="43"/>
      <c r="O859" s="51"/>
    </row>
    <row r="860">
      <c r="A860" s="43"/>
      <c r="B860" s="59" t="str">
        <f>IFERROR(VLOOKUP(A860,Internal_lists_bugs!$A$2:$G2033,7,FALSE()),"please select a BUG ID")</f>
        <v>please select a BUG ID</v>
      </c>
      <c r="C860" s="51" t="str">
        <f>IFERROR(VLOOKUP(A860,Internal_lists_bugs!$A$2:$I2033,9,FALSE()),"please select a BUG ID")</f>
        <v>please select a BUG ID</v>
      </c>
      <c r="D860" s="85"/>
      <c r="E860" s="85"/>
      <c r="F860" s="133"/>
      <c r="G860" s="43"/>
      <c r="I860" s="131"/>
      <c r="J860" s="131"/>
      <c r="K860" s="131"/>
      <c r="L860" s="131"/>
      <c r="M860" s="131"/>
      <c r="N860" s="43"/>
      <c r="O860" s="51"/>
    </row>
    <row r="861">
      <c r="A861" s="43"/>
      <c r="B861" s="59" t="str">
        <f>IFERROR(VLOOKUP(A861,Internal_lists_bugs!$A$2:$G2033,7,FALSE()),"please select a BUG ID")</f>
        <v>please select a BUG ID</v>
      </c>
      <c r="C861" s="51" t="str">
        <f>IFERROR(VLOOKUP(A861,Internal_lists_bugs!$A$2:$I2033,9,FALSE()),"please select a BUG ID")</f>
        <v>please select a BUG ID</v>
      </c>
      <c r="D861" s="85"/>
      <c r="E861" s="85"/>
      <c r="F861" s="133"/>
      <c r="G861" s="43"/>
      <c r="I861" s="131"/>
      <c r="J861" s="131"/>
      <c r="K861" s="131"/>
      <c r="L861" s="131"/>
      <c r="M861" s="131"/>
      <c r="N861" s="43"/>
      <c r="O861" s="51"/>
    </row>
    <row r="862">
      <c r="A862" s="43"/>
      <c r="B862" s="59" t="str">
        <f>IFERROR(VLOOKUP(A862,Internal_lists_bugs!$A$2:$G2033,7,FALSE()),"please select a BUG ID")</f>
        <v>please select a BUG ID</v>
      </c>
      <c r="C862" s="51" t="str">
        <f>IFERROR(VLOOKUP(A862,Internal_lists_bugs!$A$2:$I2033,9,FALSE()),"please select a BUG ID")</f>
        <v>please select a BUG ID</v>
      </c>
      <c r="D862" s="85"/>
      <c r="E862" s="85"/>
      <c r="F862" s="133"/>
      <c r="G862" s="43"/>
      <c r="I862" s="131"/>
      <c r="J862" s="131"/>
      <c r="K862" s="131"/>
      <c r="L862" s="131"/>
      <c r="M862" s="131"/>
      <c r="N862" s="43"/>
      <c r="O862" s="51"/>
    </row>
    <row r="863">
      <c r="A863" s="43"/>
      <c r="B863" s="59" t="str">
        <f>IFERROR(VLOOKUP(A863,Internal_lists_bugs!$A$2:$G2033,7,FALSE()),"please select a BUG ID")</f>
        <v>please select a BUG ID</v>
      </c>
      <c r="C863" s="51" t="str">
        <f>IFERROR(VLOOKUP(A863,Internal_lists_bugs!$A$2:$I2033,9,FALSE()),"please select a BUG ID")</f>
        <v>please select a BUG ID</v>
      </c>
      <c r="D863" s="85"/>
      <c r="E863" s="85"/>
      <c r="F863" s="133"/>
      <c r="G863" s="43"/>
      <c r="I863" s="131"/>
      <c r="J863" s="131"/>
      <c r="K863" s="131"/>
      <c r="L863" s="131"/>
      <c r="M863" s="131"/>
      <c r="N863" s="43"/>
      <c r="O863" s="51"/>
    </row>
    <row r="864">
      <c r="A864" s="43"/>
      <c r="B864" s="59" t="str">
        <f>IFERROR(VLOOKUP(A864,Internal_lists_bugs!$A$2:$G2033,7,FALSE()),"please select a BUG ID")</f>
        <v>please select a BUG ID</v>
      </c>
      <c r="C864" s="51" t="str">
        <f>IFERROR(VLOOKUP(A864,Internal_lists_bugs!$A$2:$I2033,9,FALSE()),"please select a BUG ID")</f>
        <v>please select a BUG ID</v>
      </c>
      <c r="D864" s="85"/>
      <c r="E864" s="85"/>
      <c r="F864" s="133"/>
      <c r="G864" s="43"/>
      <c r="I864" s="131"/>
      <c r="J864" s="131"/>
      <c r="K864" s="131"/>
      <c r="L864" s="131"/>
      <c r="M864" s="131"/>
      <c r="N864" s="43"/>
      <c r="O864" s="51"/>
    </row>
    <row r="865">
      <c r="A865" s="43"/>
      <c r="B865" s="59" t="str">
        <f>IFERROR(VLOOKUP(A865,Internal_lists_bugs!$A$2:$G2033,7,FALSE()),"please select a BUG ID")</f>
        <v>please select a BUG ID</v>
      </c>
      <c r="C865" s="51" t="str">
        <f>IFERROR(VLOOKUP(A865,Internal_lists_bugs!$A$2:$I2033,9,FALSE()),"please select a BUG ID")</f>
        <v>please select a BUG ID</v>
      </c>
      <c r="D865" s="85"/>
      <c r="E865" s="85"/>
      <c r="F865" s="133"/>
      <c r="G865" s="43"/>
      <c r="I865" s="131"/>
      <c r="J865" s="131"/>
      <c r="K865" s="131"/>
      <c r="L865" s="131"/>
      <c r="M865" s="131"/>
      <c r="N865" s="43"/>
      <c r="O865" s="51"/>
    </row>
    <row r="866">
      <c r="A866" s="43"/>
      <c r="B866" s="59" t="str">
        <f>IFERROR(VLOOKUP(A866,Internal_lists_bugs!$A$2:$G2033,7,FALSE()),"please select a BUG ID")</f>
        <v>please select a BUG ID</v>
      </c>
      <c r="C866" s="51" t="str">
        <f>IFERROR(VLOOKUP(A866,Internal_lists_bugs!$A$2:$I2033,9,FALSE()),"please select a BUG ID")</f>
        <v>please select a BUG ID</v>
      </c>
      <c r="D866" s="85"/>
      <c r="E866" s="85"/>
      <c r="F866" s="133"/>
      <c r="G866" s="43"/>
      <c r="I866" s="131"/>
      <c r="J866" s="131"/>
      <c r="K866" s="131"/>
      <c r="L866" s="131"/>
      <c r="M866" s="131"/>
      <c r="N866" s="43"/>
      <c r="O866" s="51"/>
    </row>
    <row r="867">
      <c r="A867" s="43"/>
      <c r="B867" s="59" t="str">
        <f>IFERROR(VLOOKUP(A867,Internal_lists_bugs!$A$2:$G2033,7,FALSE()),"please select a BUG ID")</f>
        <v>please select a BUG ID</v>
      </c>
      <c r="C867" s="51" t="str">
        <f>IFERROR(VLOOKUP(A867,Internal_lists_bugs!$A$2:$I2033,9,FALSE()),"please select a BUG ID")</f>
        <v>please select a BUG ID</v>
      </c>
      <c r="D867" s="85"/>
      <c r="E867" s="85"/>
      <c r="F867" s="133"/>
      <c r="G867" s="43"/>
      <c r="I867" s="131"/>
      <c r="J867" s="131"/>
      <c r="K867" s="131"/>
      <c r="L867" s="131"/>
      <c r="M867" s="131"/>
      <c r="N867" s="43"/>
      <c r="O867" s="51"/>
    </row>
    <row r="868">
      <c r="A868" s="43"/>
      <c r="B868" s="59" t="str">
        <f>IFERROR(VLOOKUP(A868,Internal_lists_bugs!$A$2:$G2033,7,FALSE()),"please select a BUG ID")</f>
        <v>please select a BUG ID</v>
      </c>
      <c r="C868" s="51" t="str">
        <f>IFERROR(VLOOKUP(A868,Internal_lists_bugs!$A$2:$I2033,9,FALSE()),"please select a BUG ID")</f>
        <v>please select a BUG ID</v>
      </c>
      <c r="D868" s="85"/>
      <c r="E868" s="85"/>
      <c r="F868" s="133"/>
      <c r="G868" s="43"/>
      <c r="I868" s="131"/>
      <c r="J868" s="131"/>
      <c r="K868" s="131"/>
      <c r="L868" s="131"/>
      <c r="M868" s="131"/>
      <c r="N868" s="43"/>
      <c r="O868" s="51"/>
    </row>
    <row r="869">
      <c r="A869" s="43"/>
      <c r="B869" s="59" t="str">
        <f>IFERROR(VLOOKUP(A869,Internal_lists_bugs!$A$2:$G2033,7,FALSE()),"please select a BUG ID")</f>
        <v>please select a BUG ID</v>
      </c>
      <c r="C869" s="51" t="str">
        <f>IFERROR(VLOOKUP(A869,Internal_lists_bugs!$A$2:$I2033,9,FALSE()),"please select a BUG ID")</f>
        <v>please select a BUG ID</v>
      </c>
      <c r="D869" s="85"/>
      <c r="E869" s="85"/>
      <c r="F869" s="133"/>
      <c r="G869" s="43"/>
      <c r="I869" s="131"/>
      <c r="J869" s="131"/>
      <c r="K869" s="131"/>
      <c r="L869" s="131"/>
      <c r="M869" s="131"/>
      <c r="N869" s="43"/>
      <c r="O869" s="51"/>
    </row>
    <row r="870">
      <c r="A870" s="43"/>
      <c r="B870" s="59" t="str">
        <f>IFERROR(VLOOKUP(A870,Internal_lists_bugs!$A$2:$G2033,7,FALSE()),"please select a BUG ID")</f>
        <v>please select a BUG ID</v>
      </c>
      <c r="C870" s="51" t="str">
        <f>IFERROR(VLOOKUP(A870,Internal_lists_bugs!$A$2:$I2033,9,FALSE()),"please select a BUG ID")</f>
        <v>please select a BUG ID</v>
      </c>
      <c r="D870" s="85"/>
      <c r="E870" s="85"/>
      <c r="F870" s="133"/>
      <c r="G870" s="43"/>
      <c r="I870" s="131"/>
      <c r="J870" s="131"/>
      <c r="K870" s="131"/>
      <c r="L870" s="131"/>
      <c r="M870" s="131"/>
      <c r="N870" s="43"/>
      <c r="O870" s="51"/>
    </row>
    <row r="871">
      <c r="A871" s="43"/>
      <c r="B871" s="59" t="str">
        <f>IFERROR(VLOOKUP(A871,Internal_lists_bugs!$A$2:$G2033,7,FALSE()),"please select a BUG ID")</f>
        <v>please select a BUG ID</v>
      </c>
      <c r="C871" s="51" t="str">
        <f>IFERROR(VLOOKUP(A871,Internal_lists_bugs!$A$2:$I2033,9,FALSE()),"please select a BUG ID")</f>
        <v>please select a BUG ID</v>
      </c>
      <c r="D871" s="85"/>
      <c r="E871" s="85"/>
      <c r="F871" s="133"/>
      <c r="G871" s="43"/>
      <c r="I871" s="131"/>
      <c r="J871" s="131"/>
      <c r="K871" s="131"/>
      <c r="L871" s="131"/>
      <c r="M871" s="131"/>
      <c r="N871" s="43"/>
      <c r="O871" s="51"/>
    </row>
    <row r="872">
      <c r="A872" s="43"/>
      <c r="B872" s="59" t="str">
        <f>IFERROR(VLOOKUP(A872,Internal_lists_bugs!$A$2:$G2033,7,FALSE()),"please select a BUG ID")</f>
        <v>please select a BUG ID</v>
      </c>
      <c r="C872" s="51" t="str">
        <f>IFERROR(VLOOKUP(A872,Internal_lists_bugs!$A$2:$I2033,9,FALSE()),"please select a BUG ID")</f>
        <v>please select a BUG ID</v>
      </c>
      <c r="D872" s="85"/>
      <c r="E872" s="85"/>
      <c r="F872" s="133"/>
      <c r="G872" s="43"/>
      <c r="I872" s="131"/>
      <c r="J872" s="131"/>
      <c r="K872" s="131"/>
      <c r="L872" s="131"/>
      <c r="M872" s="131"/>
      <c r="N872" s="43"/>
      <c r="O872" s="51"/>
    </row>
    <row r="873">
      <c r="A873" s="43"/>
      <c r="B873" s="59" t="str">
        <f>IFERROR(VLOOKUP(A873,Internal_lists_bugs!$A$2:$G2033,7,FALSE()),"please select a BUG ID")</f>
        <v>please select a BUG ID</v>
      </c>
      <c r="C873" s="51" t="str">
        <f>IFERROR(VLOOKUP(A873,Internal_lists_bugs!$A$2:$I2033,9,FALSE()),"please select a BUG ID")</f>
        <v>please select a BUG ID</v>
      </c>
      <c r="D873" s="85"/>
      <c r="E873" s="85"/>
      <c r="F873" s="133"/>
      <c r="G873" s="43"/>
      <c r="I873" s="131"/>
      <c r="J873" s="131"/>
      <c r="K873" s="131"/>
      <c r="L873" s="131"/>
      <c r="M873" s="131"/>
      <c r="N873" s="43"/>
      <c r="O873" s="51"/>
    </row>
    <row r="874">
      <c r="A874" s="43"/>
      <c r="B874" s="59" t="str">
        <f>IFERROR(VLOOKUP(A874,Internal_lists_bugs!$A$2:$G2033,7,FALSE()),"please select a BUG ID")</f>
        <v>please select a BUG ID</v>
      </c>
      <c r="C874" s="51" t="str">
        <f>IFERROR(VLOOKUP(A874,Internal_lists_bugs!$A$2:$I2033,9,FALSE()),"please select a BUG ID")</f>
        <v>please select a BUG ID</v>
      </c>
      <c r="D874" s="85"/>
      <c r="E874" s="85"/>
      <c r="F874" s="133"/>
      <c r="G874" s="43"/>
      <c r="I874" s="131"/>
      <c r="J874" s="131"/>
      <c r="K874" s="131"/>
      <c r="L874" s="131"/>
      <c r="M874" s="131"/>
      <c r="N874" s="43"/>
      <c r="O874" s="51"/>
    </row>
    <row r="875">
      <c r="A875" s="43"/>
      <c r="B875" s="59" t="str">
        <f>IFERROR(VLOOKUP(A875,Internal_lists_bugs!$A$2:$G2033,7,FALSE()),"please select a BUG ID")</f>
        <v>please select a BUG ID</v>
      </c>
      <c r="C875" s="51" t="str">
        <f>IFERROR(VLOOKUP(A875,Internal_lists_bugs!$A$2:$I2033,9,FALSE()),"please select a BUG ID")</f>
        <v>please select a BUG ID</v>
      </c>
      <c r="D875" s="85"/>
      <c r="E875" s="85"/>
      <c r="F875" s="133"/>
      <c r="G875" s="43"/>
      <c r="I875" s="131"/>
      <c r="J875" s="131"/>
      <c r="K875" s="131"/>
      <c r="L875" s="131"/>
      <c r="M875" s="131"/>
      <c r="N875" s="43"/>
      <c r="O875" s="51"/>
    </row>
    <row r="876">
      <c r="A876" s="43"/>
      <c r="B876" s="59" t="str">
        <f>IFERROR(VLOOKUP(A876,Internal_lists_bugs!$A$2:$G2033,7,FALSE()),"please select a BUG ID")</f>
        <v>please select a BUG ID</v>
      </c>
      <c r="C876" s="51" t="str">
        <f>IFERROR(VLOOKUP(A876,Internal_lists_bugs!$A$2:$I2033,9,FALSE()),"please select a BUG ID")</f>
        <v>please select a BUG ID</v>
      </c>
      <c r="D876" s="85"/>
      <c r="E876" s="85"/>
      <c r="F876" s="133"/>
      <c r="G876" s="43"/>
      <c r="I876" s="131"/>
      <c r="J876" s="131"/>
      <c r="K876" s="131"/>
      <c r="L876" s="131"/>
      <c r="M876" s="131"/>
      <c r="N876" s="43"/>
      <c r="O876" s="51"/>
    </row>
    <row r="877">
      <c r="A877" s="43"/>
      <c r="B877" s="59" t="str">
        <f>IFERROR(VLOOKUP(A877,Internal_lists_bugs!$A$2:$G2033,7,FALSE()),"please select a BUG ID")</f>
        <v>please select a BUG ID</v>
      </c>
      <c r="C877" s="51" t="str">
        <f>IFERROR(VLOOKUP(A877,Internal_lists_bugs!$A$2:$I2033,9,FALSE()),"please select a BUG ID")</f>
        <v>please select a BUG ID</v>
      </c>
      <c r="D877" s="85"/>
      <c r="E877" s="85"/>
      <c r="F877" s="133"/>
      <c r="G877" s="43"/>
      <c r="I877" s="131"/>
      <c r="J877" s="131"/>
      <c r="K877" s="131"/>
      <c r="L877" s="131"/>
      <c r="M877" s="131"/>
      <c r="N877" s="43"/>
      <c r="O877" s="51"/>
    </row>
    <row r="878">
      <c r="A878" s="43"/>
      <c r="B878" s="59" t="str">
        <f>IFERROR(VLOOKUP(A878,Internal_lists_bugs!$A$2:$G2033,7,FALSE()),"please select a BUG ID")</f>
        <v>please select a BUG ID</v>
      </c>
      <c r="C878" s="51" t="str">
        <f>IFERROR(VLOOKUP(A878,Internal_lists_bugs!$A$2:$I2033,9,FALSE()),"please select a BUG ID")</f>
        <v>please select a BUG ID</v>
      </c>
      <c r="D878" s="85"/>
      <c r="E878" s="85"/>
      <c r="F878" s="133"/>
      <c r="G878" s="43"/>
      <c r="I878" s="131"/>
      <c r="J878" s="131"/>
      <c r="K878" s="131"/>
      <c r="L878" s="131"/>
      <c r="M878" s="131"/>
      <c r="N878" s="43"/>
      <c r="O878" s="51"/>
    </row>
    <row r="879">
      <c r="A879" s="43"/>
      <c r="B879" s="59" t="str">
        <f>IFERROR(VLOOKUP(A879,Internal_lists_bugs!$A$2:$G2033,7,FALSE()),"please select a BUG ID")</f>
        <v>please select a BUG ID</v>
      </c>
      <c r="C879" s="51" t="str">
        <f>IFERROR(VLOOKUP(A879,Internal_lists_bugs!$A$2:$I2033,9,FALSE()),"please select a BUG ID")</f>
        <v>please select a BUG ID</v>
      </c>
      <c r="D879" s="85"/>
      <c r="E879" s="85"/>
      <c r="F879" s="133"/>
      <c r="G879" s="43"/>
      <c r="I879" s="131"/>
      <c r="J879" s="131"/>
      <c r="K879" s="131"/>
      <c r="L879" s="131"/>
      <c r="M879" s="131"/>
      <c r="N879" s="43"/>
      <c r="O879" s="51"/>
    </row>
    <row r="880">
      <c r="A880" s="43"/>
      <c r="B880" s="59" t="str">
        <f>IFERROR(VLOOKUP(A880,Internal_lists_bugs!$A$2:$G2033,7,FALSE()),"please select a BUG ID")</f>
        <v>please select a BUG ID</v>
      </c>
      <c r="C880" s="51" t="str">
        <f>IFERROR(VLOOKUP(A880,Internal_lists_bugs!$A$2:$I2033,9,FALSE()),"please select a BUG ID")</f>
        <v>please select a BUG ID</v>
      </c>
      <c r="D880" s="85"/>
      <c r="E880" s="85"/>
      <c r="F880" s="133"/>
      <c r="G880" s="43"/>
      <c r="I880" s="131"/>
      <c r="J880" s="131"/>
      <c r="K880" s="131"/>
      <c r="L880" s="131"/>
      <c r="M880" s="131"/>
      <c r="N880" s="43"/>
      <c r="O880" s="51"/>
    </row>
    <row r="881">
      <c r="A881" s="43"/>
      <c r="B881" s="59" t="str">
        <f>IFERROR(VLOOKUP(A881,Internal_lists_bugs!$A$2:$G2033,7,FALSE()),"please select a BUG ID")</f>
        <v>please select a BUG ID</v>
      </c>
      <c r="C881" s="51" t="str">
        <f>IFERROR(VLOOKUP(A881,Internal_lists_bugs!$A$2:$I2033,9,FALSE()),"please select a BUG ID")</f>
        <v>please select a BUG ID</v>
      </c>
      <c r="D881" s="85"/>
      <c r="E881" s="85"/>
      <c r="F881" s="133"/>
      <c r="G881" s="43"/>
      <c r="I881" s="131"/>
      <c r="J881" s="131"/>
      <c r="K881" s="131"/>
      <c r="L881" s="131"/>
      <c r="M881" s="131"/>
      <c r="N881" s="43"/>
      <c r="O881" s="51"/>
    </row>
    <row r="882">
      <c r="A882" s="43"/>
      <c r="B882" s="59" t="str">
        <f>IFERROR(VLOOKUP(A882,Internal_lists_bugs!$A$2:$G2033,7,FALSE()),"please select a BUG ID")</f>
        <v>please select a BUG ID</v>
      </c>
      <c r="C882" s="51" t="str">
        <f>IFERROR(VLOOKUP(A882,Internal_lists_bugs!$A$2:$I2033,9,FALSE()),"please select a BUG ID")</f>
        <v>please select a BUG ID</v>
      </c>
      <c r="D882" s="85"/>
      <c r="E882" s="85"/>
      <c r="F882" s="133"/>
      <c r="G882" s="43"/>
      <c r="I882" s="131"/>
      <c r="J882" s="131"/>
      <c r="K882" s="131"/>
      <c r="L882" s="131"/>
      <c r="M882" s="131"/>
      <c r="N882" s="43"/>
      <c r="O882" s="51"/>
    </row>
    <row r="883">
      <c r="A883" s="43"/>
      <c r="B883" s="59" t="str">
        <f>IFERROR(VLOOKUP(A883,Internal_lists_bugs!$A$2:$G2033,7,FALSE()),"please select a BUG ID")</f>
        <v>please select a BUG ID</v>
      </c>
      <c r="C883" s="51" t="str">
        <f>IFERROR(VLOOKUP(A883,Internal_lists_bugs!$A$2:$I2033,9,FALSE()),"please select a BUG ID")</f>
        <v>please select a BUG ID</v>
      </c>
      <c r="D883" s="85"/>
      <c r="E883" s="85"/>
      <c r="F883" s="133"/>
      <c r="G883" s="43"/>
      <c r="I883" s="131"/>
      <c r="J883" s="131"/>
      <c r="K883" s="131"/>
      <c r="L883" s="131"/>
      <c r="M883" s="131"/>
      <c r="N883" s="43"/>
      <c r="O883" s="51"/>
    </row>
    <row r="884">
      <c r="A884" s="43"/>
      <c r="B884" s="59" t="str">
        <f>IFERROR(VLOOKUP(A884,Internal_lists_bugs!$A$2:$G2033,7,FALSE()),"please select a BUG ID")</f>
        <v>please select a BUG ID</v>
      </c>
      <c r="C884" s="51" t="str">
        <f>IFERROR(VLOOKUP(A884,Internal_lists_bugs!$A$2:$I2033,9,FALSE()),"please select a BUG ID")</f>
        <v>please select a BUG ID</v>
      </c>
      <c r="D884" s="85"/>
      <c r="E884" s="85"/>
      <c r="F884" s="133"/>
      <c r="G884" s="43"/>
      <c r="I884" s="131"/>
      <c r="J884" s="131"/>
      <c r="K884" s="131"/>
      <c r="L884" s="131"/>
      <c r="M884" s="131"/>
      <c r="N884" s="43"/>
      <c r="O884" s="51"/>
    </row>
    <row r="885">
      <c r="A885" s="43"/>
      <c r="B885" s="59" t="str">
        <f>IFERROR(VLOOKUP(A885,Internal_lists_bugs!$A$2:$G2033,7,FALSE()),"please select a BUG ID")</f>
        <v>please select a BUG ID</v>
      </c>
      <c r="C885" s="51" t="str">
        <f>IFERROR(VLOOKUP(A885,Internal_lists_bugs!$A$2:$I2033,9,FALSE()),"please select a BUG ID")</f>
        <v>please select a BUG ID</v>
      </c>
      <c r="D885" s="85"/>
      <c r="E885" s="85"/>
      <c r="F885" s="133"/>
      <c r="G885" s="43"/>
      <c r="I885" s="131"/>
      <c r="J885" s="131"/>
      <c r="K885" s="131"/>
      <c r="L885" s="131"/>
      <c r="M885" s="131"/>
      <c r="N885" s="43"/>
      <c r="O885" s="51"/>
    </row>
    <row r="886">
      <c r="A886" s="43"/>
      <c r="B886" s="59" t="str">
        <f>IFERROR(VLOOKUP(A886,Internal_lists_bugs!$A$2:$G2033,7,FALSE()),"please select a BUG ID")</f>
        <v>please select a BUG ID</v>
      </c>
      <c r="C886" s="51" t="str">
        <f>IFERROR(VLOOKUP(A886,Internal_lists_bugs!$A$2:$I2033,9,FALSE()),"please select a BUG ID")</f>
        <v>please select a BUG ID</v>
      </c>
      <c r="D886" s="85"/>
      <c r="E886" s="85"/>
      <c r="F886" s="133"/>
      <c r="G886" s="43"/>
      <c r="I886" s="131"/>
      <c r="J886" s="131"/>
      <c r="K886" s="131"/>
      <c r="L886" s="131"/>
      <c r="M886" s="131"/>
      <c r="N886" s="43"/>
      <c r="O886" s="51"/>
    </row>
    <row r="887">
      <c r="A887" s="43"/>
      <c r="B887" s="59" t="str">
        <f>IFERROR(VLOOKUP(A887,Internal_lists_bugs!$A$2:$G2033,7,FALSE()),"please select a BUG ID")</f>
        <v>please select a BUG ID</v>
      </c>
      <c r="C887" s="51" t="str">
        <f>IFERROR(VLOOKUP(A887,Internal_lists_bugs!$A$2:$I2033,9,FALSE()),"please select a BUG ID")</f>
        <v>please select a BUG ID</v>
      </c>
      <c r="D887" s="85"/>
      <c r="E887" s="85"/>
      <c r="F887" s="133"/>
      <c r="G887" s="43"/>
      <c r="I887" s="131"/>
      <c r="J887" s="131"/>
      <c r="K887" s="131"/>
      <c r="L887" s="131"/>
      <c r="M887" s="131"/>
      <c r="N887" s="43"/>
      <c r="O887" s="51"/>
    </row>
    <row r="888">
      <c r="A888" s="43"/>
      <c r="B888" s="59" t="str">
        <f>IFERROR(VLOOKUP(A888,Internal_lists_bugs!$A$2:$G2033,7,FALSE()),"please select a BUG ID")</f>
        <v>please select a BUG ID</v>
      </c>
      <c r="C888" s="51" t="str">
        <f>IFERROR(VLOOKUP(A888,Internal_lists_bugs!$A$2:$I2033,9,FALSE()),"please select a BUG ID")</f>
        <v>please select a BUG ID</v>
      </c>
      <c r="D888" s="85"/>
      <c r="E888" s="85"/>
      <c r="F888" s="133"/>
      <c r="G888" s="43"/>
      <c r="I888" s="131"/>
      <c r="J888" s="131"/>
      <c r="K888" s="131"/>
      <c r="L888" s="131"/>
      <c r="M888" s="131"/>
      <c r="N888" s="43"/>
      <c r="O888" s="51"/>
    </row>
    <row r="889">
      <c r="A889" s="43"/>
      <c r="B889" s="59" t="str">
        <f>IFERROR(VLOOKUP(A889,Internal_lists_bugs!$A$2:$G2033,7,FALSE()),"please select a BUG ID")</f>
        <v>please select a BUG ID</v>
      </c>
      <c r="C889" s="51" t="str">
        <f>IFERROR(VLOOKUP(A889,Internal_lists_bugs!$A$2:$I2033,9,FALSE()),"please select a BUG ID")</f>
        <v>please select a BUG ID</v>
      </c>
      <c r="D889" s="85"/>
      <c r="E889" s="85"/>
      <c r="F889" s="133"/>
      <c r="G889" s="43"/>
      <c r="I889" s="131"/>
      <c r="J889" s="131"/>
      <c r="K889" s="131"/>
      <c r="L889" s="131"/>
      <c r="M889" s="131"/>
      <c r="N889" s="43"/>
      <c r="O889" s="51"/>
    </row>
    <row r="890">
      <c r="A890" s="43"/>
      <c r="B890" s="59" t="str">
        <f>IFERROR(VLOOKUP(A890,Internal_lists_bugs!$A$2:$G2033,7,FALSE()),"please select a BUG ID")</f>
        <v>please select a BUG ID</v>
      </c>
      <c r="C890" s="51" t="str">
        <f>IFERROR(VLOOKUP(A890,Internal_lists_bugs!$A$2:$I2033,9,FALSE()),"please select a BUG ID")</f>
        <v>please select a BUG ID</v>
      </c>
      <c r="D890" s="85"/>
      <c r="E890" s="85"/>
      <c r="F890" s="133"/>
      <c r="G890" s="43"/>
      <c r="I890" s="131"/>
      <c r="J890" s="131"/>
      <c r="K890" s="131"/>
      <c r="L890" s="131"/>
      <c r="M890" s="131"/>
      <c r="N890" s="43"/>
      <c r="O890" s="51"/>
    </row>
    <row r="891">
      <c r="A891" s="43"/>
      <c r="B891" s="59" t="str">
        <f>IFERROR(VLOOKUP(A891,Internal_lists_bugs!$A$2:$G2033,7,FALSE()),"please select a BUG ID")</f>
        <v>please select a BUG ID</v>
      </c>
      <c r="C891" s="51" t="str">
        <f>IFERROR(VLOOKUP(A891,Internal_lists_bugs!$A$2:$I2033,9,FALSE()),"please select a BUG ID")</f>
        <v>please select a BUG ID</v>
      </c>
      <c r="D891" s="85"/>
      <c r="E891" s="85"/>
      <c r="F891" s="133"/>
      <c r="G891" s="43"/>
      <c r="I891" s="131"/>
      <c r="J891" s="131"/>
      <c r="K891" s="131"/>
      <c r="L891" s="131"/>
      <c r="M891" s="131"/>
      <c r="N891" s="43"/>
      <c r="O891" s="51"/>
    </row>
    <row r="892">
      <c r="A892" s="43"/>
      <c r="B892" s="59" t="str">
        <f>IFERROR(VLOOKUP(A892,Internal_lists_bugs!$A$2:$G2033,7,FALSE()),"please select a BUG ID")</f>
        <v>please select a BUG ID</v>
      </c>
      <c r="C892" s="51" t="str">
        <f>IFERROR(VLOOKUP(A892,Internal_lists_bugs!$A$2:$I2033,9,FALSE()),"please select a BUG ID")</f>
        <v>please select a BUG ID</v>
      </c>
      <c r="D892" s="85"/>
      <c r="E892" s="85"/>
      <c r="F892" s="133"/>
      <c r="G892" s="43"/>
      <c r="I892" s="131"/>
      <c r="J892" s="131"/>
      <c r="K892" s="131"/>
      <c r="L892" s="131"/>
      <c r="M892" s="131"/>
      <c r="N892" s="43"/>
      <c r="O892" s="51"/>
    </row>
    <row r="893">
      <c r="A893" s="43"/>
      <c r="B893" s="59" t="str">
        <f>IFERROR(VLOOKUP(A893,Internal_lists_bugs!$A$2:$G2033,7,FALSE()),"please select a BUG ID")</f>
        <v>please select a BUG ID</v>
      </c>
      <c r="C893" s="51" t="str">
        <f>IFERROR(VLOOKUP(A893,Internal_lists_bugs!$A$2:$I2033,9,FALSE()),"please select a BUG ID")</f>
        <v>please select a BUG ID</v>
      </c>
      <c r="D893" s="85"/>
      <c r="E893" s="85"/>
      <c r="F893" s="133"/>
      <c r="G893" s="43"/>
      <c r="I893" s="131"/>
      <c r="J893" s="131"/>
      <c r="K893" s="131"/>
      <c r="L893" s="131"/>
      <c r="M893" s="131"/>
      <c r="N893" s="43"/>
      <c r="O893" s="51"/>
    </row>
    <row r="894">
      <c r="A894" s="43"/>
      <c r="B894" s="59" t="str">
        <f>IFERROR(VLOOKUP(A894,Internal_lists_bugs!$A$2:$G2033,7,FALSE()),"please select a BUG ID")</f>
        <v>please select a BUG ID</v>
      </c>
      <c r="C894" s="51" t="str">
        <f>IFERROR(VLOOKUP(A894,Internal_lists_bugs!$A$2:$I2033,9,FALSE()),"please select a BUG ID")</f>
        <v>please select a BUG ID</v>
      </c>
      <c r="D894" s="85"/>
      <c r="E894" s="85"/>
      <c r="F894" s="133"/>
      <c r="G894" s="43"/>
      <c r="I894" s="131"/>
      <c r="J894" s="131"/>
      <c r="K894" s="131"/>
      <c r="L894" s="131"/>
      <c r="M894" s="131"/>
      <c r="N894" s="43"/>
      <c r="O894" s="51"/>
    </row>
    <row r="895">
      <c r="A895" s="43"/>
      <c r="B895" s="59" t="str">
        <f>IFERROR(VLOOKUP(A895,Internal_lists_bugs!$A$2:$G2033,7,FALSE()),"please select a BUG ID")</f>
        <v>please select a BUG ID</v>
      </c>
      <c r="C895" s="51" t="str">
        <f>IFERROR(VLOOKUP(A895,Internal_lists_bugs!$A$2:$I2033,9,FALSE()),"please select a BUG ID")</f>
        <v>please select a BUG ID</v>
      </c>
      <c r="D895" s="85"/>
      <c r="E895" s="85"/>
      <c r="F895" s="133"/>
      <c r="G895" s="43"/>
      <c r="I895" s="131"/>
      <c r="J895" s="131"/>
      <c r="K895" s="131"/>
      <c r="L895" s="131"/>
      <c r="M895" s="131"/>
      <c r="N895" s="43"/>
      <c r="O895" s="51"/>
    </row>
    <row r="896">
      <c r="A896" s="43"/>
      <c r="B896" s="59" t="str">
        <f>IFERROR(VLOOKUP(A896,Internal_lists_bugs!$A$2:$G2033,7,FALSE()),"please select a BUG ID")</f>
        <v>please select a BUG ID</v>
      </c>
      <c r="C896" s="51" t="str">
        <f>IFERROR(VLOOKUP(A896,Internal_lists_bugs!$A$2:$I2033,9,FALSE()),"please select a BUG ID")</f>
        <v>please select a BUG ID</v>
      </c>
      <c r="D896" s="85"/>
      <c r="E896" s="85"/>
      <c r="F896" s="133"/>
      <c r="G896" s="43"/>
      <c r="I896" s="131"/>
      <c r="J896" s="131"/>
      <c r="K896" s="131"/>
      <c r="L896" s="131"/>
      <c r="M896" s="131"/>
      <c r="N896" s="43"/>
      <c r="O896" s="51"/>
    </row>
    <row r="897">
      <c r="A897" s="43"/>
      <c r="B897" s="59" t="str">
        <f>IFERROR(VLOOKUP(A897,Internal_lists_bugs!$A$2:$G2033,7,FALSE()),"please select a BUG ID")</f>
        <v>please select a BUG ID</v>
      </c>
      <c r="C897" s="51" t="str">
        <f>IFERROR(VLOOKUP(A897,Internal_lists_bugs!$A$2:$I2033,9,FALSE()),"please select a BUG ID")</f>
        <v>please select a BUG ID</v>
      </c>
      <c r="D897" s="85"/>
      <c r="E897" s="85"/>
      <c r="F897" s="133"/>
      <c r="G897" s="43"/>
      <c r="I897" s="131"/>
      <c r="J897" s="131"/>
      <c r="K897" s="131"/>
      <c r="L897" s="131"/>
      <c r="M897" s="131"/>
      <c r="N897" s="43"/>
      <c r="O897" s="51"/>
    </row>
    <row r="898">
      <c r="A898" s="43"/>
      <c r="B898" s="59" t="str">
        <f>IFERROR(VLOOKUP(A898,Internal_lists_bugs!$A$2:$G2033,7,FALSE()),"please select a BUG ID")</f>
        <v>please select a BUG ID</v>
      </c>
      <c r="C898" s="51" t="str">
        <f>IFERROR(VLOOKUP(A898,Internal_lists_bugs!$A$2:$I2033,9,FALSE()),"please select a BUG ID")</f>
        <v>please select a BUG ID</v>
      </c>
      <c r="D898" s="85"/>
      <c r="E898" s="85"/>
      <c r="F898" s="133"/>
      <c r="G898" s="43"/>
      <c r="I898" s="131"/>
      <c r="J898" s="131"/>
      <c r="K898" s="131"/>
      <c r="L898" s="131"/>
      <c r="M898" s="131"/>
      <c r="N898" s="43"/>
      <c r="O898" s="51"/>
    </row>
    <row r="899">
      <c r="A899" s="43"/>
      <c r="B899" s="59" t="str">
        <f>IFERROR(VLOOKUP(A899,Internal_lists_bugs!$A$2:$G2033,7,FALSE()),"please select a BUG ID")</f>
        <v>please select a BUG ID</v>
      </c>
      <c r="C899" s="51" t="str">
        <f>IFERROR(VLOOKUP(A899,Internal_lists_bugs!$A$2:$I2033,9,FALSE()),"please select a BUG ID")</f>
        <v>please select a BUG ID</v>
      </c>
      <c r="D899" s="85"/>
      <c r="E899" s="85"/>
      <c r="F899" s="133"/>
      <c r="G899" s="43"/>
      <c r="I899" s="131"/>
      <c r="J899" s="131"/>
      <c r="K899" s="131"/>
      <c r="L899" s="131"/>
      <c r="M899" s="131"/>
      <c r="N899" s="43"/>
      <c r="O899" s="51"/>
    </row>
    <row r="900">
      <c r="A900" s="43"/>
      <c r="B900" s="59" t="str">
        <f>IFERROR(VLOOKUP(A900,Internal_lists_bugs!$A$2:$G2033,7,FALSE()),"please select a BUG ID")</f>
        <v>please select a BUG ID</v>
      </c>
      <c r="C900" s="51" t="str">
        <f>IFERROR(VLOOKUP(A900,Internal_lists_bugs!$A$2:$I2033,9,FALSE()),"please select a BUG ID")</f>
        <v>please select a BUG ID</v>
      </c>
      <c r="D900" s="85"/>
      <c r="E900" s="85"/>
      <c r="F900" s="133"/>
      <c r="G900" s="43"/>
      <c r="I900" s="131"/>
      <c r="J900" s="131"/>
      <c r="K900" s="131"/>
      <c r="L900" s="131"/>
      <c r="M900" s="131"/>
      <c r="N900" s="43"/>
      <c r="O900" s="51"/>
    </row>
    <row r="901">
      <c r="A901" s="43"/>
      <c r="B901" s="59" t="str">
        <f>IFERROR(VLOOKUP(A901,Internal_lists_bugs!$A$2:$G2033,7,FALSE()),"please select a BUG ID")</f>
        <v>please select a BUG ID</v>
      </c>
      <c r="C901" s="51" t="str">
        <f>IFERROR(VLOOKUP(A901,Internal_lists_bugs!$A$2:$I2033,9,FALSE()),"please select a BUG ID")</f>
        <v>please select a BUG ID</v>
      </c>
      <c r="D901" s="85"/>
      <c r="E901" s="85"/>
      <c r="F901" s="133"/>
      <c r="G901" s="43"/>
      <c r="I901" s="131"/>
      <c r="J901" s="131"/>
      <c r="K901" s="131"/>
      <c r="L901" s="131"/>
      <c r="M901" s="131"/>
      <c r="N901" s="43"/>
      <c r="O901" s="51"/>
    </row>
    <row r="902">
      <c r="A902" s="43"/>
      <c r="B902" s="59" t="str">
        <f>IFERROR(VLOOKUP(A902,Internal_lists_bugs!$A$2:$G2033,7,FALSE()),"please select a BUG ID")</f>
        <v>please select a BUG ID</v>
      </c>
      <c r="C902" s="51" t="str">
        <f>IFERROR(VLOOKUP(A902,Internal_lists_bugs!$A$2:$I2033,9,FALSE()),"please select a BUG ID")</f>
        <v>please select a BUG ID</v>
      </c>
      <c r="D902" s="85"/>
      <c r="E902" s="85"/>
      <c r="F902" s="133"/>
      <c r="G902" s="43"/>
      <c r="I902" s="131"/>
      <c r="J902" s="131"/>
      <c r="K902" s="131"/>
      <c r="L902" s="131"/>
      <c r="M902" s="131"/>
      <c r="N902" s="43"/>
      <c r="O902" s="51"/>
    </row>
    <row r="903">
      <c r="A903" s="43"/>
      <c r="B903" s="59" t="str">
        <f>IFERROR(VLOOKUP(A903,Internal_lists_bugs!$A$2:$G2033,7,FALSE()),"please select a BUG ID")</f>
        <v>please select a BUG ID</v>
      </c>
      <c r="C903" s="51" t="str">
        <f>IFERROR(VLOOKUP(A903,Internal_lists_bugs!$A$2:$I2033,9,FALSE()),"please select a BUG ID")</f>
        <v>please select a BUG ID</v>
      </c>
      <c r="D903" s="85"/>
      <c r="E903" s="85"/>
      <c r="F903" s="133"/>
      <c r="G903" s="43"/>
      <c r="I903" s="131"/>
      <c r="J903" s="131"/>
      <c r="K903" s="131"/>
      <c r="L903" s="131"/>
      <c r="M903" s="131"/>
      <c r="N903" s="43"/>
      <c r="O903" s="51"/>
    </row>
    <row r="904">
      <c r="A904" s="43"/>
      <c r="B904" s="59" t="str">
        <f>IFERROR(VLOOKUP(A904,Internal_lists_bugs!$A$2:$G2033,7,FALSE()),"please select a BUG ID")</f>
        <v>please select a BUG ID</v>
      </c>
      <c r="C904" s="51" t="str">
        <f>IFERROR(VLOOKUP(A904,Internal_lists_bugs!$A$2:$I2033,9,FALSE()),"please select a BUG ID")</f>
        <v>please select a BUG ID</v>
      </c>
      <c r="D904" s="85"/>
      <c r="E904" s="85"/>
      <c r="F904" s="133"/>
      <c r="G904" s="43"/>
      <c r="I904" s="131"/>
      <c r="J904" s="131"/>
      <c r="K904" s="131"/>
      <c r="L904" s="131"/>
      <c r="M904" s="131"/>
      <c r="N904" s="43"/>
      <c r="O904" s="51"/>
    </row>
    <row r="905">
      <c r="A905" s="43"/>
      <c r="B905" s="59" t="str">
        <f>IFERROR(VLOOKUP(A905,Internal_lists_bugs!$A$2:$G2033,7,FALSE()),"please select a BUG ID")</f>
        <v>please select a BUG ID</v>
      </c>
      <c r="C905" s="51" t="str">
        <f>IFERROR(VLOOKUP(A905,Internal_lists_bugs!$A$2:$I2033,9,FALSE()),"please select a BUG ID")</f>
        <v>please select a BUG ID</v>
      </c>
      <c r="D905" s="85"/>
      <c r="E905" s="85"/>
      <c r="F905" s="133"/>
      <c r="G905" s="43"/>
      <c r="H905" s="74"/>
      <c r="I905" s="131"/>
      <c r="J905" s="131"/>
      <c r="K905" s="131"/>
      <c r="L905" s="131"/>
      <c r="M905" s="131"/>
      <c r="N905" s="43"/>
      <c r="O905" s="51"/>
    </row>
    <row r="906">
      <c r="A906" s="43"/>
      <c r="B906" s="59" t="str">
        <f>IFERROR(VLOOKUP(A906,Internal_lists_bugs!$A$2:$G2033,7,FALSE()),"please select a BUG ID")</f>
        <v>please select a BUG ID</v>
      </c>
      <c r="C906" s="51" t="str">
        <f>IFERROR(VLOOKUP(A906,Internal_lists_bugs!$A$2:$I2033,9,FALSE()),"please select a BUG ID")</f>
        <v>please select a BUG ID</v>
      </c>
      <c r="D906" s="85"/>
      <c r="E906" s="85"/>
      <c r="F906" s="133"/>
      <c r="G906" s="43"/>
      <c r="H906" s="74"/>
      <c r="I906" s="131"/>
      <c r="J906" s="131"/>
      <c r="K906" s="131"/>
      <c r="L906" s="131"/>
      <c r="M906" s="131"/>
      <c r="N906" s="43"/>
      <c r="O906" s="51"/>
    </row>
    <row r="907">
      <c r="A907" s="43"/>
      <c r="B907" s="59" t="str">
        <f>IFERROR(VLOOKUP(A907,Internal_lists_bugs!$A$2:$G2033,7,FALSE()),"please select a BUG ID")</f>
        <v>please select a BUG ID</v>
      </c>
      <c r="C907" s="51" t="str">
        <f>IFERROR(VLOOKUP(A907,Internal_lists_bugs!$A$2:$I2033,9,FALSE()),"please select a BUG ID")</f>
        <v>please select a BUG ID</v>
      </c>
      <c r="D907" s="85"/>
      <c r="E907" s="85"/>
      <c r="F907" s="133"/>
      <c r="G907" s="43"/>
      <c r="I907" s="131"/>
      <c r="J907" s="131"/>
      <c r="K907" s="131"/>
      <c r="L907" s="131"/>
      <c r="M907" s="131"/>
      <c r="N907" s="43"/>
      <c r="O907" s="51"/>
    </row>
    <row r="908">
      <c r="A908" s="43"/>
      <c r="B908" s="59" t="str">
        <f>IFERROR(VLOOKUP(A908,Internal_lists_bugs!$A$2:$G2033,7,FALSE()),"please select a BUG ID")</f>
        <v>please select a BUG ID</v>
      </c>
      <c r="C908" s="51" t="str">
        <f>IFERROR(VLOOKUP(A908,Internal_lists_bugs!$A$2:$I2033,9,FALSE()),"please select a BUG ID")</f>
        <v>please select a BUG ID</v>
      </c>
      <c r="D908" s="85"/>
      <c r="E908" s="85"/>
      <c r="F908" s="133"/>
      <c r="G908" s="43"/>
      <c r="I908" s="131"/>
      <c r="J908" s="131"/>
      <c r="K908" s="131"/>
      <c r="L908" s="131"/>
      <c r="M908" s="131"/>
      <c r="N908" s="43"/>
      <c r="O908" s="51"/>
    </row>
    <row r="909">
      <c r="A909" s="43"/>
      <c r="B909" s="59" t="str">
        <f>IFERROR(VLOOKUP(A909,Internal_lists_bugs!$A$2:$G2033,7,FALSE()),"please select a BUG ID")</f>
        <v>please select a BUG ID</v>
      </c>
      <c r="C909" s="51" t="str">
        <f>IFERROR(VLOOKUP(A909,Internal_lists_bugs!$A$2:$I2033,9,FALSE()),"please select a BUG ID")</f>
        <v>please select a BUG ID</v>
      </c>
      <c r="D909" s="85"/>
      <c r="E909" s="85"/>
      <c r="F909" s="133"/>
      <c r="G909" s="43"/>
      <c r="I909" s="131"/>
      <c r="J909" s="131"/>
      <c r="K909" s="131"/>
      <c r="L909" s="131"/>
      <c r="M909" s="131"/>
      <c r="N909" s="43"/>
      <c r="O909" s="51"/>
    </row>
    <row r="910">
      <c r="A910" s="43"/>
      <c r="B910" s="59" t="str">
        <f>IFERROR(VLOOKUP(A910,Internal_lists_bugs!$A$2:$G2033,7,FALSE()),"please select a BUG ID")</f>
        <v>please select a BUG ID</v>
      </c>
      <c r="C910" s="51" t="str">
        <f>IFERROR(VLOOKUP(A910,Internal_lists_bugs!$A$2:$I2033,9,FALSE()),"please select a BUG ID")</f>
        <v>please select a BUG ID</v>
      </c>
      <c r="D910" s="85"/>
      <c r="E910" s="85"/>
      <c r="F910" s="133"/>
      <c r="G910" s="43"/>
      <c r="I910" s="131"/>
      <c r="J910" s="131"/>
      <c r="K910" s="131"/>
      <c r="L910" s="131"/>
      <c r="M910" s="131"/>
      <c r="N910" s="43"/>
      <c r="O910" s="51"/>
    </row>
    <row r="911">
      <c r="A911" s="43"/>
      <c r="B911" s="59" t="str">
        <f>IFERROR(VLOOKUP(A911,Internal_lists_bugs!$A$2:$G2033,7,FALSE()),"please select a BUG ID")</f>
        <v>please select a BUG ID</v>
      </c>
      <c r="C911" s="51" t="str">
        <f>IFERROR(VLOOKUP(A911,Internal_lists_bugs!$A$2:$I2033,9,FALSE()),"please select a BUG ID")</f>
        <v>please select a BUG ID</v>
      </c>
      <c r="D911" s="85"/>
      <c r="E911" s="85"/>
      <c r="F911" s="133"/>
      <c r="G911" s="43"/>
      <c r="I911" s="131"/>
      <c r="J911" s="131"/>
      <c r="K911" s="131"/>
      <c r="L911" s="131"/>
      <c r="M911" s="131"/>
      <c r="N911" s="43"/>
      <c r="O911" s="51"/>
    </row>
    <row r="912">
      <c r="A912" s="43"/>
      <c r="B912" s="59" t="str">
        <f>IFERROR(VLOOKUP(A912,Internal_lists_bugs!$A$2:$G2033,7,FALSE()),"please select a BUG ID")</f>
        <v>please select a BUG ID</v>
      </c>
      <c r="C912" s="51" t="str">
        <f>IFERROR(VLOOKUP(A912,Internal_lists_bugs!$A$2:$I2033,9,FALSE()),"please select a BUG ID")</f>
        <v>please select a BUG ID</v>
      </c>
      <c r="D912" s="85"/>
      <c r="E912" s="85"/>
      <c r="F912" s="133"/>
      <c r="G912" s="43"/>
      <c r="I912" s="131"/>
      <c r="J912" s="131"/>
      <c r="K912" s="131"/>
      <c r="L912" s="131"/>
      <c r="M912" s="131"/>
      <c r="N912" s="43"/>
      <c r="O912" s="51"/>
    </row>
    <row r="913">
      <c r="A913" s="43"/>
      <c r="B913" s="59" t="str">
        <f>IFERROR(VLOOKUP(A913,Internal_lists_bugs!$A$2:$G2033,7,FALSE()),"please select a BUG ID")</f>
        <v>please select a BUG ID</v>
      </c>
      <c r="C913" s="51" t="str">
        <f>IFERROR(VLOOKUP(A913,Internal_lists_bugs!$A$2:$I2033,9,FALSE()),"please select a BUG ID")</f>
        <v>please select a BUG ID</v>
      </c>
      <c r="D913" s="85"/>
      <c r="E913" s="85"/>
      <c r="F913" s="133"/>
      <c r="G913" s="43"/>
      <c r="I913" s="131"/>
      <c r="J913" s="131"/>
      <c r="K913" s="131"/>
      <c r="L913" s="131"/>
      <c r="M913" s="131"/>
      <c r="N913" s="43"/>
      <c r="O913" s="51"/>
    </row>
    <row r="914">
      <c r="A914" s="43"/>
      <c r="B914" s="59" t="str">
        <f>IFERROR(VLOOKUP(A914,Internal_lists_bugs!$A$2:$G2033,7,FALSE()),"please select a BUG ID")</f>
        <v>please select a BUG ID</v>
      </c>
      <c r="C914" s="51" t="str">
        <f>IFERROR(VLOOKUP(A914,Internal_lists_bugs!$A$2:$I2033,9,FALSE()),"please select a BUG ID")</f>
        <v>please select a BUG ID</v>
      </c>
      <c r="D914" s="85"/>
      <c r="E914" s="85"/>
      <c r="F914" s="133"/>
      <c r="G914" s="43"/>
      <c r="I914" s="131"/>
      <c r="J914" s="131"/>
      <c r="K914" s="131"/>
      <c r="L914" s="131"/>
      <c r="M914" s="131"/>
      <c r="N914" s="43"/>
      <c r="O914" s="51"/>
    </row>
    <row r="915">
      <c r="A915" s="43"/>
      <c r="B915" s="59" t="str">
        <f>IFERROR(VLOOKUP(A915,Internal_lists_bugs!$A$2:$G2033,7,FALSE()),"please select a BUG ID")</f>
        <v>please select a BUG ID</v>
      </c>
      <c r="C915" s="51" t="str">
        <f>IFERROR(VLOOKUP(A915,Internal_lists_bugs!$A$2:$I2033,9,FALSE()),"please select a BUG ID")</f>
        <v>please select a BUG ID</v>
      </c>
      <c r="D915" s="85"/>
      <c r="E915" s="85"/>
      <c r="F915" s="133"/>
      <c r="G915" s="43"/>
      <c r="I915" s="131"/>
      <c r="J915" s="131"/>
      <c r="K915" s="131"/>
      <c r="L915" s="131"/>
      <c r="M915" s="131"/>
      <c r="N915" s="43"/>
      <c r="O915" s="51"/>
    </row>
    <row r="916">
      <c r="A916" s="43"/>
      <c r="B916" s="59" t="str">
        <f>IFERROR(VLOOKUP(A916,Internal_lists_bugs!$A$2:$G2033,7,FALSE()),"please select a BUG ID")</f>
        <v>please select a BUG ID</v>
      </c>
      <c r="C916" s="51" t="str">
        <f>IFERROR(VLOOKUP(A916,Internal_lists_bugs!$A$2:$I2033,9,FALSE()),"please select a BUG ID")</f>
        <v>please select a BUG ID</v>
      </c>
      <c r="D916" s="85"/>
      <c r="E916" s="85"/>
      <c r="F916" s="133"/>
      <c r="G916" s="43"/>
      <c r="I916" s="131"/>
      <c r="J916" s="131"/>
      <c r="K916" s="131"/>
      <c r="L916" s="131"/>
      <c r="M916" s="131"/>
      <c r="N916" s="43"/>
      <c r="O916" s="51"/>
    </row>
    <row r="917">
      <c r="A917" s="43"/>
      <c r="B917" s="59" t="str">
        <f>IFERROR(VLOOKUP(A917,Internal_lists_bugs!$A$2:$G2033,7,FALSE()),"please select a BUG ID")</f>
        <v>please select a BUG ID</v>
      </c>
      <c r="C917" s="51" t="str">
        <f>IFERROR(VLOOKUP(A917,Internal_lists_bugs!$A$2:$I2033,9,FALSE()),"please select a BUG ID")</f>
        <v>please select a BUG ID</v>
      </c>
      <c r="D917" s="85"/>
      <c r="E917" s="85"/>
      <c r="F917" s="133"/>
      <c r="G917" s="43"/>
      <c r="I917" s="131"/>
      <c r="J917" s="131"/>
      <c r="K917" s="131"/>
      <c r="L917" s="131"/>
      <c r="M917" s="131"/>
      <c r="N917" s="43"/>
      <c r="O917" s="51"/>
    </row>
    <row r="918">
      <c r="A918" s="43"/>
      <c r="B918" s="59" t="str">
        <f>IFERROR(VLOOKUP(A918,Internal_lists_bugs!$A$2:$G2033,7,FALSE()),"please select a BUG ID")</f>
        <v>please select a BUG ID</v>
      </c>
      <c r="C918" s="51" t="str">
        <f>IFERROR(VLOOKUP(A918,Internal_lists_bugs!$A$2:$I2033,9,FALSE()),"please select a BUG ID")</f>
        <v>please select a BUG ID</v>
      </c>
      <c r="D918" s="85"/>
      <c r="E918" s="85"/>
      <c r="F918" s="133"/>
      <c r="G918" s="43"/>
      <c r="I918" s="131"/>
      <c r="J918" s="131"/>
      <c r="K918" s="131"/>
      <c r="L918" s="131"/>
      <c r="M918" s="131"/>
      <c r="N918" s="43"/>
      <c r="O918" s="51"/>
    </row>
    <row r="919">
      <c r="A919" s="43"/>
      <c r="B919" s="59" t="str">
        <f>IFERROR(VLOOKUP(A919,Internal_lists_bugs!$A$2:$G2033,7,FALSE()),"please select a BUG ID")</f>
        <v>please select a BUG ID</v>
      </c>
      <c r="C919" s="51" t="str">
        <f>IFERROR(VLOOKUP(A919,Internal_lists_bugs!$A$2:$I2033,9,FALSE()),"please select a BUG ID")</f>
        <v>please select a BUG ID</v>
      </c>
      <c r="D919" s="85"/>
      <c r="E919" s="85"/>
      <c r="F919" s="133"/>
      <c r="G919" s="43"/>
      <c r="I919" s="131"/>
      <c r="J919" s="131"/>
      <c r="K919" s="131"/>
      <c r="L919" s="131"/>
      <c r="M919" s="131"/>
      <c r="N919" s="43"/>
      <c r="O919" s="51"/>
    </row>
    <row r="920">
      <c r="A920" s="43"/>
      <c r="B920" s="59" t="str">
        <f>IFERROR(VLOOKUP(A920,Internal_lists_bugs!$A$2:$G2033,7,FALSE()),"please select a BUG ID")</f>
        <v>please select a BUG ID</v>
      </c>
      <c r="C920" s="51" t="str">
        <f>IFERROR(VLOOKUP(A920,Internal_lists_bugs!$A$2:$I2033,9,FALSE()),"please select a BUG ID")</f>
        <v>please select a BUG ID</v>
      </c>
      <c r="D920" s="85"/>
      <c r="E920" s="85"/>
      <c r="F920" s="133"/>
      <c r="G920" s="43"/>
      <c r="I920" s="131"/>
      <c r="J920" s="131"/>
      <c r="K920" s="131"/>
      <c r="L920" s="131"/>
      <c r="M920" s="131"/>
      <c r="N920" s="43"/>
      <c r="O920" s="51"/>
    </row>
    <row r="921">
      <c r="A921" s="43"/>
      <c r="B921" s="59" t="str">
        <f>IFERROR(VLOOKUP(A921,Internal_lists_bugs!$A$2:$G2033,7,FALSE()),"please select a BUG ID")</f>
        <v>please select a BUG ID</v>
      </c>
      <c r="C921" s="51" t="str">
        <f>IFERROR(VLOOKUP(A921,Internal_lists_bugs!$A$2:$I2033,9,FALSE()),"please select a BUG ID")</f>
        <v>please select a BUG ID</v>
      </c>
      <c r="D921" s="85"/>
      <c r="E921" s="85"/>
      <c r="F921" s="133"/>
      <c r="G921" s="43"/>
      <c r="I921" s="131"/>
      <c r="J921" s="131"/>
      <c r="K921" s="131"/>
      <c r="L921" s="131"/>
      <c r="M921" s="131"/>
      <c r="N921" s="43"/>
      <c r="O921" s="51"/>
    </row>
    <row r="922">
      <c r="A922" s="43"/>
      <c r="B922" s="59" t="str">
        <f>IFERROR(VLOOKUP(A922,Internal_lists_bugs!$A$2:$G2033,7,FALSE()),"please select a BUG ID")</f>
        <v>please select a BUG ID</v>
      </c>
      <c r="C922" s="51" t="str">
        <f>IFERROR(VLOOKUP(A922,Internal_lists_bugs!$A$2:$I2033,9,FALSE()),"please select a BUG ID")</f>
        <v>please select a BUG ID</v>
      </c>
      <c r="D922" s="85"/>
      <c r="E922" s="85"/>
      <c r="F922" s="133"/>
      <c r="G922" s="43"/>
      <c r="H922" s="74"/>
      <c r="I922" s="131"/>
      <c r="J922" s="131"/>
      <c r="K922" s="131"/>
      <c r="L922" s="131"/>
      <c r="M922" s="131"/>
      <c r="N922" s="43"/>
      <c r="O922" s="51"/>
    </row>
    <row r="923">
      <c r="A923" s="43"/>
      <c r="B923" s="59" t="str">
        <f>IFERROR(VLOOKUP(A923,Internal_lists_bugs!$A$2:$G2033,7,FALSE()),"please select a BUG ID")</f>
        <v>please select a BUG ID</v>
      </c>
      <c r="C923" s="51" t="str">
        <f>IFERROR(VLOOKUP(A923,Internal_lists_bugs!$A$2:$I2033,9,FALSE()),"please select a BUG ID")</f>
        <v>please select a BUG ID</v>
      </c>
      <c r="D923" s="85"/>
      <c r="E923" s="85"/>
      <c r="F923" s="133"/>
      <c r="G923" s="43"/>
      <c r="I923" s="131"/>
      <c r="J923" s="131"/>
      <c r="K923" s="131"/>
      <c r="L923" s="131"/>
      <c r="M923" s="131"/>
      <c r="N923" s="43"/>
      <c r="O923" s="51"/>
    </row>
    <row r="924">
      <c r="A924" s="43"/>
      <c r="B924" s="59" t="str">
        <f>IFERROR(VLOOKUP(A924,Internal_lists_bugs!$A$2:$G2033,7,FALSE()),"please select a BUG ID")</f>
        <v>please select a BUG ID</v>
      </c>
      <c r="C924" s="51" t="str">
        <f>IFERROR(VLOOKUP(A924,Internal_lists_bugs!$A$2:$I2033,9,FALSE()),"please select a BUG ID")</f>
        <v>please select a BUG ID</v>
      </c>
      <c r="D924" s="85"/>
      <c r="E924" s="85"/>
      <c r="F924" s="133"/>
      <c r="G924" s="43"/>
      <c r="I924" s="131"/>
      <c r="J924" s="131"/>
      <c r="K924" s="131"/>
      <c r="L924" s="131"/>
      <c r="M924" s="131"/>
      <c r="N924" s="43"/>
      <c r="O924" s="51"/>
    </row>
    <row r="925">
      <c r="A925" s="43"/>
      <c r="B925" s="59" t="str">
        <f>IFERROR(VLOOKUP(A925,Internal_lists_bugs!$A$2:$G2033,7,FALSE()),"please select a BUG ID")</f>
        <v>please select a BUG ID</v>
      </c>
      <c r="C925" s="51" t="str">
        <f>IFERROR(VLOOKUP(A925,Internal_lists_bugs!$A$2:$I2033,9,FALSE()),"please select a BUG ID")</f>
        <v>please select a BUG ID</v>
      </c>
      <c r="D925" s="85"/>
      <c r="E925" s="85"/>
      <c r="F925" s="133"/>
      <c r="G925" s="43"/>
      <c r="I925" s="131"/>
      <c r="J925" s="131"/>
      <c r="K925" s="131"/>
      <c r="L925" s="131"/>
      <c r="M925" s="131"/>
      <c r="N925" s="43"/>
      <c r="O925" s="51"/>
    </row>
    <row r="926">
      <c r="A926" s="43"/>
      <c r="B926" s="59" t="str">
        <f>IFERROR(VLOOKUP(A926,Internal_lists_bugs!$A$2:$G2033,7,FALSE()),"please select a BUG ID")</f>
        <v>please select a BUG ID</v>
      </c>
      <c r="C926" s="51" t="str">
        <f>IFERROR(VLOOKUP(A926,Internal_lists_bugs!$A$2:$I2033,9,FALSE()),"please select a BUG ID")</f>
        <v>please select a BUG ID</v>
      </c>
      <c r="D926" s="85"/>
      <c r="E926" s="85"/>
      <c r="F926" s="133"/>
      <c r="G926" s="43"/>
      <c r="I926" s="131"/>
      <c r="J926" s="131"/>
      <c r="K926" s="131"/>
      <c r="L926" s="131"/>
      <c r="M926" s="131"/>
      <c r="N926" s="43"/>
      <c r="O926" s="51"/>
    </row>
    <row r="927">
      <c r="A927" s="43"/>
      <c r="B927" s="59" t="str">
        <f>IFERROR(VLOOKUP(A927,Internal_lists_bugs!$A$2:$G2033,7,FALSE()),"please select a BUG ID")</f>
        <v>please select a BUG ID</v>
      </c>
      <c r="C927" s="51" t="str">
        <f>IFERROR(VLOOKUP(A927,Internal_lists_bugs!$A$2:$I2033,9,FALSE()),"please select a BUG ID")</f>
        <v>please select a BUG ID</v>
      </c>
      <c r="D927" s="85"/>
      <c r="E927" s="85"/>
      <c r="F927" s="133"/>
      <c r="G927" s="43"/>
      <c r="I927" s="131"/>
      <c r="J927" s="131"/>
      <c r="K927" s="131"/>
      <c r="L927" s="131"/>
      <c r="M927" s="131"/>
      <c r="N927" s="43"/>
      <c r="O927" s="51"/>
    </row>
    <row r="928">
      <c r="A928" s="43"/>
      <c r="B928" s="59" t="str">
        <f>IFERROR(VLOOKUP(A928,Internal_lists_bugs!$A$2:$G2033,7,FALSE()),"please select a BUG ID")</f>
        <v>please select a BUG ID</v>
      </c>
      <c r="C928" s="51" t="str">
        <f>IFERROR(VLOOKUP(A928,Internal_lists_bugs!$A$2:$I2033,9,FALSE()),"please select a BUG ID")</f>
        <v>please select a BUG ID</v>
      </c>
      <c r="D928" s="85"/>
      <c r="E928" s="85"/>
      <c r="F928" s="133"/>
      <c r="G928" s="43"/>
      <c r="I928" s="131"/>
      <c r="J928" s="131"/>
      <c r="K928" s="131"/>
      <c r="L928" s="131"/>
      <c r="M928" s="131"/>
      <c r="N928" s="43"/>
      <c r="O928" s="51"/>
    </row>
    <row r="929">
      <c r="A929" s="43"/>
      <c r="B929" s="59" t="str">
        <f>IFERROR(VLOOKUP(A929,Internal_lists_bugs!$A$2:$G2033,7,FALSE()),"please select a BUG ID")</f>
        <v>please select a BUG ID</v>
      </c>
      <c r="C929" s="51" t="str">
        <f>IFERROR(VLOOKUP(A929,Internal_lists_bugs!$A$2:$I2033,9,FALSE()),"please select a BUG ID")</f>
        <v>please select a BUG ID</v>
      </c>
      <c r="D929" s="85"/>
      <c r="E929" s="85"/>
      <c r="F929" s="133"/>
      <c r="G929" s="43"/>
      <c r="I929" s="131"/>
      <c r="J929" s="131"/>
      <c r="K929" s="131"/>
      <c r="L929" s="131"/>
      <c r="M929" s="131"/>
      <c r="N929" s="43"/>
      <c r="O929" s="51"/>
    </row>
    <row r="930">
      <c r="A930" s="43"/>
      <c r="B930" s="59" t="str">
        <f>IFERROR(VLOOKUP(A930,Internal_lists_bugs!$A$2:$G2033,7,FALSE()),"please select a BUG ID")</f>
        <v>please select a BUG ID</v>
      </c>
      <c r="C930" s="51" t="str">
        <f>IFERROR(VLOOKUP(A930,Internal_lists_bugs!$A$2:$I2033,9,FALSE()),"please select a BUG ID")</f>
        <v>please select a BUG ID</v>
      </c>
      <c r="D930" s="85"/>
      <c r="E930" s="85"/>
      <c r="F930" s="133"/>
      <c r="G930" s="43"/>
      <c r="I930" s="131"/>
      <c r="J930" s="131"/>
      <c r="K930" s="131"/>
      <c r="L930" s="131"/>
      <c r="M930" s="131"/>
      <c r="N930" s="43"/>
      <c r="O930" s="51"/>
    </row>
    <row r="931">
      <c r="A931" s="43"/>
      <c r="B931" s="59" t="str">
        <f>IFERROR(VLOOKUP(A931,Internal_lists_bugs!$A$2:$G2033,7,FALSE()),"please select a BUG ID")</f>
        <v>please select a BUG ID</v>
      </c>
      <c r="C931" s="51" t="str">
        <f>IFERROR(VLOOKUP(A931,Internal_lists_bugs!$A$2:$I2033,9,FALSE()),"please select a BUG ID")</f>
        <v>please select a BUG ID</v>
      </c>
      <c r="D931" s="85"/>
      <c r="E931" s="85"/>
      <c r="F931" s="133"/>
      <c r="G931" s="43"/>
      <c r="I931" s="131"/>
      <c r="J931" s="131"/>
      <c r="K931" s="131"/>
      <c r="L931" s="131"/>
      <c r="M931" s="131"/>
      <c r="N931" s="43"/>
      <c r="O931" s="51"/>
    </row>
    <row r="932">
      <c r="A932" s="43"/>
      <c r="B932" s="59" t="str">
        <f>IFERROR(VLOOKUP(A932,Internal_lists_bugs!$A$2:$G2033,7,FALSE()),"please select a BUG ID")</f>
        <v>please select a BUG ID</v>
      </c>
      <c r="C932" s="51" t="str">
        <f>IFERROR(VLOOKUP(A932,Internal_lists_bugs!$A$2:$I2033,9,FALSE()),"please select a BUG ID")</f>
        <v>please select a BUG ID</v>
      </c>
      <c r="D932" s="85"/>
      <c r="E932" s="85"/>
      <c r="F932" s="133"/>
      <c r="G932" s="43"/>
      <c r="I932" s="131"/>
      <c r="J932" s="131"/>
      <c r="K932" s="131"/>
      <c r="L932" s="131"/>
      <c r="M932" s="131"/>
      <c r="N932" s="43"/>
      <c r="O932" s="51"/>
    </row>
    <row r="933">
      <c r="A933" s="43"/>
      <c r="B933" s="59" t="str">
        <f>IFERROR(VLOOKUP(A933,Internal_lists_bugs!$A$2:$G2033,7,FALSE()),"please select a BUG ID")</f>
        <v>please select a BUG ID</v>
      </c>
      <c r="C933" s="51" t="str">
        <f>IFERROR(VLOOKUP(A933,Internal_lists_bugs!$A$2:$I2033,9,FALSE()),"please select a BUG ID")</f>
        <v>please select a BUG ID</v>
      </c>
      <c r="D933" s="85"/>
      <c r="E933" s="85"/>
      <c r="F933" s="133"/>
      <c r="G933" s="43"/>
      <c r="I933" s="131"/>
      <c r="J933" s="131"/>
      <c r="K933" s="131"/>
      <c r="L933" s="131"/>
      <c r="M933" s="131"/>
      <c r="N933" s="43"/>
      <c r="O933" s="51"/>
    </row>
    <row r="934">
      <c r="A934" s="43"/>
      <c r="B934" s="59" t="str">
        <f>IFERROR(VLOOKUP(A934,Internal_lists_bugs!$A$2:$G2033,7,FALSE()),"please select a BUG ID")</f>
        <v>please select a BUG ID</v>
      </c>
      <c r="C934" s="51" t="str">
        <f>IFERROR(VLOOKUP(A934,Internal_lists_bugs!$A$2:$I2033,9,FALSE()),"please select a BUG ID")</f>
        <v>please select a BUG ID</v>
      </c>
      <c r="D934" s="85"/>
      <c r="E934" s="85"/>
      <c r="F934" s="133"/>
      <c r="G934" s="43"/>
      <c r="I934" s="131"/>
      <c r="J934" s="131"/>
      <c r="K934" s="131"/>
      <c r="L934" s="131"/>
      <c r="M934" s="131"/>
      <c r="N934" s="43"/>
      <c r="O934" s="51"/>
    </row>
    <row r="935">
      <c r="A935" s="43"/>
      <c r="B935" s="59" t="str">
        <f>IFERROR(VLOOKUP(A935,Internal_lists_bugs!$A$2:$G2033,7,FALSE()),"please select a BUG ID")</f>
        <v>please select a BUG ID</v>
      </c>
      <c r="C935" s="51" t="str">
        <f>IFERROR(VLOOKUP(A935,Internal_lists_bugs!$A$2:$I2033,9,FALSE()),"please select a BUG ID")</f>
        <v>please select a BUG ID</v>
      </c>
      <c r="D935" s="85"/>
      <c r="E935" s="85"/>
      <c r="F935" s="133"/>
      <c r="G935" s="43"/>
      <c r="I935" s="131"/>
      <c r="J935" s="131"/>
      <c r="K935" s="131"/>
      <c r="L935" s="131"/>
      <c r="M935" s="131"/>
      <c r="N935" s="43"/>
      <c r="O935" s="51"/>
    </row>
    <row r="936">
      <c r="A936" s="43"/>
      <c r="B936" s="59" t="str">
        <f>IFERROR(VLOOKUP(A936,Internal_lists_bugs!$A$2:$G2033,7,FALSE()),"please select a BUG ID")</f>
        <v>please select a BUG ID</v>
      </c>
      <c r="C936" s="51" t="str">
        <f>IFERROR(VLOOKUP(A936,Internal_lists_bugs!$A$2:$I2033,9,FALSE()),"please select a BUG ID")</f>
        <v>please select a BUG ID</v>
      </c>
      <c r="D936" s="85"/>
      <c r="E936" s="85"/>
      <c r="F936" s="133"/>
      <c r="G936" s="43"/>
      <c r="I936" s="131"/>
      <c r="J936" s="131"/>
      <c r="K936" s="131"/>
      <c r="L936" s="131"/>
      <c r="M936" s="131"/>
      <c r="N936" s="43"/>
      <c r="O936" s="51"/>
    </row>
    <row r="937">
      <c r="A937" s="43"/>
      <c r="B937" s="59" t="str">
        <f>IFERROR(VLOOKUP(A937,Internal_lists_bugs!$A$2:$G2033,7,FALSE()),"please select a BUG ID")</f>
        <v>please select a BUG ID</v>
      </c>
      <c r="C937" s="51" t="str">
        <f>IFERROR(VLOOKUP(A937,Internal_lists_bugs!$A$2:$I2033,9,FALSE()),"please select a BUG ID")</f>
        <v>please select a BUG ID</v>
      </c>
      <c r="D937" s="85"/>
      <c r="E937" s="85"/>
      <c r="F937" s="133"/>
      <c r="G937" s="43"/>
      <c r="I937" s="131"/>
      <c r="J937" s="131"/>
      <c r="K937" s="131"/>
      <c r="L937" s="131"/>
      <c r="M937" s="131"/>
      <c r="N937" s="43"/>
      <c r="O937" s="51"/>
    </row>
    <row r="938">
      <c r="A938" s="43"/>
      <c r="B938" s="59" t="str">
        <f>IFERROR(VLOOKUP(A938,Internal_lists_bugs!$A$2:$G2033,7,FALSE()),"please select a BUG ID")</f>
        <v>please select a BUG ID</v>
      </c>
      <c r="C938" s="51" t="str">
        <f>IFERROR(VLOOKUP(A938,Internal_lists_bugs!$A$2:$I2033,9,FALSE()),"please select a BUG ID")</f>
        <v>please select a BUG ID</v>
      </c>
      <c r="D938" s="85"/>
      <c r="E938" s="85"/>
      <c r="F938" s="133"/>
      <c r="G938" s="43"/>
      <c r="I938" s="131"/>
      <c r="J938" s="131"/>
      <c r="K938" s="131"/>
      <c r="L938" s="131"/>
      <c r="M938" s="131"/>
      <c r="N938" s="43"/>
      <c r="O938" s="51"/>
    </row>
    <row r="939">
      <c r="A939" s="43"/>
      <c r="B939" s="59" t="str">
        <f>IFERROR(VLOOKUP(A939,Internal_lists_bugs!$A$2:$G2033,7,FALSE()),"please select a BUG ID")</f>
        <v>please select a BUG ID</v>
      </c>
      <c r="C939" s="51" t="str">
        <f>IFERROR(VLOOKUP(A939,Internal_lists_bugs!$A$2:$I2033,9,FALSE()),"please select a BUG ID")</f>
        <v>please select a BUG ID</v>
      </c>
      <c r="D939" s="85"/>
      <c r="E939" s="85"/>
      <c r="F939" s="133"/>
      <c r="G939" s="43"/>
      <c r="I939" s="131"/>
      <c r="J939" s="131"/>
      <c r="K939" s="131"/>
      <c r="L939" s="131"/>
      <c r="M939" s="131"/>
      <c r="N939" s="43"/>
      <c r="O939" s="51"/>
    </row>
    <row r="940">
      <c r="A940" s="43"/>
      <c r="B940" s="59" t="str">
        <f>IFERROR(VLOOKUP(A940,Internal_lists_bugs!$A$2:$G2033,7,FALSE()),"please select a BUG ID")</f>
        <v>please select a BUG ID</v>
      </c>
      <c r="C940" s="51" t="str">
        <f>IFERROR(VLOOKUP(A940,Internal_lists_bugs!$A$2:$I2033,9,FALSE()),"please select a BUG ID")</f>
        <v>please select a BUG ID</v>
      </c>
      <c r="D940" s="85"/>
      <c r="E940" s="85"/>
      <c r="F940" s="133"/>
      <c r="G940" s="43"/>
      <c r="I940" s="131"/>
      <c r="J940" s="131"/>
      <c r="K940" s="131"/>
      <c r="L940" s="131"/>
      <c r="M940" s="131"/>
      <c r="N940" s="43"/>
      <c r="O940" s="51"/>
    </row>
    <row r="941">
      <c r="A941" s="43"/>
      <c r="B941" s="59" t="str">
        <f>IFERROR(VLOOKUP(A941,Internal_lists_bugs!$A$2:$G2033,7,FALSE()),"please select a BUG ID")</f>
        <v>please select a BUG ID</v>
      </c>
      <c r="C941" s="51" t="str">
        <f>IFERROR(VLOOKUP(A941,Internal_lists_bugs!$A$2:$I2033,9,FALSE()),"please select a BUG ID")</f>
        <v>please select a BUG ID</v>
      </c>
      <c r="D941" s="85"/>
      <c r="E941" s="85"/>
      <c r="F941" s="133"/>
      <c r="G941" s="43"/>
      <c r="I941" s="131"/>
      <c r="J941" s="131"/>
      <c r="K941" s="131"/>
      <c r="L941" s="131"/>
      <c r="M941" s="131"/>
      <c r="N941" s="43"/>
      <c r="O941" s="51"/>
    </row>
    <row r="942">
      <c r="A942" s="43"/>
      <c r="B942" s="59" t="str">
        <f>IFERROR(VLOOKUP(A942,Internal_lists_bugs!$A$2:$G2033,7,FALSE()),"please select a BUG ID")</f>
        <v>please select a BUG ID</v>
      </c>
      <c r="C942" s="51" t="str">
        <f>IFERROR(VLOOKUP(A942,Internal_lists_bugs!$A$2:$I2033,9,FALSE()),"please select a BUG ID")</f>
        <v>please select a BUG ID</v>
      </c>
      <c r="D942" s="85"/>
      <c r="E942" s="85"/>
      <c r="F942" s="133"/>
      <c r="G942" s="43"/>
      <c r="I942" s="131"/>
      <c r="J942" s="131"/>
      <c r="K942" s="131"/>
      <c r="L942" s="131"/>
      <c r="M942" s="131"/>
      <c r="N942" s="43"/>
      <c r="O942" s="51"/>
    </row>
    <row r="943">
      <c r="A943" s="43"/>
      <c r="B943" s="59" t="str">
        <f>IFERROR(VLOOKUP(A943,Internal_lists_bugs!$A$2:$G2033,7,FALSE()),"please select a BUG ID")</f>
        <v>please select a BUG ID</v>
      </c>
      <c r="C943" s="51" t="str">
        <f>IFERROR(VLOOKUP(A943,Internal_lists_bugs!$A$2:$I2033,9,FALSE()),"please select a BUG ID")</f>
        <v>please select a BUG ID</v>
      </c>
      <c r="D943" s="85"/>
      <c r="E943" s="85"/>
      <c r="F943" s="133"/>
      <c r="G943" s="43"/>
      <c r="I943" s="131"/>
      <c r="J943" s="131"/>
      <c r="K943" s="131"/>
      <c r="L943" s="131"/>
      <c r="M943" s="131"/>
      <c r="N943" s="43"/>
      <c r="O943" s="51"/>
    </row>
    <row r="944">
      <c r="A944" s="43"/>
      <c r="B944" s="59" t="str">
        <f>IFERROR(VLOOKUP(A944,Internal_lists_bugs!$A$2:$G2033,7,FALSE()),"please select a BUG ID")</f>
        <v>please select a BUG ID</v>
      </c>
      <c r="C944" s="51" t="str">
        <f>IFERROR(VLOOKUP(A944,Internal_lists_bugs!$A$2:$I2033,9,FALSE()),"please select a BUG ID")</f>
        <v>please select a BUG ID</v>
      </c>
      <c r="D944" s="85"/>
      <c r="E944" s="85"/>
      <c r="F944" s="133"/>
      <c r="G944" s="43"/>
      <c r="I944" s="131"/>
      <c r="J944" s="131"/>
      <c r="K944" s="131"/>
      <c r="L944" s="131"/>
      <c r="M944" s="131"/>
      <c r="N944" s="43"/>
      <c r="O944" s="51"/>
    </row>
    <row r="945">
      <c r="A945" s="43"/>
      <c r="B945" s="59" t="str">
        <f>IFERROR(VLOOKUP(A945,Internal_lists_bugs!$A$2:$G2033,7,FALSE()),"please select a BUG ID")</f>
        <v>please select a BUG ID</v>
      </c>
      <c r="C945" s="51" t="str">
        <f>IFERROR(VLOOKUP(A945,Internal_lists_bugs!$A$2:$I2033,9,FALSE()),"please select a BUG ID")</f>
        <v>please select a BUG ID</v>
      </c>
      <c r="D945" s="85"/>
      <c r="E945" s="85"/>
      <c r="F945" s="133"/>
      <c r="G945" s="43"/>
      <c r="I945" s="131"/>
      <c r="J945" s="131"/>
      <c r="K945" s="131"/>
      <c r="L945" s="131"/>
      <c r="M945" s="131"/>
      <c r="N945" s="43"/>
      <c r="O945" s="51"/>
    </row>
    <row r="946">
      <c r="A946" s="43"/>
      <c r="B946" s="59" t="str">
        <f>IFERROR(VLOOKUP(A946,Internal_lists_bugs!$A$2:$G2033,7,FALSE()),"please select a BUG ID")</f>
        <v>please select a BUG ID</v>
      </c>
      <c r="C946" s="51" t="str">
        <f>IFERROR(VLOOKUP(A946,Internal_lists_bugs!$A$2:$I2033,9,FALSE()),"please select a BUG ID")</f>
        <v>please select a BUG ID</v>
      </c>
      <c r="D946" s="85"/>
      <c r="E946" s="85"/>
      <c r="F946" s="133"/>
      <c r="G946" s="43"/>
      <c r="I946" s="131"/>
      <c r="J946" s="131"/>
      <c r="K946" s="131"/>
      <c r="L946" s="131"/>
      <c r="M946" s="131"/>
      <c r="N946" s="43"/>
      <c r="O946" s="51"/>
    </row>
    <row r="947">
      <c r="A947" s="43"/>
      <c r="B947" s="59" t="str">
        <f>IFERROR(VLOOKUP(A947,Internal_lists_bugs!$A$2:$G2033,7,FALSE()),"please select a BUG ID")</f>
        <v>please select a BUG ID</v>
      </c>
      <c r="C947" s="51" t="str">
        <f>IFERROR(VLOOKUP(A947,Internal_lists_bugs!$A$2:$I2033,9,FALSE()),"please select a BUG ID")</f>
        <v>please select a BUG ID</v>
      </c>
      <c r="D947" s="85"/>
      <c r="E947" s="85"/>
      <c r="F947" s="133"/>
      <c r="G947" s="43"/>
      <c r="I947" s="131"/>
      <c r="J947" s="131"/>
      <c r="K947" s="131"/>
      <c r="L947" s="131"/>
      <c r="M947" s="131"/>
      <c r="N947" s="43"/>
      <c r="O947" s="51"/>
    </row>
    <row r="948">
      <c r="A948" s="43"/>
      <c r="B948" s="59" t="str">
        <f>IFERROR(VLOOKUP(A948,Internal_lists_bugs!$A$2:$G2033,7,FALSE()),"please select a BUG ID")</f>
        <v>please select a BUG ID</v>
      </c>
      <c r="C948" s="51" t="str">
        <f>IFERROR(VLOOKUP(A948,Internal_lists_bugs!$A$2:$I2033,9,FALSE()),"please select a BUG ID")</f>
        <v>please select a BUG ID</v>
      </c>
      <c r="D948" s="85"/>
      <c r="E948" s="85"/>
      <c r="F948" s="133"/>
      <c r="G948" s="43"/>
      <c r="I948" s="131"/>
      <c r="J948" s="131"/>
      <c r="K948" s="131"/>
      <c r="L948" s="131"/>
      <c r="M948" s="131"/>
      <c r="N948" s="43"/>
      <c r="O948" s="51"/>
    </row>
    <row r="949">
      <c r="A949" s="43"/>
      <c r="B949" s="59" t="str">
        <f>IFERROR(VLOOKUP(A949,Internal_lists_bugs!$A$2:$G2033,7,FALSE()),"please select a BUG ID")</f>
        <v>please select a BUG ID</v>
      </c>
      <c r="C949" s="51" t="str">
        <f>IFERROR(VLOOKUP(A949,Internal_lists_bugs!$A$2:$I2033,9,FALSE()),"please select a BUG ID")</f>
        <v>please select a BUG ID</v>
      </c>
      <c r="D949" s="85"/>
      <c r="E949" s="85"/>
      <c r="F949" s="133"/>
      <c r="G949" s="43"/>
      <c r="I949" s="131"/>
      <c r="J949" s="131"/>
      <c r="K949" s="131"/>
      <c r="L949" s="131"/>
      <c r="M949" s="131"/>
      <c r="N949" s="43"/>
      <c r="O949" s="51"/>
    </row>
    <row r="950">
      <c r="A950" s="43"/>
      <c r="B950" s="59" t="str">
        <f>IFERROR(VLOOKUP(A950,Internal_lists_bugs!$A$2:$G2033,7,FALSE()),"please select a BUG ID")</f>
        <v>please select a BUG ID</v>
      </c>
      <c r="C950" s="51" t="str">
        <f>IFERROR(VLOOKUP(A950,Internal_lists_bugs!$A$2:$I2033,9,FALSE()),"please select a BUG ID")</f>
        <v>please select a BUG ID</v>
      </c>
      <c r="D950" s="85"/>
      <c r="E950" s="85"/>
      <c r="F950" s="133"/>
      <c r="G950" s="43"/>
      <c r="I950" s="131"/>
      <c r="J950" s="131"/>
      <c r="K950" s="131"/>
      <c r="L950" s="131"/>
      <c r="M950" s="131"/>
      <c r="N950" s="43"/>
      <c r="O950" s="51"/>
    </row>
    <row r="951">
      <c r="A951" s="43"/>
      <c r="B951" s="59" t="str">
        <f>IFERROR(VLOOKUP(A951,Internal_lists_bugs!$A$2:$G2033,7,FALSE()),"please select a BUG ID")</f>
        <v>please select a BUG ID</v>
      </c>
      <c r="C951" s="51" t="str">
        <f>IFERROR(VLOOKUP(A951,Internal_lists_bugs!$A$2:$I2033,9,FALSE()),"please select a BUG ID")</f>
        <v>please select a BUG ID</v>
      </c>
      <c r="D951" s="85"/>
      <c r="E951" s="85"/>
      <c r="F951" s="133"/>
      <c r="G951" s="43"/>
      <c r="I951" s="131"/>
      <c r="J951" s="131"/>
      <c r="K951" s="131"/>
      <c r="L951" s="131"/>
      <c r="M951" s="131"/>
      <c r="N951" s="43"/>
      <c r="O951" s="51"/>
    </row>
    <row r="952">
      <c r="A952" s="43"/>
      <c r="B952" s="59" t="str">
        <f>IFERROR(VLOOKUP(A952,Internal_lists_bugs!$A$2:$G2033,7,FALSE()),"please select a BUG ID")</f>
        <v>please select a BUG ID</v>
      </c>
      <c r="C952" s="51" t="str">
        <f>IFERROR(VLOOKUP(A952,Internal_lists_bugs!$A$2:$I2033,9,FALSE()),"please select a BUG ID")</f>
        <v>please select a BUG ID</v>
      </c>
      <c r="D952" s="85"/>
      <c r="E952" s="85"/>
      <c r="F952" s="133"/>
      <c r="G952" s="43"/>
      <c r="I952" s="131"/>
      <c r="J952" s="131"/>
      <c r="K952" s="131"/>
      <c r="L952" s="131"/>
      <c r="M952" s="131"/>
      <c r="N952" s="43"/>
      <c r="O952" s="51"/>
    </row>
    <row r="953">
      <c r="A953" s="43"/>
      <c r="B953" s="59" t="str">
        <f>IFERROR(VLOOKUP(A953,Internal_lists_bugs!$A$2:$G2033,7,FALSE()),"please select a BUG ID")</f>
        <v>please select a BUG ID</v>
      </c>
      <c r="C953" s="51" t="str">
        <f>IFERROR(VLOOKUP(A953,Internal_lists_bugs!$A$2:$I2033,9,FALSE()),"please select a BUG ID")</f>
        <v>please select a BUG ID</v>
      </c>
      <c r="D953" s="85"/>
      <c r="E953" s="85"/>
      <c r="F953" s="133"/>
      <c r="G953" s="43"/>
      <c r="I953" s="131"/>
      <c r="J953" s="131"/>
      <c r="K953" s="131"/>
      <c r="L953" s="131"/>
      <c r="M953" s="131"/>
      <c r="N953" s="43"/>
      <c r="O953" s="51"/>
    </row>
    <row r="954">
      <c r="A954" s="43"/>
      <c r="B954" s="59" t="str">
        <f>IFERROR(VLOOKUP(A954,Internal_lists_bugs!$A$2:$G2033,7,FALSE()),"please select a BUG ID")</f>
        <v>please select a BUG ID</v>
      </c>
      <c r="C954" s="51" t="str">
        <f>IFERROR(VLOOKUP(A954,Internal_lists_bugs!$A$2:$I2033,9,FALSE()),"please select a BUG ID")</f>
        <v>please select a BUG ID</v>
      </c>
      <c r="D954" s="85"/>
      <c r="E954" s="85"/>
      <c r="F954" s="133"/>
      <c r="G954" s="43"/>
      <c r="I954" s="131"/>
      <c r="J954" s="131"/>
      <c r="K954" s="131"/>
      <c r="L954" s="131"/>
      <c r="M954" s="131"/>
      <c r="N954" s="43"/>
      <c r="O954" s="51"/>
    </row>
    <row r="955">
      <c r="A955" s="43"/>
      <c r="B955" s="59" t="str">
        <f>IFERROR(VLOOKUP(A955,Internal_lists_bugs!$A$2:$G2033,7,FALSE()),"please select a BUG ID")</f>
        <v>please select a BUG ID</v>
      </c>
      <c r="C955" s="51" t="str">
        <f>IFERROR(VLOOKUP(A955,Internal_lists_bugs!$A$2:$I2033,9,FALSE()),"please select a BUG ID")</f>
        <v>please select a BUG ID</v>
      </c>
      <c r="D955" s="85"/>
      <c r="E955" s="85"/>
      <c r="F955" s="133"/>
      <c r="G955" s="43"/>
      <c r="I955" s="131"/>
      <c r="J955" s="131"/>
      <c r="K955" s="131"/>
      <c r="L955" s="131"/>
      <c r="M955" s="131"/>
      <c r="N955" s="43"/>
      <c r="O955" s="51"/>
    </row>
    <row r="956">
      <c r="A956" s="43"/>
      <c r="B956" s="59" t="str">
        <f>IFERROR(VLOOKUP(A956,Internal_lists_bugs!$A$2:$G2033,7,FALSE()),"please select a BUG ID")</f>
        <v>please select a BUG ID</v>
      </c>
      <c r="C956" s="51" t="str">
        <f>IFERROR(VLOOKUP(A956,Internal_lists_bugs!$A$2:$I2033,9,FALSE()),"please select a BUG ID")</f>
        <v>please select a BUG ID</v>
      </c>
      <c r="D956" s="85"/>
      <c r="E956" s="85"/>
      <c r="F956" s="133"/>
      <c r="G956" s="43"/>
      <c r="I956" s="131"/>
      <c r="J956" s="131"/>
      <c r="K956" s="131"/>
      <c r="L956" s="131"/>
      <c r="M956" s="131"/>
      <c r="N956" s="43"/>
      <c r="O956" s="51"/>
    </row>
    <row r="957">
      <c r="A957" s="43"/>
      <c r="B957" s="59" t="str">
        <f>IFERROR(VLOOKUP(A957,Internal_lists_bugs!$A$2:$G2033,7,FALSE()),"please select a BUG ID")</f>
        <v>please select a BUG ID</v>
      </c>
      <c r="C957" s="51" t="str">
        <f>IFERROR(VLOOKUP(A957,Internal_lists_bugs!$A$2:$I2033,9,FALSE()),"please select a BUG ID")</f>
        <v>please select a BUG ID</v>
      </c>
      <c r="D957" s="85"/>
      <c r="E957" s="85"/>
      <c r="F957" s="133"/>
      <c r="G957" s="43"/>
      <c r="I957" s="131"/>
      <c r="J957" s="131"/>
      <c r="K957" s="131"/>
      <c r="L957" s="131"/>
      <c r="M957" s="131"/>
      <c r="N957" s="43"/>
      <c r="O957" s="51"/>
    </row>
    <row r="958">
      <c r="A958" s="43"/>
      <c r="B958" s="59" t="str">
        <f>IFERROR(VLOOKUP(A958,Internal_lists_bugs!$A$2:$G2033,7,FALSE()),"please select a BUG ID")</f>
        <v>please select a BUG ID</v>
      </c>
      <c r="C958" s="51" t="str">
        <f>IFERROR(VLOOKUP(A958,Internal_lists_bugs!$A$2:$I2033,9,FALSE()),"please select a BUG ID")</f>
        <v>please select a BUG ID</v>
      </c>
      <c r="D958" s="85"/>
      <c r="E958" s="85"/>
      <c r="F958" s="133"/>
      <c r="G958" s="43"/>
      <c r="I958" s="131"/>
      <c r="J958" s="131"/>
      <c r="K958" s="131"/>
      <c r="L958" s="131"/>
      <c r="M958" s="131"/>
      <c r="N958" s="43"/>
      <c r="O958" s="51"/>
    </row>
    <row r="959">
      <c r="A959" s="43"/>
      <c r="B959" s="59" t="str">
        <f>IFERROR(VLOOKUP(A959,Internal_lists_bugs!$A$2:$G2033,7,FALSE()),"please select a BUG ID")</f>
        <v>please select a BUG ID</v>
      </c>
      <c r="C959" s="51" t="str">
        <f>IFERROR(VLOOKUP(A959,Internal_lists_bugs!$A$2:$I2033,9,FALSE()),"please select a BUG ID")</f>
        <v>please select a BUG ID</v>
      </c>
      <c r="D959" s="85"/>
      <c r="E959" s="85"/>
      <c r="F959" s="133"/>
      <c r="G959" s="43"/>
      <c r="I959" s="131"/>
      <c r="J959" s="131"/>
      <c r="K959" s="131"/>
      <c r="L959" s="131"/>
      <c r="M959" s="131"/>
      <c r="N959" s="43"/>
      <c r="O959" s="51"/>
    </row>
    <row r="960">
      <c r="A960" s="43"/>
      <c r="B960" s="59" t="str">
        <f>IFERROR(VLOOKUP(A960,Internal_lists_bugs!$A$2:$G2033,7,FALSE()),"please select a BUG ID")</f>
        <v>please select a BUG ID</v>
      </c>
      <c r="C960" s="51" t="str">
        <f>IFERROR(VLOOKUP(A960,Internal_lists_bugs!$A$2:$I2033,9,FALSE()),"please select a BUG ID")</f>
        <v>please select a BUG ID</v>
      </c>
      <c r="D960" s="85"/>
      <c r="E960" s="85"/>
      <c r="F960" s="133"/>
      <c r="G960" s="43"/>
      <c r="I960" s="131"/>
      <c r="J960" s="131"/>
      <c r="K960" s="131"/>
      <c r="L960" s="131"/>
      <c r="M960" s="131"/>
      <c r="N960" s="43"/>
      <c r="O960" s="51"/>
    </row>
    <row r="961">
      <c r="A961" s="43"/>
      <c r="B961" s="59" t="str">
        <f>IFERROR(VLOOKUP(A961,Internal_lists_bugs!$A$2:$G2033,7,FALSE()),"please select a BUG ID")</f>
        <v>please select a BUG ID</v>
      </c>
      <c r="C961" s="51" t="str">
        <f>IFERROR(VLOOKUP(A961,Internal_lists_bugs!$A$2:$I2033,9,FALSE()),"please select a BUG ID")</f>
        <v>please select a BUG ID</v>
      </c>
      <c r="D961" s="85"/>
      <c r="E961" s="85"/>
      <c r="F961" s="133"/>
      <c r="G961" s="43"/>
      <c r="I961" s="131"/>
      <c r="J961" s="131"/>
      <c r="K961" s="131"/>
      <c r="L961" s="131"/>
      <c r="M961" s="131"/>
      <c r="N961" s="43"/>
      <c r="O961" s="51"/>
    </row>
    <row r="962">
      <c r="A962" s="43"/>
      <c r="B962" s="59" t="str">
        <f>IFERROR(VLOOKUP(A962,Internal_lists_bugs!$A$2:$G2033,7,FALSE()),"please select a BUG ID")</f>
        <v>please select a BUG ID</v>
      </c>
      <c r="C962" s="51" t="str">
        <f>IFERROR(VLOOKUP(A962,Internal_lists_bugs!$A$2:$I2033,9,FALSE()),"please select a BUG ID")</f>
        <v>please select a BUG ID</v>
      </c>
      <c r="D962" s="85"/>
      <c r="E962" s="85"/>
      <c r="F962" s="133"/>
      <c r="G962" s="43"/>
      <c r="I962" s="131"/>
      <c r="J962" s="131"/>
      <c r="K962" s="131"/>
      <c r="L962" s="131"/>
      <c r="M962" s="131"/>
      <c r="N962" s="43"/>
      <c r="O962" s="51"/>
    </row>
    <row r="963">
      <c r="A963" s="43"/>
      <c r="B963" s="59" t="str">
        <f>IFERROR(VLOOKUP(A963,Internal_lists_bugs!$A$2:$G2033,7,FALSE()),"please select a BUG ID")</f>
        <v>please select a BUG ID</v>
      </c>
      <c r="C963" s="51" t="str">
        <f>IFERROR(VLOOKUP(A963,Internal_lists_bugs!$A$2:$I2033,9,FALSE()),"please select a BUG ID")</f>
        <v>please select a BUG ID</v>
      </c>
      <c r="D963" s="85"/>
      <c r="E963" s="85"/>
      <c r="F963" s="133"/>
      <c r="G963" s="43"/>
      <c r="I963" s="131"/>
      <c r="J963" s="131"/>
      <c r="K963" s="131"/>
      <c r="L963" s="131"/>
      <c r="M963" s="131"/>
      <c r="N963" s="43"/>
      <c r="O963" s="51"/>
    </row>
    <row r="964">
      <c r="A964" s="43"/>
      <c r="B964" s="59" t="str">
        <f>IFERROR(VLOOKUP(A964,Internal_lists_bugs!$A$2:$G2033,7,FALSE()),"please select a BUG ID")</f>
        <v>please select a BUG ID</v>
      </c>
      <c r="C964" s="51" t="str">
        <f>IFERROR(VLOOKUP(A964,Internal_lists_bugs!$A$2:$I2033,9,FALSE()),"please select a BUG ID")</f>
        <v>please select a BUG ID</v>
      </c>
      <c r="D964" s="85"/>
      <c r="E964" s="85"/>
      <c r="F964" s="133"/>
      <c r="G964" s="43"/>
      <c r="I964" s="131"/>
      <c r="J964" s="131"/>
      <c r="K964" s="131"/>
      <c r="L964" s="131"/>
      <c r="M964" s="131"/>
      <c r="N964" s="43"/>
      <c r="O964" s="51"/>
    </row>
    <row r="965">
      <c r="A965" s="43"/>
      <c r="B965" s="59" t="str">
        <f>IFERROR(VLOOKUP(A965,Internal_lists_bugs!$A$2:$G2033,7,FALSE()),"please select a BUG ID")</f>
        <v>please select a BUG ID</v>
      </c>
      <c r="C965" s="51" t="str">
        <f>IFERROR(VLOOKUP(A965,Internal_lists_bugs!$A$2:$I2033,9,FALSE()),"please select a BUG ID")</f>
        <v>please select a BUG ID</v>
      </c>
      <c r="D965" s="85"/>
      <c r="E965" s="85"/>
      <c r="F965" s="133"/>
      <c r="G965" s="43"/>
      <c r="I965" s="131"/>
      <c r="J965" s="131"/>
      <c r="K965" s="131"/>
      <c r="L965" s="131"/>
      <c r="M965" s="131"/>
      <c r="N965" s="43"/>
      <c r="O965" s="51"/>
    </row>
    <row r="966">
      <c r="A966" s="43"/>
      <c r="B966" s="59" t="str">
        <f>IFERROR(VLOOKUP(A966,Internal_lists_bugs!$A$2:$G2033,7,FALSE()),"please select a BUG ID")</f>
        <v>please select a BUG ID</v>
      </c>
      <c r="C966" s="51" t="str">
        <f>IFERROR(VLOOKUP(A966,Internal_lists_bugs!$A$2:$I2033,9,FALSE()),"please select a BUG ID")</f>
        <v>please select a BUG ID</v>
      </c>
      <c r="D966" s="85"/>
      <c r="E966" s="85"/>
      <c r="F966" s="133"/>
      <c r="G966" s="43"/>
      <c r="I966" s="131"/>
      <c r="J966" s="131"/>
      <c r="K966" s="131"/>
      <c r="L966" s="131"/>
      <c r="M966" s="131"/>
      <c r="N966" s="43"/>
      <c r="O966" s="51"/>
    </row>
    <row r="967">
      <c r="A967" s="43"/>
      <c r="B967" s="59" t="str">
        <f>IFERROR(VLOOKUP(A967,Internal_lists_bugs!$A$2:$G2033,7,FALSE()),"please select a BUG ID")</f>
        <v>please select a BUG ID</v>
      </c>
      <c r="C967" s="51" t="str">
        <f>IFERROR(VLOOKUP(A967,Internal_lists_bugs!$A$2:$I2033,9,FALSE()),"please select a BUG ID")</f>
        <v>please select a BUG ID</v>
      </c>
      <c r="D967" s="85"/>
      <c r="E967" s="85"/>
      <c r="F967" s="133"/>
      <c r="G967" s="43"/>
      <c r="I967" s="131"/>
      <c r="J967" s="131"/>
      <c r="K967" s="131"/>
      <c r="L967" s="131"/>
      <c r="M967" s="131"/>
      <c r="N967" s="43"/>
      <c r="O967" s="51"/>
    </row>
    <row r="968">
      <c r="A968" s="43"/>
      <c r="B968" s="59" t="str">
        <f>IFERROR(VLOOKUP(A968,Internal_lists_bugs!$A$2:$G2033,7,FALSE()),"please select a BUG ID")</f>
        <v>please select a BUG ID</v>
      </c>
      <c r="C968" s="51" t="str">
        <f>IFERROR(VLOOKUP(A968,Internal_lists_bugs!$A$2:$I2033,9,FALSE()),"please select a BUG ID")</f>
        <v>please select a BUG ID</v>
      </c>
      <c r="D968" s="85"/>
      <c r="E968" s="85"/>
      <c r="F968" s="133"/>
      <c r="G968" s="43"/>
      <c r="I968" s="131"/>
      <c r="J968" s="131"/>
      <c r="K968" s="131"/>
      <c r="L968" s="131"/>
      <c r="M968" s="131"/>
      <c r="N968" s="43"/>
      <c r="O968" s="51"/>
    </row>
    <row r="969">
      <c r="A969" s="43"/>
      <c r="B969" s="59" t="str">
        <f>IFERROR(VLOOKUP(A969,Internal_lists_bugs!$A$2:$G2033,7,FALSE()),"please select a BUG ID")</f>
        <v>please select a BUG ID</v>
      </c>
      <c r="C969" s="51" t="str">
        <f>IFERROR(VLOOKUP(A969,Internal_lists_bugs!$A$2:$I2033,9,FALSE()),"please select a BUG ID")</f>
        <v>please select a BUG ID</v>
      </c>
      <c r="D969" s="85"/>
      <c r="E969" s="85"/>
      <c r="F969" s="133"/>
      <c r="G969" s="43"/>
      <c r="I969" s="131"/>
      <c r="J969" s="131"/>
      <c r="K969" s="131"/>
      <c r="L969" s="131"/>
      <c r="M969" s="131"/>
      <c r="N969" s="43"/>
      <c r="O969" s="51"/>
    </row>
    <row r="970">
      <c r="A970" s="43"/>
      <c r="B970" s="59" t="str">
        <f>IFERROR(VLOOKUP(A970,Internal_lists_bugs!$A$2:$G2033,7,FALSE()),"please select a BUG ID")</f>
        <v>please select a BUG ID</v>
      </c>
      <c r="C970" s="51" t="str">
        <f>IFERROR(VLOOKUP(A970,Internal_lists_bugs!$A$2:$I2033,9,FALSE()),"please select a BUG ID")</f>
        <v>please select a BUG ID</v>
      </c>
      <c r="D970" s="85"/>
      <c r="E970" s="85"/>
      <c r="F970" s="133"/>
      <c r="G970" s="43"/>
      <c r="I970" s="131"/>
      <c r="J970" s="131"/>
      <c r="K970" s="131"/>
      <c r="L970" s="131"/>
      <c r="M970" s="131"/>
      <c r="N970" s="43"/>
      <c r="O970" s="51"/>
    </row>
    <row r="971">
      <c r="A971" s="43"/>
      <c r="B971" s="59" t="str">
        <f>IFERROR(VLOOKUP(A971,Internal_lists_bugs!$A$2:$G2033,7,FALSE()),"please select a BUG ID")</f>
        <v>please select a BUG ID</v>
      </c>
      <c r="C971" s="51" t="str">
        <f>IFERROR(VLOOKUP(A971,Internal_lists_bugs!$A$2:$I2033,9,FALSE()),"please select a BUG ID")</f>
        <v>please select a BUG ID</v>
      </c>
      <c r="D971" s="85"/>
      <c r="E971" s="85"/>
      <c r="F971" s="133"/>
      <c r="G971" s="43"/>
      <c r="I971" s="131"/>
      <c r="J971" s="131"/>
      <c r="K971" s="131"/>
      <c r="L971" s="131"/>
      <c r="M971" s="131"/>
      <c r="N971" s="43"/>
      <c r="O971" s="51"/>
    </row>
    <row r="972">
      <c r="A972" s="43"/>
      <c r="B972" s="59" t="str">
        <f>IFERROR(VLOOKUP(A972,Internal_lists_bugs!$A$2:$G2033,7,FALSE()),"please select a BUG ID")</f>
        <v>please select a BUG ID</v>
      </c>
      <c r="C972" s="51" t="str">
        <f>IFERROR(VLOOKUP(A972,Internal_lists_bugs!$A$2:$I2033,9,FALSE()),"please select a BUG ID")</f>
        <v>please select a BUG ID</v>
      </c>
      <c r="D972" s="85"/>
      <c r="E972" s="85"/>
      <c r="F972" s="133"/>
      <c r="G972" s="43"/>
      <c r="I972" s="131"/>
      <c r="J972" s="131"/>
      <c r="K972" s="131"/>
      <c r="L972" s="131"/>
      <c r="M972" s="131"/>
      <c r="N972" s="43"/>
      <c r="O972" s="51"/>
    </row>
    <row r="973">
      <c r="A973" s="43"/>
      <c r="B973" s="59" t="str">
        <f>IFERROR(VLOOKUP(A973,Internal_lists_bugs!$A$2:$G2033,7,FALSE()),"please select a BUG ID")</f>
        <v>please select a BUG ID</v>
      </c>
      <c r="C973" s="51" t="str">
        <f>IFERROR(VLOOKUP(A973,Internal_lists_bugs!$A$2:$I2033,9,FALSE()),"please select a BUG ID")</f>
        <v>please select a BUG ID</v>
      </c>
      <c r="D973" s="85"/>
      <c r="E973" s="85"/>
      <c r="F973" s="133"/>
      <c r="G973" s="43"/>
      <c r="I973" s="131"/>
      <c r="J973" s="131"/>
      <c r="K973" s="131"/>
      <c r="L973" s="131"/>
      <c r="M973" s="131"/>
      <c r="N973" s="43"/>
      <c r="O973" s="51"/>
    </row>
    <row r="974">
      <c r="A974" s="43"/>
      <c r="B974" s="59" t="str">
        <f>IFERROR(VLOOKUP(A974,Internal_lists_bugs!$A$2:$G2033,7,FALSE()),"please select a BUG ID")</f>
        <v>please select a BUG ID</v>
      </c>
      <c r="C974" s="51" t="str">
        <f>IFERROR(VLOOKUP(A974,Internal_lists_bugs!$A$2:$I2033,9,FALSE()),"please select a BUG ID")</f>
        <v>please select a BUG ID</v>
      </c>
      <c r="D974" s="85"/>
      <c r="E974" s="85"/>
      <c r="F974" s="133"/>
      <c r="G974" s="43"/>
      <c r="I974" s="131"/>
      <c r="J974" s="131"/>
      <c r="K974" s="131"/>
      <c r="L974" s="131"/>
      <c r="M974" s="131"/>
      <c r="N974" s="43"/>
      <c r="O974" s="51"/>
    </row>
    <row r="975">
      <c r="A975" s="43"/>
      <c r="B975" s="59" t="str">
        <f>IFERROR(VLOOKUP(A975,Internal_lists_bugs!$A$2:$G2033,7,FALSE()),"please select a BUG ID")</f>
        <v>please select a BUG ID</v>
      </c>
      <c r="C975" s="51" t="str">
        <f>IFERROR(VLOOKUP(A975,Internal_lists_bugs!$A$2:$I2033,9,FALSE()),"please select a BUG ID")</f>
        <v>please select a BUG ID</v>
      </c>
      <c r="D975" s="85"/>
      <c r="E975" s="85"/>
      <c r="F975" s="133"/>
      <c r="G975" s="43"/>
      <c r="I975" s="131"/>
      <c r="J975" s="131"/>
      <c r="K975" s="131"/>
      <c r="L975" s="131"/>
      <c r="M975" s="131"/>
      <c r="N975" s="43"/>
      <c r="O975" s="51"/>
    </row>
    <row r="976">
      <c r="A976" s="43"/>
      <c r="B976" s="59" t="str">
        <f>IFERROR(VLOOKUP(A976,Internal_lists_bugs!$A$2:$G2033,7,FALSE()),"please select a BUG ID")</f>
        <v>please select a BUG ID</v>
      </c>
      <c r="C976" s="51" t="str">
        <f>IFERROR(VLOOKUP(A976,Internal_lists_bugs!$A$2:$I2033,9,FALSE()),"please select a BUG ID")</f>
        <v>please select a BUG ID</v>
      </c>
      <c r="D976" s="85"/>
      <c r="E976" s="85"/>
      <c r="F976" s="133"/>
      <c r="G976" s="43"/>
      <c r="I976" s="131"/>
      <c r="J976" s="131"/>
      <c r="K976" s="131"/>
      <c r="L976" s="131"/>
      <c r="M976" s="131"/>
      <c r="N976" s="43"/>
      <c r="O976" s="51"/>
    </row>
    <row r="977">
      <c r="A977" s="43"/>
      <c r="B977" s="59" t="str">
        <f>IFERROR(VLOOKUP(A977,Internal_lists_bugs!$A$2:$G2033,7,FALSE()),"please select a BUG ID")</f>
        <v>please select a BUG ID</v>
      </c>
      <c r="C977" s="51" t="str">
        <f>IFERROR(VLOOKUP(A977,Internal_lists_bugs!$A$2:$I2033,9,FALSE()),"please select a BUG ID")</f>
        <v>please select a BUG ID</v>
      </c>
      <c r="D977" s="85"/>
      <c r="E977" s="85"/>
      <c r="F977" s="133"/>
      <c r="G977" s="43"/>
      <c r="I977" s="131"/>
      <c r="J977" s="131"/>
      <c r="K977" s="131"/>
      <c r="L977" s="131"/>
      <c r="M977" s="131"/>
      <c r="N977" s="43"/>
      <c r="O977" s="51"/>
    </row>
    <row r="978">
      <c r="A978" s="43"/>
      <c r="B978" s="59" t="str">
        <f>IFERROR(VLOOKUP(A978,Internal_lists_bugs!$A$2:$G2033,7,FALSE()),"please select a BUG ID")</f>
        <v>please select a BUG ID</v>
      </c>
      <c r="C978" s="51" t="str">
        <f>IFERROR(VLOOKUP(A978,Internal_lists_bugs!$A$2:$I2033,9,FALSE()),"please select a BUG ID")</f>
        <v>please select a BUG ID</v>
      </c>
      <c r="D978" s="85"/>
      <c r="E978" s="85"/>
      <c r="F978" s="133"/>
      <c r="G978" s="43"/>
      <c r="I978" s="131"/>
      <c r="J978" s="131"/>
      <c r="K978" s="131"/>
      <c r="L978" s="131"/>
      <c r="M978" s="131"/>
      <c r="N978" s="43"/>
      <c r="O978" s="51"/>
    </row>
    <row r="979">
      <c r="A979" s="43"/>
      <c r="B979" s="59" t="str">
        <f>IFERROR(VLOOKUP(A979,Internal_lists_bugs!$A$2:$G2033,7,FALSE()),"please select a BUG ID")</f>
        <v>please select a BUG ID</v>
      </c>
      <c r="C979" s="51" t="str">
        <f>IFERROR(VLOOKUP(A979,Internal_lists_bugs!$A$2:$I2033,9,FALSE()),"please select a BUG ID")</f>
        <v>please select a BUG ID</v>
      </c>
      <c r="D979" s="85"/>
      <c r="E979" s="85"/>
      <c r="F979" s="133"/>
      <c r="G979" s="43"/>
      <c r="I979" s="131"/>
      <c r="J979" s="131"/>
      <c r="K979" s="131"/>
      <c r="L979" s="131"/>
      <c r="M979" s="131"/>
      <c r="N979" s="43"/>
      <c r="O979" s="51"/>
    </row>
    <row r="980">
      <c r="A980" s="43"/>
      <c r="B980" s="59" t="str">
        <f>IFERROR(VLOOKUP(A980,Internal_lists_bugs!$A$2:$G2033,7,FALSE()),"please select a BUG ID")</f>
        <v>please select a BUG ID</v>
      </c>
      <c r="C980" s="51" t="str">
        <f>IFERROR(VLOOKUP(A980,Internal_lists_bugs!$A$2:$I2033,9,FALSE()),"please select a BUG ID")</f>
        <v>please select a BUG ID</v>
      </c>
      <c r="D980" s="85"/>
      <c r="E980" s="85"/>
      <c r="F980" s="133"/>
      <c r="G980" s="43"/>
      <c r="I980" s="131"/>
      <c r="J980" s="131"/>
      <c r="K980" s="131"/>
      <c r="L980" s="131"/>
      <c r="M980" s="131"/>
      <c r="N980" s="43"/>
      <c r="O980" s="51"/>
    </row>
    <row r="981">
      <c r="A981" s="43"/>
      <c r="B981" s="59" t="str">
        <f>IFERROR(VLOOKUP(A981,Internal_lists_bugs!$A$2:$G2033,7,FALSE()),"please select a BUG ID")</f>
        <v>please select a BUG ID</v>
      </c>
      <c r="C981" s="51" t="str">
        <f>IFERROR(VLOOKUP(A981,Internal_lists_bugs!$A$2:$I2033,9,FALSE()),"please select a BUG ID")</f>
        <v>please select a BUG ID</v>
      </c>
      <c r="D981" s="85"/>
      <c r="E981" s="85"/>
      <c r="F981" s="133"/>
      <c r="G981" s="43"/>
      <c r="I981" s="131"/>
      <c r="J981" s="131"/>
      <c r="K981" s="131"/>
      <c r="L981" s="131"/>
      <c r="M981" s="131"/>
      <c r="N981" s="43"/>
      <c r="O981" s="51"/>
    </row>
    <row r="982">
      <c r="A982" s="43"/>
      <c r="B982" s="59" t="str">
        <f>IFERROR(VLOOKUP(A982,Internal_lists_bugs!$A$2:$G2033,7,FALSE()),"please select a BUG ID")</f>
        <v>please select a BUG ID</v>
      </c>
      <c r="C982" s="51" t="str">
        <f>IFERROR(VLOOKUP(A982,Internal_lists_bugs!$A$2:$I2033,9,FALSE()),"please select a BUG ID")</f>
        <v>please select a BUG ID</v>
      </c>
      <c r="D982" s="85"/>
      <c r="E982" s="85"/>
      <c r="F982" s="133"/>
      <c r="G982" s="43"/>
      <c r="I982" s="131"/>
      <c r="J982" s="131"/>
      <c r="K982" s="131"/>
      <c r="L982" s="131"/>
      <c r="M982" s="131"/>
      <c r="N982" s="43"/>
      <c r="O982" s="51"/>
    </row>
    <row r="983">
      <c r="A983" s="43"/>
      <c r="B983" s="59" t="str">
        <f>IFERROR(VLOOKUP(A983,Internal_lists_bugs!$A$2:$G2033,7,FALSE()),"please select a BUG ID")</f>
        <v>please select a BUG ID</v>
      </c>
      <c r="C983" s="51" t="str">
        <f>IFERROR(VLOOKUP(A983,Internal_lists_bugs!$A$2:$I2033,9,FALSE()),"please select a BUG ID")</f>
        <v>please select a BUG ID</v>
      </c>
      <c r="D983" s="85"/>
      <c r="E983" s="85"/>
      <c r="F983" s="133"/>
      <c r="G983" s="43"/>
      <c r="I983" s="131"/>
      <c r="J983" s="131"/>
      <c r="K983" s="131"/>
      <c r="L983" s="131"/>
      <c r="M983" s="131"/>
      <c r="N983" s="43"/>
      <c r="O983" s="51"/>
    </row>
    <row r="984">
      <c r="A984" s="43"/>
      <c r="B984" s="59" t="str">
        <f>IFERROR(VLOOKUP(A984,Internal_lists_bugs!$A$2:$G2033,7,FALSE()),"please select a BUG ID")</f>
        <v>please select a BUG ID</v>
      </c>
      <c r="C984" s="51" t="str">
        <f>IFERROR(VLOOKUP(A984,Internal_lists_bugs!$A$2:$I2033,9,FALSE()),"please select a BUG ID")</f>
        <v>please select a BUG ID</v>
      </c>
      <c r="D984" s="85"/>
      <c r="E984" s="85"/>
      <c r="F984" s="133"/>
      <c r="G984" s="43"/>
      <c r="I984" s="131"/>
      <c r="J984" s="131"/>
      <c r="K984" s="131"/>
      <c r="L984" s="131"/>
      <c r="M984" s="131"/>
      <c r="N984" s="43"/>
      <c r="O984" s="51"/>
    </row>
    <row r="985">
      <c r="A985" s="43"/>
      <c r="B985" s="59" t="str">
        <f>IFERROR(VLOOKUP(A985,Internal_lists_bugs!$A$2:$G2033,7,FALSE()),"please select a BUG ID")</f>
        <v>please select a BUG ID</v>
      </c>
      <c r="C985" s="51" t="str">
        <f>IFERROR(VLOOKUP(A985,Internal_lists_bugs!$A$2:$I2033,9,FALSE()),"please select a BUG ID")</f>
        <v>please select a BUG ID</v>
      </c>
      <c r="D985" s="85"/>
      <c r="E985" s="85"/>
      <c r="F985" s="133"/>
      <c r="G985" s="43"/>
      <c r="I985" s="131"/>
      <c r="J985" s="131"/>
      <c r="K985" s="131"/>
      <c r="L985" s="131"/>
      <c r="M985" s="131"/>
      <c r="N985" s="43"/>
      <c r="O985" s="51"/>
    </row>
    <row r="986">
      <c r="A986" s="43"/>
      <c r="B986" s="59" t="str">
        <f>IFERROR(VLOOKUP(A986,Internal_lists_bugs!$A$2:$G2033,7,FALSE()),"please select a BUG ID")</f>
        <v>please select a BUG ID</v>
      </c>
      <c r="C986" s="51" t="str">
        <f>IFERROR(VLOOKUP(A986,Internal_lists_bugs!$A$2:$I2033,9,FALSE()),"please select a BUG ID")</f>
        <v>please select a BUG ID</v>
      </c>
      <c r="D986" s="85"/>
      <c r="E986" s="85"/>
      <c r="F986" s="133"/>
      <c r="G986" s="43"/>
      <c r="I986" s="131"/>
      <c r="J986" s="131"/>
      <c r="K986" s="131"/>
      <c r="L986" s="131"/>
      <c r="M986" s="131"/>
      <c r="N986" s="43"/>
      <c r="O986" s="51"/>
    </row>
    <row r="987">
      <c r="A987" s="43"/>
      <c r="B987" s="59" t="str">
        <f>IFERROR(VLOOKUP(A987,Internal_lists_bugs!$A$2:$G2033,7,FALSE()),"please select a BUG ID")</f>
        <v>please select a BUG ID</v>
      </c>
      <c r="C987" s="51" t="str">
        <f>IFERROR(VLOOKUP(A987,Internal_lists_bugs!$A$2:$I2033,9,FALSE()),"please select a BUG ID")</f>
        <v>please select a BUG ID</v>
      </c>
      <c r="D987" s="85"/>
      <c r="E987" s="85"/>
      <c r="F987" s="133"/>
      <c r="G987" s="43"/>
      <c r="H987" s="115"/>
      <c r="I987" s="131"/>
      <c r="J987" s="131"/>
      <c r="K987" s="131"/>
      <c r="L987" s="131"/>
      <c r="M987" s="131"/>
      <c r="N987" s="43"/>
      <c r="O987" s="51"/>
    </row>
    <row r="988">
      <c r="A988" s="43"/>
      <c r="B988" s="59" t="str">
        <f>IFERROR(VLOOKUP(A988,Internal_lists_bugs!$A$2:$G2033,7,FALSE()),"please select a BUG ID")</f>
        <v>please select a BUG ID</v>
      </c>
      <c r="C988" s="51" t="str">
        <f>IFERROR(VLOOKUP(A988,Internal_lists_bugs!$A$2:$I2033,9,FALSE()),"please select a BUG ID")</f>
        <v>please select a BUG ID</v>
      </c>
      <c r="D988" s="85"/>
      <c r="E988" s="85"/>
      <c r="F988" s="133"/>
      <c r="G988" s="43"/>
      <c r="H988" s="115"/>
      <c r="I988" s="131"/>
      <c r="J988" s="131"/>
      <c r="K988" s="131"/>
      <c r="L988" s="131"/>
      <c r="M988" s="131"/>
      <c r="N988" s="43"/>
      <c r="O988" s="51"/>
    </row>
    <row r="989">
      <c r="A989" s="43"/>
      <c r="B989" s="59" t="str">
        <f>IFERROR(VLOOKUP(A989,Internal_lists_bugs!$A$2:$G2033,7,FALSE()),"please select a BUG ID")</f>
        <v>please select a BUG ID</v>
      </c>
      <c r="C989" s="51" t="str">
        <f>IFERROR(VLOOKUP(A989,Internal_lists_bugs!$A$2:$I2033,9,FALSE()),"please select a BUG ID")</f>
        <v>please select a BUG ID</v>
      </c>
      <c r="D989" s="85"/>
      <c r="E989" s="85"/>
      <c r="F989" s="133"/>
      <c r="G989" s="43"/>
      <c r="H989" s="115"/>
      <c r="I989" s="131"/>
      <c r="J989" s="131"/>
      <c r="K989" s="131"/>
      <c r="L989" s="131"/>
      <c r="M989" s="131"/>
      <c r="N989" s="43"/>
      <c r="O989" s="51"/>
    </row>
    <row r="990">
      <c r="A990" s="43"/>
      <c r="B990" s="59" t="str">
        <f>IFERROR(VLOOKUP(A990,Internal_lists_bugs!$A$2:$G2033,7,FALSE()),"please select a BUG ID")</f>
        <v>please select a BUG ID</v>
      </c>
      <c r="C990" s="51" t="str">
        <f>IFERROR(VLOOKUP(A990,Internal_lists_bugs!$A$2:$I2033,9,FALSE()),"please select a BUG ID")</f>
        <v>please select a BUG ID</v>
      </c>
      <c r="D990" s="85"/>
      <c r="E990" s="85"/>
      <c r="F990" s="133"/>
      <c r="G990" s="43"/>
      <c r="H990" s="115"/>
      <c r="I990" s="131"/>
      <c r="J990" s="131"/>
      <c r="K990" s="131"/>
      <c r="L990" s="131"/>
      <c r="M990" s="131"/>
      <c r="N990" s="43"/>
      <c r="O990" s="51"/>
    </row>
    <row r="991">
      <c r="A991" s="43"/>
      <c r="B991" s="59" t="str">
        <f>IFERROR(VLOOKUP(A991,Internal_lists_bugs!$A$2:$G2033,7,FALSE()),"please select a BUG ID")</f>
        <v>please select a BUG ID</v>
      </c>
      <c r="C991" s="51" t="str">
        <f>IFERROR(VLOOKUP(A991,Internal_lists_bugs!$A$2:$I2033,9,FALSE()),"please select a BUG ID")</f>
        <v>please select a BUG ID</v>
      </c>
      <c r="D991" s="85"/>
      <c r="E991" s="85"/>
      <c r="F991" s="133"/>
      <c r="G991" s="43"/>
      <c r="H991" s="115"/>
      <c r="I991" s="131"/>
      <c r="J991" s="131"/>
      <c r="K991" s="131"/>
      <c r="L991" s="131"/>
      <c r="M991" s="131"/>
      <c r="N991" s="43"/>
      <c r="O991" s="51"/>
    </row>
    <row r="992">
      <c r="A992" s="43"/>
      <c r="B992" s="59" t="str">
        <f>IFERROR(VLOOKUP(A992,Internal_lists_bugs!$A$2:$G2033,7,FALSE()),"please select a BUG ID")</f>
        <v>please select a BUG ID</v>
      </c>
      <c r="C992" s="51" t="str">
        <f>IFERROR(VLOOKUP(A992,Internal_lists_bugs!$A$2:$I2033,9,FALSE()),"please select a BUG ID")</f>
        <v>please select a BUG ID</v>
      </c>
      <c r="D992" s="85"/>
      <c r="E992" s="85"/>
      <c r="F992" s="133"/>
      <c r="G992" s="43"/>
      <c r="H992" s="115"/>
      <c r="I992" s="131"/>
      <c r="J992" s="131"/>
      <c r="K992" s="131"/>
      <c r="L992" s="131"/>
      <c r="M992" s="131"/>
      <c r="N992" s="43"/>
      <c r="O992" s="51"/>
    </row>
    <row r="993">
      <c r="A993" s="43"/>
      <c r="B993" s="59" t="str">
        <f>IFERROR(VLOOKUP(A993,Internal_lists_bugs!$A$2:$G2033,7,FALSE()),"please select a BUG ID")</f>
        <v>please select a BUG ID</v>
      </c>
      <c r="C993" s="51" t="str">
        <f>IFERROR(VLOOKUP(A993,Internal_lists_bugs!$A$2:$I2033,9,FALSE()),"please select a BUG ID")</f>
        <v>please select a BUG ID</v>
      </c>
      <c r="D993" s="85"/>
      <c r="E993" s="85"/>
      <c r="F993" s="133"/>
      <c r="G993" s="43"/>
      <c r="H993" s="115"/>
      <c r="I993" s="131"/>
      <c r="J993" s="131"/>
      <c r="K993" s="131"/>
      <c r="L993" s="131"/>
      <c r="M993" s="131"/>
      <c r="N993" s="43"/>
      <c r="O993" s="51"/>
    </row>
    <row r="994">
      <c r="A994" s="43"/>
      <c r="B994" s="59" t="str">
        <f>IFERROR(VLOOKUP(A994,Internal_lists_bugs!$A$2:$G2033,7,FALSE()),"please select a BUG ID")</f>
        <v>please select a BUG ID</v>
      </c>
      <c r="C994" s="51" t="str">
        <f>IFERROR(VLOOKUP(A994,Internal_lists_bugs!$A$2:$I2033,9,FALSE()),"please select a BUG ID")</f>
        <v>please select a BUG ID</v>
      </c>
      <c r="D994" s="85"/>
      <c r="E994" s="85"/>
      <c r="F994" s="133"/>
      <c r="G994" s="43"/>
      <c r="H994" s="115"/>
      <c r="I994" s="131"/>
      <c r="J994" s="131"/>
      <c r="K994" s="131"/>
      <c r="L994" s="131"/>
      <c r="M994" s="131"/>
      <c r="N994" s="43"/>
      <c r="O994" s="51"/>
    </row>
    <row r="995">
      <c r="A995" s="43"/>
      <c r="B995" s="59" t="str">
        <f>IFERROR(VLOOKUP(A995,Internal_lists_bugs!$A$2:$G2033,7,FALSE()),"please select a BUG ID")</f>
        <v>please select a BUG ID</v>
      </c>
      <c r="C995" s="51" t="str">
        <f>IFERROR(VLOOKUP(A995,Internal_lists_bugs!$A$2:$I2033,9,FALSE()),"please select a BUG ID")</f>
        <v>please select a BUG ID</v>
      </c>
      <c r="D995" s="85"/>
      <c r="E995" s="85"/>
      <c r="F995" s="133"/>
      <c r="G995" s="43"/>
      <c r="I995" s="131"/>
      <c r="J995" s="131"/>
      <c r="K995" s="131"/>
      <c r="L995" s="131"/>
      <c r="M995" s="131"/>
      <c r="N995" s="43"/>
      <c r="O995" s="51"/>
    </row>
    <row r="996">
      <c r="A996" s="43"/>
      <c r="B996" s="59" t="str">
        <f>IFERROR(VLOOKUP(A996,Internal_lists_bugs!$A$2:$G2033,7,FALSE()),"please select a BUG ID")</f>
        <v>please select a BUG ID</v>
      </c>
      <c r="C996" s="51" t="str">
        <f>IFERROR(VLOOKUP(A996,Internal_lists_bugs!$A$2:$I2033,9,FALSE()),"please select a BUG ID")</f>
        <v>please select a BUG ID</v>
      </c>
      <c r="D996" s="85"/>
      <c r="E996" s="85"/>
      <c r="F996" s="133"/>
      <c r="G996" s="43"/>
      <c r="I996" s="131"/>
      <c r="J996" s="131"/>
      <c r="K996" s="131"/>
      <c r="L996" s="131"/>
      <c r="M996" s="131"/>
      <c r="N996" s="43"/>
      <c r="O996" s="51"/>
    </row>
    <row r="997">
      <c r="A997" s="43"/>
      <c r="B997" s="59" t="str">
        <f>IFERROR(VLOOKUP(A997,Internal_lists_bugs!$A$2:$G2033,7,FALSE()),"please select a BUG ID")</f>
        <v>please select a BUG ID</v>
      </c>
      <c r="C997" s="51" t="str">
        <f>IFERROR(VLOOKUP(A997,Internal_lists_bugs!$A$2:$I2033,9,FALSE()),"please select a BUG ID")</f>
        <v>please select a BUG ID</v>
      </c>
      <c r="D997" s="85"/>
      <c r="E997" s="85"/>
      <c r="F997" s="133"/>
      <c r="G997" s="43"/>
      <c r="I997" s="131"/>
      <c r="J997" s="131"/>
      <c r="K997" s="131"/>
      <c r="L997" s="131"/>
      <c r="M997" s="131"/>
      <c r="N997" s="43"/>
      <c r="O997" s="51"/>
    </row>
    <row r="998">
      <c r="A998" s="43"/>
      <c r="B998" s="59" t="str">
        <f>IFERROR(VLOOKUP(A998,Internal_lists_bugs!$A$2:$G2033,7,FALSE()),"please select a BUG ID")</f>
        <v>please select a BUG ID</v>
      </c>
      <c r="C998" s="51" t="str">
        <f>IFERROR(VLOOKUP(A998,Internal_lists_bugs!$A$2:$I2033,9,FALSE()),"please select a BUG ID")</f>
        <v>please select a BUG ID</v>
      </c>
      <c r="D998" s="85"/>
      <c r="E998" s="85"/>
      <c r="F998" s="133"/>
      <c r="G998" s="43"/>
      <c r="I998" s="131"/>
      <c r="J998" s="131"/>
      <c r="K998" s="131"/>
      <c r="L998" s="131"/>
      <c r="M998" s="131"/>
      <c r="N998" s="43"/>
      <c r="O998" s="51"/>
    </row>
    <row r="999">
      <c r="A999" s="43"/>
      <c r="B999" s="59" t="str">
        <f>IFERROR(VLOOKUP(A999,Internal_lists_bugs!$A$2:$G2033,7,FALSE()),"please select a BUG ID")</f>
        <v>please select a BUG ID</v>
      </c>
      <c r="C999" s="51" t="str">
        <f>IFERROR(VLOOKUP(A999,Internal_lists_bugs!$A$2:$I2033,9,FALSE()),"please select a BUG ID")</f>
        <v>please select a BUG ID</v>
      </c>
      <c r="D999" s="85"/>
      <c r="E999" s="85"/>
      <c r="F999" s="133"/>
      <c r="G999" s="43"/>
      <c r="H999" s="115"/>
      <c r="I999" s="131"/>
      <c r="J999" s="131"/>
      <c r="K999" s="131"/>
      <c r="L999" s="131"/>
      <c r="M999" s="131"/>
      <c r="N999" s="43"/>
      <c r="O999" s="51"/>
    </row>
    <row r="1000">
      <c r="A1000" s="43"/>
      <c r="B1000" s="59" t="str">
        <f>IFERROR(VLOOKUP(A1000,Internal_lists_bugs!$A$2:$G2033,7,FALSE()),"please select a BUG ID")</f>
        <v>please select a BUG ID</v>
      </c>
      <c r="C1000" s="51" t="str">
        <f>IFERROR(VLOOKUP(A1000,Internal_lists_bugs!$A$2:$I2033,9,FALSE()),"please select a BUG ID")</f>
        <v>please select a BUG ID</v>
      </c>
      <c r="D1000" s="85"/>
      <c r="E1000" s="85"/>
      <c r="F1000" s="133"/>
      <c r="G1000" s="43"/>
      <c r="H1000" s="115"/>
      <c r="I1000" s="131"/>
      <c r="J1000" s="131"/>
      <c r="K1000" s="131"/>
      <c r="L1000" s="131"/>
      <c r="M1000" s="131"/>
      <c r="N1000" s="43"/>
      <c r="O1000" s="51"/>
    </row>
    <row r="1001">
      <c r="A1001" s="43"/>
      <c r="B1001" s="59" t="str">
        <f>IFERROR(VLOOKUP(A1001,Internal_lists_bugs!$A$2:$G2033,7,FALSE()),"please select a BUG ID")</f>
        <v>please select a BUG ID</v>
      </c>
      <c r="C1001" s="51" t="str">
        <f>IFERROR(VLOOKUP(A1001,Internal_lists_bugs!$A$2:$I2033,9,FALSE()),"please select a BUG ID")</f>
        <v>please select a BUG ID</v>
      </c>
      <c r="D1001" s="85"/>
      <c r="E1001" s="85"/>
      <c r="F1001" s="133"/>
      <c r="G1001" s="43"/>
      <c r="H1001" s="115"/>
      <c r="I1001" s="131"/>
      <c r="J1001" s="131"/>
      <c r="K1001" s="131"/>
      <c r="L1001" s="131"/>
      <c r="M1001" s="131"/>
      <c r="N1001" s="43"/>
      <c r="O1001" s="51"/>
    </row>
    <row r="1002">
      <c r="A1002" s="43"/>
      <c r="B1002" s="59" t="str">
        <f>IFERROR(VLOOKUP(A1002,Internal_lists_bugs!$A$2:$G2033,7,FALSE()),"please select a BUG ID")</f>
        <v>please select a BUG ID</v>
      </c>
      <c r="C1002" s="51" t="str">
        <f>IFERROR(VLOOKUP(A1002,Internal_lists_bugs!$A$2:$I2033,9,FALSE()),"please select a BUG ID")</f>
        <v>please select a BUG ID</v>
      </c>
      <c r="D1002" s="85"/>
      <c r="E1002" s="85"/>
      <c r="F1002" s="133"/>
      <c r="G1002" s="43"/>
      <c r="H1002" s="115"/>
      <c r="I1002" s="131"/>
      <c r="J1002" s="131"/>
      <c r="K1002" s="131"/>
      <c r="L1002" s="131"/>
      <c r="M1002" s="131"/>
      <c r="N1002" s="43"/>
      <c r="O1002" s="51"/>
    </row>
    <row r="1003">
      <c r="A1003" s="43"/>
      <c r="B1003" s="59" t="str">
        <f>IFERROR(VLOOKUP(A1003,Internal_lists_bugs!$A$2:$G2033,7,FALSE()),"please select a BUG ID")</f>
        <v>please select a BUG ID</v>
      </c>
      <c r="C1003" s="51" t="str">
        <f>IFERROR(VLOOKUP(A1003,Internal_lists_bugs!$A$2:$I2033,9,FALSE()),"please select a BUG ID")</f>
        <v>please select a BUG ID</v>
      </c>
      <c r="D1003" s="85"/>
      <c r="E1003" s="85"/>
      <c r="F1003" s="133"/>
      <c r="G1003" s="43"/>
      <c r="H1003" s="115"/>
      <c r="I1003" s="131"/>
      <c r="J1003" s="131"/>
      <c r="K1003" s="131"/>
      <c r="L1003" s="131"/>
      <c r="M1003" s="131"/>
      <c r="N1003" s="43"/>
      <c r="O1003" s="51"/>
    </row>
    <row r="1004">
      <c r="A1004" s="43"/>
      <c r="B1004" s="59" t="str">
        <f>IFERROR(VLOOKUP(A1004,Internal_lists_bugs!$A$2:$G2033,7,FALSE()),"please select a BUG ID")</f>
        <v>please select a BUG ID</v>
      </c>
      <c r="C1004" s="51" t="str">
        <f>IFERROR(VLOOKUP(A1004,Internal_lists_bugs!$A$2:$I2033,9,FALSE()),"please select a BUG ID")</f>
        <v>please select a BUG ID</v>
      </c>
      <c r="D1004" s="85"/>
      <c r="E1004" s="85"/>
      <c r="F1004" s="133"/>
      <c r="G1004" s="43"/>
      <c r="I1004" s="131"/>
      <c r="J1004" s="131"/>
      <c r="K1004" s="131"/>
      <c r="L1004" s="131"/>
      <c r="M1004" s="131"/>
      <c r="N1004" s="43"/>
      <c r="O1004" s="51"/>
    </row>
    <row r="1005">
      <c r="A1005" s="43"/>
      <c r="B1005" s="59" t="str">
        <f>IFERROR(VLOOKUP(A1005,Internal_lists_bugs!$A$2:$G2033,7,FALSE()),"please select a BUG ID")</f>
        <v>please select a BUG ID</v>
      </c>
      <c r="C1005" s="51" t="str">
        <f>IFERROR(VLOOKUP(A1005,Internal_lists_bugs!$A$2:$I2033,9,FALSE()),"please select a BUG ID")</f>
        <v>please select a BUG ID</v>
      </c>
      <c r="D1005" s="85"/>
      <c r="E1005" s="85"/>
      <c r="F1005" s="133"/>
      <c r="G1005" s="43"/>
      <c r="I1005" s="131"/>
      <c r="J1005" s="131"/>
      <c r="K1005" s="131"/>
      <c r="L1005" s="131"/>
      <c r="M1005" s="131"/>
      <c r="N1005" s="43"/>
      <c r="O1005" s="51"/>
    </row>
    <row r="1006">
      <c r="A1006" s="43"/>
      <c r="B1006" s="59" t="str">
        <f>IFERROR(VLOOKUP(A1006,Internal_lists_bugs!$A$2:$G2033,7,FALSE()),"please select a BUG ID")</f>
        <v>please select a BUG ID</v>
      </c>
      <c r="C1006" s="51" t="str">
        <f>IFERROR(VLOOKUP(A1006,Internal_lists_bugs!$A$2:$I2033,9,FALSE()),"please select a BUG ID")</f>
        <v>please select a BUG ID</v>
      </c>
      <c r="D1006" s="85"/>
      <c r="E1006" s="85"/>
      <c r="F1006" s="133"/>
      <c r="G1006" s="43"/>
      <c r="I1006" s="131"/>
      <c r="J1006" s="131"/>
      <c r="K1006" s="131"/>
      <c r="L1006" s="131"/>
      <c r="M1006" s="131"/>
      <c r="N1006" s="43"/>
      <c r="O1006" s="51"/>
    </row>
    <row r="1007">
      <c r="A1007" s="43"/>
      <c r="B1007" s="59" t="str">
        <f>IFERROR(VLOOKUP(A1007,Internal_lists_bugs!$A$2:$G2033,7,FALSE()),"please select a BUG ID")</f>
        <v>please select a BUG ID</v>
      </c>
      <c r="C1007" s="51" t="str">
        <f>IFERROR(VLOOKUP(A1007,Internal_lists_bugs!$A$2:$I2033,9,FALSE()),"please select a BUG ID")</f>
        <v>please select a BUG ID</v>
      </c>
      <c r="D1007" s="85"/>
      <c r="E1007" s="85"/>
      <c r="F1007" s="133"/>
      <c r="G1007" s="43"/>
      <c r="I1007" s="131"/>
      <c r="J1007" s="131"/>
      <c r="K1007" s="131"/>
      <c r="L1007" s="131"/>
      <c r="M1007" s="131"/>
      <c r="N1007" s="43"/>
      <c r="O1007" s="51"/>
    </row>
    <row r="1008">
      <c r="A1008" s="43"/>
      <c r="B1008" s="59" t="str">
        <f>IFERROR(VLOOKUP(A1008,Internal_lists_bugs!$A$2:$G2033,7,FALSE()),"please select a BUG ID")</f>
        <v>please select a BUG ID</v>
      </c>
      <c r="C1008" s="51" t="str">
        <f>IFERROR(VLOOKUP(A1008,Internal_lists_bugs!$A$2:$I2033,9,FALSE()),"please select a BUG ID")</f>
        <v>please select a BUG ID</v>
      </c>
      <c r="D1008" s="85"/>
      <c r="E1008" s="85"/>
      <c r="F1008" s="133"/>
      <c r="G1008" s="43"/>
      <c r="I1008" s="131"/>
      <c r="J1008" s="131"/>
      <c r="K1008" s="131"/>
      <c r="L1008" s="131"/>
      <c r="M1008" s="131"/>
      <c r="N1008" s="43"/>
      <c r="O1008" s="51"/>
    </row>
    <row r="1009">
      <c r="A1009" s="43"/>
      <c r="B1009" s="59" t="str">
        <f>IFERROR(VLOOKUP(A1009,Internal_lists_bugs!$A$2:$G2033,7,FALSE()),"please select a BUG ID")</f>
        <v>please select a BUG ID</v>
      </c>
      <c r="C1009" s="51" t="str">
        <f>IFERROR(VLOOKUP(A1009,Internal_lists_bugs!$A$2:$I2033,9,FALSE()),"please select a BUG ID")</f>
        <v>please select a BUG ID</v>
      </c>
      <c r="D1009" s="85"/>
      <c r="E1009" s="85"/>
      <c r="F1009" s="133"/>
      <c r="G1009" s="43"/>
      <c r="I1009" s="131"/>
      <c r="J1009" s="131"/>
      <c r="K1009" s="131"/>
      <c r="L1009" s="131"/>
      <c r="M1009" s="131"/>
      <c r="N1009" s="43"/>
      <c r="O1009" s="51"/>
    </row>
    <row r="1010">
      <c r="A1010" s="43"/>
      <c r="B1010" s="59" t="str">
        <f>IFERROR(VLOOKUP(A1010,Internal_lists_bugs!$A$2:$G2033,7,FALSE()),"please select a BUG ID")</f>
        <v>please select a BUG ID</v>
      </c>
      <c r="C1010" s="51" t="str">
        <f>IFERROR(VLOOKUP(A1010,Internal_lists_bugs!$A$2:$I2033,9,FALSE()),"please select a BUG ID")</f>
        <v>please select a BUG ID</v>
      </c>
      <c r="D1010" s="85"/>
      <c r="E1010" s="85"/>
      <c r="F1010" s="133"/>
      <c r="G1010" s="43"/>
      <c r="I1010" s="131"/>
      <c r="J1010" s="131"/>
      <c r="K1010" s="131"/>
      <c r="L1010" s="131"/>
      <c r="M1010" s="131"/>
      <c r="N1010" s="43"/>
      <c r="O1010" s="51"/>
    </row>
    <row r="1011">
      <c r="A1011" s="43"/>
      <c r="B1011" s="59" t="str">
        <f>IFERROR(VLOOKUP(A1011,Internal_lists_bugs!$A$2:$G2033,7,FALSE()),"please select a BUG ID")</f>
        <v>please select a BUG ID</v>
      </c>
      <c r="C1011" s="51" t="str">
        <f>IFERROR(VLOOKUP(A1011,Internal_lists_bugs!$A$2:$I2033,9,FALSE()),"please select a BUG ID")</f>
        <v>please select a BUG ID</v>
      </c>
      <c r="D1011" s="85"/>
      <c r="E1011" s="85"/>
      <c r="F1011" s="133"/>
      <c r="G1011" s="43"/>
      <c r="I1011" s="131"/>
      <c r="J1011" s="131"/>
      <c r="K1011" s="131"/>
      <c r="L1011" s="131"/>
      <c r="M1011" s="131"/>
      <c r="N1011" s="43"/>
      <c r="O1011" s="51"/>
    </row>
    <row r="1012">
      <c r="A1012" s="43"/>
      <c r="B1012" s="59" t="str">
        <f>IFERROR(VLOOKUP(A1012,Internal_lists_bugs!$A$2:$G2033,7,FALSE()),"please select a BUG ID")</f>
        <v>please select a BUG ID</v>
      </c>
      <c r="C1012" s="51" t="str">
        <f>IFERROR(VLOOKUP(A1012,Internal_lists_bugs!$A$2:$I2033,9,FALSE()),"please select a BUG ID")</f>
        <v>please select a BUG ID</v>
      </c>
      <c r="D1012" s="85"/>
      <c r="E1012" s="85"/>
      <c r="F1012" s="133"/>
      <c r="G1012" s="43"/>
      <c r="I1012" s="131"/>
      <c r="J1012" s="131"/>
      <c r="K1012" s="131"/>
      <c r="L1012" s="131"/>
      <c r="M1012" s="131"/>
      <c r="N1012" s="43"/>
      <c r="O1012" s="51"/>
    </row>
    <row r="1013">
      <c r="A1013" s="43"/>
      <c r="B1013" s="59" t="str">
        <f>IFERROR(VLOOKUP(A1013,Internal_lists_bugs!$A$2:$G2033,7,FALSE()),"please select a BUG ID")</f>
        <v>please select a BUG ID</v>
      </c>
      <c r="C1013" s="51" t="str">
        <f>IFERROR(VLOOKUP(A1013,Internal_lists_bugs!$A$2:$I2033,9,FALSE()),"please select a BUG ID")</f>
        <v>please select a BUG ID</v>
      </c>
      <c r="D1013" s="85"/>
      <c r="E1013" s="85"/>
      <c r="F1013" s="133"/>
      <c r="G1013" s="43"/>
      <c r="I1013" s="131"/>
      <c r="J1013" s="131"/>
      <c r="K1013" s="131"/>
      <c r="L1013" s="131"/>
      <c r="M1013" s="131"/>
      <c r="N1013" s="43"/>
      <c r="O1013" s="51"/>
    </row>
    <row r="1014">
      <c r="A1014" s="43"/>
      <c r="B1014" s="59" t="str">
        <f>IFERROR(VLOOKUP(A1014,Internal_lists_bugs!$A$2:$G2033,7,FALSE()),"please select a BUG ID")</f>
        <v>please select a BUG ID</v>
      </c>
      <c r="C1014" s="51" t="str">
        <f>IFERROR(VLOOKUP(A1014,Internal_lists_bugs!$A$2:$I2033,9,FALSE()),"please select a BUG ID")</f>
        <v>please select a BUG ID</v>
      </c>
      <c r="D1014" s="85"/>
      <c r="E1014" s="85"/>
      <c r="F1014" s="133"/>
      <c r="G1014" s="43"/>
      <c r="I1014" s="131"/>
      <c r="J1014" s="131"/>
      <c r="K1014" s="131"/>
      <c r="L1014" s="131"/>
      <c r="M1014" s="131"/>
      <c r="N1014" s="43"/>
      <c r="O1014" s="51"/>
    </row>
    <row r="1015">
      <c r="A1015" s="43"/>
      <c r="B1015" s="59" t="str">
        <f>IFERROR(VLOOKUP(A1015,Internal_lists_bugs!$A$2:$G2033,7,FALSE()),"please select a BUG ID")</f>
        <v>please select a BUG ID</v>
      </c>
      <c r="C1015" s="51" t="str">
        <f>IFERROR(VLOOKUP(A1015,Internal_lists_bugs!$A$2:$I2033,9,FALSE()),"please select a BUG ID")</f>
        <v>please select a BUG ID</v>
      </c>
      <c r="D1015" s="85"/>
      <c r="E1015" s="85"/>
      <c r="F1015" s="133"/>
      <c r="G1015" s="43"/>
      <c r="I1015" s="131"/>
      <c r="J1015" s="131"/>
      <c r="K1015" s="131"/>
      <c r="L1015" s="131"/>
      <c r="M1015" s="131"/>
      <c r="N1015" s="43"/>
      <c r="O1015" s="51"/>
    </row>
    <row r="1016">
      <c r="A1016" s="43"/>
      <c r="B1016" s="59" t="str">
        <f>IFERROR(VLOOKUP(A1016,Internal_lists_bugs!$A$2:$G2033,7,FALSE()),"please select a BUG ID")</f>
        <v>please select a BUG ID</v>
      </c>
      <c r="C1016" s="51" t="str">
        <f>IFERROR(VLOOKUP(A1016,Internal_lists_bugs!$A$2:$I2033,9,FALSE()),"please select a BUG ID")</f>
        <v>please select a BUG ID</v>
      </c>
      <c r="D1016" s="62"/>
      <c r="E1016" s="85"/>
      <c r="F1016" s="133"/>
      <c r="G1016" s="43"/>
      <c r="I1016" s="131"/>
      <c r="J1016" s="131"/>
      <c r="K1016" s="131"/>
      <c r="L1016" s="131"/>
      <c r="M1016" s="131"/>
      <c r="N1016" s="43"/>
      <c r="O1016" s="51"/>
    </row>
    <row r="1017">
      <c r="A1017" s="43"/>
      <c r="B1017" s="59" t="str">
        <f>IFERROR(VLOOKUP(A1017,Internal_lists_bugs!$A$2:$G2033,7,FALSE()),"please select a BUG ID")</f>
        <v>please select a BUG ID</v>
      </c>
      <c r="C1017" s="51" t="str">
        <f>IFERROR(VLOOKUP(A1017,Internal_lists_bugs!$A$2:$I2033,9,FALSE()),"please select a BUG ID")</f>
        <v>please select a BUG ID</v>
      </c>
      <c r="D1017" s="62"/>
      <c r="E1017" s="85"/>
      <c r="F1017" s="133"/>
      <c r="G1017" s="41"/>
      <c r="I1017" s="131"/>
      <c r="J1017" s="131"/>
      <c r="K1017" s="131"/>
      <c r="L1017" s="131"/>
      <c r="M1017" s="131"/>
      <c r="N1017" s="43"/>
      <c r="O1017" s="51"/>
    </row>
    <row r="1018">
      <c r="A1018" s="43"/>
      <c r="B1018" s="59" t="str">
        <f>IFERROR(VLOOKUP(A1018,Internal_lists_bugs!$A$2:$G2033,7,FALSE()),"please select a BUG ID")</f>
        <v>please select a BUG ID</v>
      </c>
      <c r="C1018" s="51" t="str">
        <f>IFERROR(VLOOKUP(A1018,Internal_lists_bugs!$A$2:$I2033,9,FALSE()),"please select a BUG ID")</f>
        <v>please select a BUG ID</v>
      </c>
      <c r="D1018" s="62"/>
      <c r="E1018" s="85"/>
      <c r="F1018" s="133"/>
      <c r="G1018" s="41"/>
      <c r="I1018" s="131"/>
      <c r="J1018" s="131"/>
      <c r="K1018" s="131"/>
      <c r="L1018" s="131"/>
      <c r="M1018" s="131"/>
      <c r="N1018" s="43"/>
      <c r="O1018" s="51"/>
    </row>
    <row r="1019">
      <c r="A1019" s="43"/>
      <c r="B1019" s="59" t="str">
        <f>IFERROR(VLOOKUP(A1019,Internal_lists_bugs!$A$2:$G2033,7,FALSE()),"please select a BUG ID")</f>
        <v>please select a BUG ID</v>
      </c>
      <c r="C1019" s="51" t="str">
        <f>IFERROR(VLOOKUP(A1019,Internal_lists_bugs!$A$2:$I2033,9,FALSE()),"please select a BUG ID")</f>
        <v>please select a BUG ID</v>
      </c>
      <c r="D1019" s="62"/>
      <c r="E1019" s="85"/>
      <c r="F1019" s="133"/>
      <c r="G1019" s="43"/>
      <c r="I1019" s="131"/>
      <c r="J1019" s="131"/>
      <c r="K1019" s="131"/>
      <c r="L1019" s="131"/>
      <c r="M1019" s="131"/>
      <c r="N1019" s="43"/>
      <c r="O1019" s="51"/>
    </row>
    <row r="1020">
      <c r="A1020" s="43"/>
      <c r="B1020" s="59" t="str">
        <f>IFERROR(VLOOKUP(A1020,Internal_lists_bugs!$A$2:$G2033,7,FALSE()),"please select a BUG ID")</f>
        <v>please select a BUG ID</v>
      </c>
      <c r="C1020" s="51" t="str">
        <f>IFERROR(VLOOKUP(A1020,Internal_lists_bugs!$A$2:$I2033,9,FALSE()),"please select a BUG ID")</f>
        <v>please select a BUG ID</v>
      </c>
      <c r="D1020" s="62"/>
      <c r="E1020" s="85"/>
      <c r="F1020" s="133"/>
      <c r="G1020" s="43"/>
      <c r="I1020" s="131"/>
      <c r="J1020" s="131"/>
      <c r="K1020" s="131"/>
      <c r="L1020" s="131"/>
      <c r="M1020" s="131"/>
      <c r="N1020" s="43"/>
      <c r="O1020" s="51"/>
    </row>
    <row r="1021">
      <c r="A1021" s="43"/>
      <c r="B1021" s="59" t="str">
        <f>IFERROR(VLOOKUP(A1021,Internal_lists_bugs!$A$2:$G2033,7,FALSE()),"please select a BUG ID")</f>
        <v>please select a BUG ID</v>
      </c>
      <c r="C1021" s="51" t="str">
        <f>IFERROR(VLOOKUP(A1021,Internal_lists_bugs!$A$2:$I2033,9,FALSE()),"please select a BUG ID")</f>
        <v>please select a BUG ID</v>
      </c>
      <c r="D1021" s="62"/>
      <c r="E1021" s="85"/>
      <c r="F1021" s="133"/>
      <c r="G1021" s="43"/>
      <c r="I1021" s="131"/>
      <c r="J1021" s="131"/>
      <c r="K1021" s="131"/>
      <c r="L1021" s="131"/>
      <c r="M1021" s="131"/>
      <c r="N1021" s="43"/>
      <c r="O1021" s="51"/>
    </row>
    <row r="1022">
      <c r="A1022" s="43"/>
      <c r="B1022" s="59" t="str">
        <f>IFERROR(VLOOKUP(A1022,Internal_lists_bugs!$A$2:$G2033,7,FALSE()),"please select a BUG ID")</f>
        <v>please select a BUG ID</v>
      </c>
      <c r="C1022" s="51" t="str">
        <f>IFERROR(VLOOKUP(A1022,Internal_lists_bugs!$A$2:$I2033,9,FALSE()),"please select a BUG ID")</f>
        <v>please select a BUG ID</v>
      </c>
      <c r="D1022" s="62"/>
      <c r="E1022" s="85"/>
      <c r="F1022" s="133"/>
      <c r="G1022" s="122"/>
      <c r="I1022" s="131"/>
      <c r="J1022" s="131"/>
      <c r="K1022" s="131"/>
      <c r="L1022" s="131"/>
      <c r="M1022" s="131"/>
      <c r="N1022" s="43"/>
      <c r="O1022" s="51"/>
    </row>
    <row r="1023">
      <c r="A1023" s="43"/>
      <c r="B1023" s="59" t="str">
        <f>IFERROR(VLOOKUP(A1023,Internal_lists_bugs!$A$2:$G2033,7,FALSE()),"please select a BUG ID")</f>
        <v>please select a BUG ID</v>
      </c>
      <c r="C1023" s="51" t="str">
        <f>IFERROR(VLOOKUP(A1023,Internal_lists_bugs!$A$2:$I2033,9,FALSE()),"please select a BUG ID")</f>
        <v>please select a BUG ID</v>
      </c>
      <c r="D1023" s="62"/>
      <c r="E1023" s="85"/>
      <c r="F1023" s="133"/>
      <c r="G1023" s="122"/>
      <c r="I1023" s="131"/>
      <c r="J1023" s="131"/>
      <c r="K1023" s="131"/>
      <c r="L1023" s="131"/>
      <c r="M1023" s="131"/>
      <c r="N1023" s="43"/>
      <c r="O1023" s="51"/>
    </row>
    <row r="1024">
      <c r="A1024" s="43"/>
      <c r="B1024" s="59" t="str">
        <f>IFERROR(VLOOKUP(A1024,Internal_lists_bugs!$A$2:$G2033,7,FALSE()),"please select a BUG ID")</f>
        <v>please select a BUG ID</v>
      </c>
      <c r="C1024" s="51" t="str">
        <f>IFERROR(VLOOKUP(A1024,Internal_lists_bugs!$A$2:$I2033,9,FALSE()),"please select a BUG ID")</f>
        <v>please select a BUG ID</v>
      </c>
      <c r="D1024" s="62"/>
      <c r="E1024" s="85"/>
      <c r="F1024" s="133"/>
      <c r="G1024" s="122"/>
      <c r="I1024" s="131"/>
      <c r="J1024" s="131"/>
      <c r="K1024" s="131"/>
      <c r="L1024" s="131"/>
      <c r="M1024" s="131"/>
      <c r="N1024" s="43"/>
      <c r="O1024" s="51"/>
    </row>
    <row r="1025">
      <c r="A1025" s="43"/>
      <c r="B1025" s="59" t="str">
        <f>IFERROR(VLOOKUP(A1025,Internal_lists_bugs!$A$2:$G2033,7,FALSE()),"please select a BUG ID")</f>
        <v>please select a BUG ID</v>
      </c>
      <c r="C1025" s="51" t="str">
        <f>IFERROR(VLOOKUP(A1025,Internal_lists_bugs!$A$2:$I2033,9,FALSE()),"please select a BUG ID")</f>
        <v>please select a BUG ID</v>
      </c>
      <c r="D1025" s="62"/>
      <c r="E1025" s="85"/>
      <c r="F1025" s="133"/>
      <c r="G1025" s="122"/>
      <c r="I1025" s="131"/>
      <c r="J1025" s="131"/>
      <c r="K1025" s="131"/>
      <c r="L1025" s="131"/>
      <c r="M1025" s="131"/>
      <c r="N1025" s="43"/>
      <c r="O1025" s="51"/>
    </row>
    <row r="1026">
      <c r="A1026" s="43"/>
      <c r="B1026" s="59" t="str">
        <f>IFERROR(VLOOKUP(A1026,Internal_lists_bugs!$A$2:$G2033,7,FALSE()),"please select a BUG ID")</f>
        <v>please select a BUG ID</v>
      </c>
      <c r="C1026" s="51" t="str">
        <f>IFERROR(VLOOKUP(A1026,Internal_lists_bugs!$A$2:$I2033,9,FALSE()),"please select a BUG ID")</f>
        <v>please select a BUG ID</v>
      </c>
      <c r="D1026" s="62"/>
      <c r="E1026" s="85"/>
      <c r="F1026" s="133"/>
      <c r="G1026" s="43"/>
      <c r="I1026" s="131"/>
      <c r="J1026" s="131"/>
      <c r="K1026" s="131"/>
      <c r="L1026" s="131"/>
      <c r="M1026" s="131"/>
      <c r="N1026" s="43"/>
      <c r="O1026" s="51"/>
    </row>
    <row r="1027">
      <c r="A1027" s="43"/>
      <c r="B1027" s="59" t="str">
        <f>IFERROR(VLOOKUP(A1027,Internal_lists_bugs!$A$2:$G2033,7,FALSE()),"please select a BUG ID")</f>
        <v>please select a BUG ID</v>
      </c>
      <c r="C1027" s="51" t="str">
        <f>IFERROR(VLOOKUP(A1027,Internal_lists_bugs!$A$2:$I2033,9,FALSE()),"please select a BUG ID")</f>
        <v>please select a BUG ID</v>
      </c>
      <c r="D1027" s="62"/>
      <c r="E1027" s="85"/>
      <c r="F1027" s="133"/>
      <c r="G1027" s="43"/>
      <c r="I1027" s="131"/>
      <c r="J1027" s="131"/>
      <c r="K1027" s="131"/>
      <c r="L1027" s="131"/>
      <c r="M1027" s="131"/>
      <c r="N1027" s="43"/>
      <c r="O1027" s="51"/>
    </row>
    <row r="1028">
      <c r="A1028" s="43"/>
      <c r="B1028" s="59" t="str">
        <f>IFERROR(VLOOKUP(A1028,Internal_lists_bugs!$A$2:$G2033,7,FALSE()),"please select a BUG ID")</f>
        <v>please select a BUG ID</v>
      </c>
      <c r="C1028" s="51" t="str">
        <f>IFERROR(VLOOKUP(A1028,Internal_lists_bugs!$A$2:$I2033,9,FALSE()),"please select a BUG ID")</f>
        <v>please select a BUG ID</v>
      </c>
      <c r="D1028" s="62"/>
      <c r="E1028" s="85"/>
      <c r="F1028" s="133"/>
      <c r="G1028" s="43"/>
      <c r="I1028" s="131"/>
      <c r="J1028" s="131"/>
      <c r="K1028" s="131"/>
      <c r="L1028" s="131"/>
      <c r="M1028" s="131"/>
      <c r="N1028" s="43"/>
      <c r="O1028" s="51"/>
    </row>
    <row r="1029">
      <c r="A1029" s="43"/>
      <c r="B1029" s="59" t="str">
        <f>IFERROR(VLOOKUP(A1029,Internal_lists_bugs!$A$2:$G2033,7,FALSE()),"please select a BUG ID")</f>
        <v>please select a BUG ID</v>
      </c>
      <c r="C1029" s="51" t="str">
        <f>IFERROR(VLOOKUP(A1029,Internal_lists_bugs!$A$2:$I2033,9,FALSE()),"please select a BUG ID")</f>
        <v>please select a BUG ID</v>
      </c>
      <c r="D1029" s="62"/>
      <c r="E1029" s="85"/>
      <c r="F1029" s="133"/>
      <c r="G1029" s="122"/>
      <c r="I1029" s="131"/>
      <c r="J1029" s="131"/>
      <c r="K1029" s="131"/>
      <c r="L1029" s="131"/>
      <c r="M1029" s="131"/>
      <c r="N1029" s="43"/>
      <c r="O1029" s="51"/>
    </row>
    <row r="1030">
      <c r="A1030" s="43"/>
      <c r="B1030" s="59" t="str">
        <f>IFERROR(VLOOKUP(A1030,Internal_lists_bugs!$A$2:$G2033,7,FALSE()),"please select a BUG ID")</f>
        <v>please select a BUG ID</v>
      </c>
      <c r="C1030" s="51" t="str">
        <f>IFERROR(VLOOKUP(A1030,Internal_lists_bugs!$A$2:$I2033,9,FALSE()),"please select a BUG ID")</f>
        <v>please select a BUG ID</v>
      </c>
      <c r="D1030" s="62"/>
      <c r="E1030" s="85"/>
      <c r="F1030" s="133"/>
      <c r="G1030" s="122"/>
      <c r="I1030" s="131"/>
      <c r="J1030" s="131"/>
      <c r="K1030" s="131"/>
      <c r="L1030" s="131"/>
      <c r="M1030" s="131"/>
      <c r="N1030" s="43"/>
      <c r="O1030" s="51"/>
    </row>
    <row r="1031">
      <c r="A1031" s="43"/>
      <c r="B1031" s="59" t="str">
        <f>IFERROR(VLOOKUP(A1031,Internal_lists_bugs!$A$2:$G2033,7,FALSE()),"please select a BUG ID")</f>
        <v>please select a BUG ID</v>
      </c>
      <c r="C1031" s="51" t="str">
        <f>IFERROR(VLOOKUP(A1031,Internal_lists_bugs!$A$2:$I2033,9,FALSE()),"please select a BUG ID")</f>
        <v>please select a BUG ID</v>
      </c>
      <c r="D1031" s="62"/>
      <c r="E1031" s="85"/>
      <c r="F1031" s="133"/>
      <c r="G1031" s="122"/>
      <c r="I1031" s="131"/>
      <c r="J1031" s="131"/>
      <c r="K1031" s="131"/>
      <c r="L1031" s="131"/>
      <c r="M1031" s="131"/>
      <c r="N1031" s="43"/>
      <c r="O1031" s="51"/>
    </row>
    <row r="1032">
      <c r="A1032" s="43"/>
      <c r="B1032" s="59" t="str">
        <f>IFERROR(VLOOKUP(A1032,Internal_lists_bugs!$A$2:$G2033,7,FALSE()),"please select a BUG ID")</f>
        <v>please select a BUG ID</v>
      </c>
      <c r="C1032" s="51" t="str">
        <f>IFERROR(VLOOKUP(A1032,Internal_lists_bugs!$A$2:$I2033,9,FALSE()),"please select a BUG ID")</f>
        <v>please select a BUG ID</v>
      </c>
      <c r="D1032" s="62"/>
      <c r="E1032" s="85"/>
      <c r="F1032" s="133"/>
      <c r="G1032" s="122"/>
      <c r="I1032" s="131"/>
      <c r="J1032" s="131"/>
      <c r="K1032" s="131"/>
      <c r="L1032" s="131"/>
      <c r="M1032" s="131"/>
      <c r="N1032" s="43"/>
      <c r="O1032" s="51"/>
    </row>
    <row r="1033">
      <c r="A1033" s="43"/>
      <c r="B1033" s="59" t="str">
        <f>IFERROR(VLOOKUP(A1033,Internal_lists_bugs!$A$2:$G2033,7,FALSE()),"please select a BUG ID")</f>
        <v>please select a BUG ID</v>
      </c>
      <c r="C1033" s="51" t="str">
        <f>IFERROR(VLOOKUP(A1033,Internal_lists_bugs!$A$2:$I2033,9,FALSE()),"please select a BUG ID")</f>
        <v>please select a BUG ID</v>
      </c>
      <c r="D1033" s="62"/>
      <c r="E1033" s="85"/>
      <c r="F1033" s="133"/>
      <c r="G1033" s="41"/>
      <c r="I1033" s="131"/>
      <c r="J1033" s="131"/>
      <c r="K1033" s="131"/>
      <c r="L1033" s="131"/>
      <c r="M1033" s="131"/>
      <c r="N1033" s="43"/>
      <c r="O1033" s="51"/>
    </row>
    <row r="1034">
      <c r="A1034" s="43"/>
      <c r="B1034" s="59" t="str">
        <f>IFERROR(VLOOKUP(A1034,Internal_lists_bugs!$A$2:$G2033,7,FALSE()),"please select a BUG ID")</f>
        <v>please select a BUG ID</v>
      </c>
      <c r="C1034" s="51" t="str">
        <f>IFERROR(VLOOKUP(A1034,Internal_lists_bugs!$A$2:$I2033,9,FALSE()),"please select a BUG ID")</f>
        <v>please select a BUG ID</v>
      </c>
      <c r="D1034" s="62"/>
      <c r="E1034" s="85"/>
      <c r="F1034" s="133"/>
      <c r="G1034" s="122"/>
      <c r="I1034" s="131"/>
      <c r="J1034" s="131"/>
      <c r="K1034" s="131"/>
      <c r="L1034" s="131"/>
      <c r="M1034" s="131"/>
      <c r="N1034" s="43"/>
      <c r="O1034" s="51"/>
    </row>
    <row r="1035">
      <c r="A1035" s="43"/>
      <c r="B1035" s="59" t="str">
        <f>IFERROR(VLOOKUP(A1035,Internal_lists_bugs!$A$2:$G2033,7,FALSE()),"please select a BUG ID")</f>
        <v>please select a BUG ID</v>
      </c>
      <c r="C1035" s="51" t="str">
        <f>IFERROR(VLOOKUP(A1035,Internal_lists_bugs!$A$2:$I2033,9,FALSE()),"please select a BUG ID")</f>
        <v>please select a BUG ID</v>
      </c>
      <c r="D1035" s="60"/>
      <c r="E1035" s="85"/>
      <c r="F1035" s="133"/>
      <c r="G1035" s="41"/>
      <c r="I1035" s="131"/>
      <c r="J1035" s="131"/>
      <c r="K1035" s="131"/>
      <c r="L1035" s="131"/>
      <c r="M1035" s="131"/>
      <c r="N1035" s="43"/>
      <c r="O1035" s="51"/>
    </row>
    <row r="1036">
      <c r="A1036" s="43"/>
      <c r="B1036" s="59" t="str">
        <f>IFERROR(VLOOKUP(A1036,Internal_lists_bugs!$A$2:$G2033,7,FALSE()),"please select a BUG ID")</f>
        <v>please select a BUG ID</v>
      </c>
      <c r="C1036" s="51" t="str">
        <f>IFERROR(VLOOKUP(A1036,Internal_lists_bugs!$A$2:$I2033,9,FALSE()),"please select a BUG ID")</f>
        <v>please select a BUG ID</v>
      </c>
      <c r="D1036" s="62"/>
      <c r="E1036" s="85"/>
      <c r="F1036" s="133"/>
      <c r="G1036" s="41"/>
      <c r="I1036" s="131"/>
      <c r="J1036" s="131"/>
      <c r="K1036" s="131"/>
      <c r="L1036" s="131"/>
      <c r="M1036" s="131"/>
      <c r="N1036" s="43"/>
      <c r="O1036" s="51"/>
    </row>
    <row r="1037">
      <c r="A1037" s="43"/>
      <c r="B1037" s="59" t="str">
        <f>IFERROR(VLOOKUP(A1037,Internal_lists_bugs!$A$2:$G2033,7,FALSE()),"please select a BUG ID")</f>
        <v>please select a BUG ID</v>
      </c>
      <c r="C1037" s="51" t="str">
        <f>IFERROR(VLOOKUP(A1037,Internal_lists_bugs!$A$2:$I2033,9,FALSE()),"please select a BUG ID")</f>
        <v>please select a BUG ID</v>
      </c>
      <c r="D1037" s="62"/>
      <c r="E1037" s="85"/>
      <c r="F1037" s="133"/>
      <c r="G1037" s="41"/>
      <c r="I1037" s="131"/>
      <c r="J1037" s="131"/>
      <c r="K1037" s="131"/>
      <c r="L1037" s="131"/>
      <c r="M1037" s="131"/>
      <c r="N1037" s="43"/>
      <c r="O1037" s="51"/>
    </row>
    <row r="1038">
      <c r="A1038" s="43"/>
      <c r="B1038" s="59" t="str">
        <f>IFERROR(VLOOKUP(A1038,Internal_lists_bugs!$A$2:$G2033,7,FALSE()),"please select a BUG ID")</f>
        <v>please select a BUG ID</v>
      </c>
      <c r="C1038" s="51" t="str">
        <f>IFERROR(VLOOKUP(A1038,Internal_lists_bugs!$A$2:$I2033,9,FALSE()),"please select a BUG ID")</f>
        <v>please select a BUG ID</v>
      </c>
      <c r="D1038" s="62"/>
      <c r="E1038" s="85"/>
      <c r="F1038" s="133"/>
      <c r="G1038" s="41"/>
      <c r="I1038" s="131"/>
      <c r="J1038" s="131"/>
      <c r="K1038" s="131"/>
      <c r="L1038" s="131"/>
      <c r="M1038" s="131"/>
      <c r="N1038" s="43"/>
      <c r="O1038" s="51"/>
    </row>
    <row r="1039">
      <c r="A1039" s="43"/>
      <c r="B1039" s="59" t="str">
        <f>IFERROR(VLOOKUP(A1039,Internal_lists_bugs!$A$2:$G2033,7,FALSE()),"please select a BUG ID")</f>
        <v>please select a BUG ID</v>
      </c>
      <c r="C1039" s="51" t="str">
        <f>IFERROR(VLOOKUP(A1039,Internal_lists_bugs!$A$2:$I2033,9,FALSE()),"please select a BUG ID")</f>
        <v>please select a BUG ID</v>
      </c>
      <c r="D1039" s="62"/>
      <c r="E1039" s="85"/>
      <c r="F1039" s="133"/>
      <c r="G1039" s="122"/>
      <c r="I1039" s="131"/>
      <c r="J1039" s="131"/>
      <c r="K1039" s="131"/>
      <c r="L1039" s="131"/>
      <c r="M1039" s="131"/>
      <c r="N1039" s="43"/>
      <c r="O1039" s="51"/>
    </row>
    <row r="1040">
      <c r="A1040" s="43"/>
      <c r="B1040" s="59" t="str">
        <f>IFERROR(VLOOKUP(A1040,Internal_lists_bugs!$A$2:$G2033,7,FALSE()),"please select a BUG ID")</f>
        <v>please select a BUG ID</v>
      </c>
      <c r="C1040" s="51" t="str">
        <f>IFERROR(VLOOKUP(A1040,Internal_lists_bugs!$A$2:$I2033,9,FALSE()),"please select a BUG ID")</f>
        <v>please select a BUG ID</v>
      </c>
      <c r="D1040" s="62"/>
      <c r="E1040" s="85"/>
      <c r="F1040" s="133"/>
      <c r="G1040" s="122"/>
      <c r="I1040" s="131"/>
      <c r="J1040" s="131"/>
      <c r="K1040" s="131"/>
      <c r="L1040" s="131"/>
      <c r="M1040" s="131"/>
      <c r="N1040" s="43"/>
      <c r="O1040" s="51"/>
    </row>
    <row r="1041">
      <c r="A1041" s="43"/>
      <c r="B1041" s="59" t="str">
        <f>IFERROR(VLOOKUP(A1041,Internal_lists_bugs!$A$2:$G2033,7,FALSE()),"please select a BUG ID")</f>
        <v>please select a BUG ID</v>
      </c>
      <c r="C1041" s="51" t="str">
        <f>IFERROR(VLOOKUP(A1041,Internal_lists_bugs!$A$2:$I2033,9,FALSE()),"please select a BUG ID")</f>
        <v>please select a BUG ID</v>
      </c>
      <c r="D1041" s="62"/>
      <c r="E1041" s="85"/>
      <c r="F1041" s="133"/>
      <c r="G1041" s="122"/>
      <c r="I1041" s="131"/>
      <c r="J1041" s="131"/>
      <c r="K1041" s="131"/>
      <c r="L1041" s="131"/>
      <c r="M1041" s="131"/>
      <c r="N1041" s="43"/>
      <c r="O1041" s="51"/>
    </row>
    <row r="1042">
      <c r="A1042" s="43"/>
      <c r="B1042" s="59" t="str">
        <f>IFERROR(VLOOKUP(A1042,Internal_lists_bugs!$A$2:$G2033,7,FALSE()),"please select a BUG ID")</f>
        <v>please select a BUG ID</v>
      </c>
      <c r="C1042" s="51" t="str">
        <f>IFERROR(VLOOKUP(A1042,Internal_lists_bugs!$A$2:$I2033,9,FALSE()),"please select a BUG ID")</f>
        <v>please select a BUG ID</v>
      </c>
      <c r="D1042" s="62"/>
      <c r="E1042" s="85"/>
      <c r="F1042" s="133"/>
      <c r="G1042" s="122"/>
      <c r="I1042" s="131"/>
      <c r="J1042" s="131"/>
      <c r="K1042" s="131"/>
      <c r="L1042" s="131"/>
      <c r="M1042" s="131"/>
      <c r="N1042" s="43"/>
      <c r="O1042" s="51"/>
    </row>
    <row r="1043">
      <c r="A1043" s="43"/>
      <c r="B1043" s="59" t="str">
        <f>IFERROR(VLOOKUP(A1043,Internal_lists_bugs!$A$2:$G2033,7,FALSE()),"please select a BUG ID")</f>
        <v>please select a BUG ID</v>
      </c>
      <c r="C1043" s="51" t="str">
        <f>IFERROR(VLOOKUP(A1043,Internal_lists_bugs!$A$2:$I2033,9,FALSE()),"please select a BUG ID")</f>
        <v>please select a BUG ID</v>
      </c>
      <c r="D1043" s="62"/>
      <c r="E1043" s="85"/>
      <c r="F1043" s="133"/>
      <c r="G1043" s="122"/>
      <c r="I1043" s="131"/>
      <c r="J1043" s="131"/>
      <c r="K1043" s="131"/>
      <c r="L1043" s="131"/>
      <c r="M1043" s="131"/>
      <c r="N1043" s="43"/>
      <c r="O1043" s="51"/>
    </row>
    <row r="1044">
      <c r="A1044" s="43"/>
      <c r="B1044" s="59" t="str">
        <f>IFERROR(VLOOKUP(A1044,Internal_lists_bugs!$A$2:$G2033,7,FALSE()),"please select a BUG ID")</f>
        <v>please select a BUG ID</v>
      </c>
      <c r="C1044" s="51" t="str">
        <f>IFERROR(VLOOKUP(A1044,Internal_lists_bugs!$A$2:$I2033,9,FALSE()),"please select a BUG ID")</f>
        <v>please select a BUG ID</v>
      </c>
      <c r="D1044" s="62"/>
      <c r="E1044" s="85"/>
      <c r="F1044" s="133"/>
      <c r="G1044" s="122"/>
      <c r="I1044" s="131"/>
      <c r="J1044" s="131"/>
      <c r="K1044" s="131"/>
      <c r="L1044" s="131"/>
      <c r="M1044" s="131"/>
      <c r="N1044" s="43"/>
      <c r="O1044" s="51"/>
    </row>
    <row r="1045">
      <c r="A1045" s="43"/>
      <c r="B1045" s="59" t="str">
        <f>IFERROR(VLOOKUP(A1045,Internal_lists_bugs!$A$2:$G2033,7,FALSE()),"please select a BUG ID")</f>
        <v>please select a BUG ID</v>
      </c>
      <c r="C1045" s="51" t="str">
        <f>IFERROR(VLOOKUP(A1045,Internal_lists_bugs!$A$2:$I2033,9,FALSE()),"please select a BUG ID")</f>
        <v>please select a BUG ID</v>
      </c>
      <c r="D1045" s="62"/>
      <c r="E1045" s="85"/>
      <c r="F1045" s="133"/>
      <c r="G1045" s="122"/>
      <c r="I1045" s="131"/>
      <c r="J1045" s="131"/>
      <c r="K1045" s="131"/>
      <c r="L1045" s="131"/>
      <c r="M1045" s="131"/>
      <c r="N1045" s="43"/>
      <c r="O1045" s="51"/>
    </row>
    <row r="1046">
      <c r="A1046" s="43"/>
      <c r="B1046" s="59" t="str">
        <f>IFERROR(VLOOKUP(A1046,Internal_lists_bugs!$A$2:$G2033,7,FALSE()),"please select a BUG ID")</f>
        <v>please select a BUG ID</v>
      </c>
      <c r="C1046" s="51" t="str">
        <f>IFERROR(VLOOKUP(A1046,Internal_lists_bugs!$A$2:$I2033,9,FALSE()),"please select a BUG ID")</f>
        <v>please select a BUG ID</v>
      </c>
      <c r="D1046" s="62"/>
      <c r="E1046" s="85"/>
      <c r="F1046" s="133"/>
      <c r="G1046" s="122"/>
      <c r="I1046" s="131"/>
      <c r="J1046" s="131"/>
      <c r="K1046" s="131"/>
      <c r="L1046" s="131"/>
      <c r="M1046" s="131"/>
      <c r="N1046" s="43"/>
      <c r="O1046" s="51"/>
    </row>
    <row r="1047">
      <c r="A1047" s="43"/>
      <c r="B1047" s="59" t="str">
        <f>IFERROR(VLOOKUP(A1047,Internal_lists_bugs!$A$2:$G2033,7,FALSE()),"please select a BUG ID")</f>
        <v>please select a BUG ID</v>
      </c>
      <c r="C1047" s="51" t="str">
        <f>IFERROR(VLOOKUP(A1047,Internal_lists_bugs!$A$2:$I2033,9,FALSE()),"please select a BUG ID")</f>
        <v>please select a BUG ID</v>
      </c>
      <c r="D1047" s="62"/>
      <c r="E1047" s="85"/>
      <c r="F1047" s="133"/>
      <c r="G1047" s="41"/>
      <c r="I1047" s="131"/>
      <c r="J1047" s="131"/>
      <c r="K1047" s="131"/>
      <c r="L1047" s="131"/>
      <c r="M1047" s="131"/>
      <c r="N1047" s="43"/>
      <c r="O1047" s="51"/>
    </row>
    <row r="1048">
      <c r="A1048" s="43"/>
      <c r="B1048" s="59" t="str">
        <f>IFERROR(VLOOKUP(A1048,Internal_lists_bugs!$A$2:$G2033,7,FALSE()),"please select a BUG ID")</f>
        <v>please select a BUG ID</v>
      </c>
      <c r="C1048" s="51" t="str">
        <f>IFERROR(VLOOKUP(A1048,Internal_lists_bugs!$A$2:$I2033,9,FALSE()),"please select a BUG ID")</f>
        <v>please select a BUG ID</v>
      </c>
      <c r="D1048" s="62"/>
      <c r="E1048" s="85"/>
      <c r="F1048" s="133"/>
      <c r="G1048" s="122"/>
      <c r="I1048" s="131"/>
      <c r="J1048" s="131"/>
      <c r="K1048" s="131"/>
      <c r="L1048" s="131"/>
      <c r="M1048" s="131"/>
      <c r="N1048" s="43"/>
      <c r="O1048" s="51"/>
    </row>
    <row r="1049">
      <c r="A1049" s="43"/>
      <c r="B1049" s="59" t="str">
        <f>IFERROR(VLOOKUP(A1049,Internal_lists_bugs!$A$2:$G2033,7,FALSE()),"please select a BUG ID")</f>
        <v>please select a BUG ID</v>
      </c>
      <c r="C1049" s="51" t="str">
        <f>IFERROR(VLOOKUP(A1049,Internal_lists_bugs!$A$2:$I2033,9,FALSE()),"please select a BUG ID")</f>
        <v>please select a BUG ID</v>
      </c>
      <c r="D1049" s="62"/>
      <c r="E1049" s="85"/>
      <c r="F1049" s="133"/>
      <c r="G1049" s="122"/>
      <c r="I1049" s="131"/>
      <c r="J1049" s="131"/>
      <c r="K1049" s="131"/>
      <c r="L1049" s="131"/>
      <c r="M1049" s="131"/>
      <c r="N1049" s="43"/>
      <c r="O1049" s="51"/>
    </row>
    <row r="1050">
      <c r="A1050" s="43"/>
      <c r="B1050" s="59" t="str">
        <f>IFERROR(VLOOKUP(A1050,Internal_lists_bugs!$A$2:$G2033,7,FALSE()),"please select a BUG ID")</f>
        <v>please select a BUG ID</v>
      </c>
      <c r="C1050" s="51" t="str">
        <f>IFERROR(VLOOKUP(A1050,Internal_lists_bugs!$A$2:$I2033,9,FALSE()),"please select a BUG ID")</f>
        <v>please select a BUG ID</v>
      </c>
      <c r="D1050" s="62"/>
      <c r="E1050" s="85"/>
      <c r="F1050" s="133"/>
      <c r="G1050" s="122"/>
      <c r="I1050" s="131"/>
      <c r="J1050" s="131"/>
      <c r="K1050" s="131"/>
      <c r="L1050" s="131"/>
      <c r="M1050" s="131"/>
      <c r="N1050" s="43"/>
      <c r="O1050" s="51"/>
    </row>
    <row r="1051">
      <c r="A1051" s="43"/>
      <c r="B1051" s="59" t="str">
        <f>IFERROR(VLOOKUP(A1051,Internal_lists_bugs!$A$2:$G2033,7,FALSE()),"please select a BUG ID")</f>
        <v>please select a BUG ID</v>
      </c>
      <c r="C1051" s="51" t="str">
        <f>IFERROR(VLOOKUP(A1051,Internal_lists_bugs!$A$2:$I2033,9,FALSE()),"please select a BUG ID")</f>
        <v>please select a BUG ID</v>
      </c>
      <c r="D1051" s="62"/>
      <c r="E1051" s="85"/>
      <c r="F1051" s="133"/>
      <c r="G1051" s="122"/>
      <c r="H1051" s="42"/>
      <c r="I1051" s="131"/>
      <c r="J1051" s="131"/>
      <c r="K1051" s="131"/>
      <c r="L1051" s="131"/>
      <c r="M1051" s="131"/>
      <c r="N1051" s="43"/>
      <c r="O1051" s="51"/>
    </row>
    <row r="1052">
      <c r="A1052" s="43"/>
      <c r="B1052" s="59" t="str">
        <f>IFERROR(VLOOKUP(A1052,Internal_lists_bugs!$A$2:$G2033,7,FALSE()),"please select a BUG ID")</f>
        <v>please select a BUG ID</v>
      </c>
      <c r="C1052" s="51" t="str">
        <f>IFERROR(VLOOKUP(A1052,Internal_lists_bugs!$A$2:$I2033,9,FALSE()),"please select a BUG ID")</f>
        <v>please select a BUG ID</v>
      </c>
      <c r="D1052" s="62"/>
      <c r="E1052" s="85"/>
      <c r="F1052" s="133"/>
      <c r="G1052" s="122"/>
      <c r="H1052" s="42"/>
      <c r="I1052" s="131"/>
      <c r="J1052" s="131"/>
      <c r="K1052" s="131"/>
      <c r="L1052" s="131"/>
      <c r="M1052" s="131"/>
      <c r="N1052" s="43"/>
      <c r="O1052" s="51"/>
    </row>
    <row r="1053">
      <c r="A1053" s="43"/>
      <c r="B1053" s="59" t="str">
        <f>IFERROR(VLOOKUP(A1053,Internal_lists_bugs!$A$2:$G2033,7,FALSE()),"please select a BUG ID")</f>
        <v>please select a BUG ID</v>
      </c>
      <c r="C1053" s="51" t="str">
        <f>IFERROR(VLOOKUP(A1053,Internal_lists_bugs!$A$2:$I2033,9,FALSE()),"please select a BUG ID")</f>
        <v>please select a BUG ID</v>
      </c>
      <c r="D1053" s="85"/>
      <c r="E1053" s="85"/>
      <c r="F1053" s="133"/>
      <c r="G1053" s="122"/>
      <c r="H1053" s="42"/>
      <c r="I1053" s="131"/>
      <c r="J1053" s="131"/>
      <c r="K1053" s="131"/>
      <c r="L1053" s="131"/>
      <c r="M1053" s="131"/>
      <c r="N1053" s="43"/>
      <c r="O1053" s="51"/>
    </row>
    <row r="1054">
      <c r="A1054" s="43"/>
      <c r="B1054" s="59" t="str">
        <f>IFERROR(VLOOKUP(A1054,Internal_lists_bugs!$A$2:$G2033,7,FALSE()),"please select a BUG ID")</f>
        <v>please select a BUG ID</v>
      </c>
      <c r="C1054" s="51" t="str">
        <f>IFERROR(VLOOKUP(A1054,Internal_lists_bugs!$A$2:$I2033,9,FALSE()),"please select a BUG ID")</f>
        <v>please select a BUG ID</v>
      </c>
      <c r="D1054" s="85"/>
      <c r="E1054" s="85"/>
      <c r="F1054" s="133"/>
      <c r="G1054" s="122"/>
      <c r="H1054" s="42"/>
      <c r="I1054" s="131"/>
      <c r="J1054" s="131"/>
      <c r="K1054" s="131"/>
      <c r="L1054" s="131"/>
      <c r="M1054" s="131"/>
      <c r="N1054" s="43"/>
      <c r="O1054" s="51"/>
    </row>
    <row r="1055">
      <c r="A1055" s="43"/>
      <c r="B1055" s="59" t="str">
        <f>IFERROR(VLOOKUP(A1055,Internal_lists_bugs!$A$2:$G2033,7,FALSE()),"please select a BUG ID")</f>
        <v>please select a BUG ID</v>
      </c>
      <c r="C1055" s="51" t="str">
        <f>IFERROR(VLOOKUP(A1055,Internal_lists_bugs!$A$2:$I2033,9,FALSE()),"please select a BUG ID")</f>
        <v>please select a BUG ID</v>
      </c>
      <c r="D1055" s="85"/>
      <c r="E1055" s="85"/>
      <c r="F1055" s="133"/>
      <c r="G1055" s="122"/>
      <c r="H1055" s="42"/>
      <c r="I1055" s="131"/>
      <c r="J1055" s="131"/>
      <c r="K1055" s="131"/>
      <c r="L1055" s="131"/>
      <c r="M1055" s="131"/>
      <c r="N1055" s="43"/>
      <c r="O1055" s="51"/>
    </row>
    <row r="1056">
      <c r="A1056" s="43"/>
      <c r="B1056" s="59" t="str">
        <f>IFERROR(VLOOKUP(A1056,Internal_lists_bugs!$A$2:$G2033,7,FALSE()),"please select a BUG ID")</f>
        <v>please select a BUG ID</v>
      </c>
      <c r="C1056" s="51" t="str">
        <f>IFERROR(VLOOKUP(A1056,Internal_lists_bugs!$A$2:$I2033,9,FALSE()),"please select a BUG ID")</f>
        <v>please select a BUG ID</v>
      </c>
      <c r="D1056" s="85"/>
      <c r="E1056" s="85"/>
      <c r="F1056" s="133"/>
      <c r="G1056" s="122"/>
      <c r="H1056" s="42"/>
      <c r="I1056" s="131"/>
      <c r="J1056" s="131"/>
      <c r="K1056" s="131"/>
      <c r="L1056" s="131"/>
      <c r="M1056" s="131"/>
      <c r="N1056" s="43"/>
      <c r="O1056" s="51"/>
    </row>
    <row r="1057">
      <c r="A1057" s="43"/>
      <c r="B1057" s="59" t="str">
        <f>IFERROR(VLOOKUP(A1057,Internal_lists_bugs!$A$2:$G2033,7,FALSE()),"please select a BUG ID")</f>
        <v>please select a BUG ID</v>
      </c>
      <c r="C1057" s="51" t="str">
        <f>IFERROR(VLOOKUP(A1057,Internal_lists_bugs!$A$2:$I2033,9,FALSE()),"please select a BUG ID")</f>
        <v>please select a BUG ID</v>
      </c>
      <c r="D1057" s="85"/>
      <c r="E1057" s="85"/>
      <c r="F1057" s="133"/>
      <c r="G1057" s="122"/>
      <c r="H1057" s="42"/>
      <c r="I1057" s="131"/>
      <c r="J1057" s="131"/>
      <c r="K1057" s="131"/>
      <c r="L1057" s="131"/>
      <c r="M1057" s="131"/>
      <c r="N1057" s="43"/>
      <c r="O1057" s="51"/>
    </row>
    <row r="1058">
      <c r="A1058" s="43"/>
      <c r="B1058" s="59" t="str">
        <f>IFERROR(VLOOKUP(A1058,Internal_lists_bugs!$A$2:$G2033,7,FALSE()),"please select a BUG ID")</f>
        <v>please select a BUG ID</v>
      </c>
      <c r="C1058" s="51" t="str">
        <f>IFERROR(VLOOKUP(A1058,Internal_lists_bugs!$A$2:$I2033,9,FALSE()),"please select a BUG ID")</f>
        <v>please select a BUG ID</v>
      </c>
      <c r="D1058" s="85"/>
      <c r="E1058" s="85"/>
      <c r="F1058" s="133"/>
      <c r="G1058" s="41"/>
      <c r="H1058" s="42"/>
      <c r="I1058" s="131"/>
      <c r="J1058" s="131"/>
      <c r="K1058" s="131"/>
      <c r="L1058" s="131"/>
      <c r="M1058" s="131"/>
      <c r="N1058" s="43"/>
      <c r="O1058" s="51"/>
    </row>
    <row r="1059">
      <c r="A1059" s="43"/>
      <c r="B1059" s="59" t="str">
        <f>IFERROR(VLOOKUP(A1059,Internal_lists_bugs!$A$2:$G2033,7,FALSE()),"please select a BUG ID")</f>
        <v>please select a BUG ID</v>
      </c>
      <c r="C1059" s="51" t="str">
        <f>IFERROR(VLOOKUP(A1059,Internal_lists_bugs!$A$2:$I2033,9,FALSE()),"please select a BUG ID")</f>
        <v>please select a BUG ID</v>
      </c>
      <c r="D1059" s="85"/>
      <c r="E1059" s="85"/>
      <c r="F1059" s="133"/>
      <c r="G1059" s="41"/>
      <c r="H1059" s="42"/>
      <c r="I1059" s="131"/>
      <c r="J1059" s="131"/>
      <c r="K1059" s="131"/>
      <c r="L1059" s="131"/>
      <c r="M1059" s="131"/>
      <c r="N1059" s="43"/>
      <c r="O1059" s="51"/>
    </row>
    <row r="1060">
      <c r="A1060" s="43"/>
      <c r="B1060" s="59" t="str">
        <f>IFERROR(VLOOKUP(A1060,Internal_lists_bugs!$A$2:$G2033,7,FALSE()),"please select a BUG ID")</f>
        <v>please select a BUG ID</v>
      </c>
      <c r="C1060" s="51" t="str">
        <f>IFERROR(VLOOKUP(A1060,Internal_lists_bugs!$A$2:$I2033,9,FALSE()),"please select a BUG ID")</f>
        <v>please select a BUG ID</v>
      </c>
      <c r="D1060" s="85"/>
      <c r="E1060" s="85"/>
      <c r="F1060" s="133"/>
      <c r="G1060" s="41"/>
      <c r="H1060" s="42"/>
      <c r="I1060" s="131"/>
      <c r="J1060" s="131"/>
      <c r="K1060" s="131"/>
      <c r="L1060" s="131"/>
      <c r="M1060" s="131"/>
      <c r="N1060" s="43"/>
      <c r="O1060" s="51"/>
    </row>
    <row r="1061">
      <c r="A1061" s="43"/>
      <c r="B1061" s="59" t="str">
        <f>IFERROR(VLOOKUP(A1061,Internal_lists_bugs!$A$2:$G2033,7,FALSE()),"please select a BUG ID")</f>
        <v>please select a BUG ID</v>
      </c>
      <c r="C1061" s="51" t="str">
        <f>IFERROR(VLOOKUP(A1061,Internal_lists_bugs!$A$2:$I2033,9,FALSE()),"please select a BUG ID")</f>
        <v>please select a BUG ID</v>
      </c>
      <c r="D1061" s="85"/>
      <c r="E1061" s="85"/>
      <c r="F1061" s="133"/>
      <c r="G1061" s="41"/>
      <c r="H1061" s="42"/>
      <c r="I1061" s="131"/>
      <c r="J1061" s="131"/>
      <c r="K1061" s="131"/>
      <c r="L1061" s="131"/>
      <c r="M1061" s="131"/>
      <c r="N1061" s="43"/>
      <c r="O1061" s="51"/>
    </row>
    <row r="1062">
      <c r="A1062" s="43"/>
      <c r="B1062" s="59" t="str">
        <f>IFERROR(VLOOKUP(A1062,Internal_lists_bugs!$A$2:$G2033,7,FALSE()),"please select a BUG ID")</f>
        <v>please select a BUG ID</v>
      </c>
      <c r="C1062" s="51" t="str">
        <f>IFERROR(VLOOKUP(A1062,Internal_lists_bugs!$A$2:$I2033,9,FALSE()),"please select a BUG ID")</f>
        <v>please select a BUG ID</v>
      </c>
      <c r="D1062" s="85"/>
      <c r="E1062" s="85"/>
      <c r="F1062" s="133"/>
      <c r="G1062" s="41"/>
      <c r="H1062" s="42"/>
      <c r="I1062" s="131"/>
      <c r="J1062" s="131"/>
      <c r="K1062" s="131"/>
      <c r="L1062" s="131"/>
      <c r="M1062" s="131"/>
      <c r="N1062" s="43"/>
      <c r="O1062" s="51"/>
    </row>
    <row r="1063">
      <c r="A1063" s="43"/>
      <c r="B1063" s="59" t="str">
        <f>IFERROR(VLOOKUP(A1063,Internal_lists_bugs!$A$2:$G2033,7,FALSE()),"please select a BUG ID")</f>
        <v>please select a BUG ID</v>
      </c>
      <c r="C1063" s="51" t="str">
        <f>IFERROR(VLOOKUP(A1063,Internal_lists_bugs!$A$2:$I2033,9,FALSE()),"please select a BUG ID")</f>
        <v>please select a BUG ID</v>
      </c>
      <c r="D1063" s="85"/>
      <c r="E1063" s="85"/>
      <c r="F1063" s="133"/>
      <c r="G1063" s="41"/>
      <c r="H1063" s="42"/>
      <c r="I1063" s="131"/>
      <c r="J1063" s="131"/>
      <c r="K1063" s="131"/>
      <c r="L1063" s="131"/>
      <c r="M1063" s="131"/>
      <c r="N1063" s="43"/>
      <c r="O1063" s="51"/>
    </row>
    <row r="1064">
      <c r="A1064" s="43"/>
      <c r="B1064" s="59" t="str">
        <f>IFERROR(VLOOKUP(A1064,Internal_lists_bugs!$A$2:$G2033,7,FALSE()),"please select a BUG ID")</f>
        <v>please select a BUG ID</v>
      </c>
      <c r="C1064" s="51" t="str">
        <f>IFERROR(VLOOKUP(A1064,Internal_lists_bugs!$A$2:$I2033,9,FALSE()),"please select a BUG ID")</f>
        <v>please select a BUG ID</v>
      </c>
      <c r="D1064" s="85"/>
      <c r="E1064" s="85"/>
      <c r="F1064" s="133"/>
      <c r="G1064" s="41"/>
      <c r="H1064" s="42"/>
      <c r="I1064" s="131"/>
      <c r="J1064" s="131"/>
      <c r="K1064" s="131"/>
      <c r="L1064" s="131"/>
      <c r="M1064" s="131"/>
      <c r="N1064" s="43"/>
      <c r="O1064" s="51"/>
    </row>
    <row r="1065">
      <c r="A1065" s="43"/>
      <c r="B1065" s="59" t="str">
        <f>IFERROR(VLOOKUP(A1065,Internal_lists_bugs!$A$2:$G2033,7,FALSE()),"please select a BUG ID")</f>
        <v>please select a BUG ID</v>
      </c>
      <c r="C1065" s="51" t="str">
        <f>IFERROR(VLOOKUP(A1065,Internal_lists_bugs!$A$2:$I2033,9,FALSE()),"please select a BUG ID")</f>
        <v>please select a BUG ID</v>
      </c>
      <c r="D1065" s="85"/>
      <c r="E1065" s="85"/>
      <c r="F1065" s="133"/>
      <c r="G1065" s="41"/>
      <c r="H1065" s="42"/>
      <c r="I1065" s="131"/>
      <c r="J1065" s="131"/>
      <c r="K1065" s="131"/>
      <c r="L1065" s="131"/>
      <c r="M1065" s="131"/>
      <c r="N1065" s="43"/>
      <c r="O1065" s="51"/>
    </row>
    <row r="1066">
      <c r="A1066" s="43"/>
      <c r="B1066" s="59" t="str">
        <f>IFERROR(VLOOKUP(A1066,Internal_lists_bugs!$A$2:$G2033,7,FALSE()),"please select a BUG ID")</f>
        <v>please select a BUG ID</v>
      </c>
      <c r="C1066" s="51" t="str">
        <f>IFERROR(VLOOKUP(A1066,Internal_lists_bugs!$A$2:$I2033,9,FALSE()),"please select a BUG ID")</f>
        <v>please select a BUG ID</v>
      </c>
      <c r="D1066" s="85"/>
      <c r="E1066" s="85"/>
      <c r="F1066" s="133"/>
      <c r="G1066" s="41"/>
      <c r="H1066" s="42"/>
      <c r="I1066" s="131"/>
      <c r="J1066" s="131"/>
      <c r="K1066" s="131"/>
      <c r="L1066" s="131"/>
      <c r="M1066" s="131"/>
      <c r="N1066" s="43"/>
      <c r="O1066" s="51"/>
    </row>
    <row r="1067">
      <c r="A1067" s="43"/>
      <c r="B1067" s="59" t="str">
        <f>IFERROR(VLOOKUP(A1067,Internal_lists_bugs!$A$2:$G2033,7,FALSE()),"please select a BUG ID")</f>
        <v>please select a BUG ID</v>
      </c>
      <c r="C1067" s="51" t="str">
        <f>IFERROR(VLOOKUP(A1067,Internal_lists_bugs!$A$2:$I2033,9,FALSE()),"please select a BUG ID")</f>
        <v>please select a BUG ID</v>
      </c>
      <c r="D1067" s="85"/>
      <c r="E1067" s="85"/>
      <c r="F1067" s="133"/>
      <c r="G1067" s="41"/>
      <c r="H1067" s="42"/>
      <c r="I1067" s="131"/>
      <c r="J1067" s="131"/>
      <c r="K1067" s="131"/>
      <c r="L1067" s="131"/>
      <c r="M1067" s="131"/>
      <c r="N1067" s="43"/>
      <c r="O1067" s="51"/>
    </row>
    <row r="1068">
      <c r="A1068" s="43"/>
      <c r="B1068" s="59" t="str">
        <f>IFERROR(VLOOKUP(A1068,Internal_lists_bugs!$A$2:$G2033,7,FALSE()),"please select a BUG ID")</f>
        <v>please select a BUG ID</v>
      </c>
      <c r="C1068" s="51" t="str">
        <f>IFERROR(VLOOKUP(A1068,Internal_lists_bugs!$A$2:$I2033,9,FALSE()),"please select a BUG ID")</f>
        <v>please select a BUG ID</v>
      </c>
      <c r="D1068" s="85"/>
      <c r="E1068" s="85"/>
      <c r="F1068" s="133"/>
      <c r="G1068" s="41"/>
      <c r="H1068" s="42"/>
      <c r="I1068" s="131"/>
      <c r="J1068" s="131"/>
      <c r="K1068" s="131"/>
      <c r="L1068" s="131"/>
      <c r="M1068" s="131"/>
      <c r="N1068" s="43"/>
      <c r="O1068" s="51"/>
    </row>
    <row r="1069">
      <c r="A1069" s="43"/>
      <c r="B1069" s="59" t="str">
        <f>IFERROR(VLOOKUP(A1069,Internal_lists_bugs!$A$2:$G2033,7,FALSE()),"please select a BUG ID")</f>
        <v>please select a BUG ID</v>
      </c>
      <c r="C1069" s="51" t="str">
        <f>IFERROR(VLOOKUP(A1069,Internal_lists_bugs!$A$2:$I2033,9,FALSE()),"please select a BUG ID")</f>
        <v>please select a BUG ID</v>
      </c>
      <c r="D1069" s="85"/>
      <c r="E1069" s="85"/>
      <c r="F1069" s="133"/>
      <c r="G1069" s="41"/>
      <c r="H1069" s="42"/>
      <c r="I1069" s="131"/>
      <c r="J1069" s="131"/>
      <c r="K1069" s="131"/>
      <c r="L1069" s="131"/>
      <c r="M1069" s="131"/>
      <c r="N1069" s="43"/>
      <c r="O1069" s="51"/>
    </row>
    <row r="1070">
      <c r="A1070" s="43"/>
      <c r="B1070" s="59" t="str">
        <f>IFERROR(VLOOKUP(A1070,Internal_lists_bugs!$A$2:$G2033,7,FALSE()),"please select a BUG ID")</f>
        <v>please select a BUG ID</v>
      </c>
      <c r="C1070" s="51" t="str">
        <f>IFERROR(VLOOKUP(A1070,Internal_lists_bugs!$A$2:$I2033,9,FALSE()),"please select a BUG ID")</f>
        <v>please select a BUG ID</v>
      </c>
      <c r="D1070" s="85"/>
      <c r="E1070" s="85"/>
      <c r="F1070" s="133"/>
      <c r="G1070" s="41"/>
      <c r="H1070" s="42"/>
      <c r="I1070" s="131"/>
      <c r="J1070" s="131"/>
      <c r="K1070" s="131"/>
      <c r="L1070" s="131"/>
      <c r="M1070" s="131"/>
      <c r="N1070" s="43"/>
      <c r="O1070" s="51"/>
    </row>
    <row r="1071">
      <c r="A1071" s="43"/>
      <c r="B1071" s="59" t="str">
        <f>IFERROR(VLOOKUP(A1071,Internal_lists_bugs!$A$2:$G2033,7,FALSE()),"please select a BUG ID")</f>
        <v>please select a BUG ID</v>
      </c>
      <c r="C1071" s="51" t="str">
        <f>IFERROR(VLOOKUP(A1071,Internal_lists_bugs!$A$2:$I2033,9,FALSE()),"please select a BUG ID")</f>
        <v>please select a BUG ID</v>
      </c>
      <c r="D1071" s="85"/>
      <c r="E1071" s="85"/>
      <c r="F1071" s="133"/>
      <c r="G1071" s="122"/>
      <c r="H1071" s="42"/>
      <c r="I1071" s="131"/>
      <c r="J1071" s="131"/>
      <c r="K1071" s="131"/>
      <c r="L1071" s="131"/>
      <c r="M1071" s="131"/>
      <c r="N1071" s="43"/>
      <c r="O1071" s="51"/>
    </row>
    <row r="1072">
      <c r="A1072" s="43"/>
      <c r="B1072" s="59" t="str">
        <f>IFERROR(VLOOKUP(A1072,Internal_lists_bugs!$A$2:$G2033,7,FALSE()),"please select a BUG ID")</f>
        <v>please select a BUG ID</v>
      </c>
      <c r="C1072" s="51" t="str">
        <f>IFERROR(VLOOKUP(A1072,Internal_lists_bugs!$A$2:$I2033,9,FALSE()),"please select a BUG ID")</f>
        <v>please select a BUG ID</v>
      </c>
      <c r="D1072" s="85"/>
      <c r="E1072" s="85"/>
      <c r="F1072" s="133"/>
      <c r="G1072" s="122"/>
      <c r="H1072" s="42"/>
      <c r="I1072" s="131"/>
      <c r="J1072" s="131"/>
      <c r="K1072" s="131"/>
      <c r="L1072" s="131"/>
      <c r="M1072" s="131"/>
      <c r="N1072" s="43"/>
      <c r="O1072" s="51"/>
    </row>
    <row r="1073">
      <c r="A1073" s="43"/>
      <c r="B1073" s="59" t="str">
        <f>IFERROR(VLOOKUP(A1073,Internal_lists_bugs!$A$2:$G2033,7,FALSE()),"please select a BUG ID")</f>
        <v>please select a BUG ID</v>
      </c>
      <c r="C1073" s="51" t="str">
        <f>IFERROR(VLOOKUP(A1073,Internal_lists_bugs!$A$2:$I2033,9,FALSE()),"please select a BUG ID")</f>
        <v>please select a BUG ID</v>
      </c>
      <c r="D1073" s="85"/>
      <c r="E1073" s="85"/>
      <c r="F1073" s="133"/>
      <c r="G1073" s="41"/>
      <c r="H1073" s="42"/>
      <c r="I1073" s="131"/>
      <c r="J1073" s="131"/>
      <c r="K1073" s="131"/>
      <c r="L1073" s="131"/>
      <c r="M1073" s="131"/>
      <c r="N1073" s="43"/>
      <c r="O1073" s="51"/>
    </row>
    <row r="1074">
      <c r="A1074" s="43"/>
      <c r="B1074" s="59" t="str">
        <f>IFERROR(VLOOKUP(A1074,Internal_lists_bugs!$A$2:$G2033,7,FALSE()),"please select a BUG ID")</f>
        <v>please select a BUG ID</v>
      </c>
      <c r="C1074" s="51" t="str">
        <f>IFERROR(VLOOKUP(A1074,Internal_lists_bugs!$A$2:$I2033,9,FALSE()),"please select a BUG ID")</f>
        <v>please select a BUG ID</v>
      </c>
      <c r="D1074" s="85"/>
      <c r="E1074" s="85"/>
      <c r="F1074" s="133"/>
      <c r="G1074" s="41"/>
      <c r="H1074" s="42"/>
      <c r="I1074" s="131"/>
      <c r="J1074" s="131"/>
      <c r="K1074" s="131"/>
      <c r="L1074" s="131"/>
      <c r="M1074" s="131"/>
      <c r="N1074" s="43"/>
      <c r="O1074" s="51"/>
    </row>
    <row r="1075">
      <c r="A1075" s="43"/>
      <c r="B1075" s="59" t="str">
        <f>IFERROR(VLOOKUP(A1075,Internal_lists_bugs!$A$2:$G2033,7,FALSE()),"please select a BUG ID")</f>
        <v>please select a BUG ID</v>
      </c>
      <c r="C1075" s="51" t="str">
        <f>IFERROR(VLOOKUP(A1075,Internal_lists_bugs!$A$2:$I2033,9,FALSE()),"please select a BUG ID")</f>
        <v>please select a BUG ID</v>
      </c>
      <c r="D1075" s="85"/>
      <c r="E1075" s="85"/>
      <c r="F1075" s="133"/>
      <c r="G1075" s="41"/>
      <c r="H1075" s="42"/>
      <c r="I1075" s="131"/>
      <c r="J1075" s="131"/>
      <c r="K1075" s="131"/>
      <c r="L1075" s="131"/>
      <c r="M1075" s="131"/>
      <c r="N1075" s="43"/>
      <c r="O1075" s="51"/>
    </row>
    <row r="1076">
      <c r="A1076" s="43"/>
      <c r="B1076" s="59" t="str">
        <f>IFERROR(VLOOKUP(A1076,Internal_lists_bugs!$A$2:$G2033,7,FALSE()),"please select a BUG ID")</f>
        <v>please select a BUG ID</v>
      </c>
      <c r="C1076" s="51" t="str">
        <f>IFERROR(VLOOKUP(A1076,Internal_lists_bugs!$A$2:$I2033,9,FALSE()),"please select a BUG ID")</f>
        <v>please select a BUG ID</v>
      </c>
      <c r="D1076" s="85"/>
      <c r="E1076" s="85"/>
      <c r="F1076" s="133"/>
      <c r="G1076" s="41"/>
      <c r="H1076" s="42"/>
      <c r="I1076" s="131"/>
      <c r="J1076" s="131"/>
      <c r="K1076" s="131"/>
      <c r="L1076" s="131"/>
      <c r="M1076" s="131"/>
      <c r="N1076" s="43"/>
      <c r="O1076" s="51"/>
    </row>
    <row r="1077">
      <c r="A1077" s="43"/>
      <c r="B1077" s="59" t="str">
        <f>IFERROR(VLOOKUP(A1077,Internal_lists_bugs!$A$2:$G2033,7,FALSE()),"please select a BUG ID")</f>
        <v>please select a BUG ID</v>
      </c>
      <c r="C1077" s="51" t="str">
        <f>IFERROR(VLOOKUP(A1077,Internal_lists_bugs!$A$2:$I2033,9,FALSE()),"please select a BUG ID")</f>
        <v>please select a BUG ID</v>
      </c>
      <c r="D1077" s="85"/>
      <c r="E1077" s="85"/>
      <c r="F1077" s="133"/>
      <c r="G1077" s="41"/>
      <c r="H1077" s="42"/>
      <c r="I1077" s="131"/>
      <c r="J1077" s="131"/>
      <c r="K1077" s="131"/>
      <c r="L1077" s="131"/>
      <c r="M1077" s="131"/>
      <c r="N1077" s="43"/>
      <c r="O1077" s="51"/>
    </row>
    <row r="1078">
      <c r="A1078" s="43"/>
      <c r="B1078" s="59" t="str">
        <f>IFERROR(VLOOKUP(A1078,Internal_lists_bugs!$A$2:$G2033,7,FALSE()),"please select a BUG ID")</f>
        <v>please select a BUG ID</v>
      </c>
      <c r="C1078" s="51" t="str">
        <f>IFERROR(VLOOKUP(A1078,Internal_lists_bugs!$A$2:$I2033,9,FALSE()),"please select a BUG ID")</f>
        <v>please select a BUG ID</v>
      </c>
      <c r="D1078" s="85"/>
      <c r="E1078" s="85"/>
      <c r="F1078" s="133"/>
      <c r="G1078" s="41"/>
      <c r="H1078" s="42"/>
      <c r="I1078" s="131"/>
      <c r="J1078" s="131"/>
      <c r="K1078" s="131"/>
      <c r="L1078" s="131"/>
      <c r="M1078" s="131"/>
      <c r="N1078" s="43"/>
      <c r="O1078" s="51"/>
    </row>
    <row r="1079">
      <c r="A1079" s="43"/>
      <c r="B1079" s="59" t="str">
        <f>IFERROR(VLOOKUP(A1079,Internal_lists_bugs!$A$2:$G2033,7,FALSE()),"please select a BUG ID")</f>
        <v>please select a BUG ID</v>
      </c>
      <c r="C1079" s="51" t="str">
        <f>IFERROR(VLOOKUP(A1079,Internal_lists_bugs!$A$2:$I2033,9,FALSE()),"please select a BUG ID")</f>
        <v>please select a BUG ID</v>
      </c>
      <c r="D1079" s="85"/>
      <c r="E1079" s="85"/>
      <c r="F1079" s="133"/>
      <c r="G1079" s="41"/>
      <c r="H1079" s="42"/>
      <c r="I1079" s="131"/>
      <c r="J1079" s="131"/>
      <c r="K1079" s="131"/>
      <c r="L1079" s="131"/>
      <c r="M1079" s="131"/>
      <c r="N1079" s="43"/>
      <c r="O1079" s="51"/>
    </row>
    <row r="1080">
      <c r="A1080" s="43"/>
      <c r="B1080" s="59" t="str">
        <f>IFERROR(VLOOKUP(A1080,Internal_lists_bugs!$A$2:$G2033,7,FALSE()),"please select a BUG ID")</f>
        <v>please select a BUG ID</v>
      </c>
      <c r="C1080" s="51" t="str">
        <f>IFERROR(VLOOKUP(A1080,Internal_lists_bugs!$A$2:$I2033,9,FALSE()),"please select a BUG ID")</f>
        <v>please select a BUG ID</v>
      </c>
      <c r="D1080" s="85"/>
      <c r="E1080" s="85"/>
      <c r="F1080" s="133"/>
      <c r="G1080" s="41"/>
      <c r="H1080" s="42"/>
      <c r="I1080" s="131"/>
      <c r="J1080" s="131"/>
      <c r="K1080" s="131"/>
      <c r="L1080" s="131"/>
      <c r="M1080" s="131"/>
      <c r="N1080" s="43"/>
      <c r="O1080" s="51"/>
    </row>
    <row r="1081">
      <c r="A1081" s="43"/>
      <c r="B1081" s="59" t="str">
        <f>IFERROR(VLOOKUP(A1081,Internal_lists_bugs!$A$2:$G2033,7,FALSE()),"please select a BUG ID")</f>
        <v>please select a BUG ID</v>
      </c>
      <c r="C1081" s="51" t="str">
        <f>IFERROR(VLOOKUP(A1081,Internal_lists_bugs!$A$2:$I2033,9,FALSE()),"please select a BUG ID")</f>
        <v>please select a BUG ID</v>
      </c>
      <c r="D1081" s="85"/>
      <c r="E1081" s="85"/>
      <c r="F1081" s="133"/>
      <c r="G1081" s="41"/>
      <c r="H1081" s="42"/>
      <c r="I1081" s="131"/>
      <c r="J1081" s="131"/>
      <c r="K1081" s="131"/>
      <c r="L1081" s="131"/>
      <c r="M1081" s="131"/>
      <c r="N1081" s="43"/>
      <c r="O1081" s="51"/>
    </row>
    <row r="1082">
      <c r="A1082" s="43"/>
      <c r="B1082" s="59" t="str">
        <f>IFERROR(VLOOKUP(A1082,Internal_lists_bugs!$A$2:$G2033,7,FALSE()),"please select a BUG ID")</f>
        <v>please select a BUG ID</v>
      </c>
      <c r="C1082" s="51" t="str">
        <f>IFERROR(VLOOKUP(A1082,Internal_lists_bugs!$A$2:$I2033,9,FALSE()),"please select a BUG ID")</f>
        <v>please select a BUG ID</v>
      </c>
      <c r="D1082" s="85"/>
      <c r="E1082" s="85"/>
      <c r="F1082" s="133"/>
      <c r="G1082" s="41"/>
      <c r="H1082" s="42"/>
      <c r="I1082" s="131"/>
      <c r="J1082" s="131"/>
      <c r="K1082" s="131"/>
      <c r="L1082" s="131"/>
      <c r="M1082" s="131"/>
      <c r="N1082" s="43"/>
      <c r="O1082" s="51"/>
    </row>
    <row r="1083">
      <c r="A1083" s="43"/>
      <c r="B1083" s="59" t="str">
        <f>IFERROR(VLOOKUP(A1083,Internal_lists_bugs!$A$2:$G2033,7,FALSE()),"please select a BUG ID")</f>
        <v>please select a BUG ID</v>
      </c>
      <c r="C1083" s="51" t="str">
        <f>IFERROR(VLOOKUP(A1083,Internal_lists_bugs!$A$2:$I2033,9,FALSE()),"please select a BUG ID")</f>
        <v>please select a BUG ID</v>
      </c>
      <c r="D1083" s="85"/>
      <c r="E1083" s="85"/>
      <c r="F1083" s="133"/>
      <c r="G1083" s="41"/>
      <c r="H1083" s="42"/>
      <c r="I1083" s="131"/>
      <c r="J1083" s="131"/>
      <c r="K1083" s="131"/>
      <c r="L1083" s="131"/>
      <c r="M1083" s="131"/>
      <c r="N1083" s="43"/>
      <c r="O1083" s="51"/>
    </row>
    <row r="1084">
      <c r="A1084" s="43"/>
      <c r="B1084" s="59" t="str">
        <f>IFERROR(VLOOKUP(A1084,Internal_lists_bugs!$A$2:$G2033,7,FALSE()),"please select a BUG ID")</f>
        <v>please select a BUG ID</v>
      </c>
      <c r="C1084" s="51" t="str">
        <f>IFERROR(VLOOKUP(A1084,Internal_lists_bugs!$A$2:$I2033,9,FALSE()),"please select a BUG ID")</f>
        <v>please select a BUG ID</v>
      </c>
      <c r="D1084" s="85"/>
      <c r="E1084" s="85"/>
      <c r="F1084" s="133"/>
      <c r="G1084" s="41"/>
      <c r="H1084" s="42"/>
      <c r="I1084" s="131"/>
      <c r="J1084" s="131"/>
      <c r="K1084" s="131"/>
      <c r="L1084" s="131"/>
      <c r="M1084" s="131"/>
      <c r="N1084" s="43"/>
      <c r="O1084" s="51"/>
    </row>
    <row r="1085">
      <c r="A1085" s="43"/>
      <c r="B1085" s="59" t="str">
        <f>IFERROR(VLOOKUP(A1085,Internal_lists_bugs!$A$2:$G2033,7,FALSE()),"please select a BUG ID")</f>
        <v>please select a BUG ID</v>
      </c>
      <c r="C1085" s="51" t="str">
        <f>IFERROR(VLOOKUP(A1085,Internal_lists_bugs!$A$2:$I2033,9,FALSE()),"please select a BUG ID")</f>
        <v>please select a BUG ID</v>
      </c>
      <c r="D1085" s="85"/>
      <c r="E1085" s="85"/>
      <c r="F1085" s="133"/>
      <c r="G1085" s="41"/>
      <c r="H1085" s="42"/>
      <c r="I1085" s="131"/>
      <c r="J1085" s="131"/>
      <c r="K1085" s="131"/>
      <c r="L1085" s="131"/>
      <c r="M1085" s="131"/>
      <c r="N1085" s="43"/>
      <c r="O1085" s="51"/>
    </row>
    <row r="1086">
      <c r="A1086" s="43"/>
      <c r="B1086" s="59" t="str">
        <f>IFERROR(VLOOKUP(A1086,Internal_lists_bugs!$A$2:$G2033,7,FALSE()),"please select a BUG ID")</f>
        <v>please select a BUG ID</v>
      </c>
      <c r="C1086" s="51" t="str">
        <f>IFERROR(VLOOKUP(A1086,Internal_lists_bugs!$A$2:$I2033,9,FALSE()),"please select a BUG ID")</f>
        <v>please select a BUG ID</v>
      </c>
      <c r="D1086" s="85"/>
      <c r="E1086" s="85"/>
      <c r="F1086" s="133"/>
      <c r="G1086" s="41"/>
      <c r="H1086" s="42"/>
      <c r="I1086" s="131"/>
      <c r="J1086" s="131"/>
      <c r="K1086" s="131"/>
      <c r="L1086" s="131"/>
      <c r="M1086" s="131"/>
      <c r="N1086" s="43"/>
      <c r="O1086" s="51"/>
    </row>
    <row r="1087">
      <c r="A1087" s="43"/>
      <c r="B1087" s="59" t="str">
        <f>IFERROR(VLOOKUP(A1087,Internal_lists_bugs!$A$2:$G2033,7,FALSE()),"please select a BUG ID")</f>
        <v>please select a BUG ID</v>
      </c>
      <c r="C1087" s="51" t="str">
        <f>IFERROR(VLOOKUP(A1087,Internal_lists_bugs!$A$2:$I2033,9,FALSE()),"please select a BUG ID")</f>
        <v>please select a BUG ID</v>
      </c>
      <c r="D1087" s="85"/>
      <c r="E1087" s="85"/>
      <c r="F1087" s="133"/>
      <c r="G1087" s="41"/>
      <c r="H1087" s="42"/>
      <c r="I1087" s="131"/>
      <c r="J1087" s="131"/>
      <c r="K1087" s="131"/>
      <c r="L1087" s="131"/>
      <c r="M1087" s="131"/>
      <c r="N1087" s="43"/>
      <c r="O1087" s="51"/>
    </row>
    <row r="1088">
      <c r="A1088" s="43"/>
      <c r="B1088" s="59" t="str">
        <f>IFERROR(VLOOKUP(A1088,Internal_lists_bugs!$A$2:$G2033,7,FALSE()),"please select a BUG ID")</f>
        <v>please select a BUG ID</v>
      </c>
      <c r="C1088" s="51" t="str">
        <f>IFERROR(VLOOKUP(A1088,Internal_lists_bugs!$A$2:$I2033,9,FALSE()),"please select a BUG ID")</f>
        <v>please select a BUG ID</v>
      </c>
      <c r="D1088" s="85"/>
      <c r="E1088" s="85"/>
      <c r="F1088" s="133"/>
      <c r="G1088" s="122"/>
      <c r="H1088" s="42"/>
      <c r="I1088" s="131"/>
      <c r="J1088" s="131"/>
      <c r="K1088" s="131"/>
      <c r="L1088" s="131"/>
      <c r="M1088" s="131"/>
      <c r="N1088" s="43"/>
      <c r="O1088" s="51"/>
    </row>
    <row r="1089">
      <c r="A1089" s="43"/>
      <c r="B1089" s="59" t="str">
        <f>IFERROR(VLOOKUP(A1089,Internal_lists_bugs!$A$2:$G2033,7,FALSE()),"please select a BUG ID")</f>
        <v>please select a BUG ID</v>
      </c>
      <c r="C1089" s="51" t="str">
        <f>IFERROR(VLOOKUP(A1089,Internal_lists_bugs!$A$2:$I2033,9,FALSE()),"please select a BUG ID")</f>
        <v>please select a BUG ID</v>
      </c>
      <c r="D1089" s="85"/>
      <c r="E1089" s="85"/>
      <c r="F1089" s="133"/>
      <c r="G1089" s="122"/>
      <c r="H1089" s="42"/>
      <c r="I1089" s="131"/>
      <c r="J1089" s="131"/>
      <c r="K1089" s="131"/>
      <c r="L1089" s="131"/>
      <c r="M1089" s="131"/>
      <c r="N1089" s="43"/>
      <c r="O1089" s="51"/>
    </row>
    <row r="1090">
      <c r="A1090" s="43"/>
      <c r="B1090" s="59" t="str">
        <f>IFERROR(VLOOKUP(A1090,Internal_lists_bugs!$A$2:$G2033,7,FALSE()),"please select a BUG ID")</f>
        <v>please select a BUG ID</v>
      </c>
      <c r="C1090" s="51" t="str">
        <f>IFERROR(VLOOKUP(A1090,Internal_lists_bugs!$A$2:$I2033,9,FALSE()),"please select a BUG ID")</f>
        <v>please select a BUG ID</v>
      </c>
      <c r="D1090" s="85"/>
      <c r="E1090" s="85"/>
      <c r="F1090" s="133"/>
      <c r="G1090" s="41"/>
      <c r="H1090" s="42"/>
      <c r="I1090" s="131"/>
      <c r="J1090" s="131"/>
      <c r="K1090" s="131"/>
      <c r="L1090" s="131"/>
      <c r="M1090" s="131"/>
      <c r="N1090" s="43"/>
      <c r="O1090" s="51"/>
    </row>
    <row r="1091">
      <c r="A1091" s="43"/>
      <c r="B1091" s="59" t="str">
        <f>IFERROR(VLOOKUP(A1091,Internal_lists_bugs!$A$2:$G2033,7,FALSE()),"please select a BUG ID")</f>
        <v>please select a BUG ID</v>
      </c>
      <c r="C1091" s="51" t="str">
        <f>IFERROR(VLOOKUP(A1091,Internal_lists_bugs!$A$2:$I2033,9,FALSE()),"please select a BUG ID")</f>
        <v>please select a BUG ID</v>
      </c>
      <c r="D1091" s="85"/>
      <c r="E1091" s="85"/>
      <c r="F1091" s="133"/>
      <c r="G1091" s="122"/>
      <c r="H1091" s="42"/>
      <c r="I1091" s="131"/>
      <c r="J1091" s="131"/>
      <c r="K1091" s="131"/>
      <c r="L1091" s="131"/>
      <c r="M1091" s="131"/>
      <c r="N1091" s="43"/>
      <c r="O1091" s="51"/>
    </row>
    <row r="1092">
      <c r="A1092" s="43"/>
      <c r="B1092" s="59" t="str">
        <f>IFERROR(VLOOKUP(A1092,Internal_lists_bugs!$A$2:$G2033,7,FALSE()),"please select a BUG ID")</f>
        <v>please select a BUG ID</v>
      </c>
      <c r="C1092" s="51" t="str">
        <f>IFERROR(VLOOKUP(A1092,Internal_lists_bugs!$A$2:$I2033,9,FALSE()),"please select a BUG ID")</f>
        <v>please select a BUG ID</v>
      </c>
      <c r="D1092" s="85"/>
      <c r="E1092" s="85"/>
      <c r="F1092" s="133"/>
      <c r="G1092" s="122"/>
      <c r="H1092" s="42"/>
      <c r="I1092" s="131"/>
      <c r="J1092" s="131"/>
      <c r="K1092" s="131"/>
      <c r="L1092" s="131"/>
      <c r="M1092" s="131"/>
      <c r="N1092" s="43"/>
      <c r="O1092" s="51"/>
    </row>
    <row r="1093">
      <c r="A1093" s="43"/>
      <c r="B1093" s="59" t="str">
        <f>IFERROR(VLOOKUP(A1093,Internal_lists_bugs!$A$2:$G2033,7,FALSE()),"please select a BUG ID")</f>
        <v>please select a BUG ID</v>
      </c>
      <c r="C1093" s="51" t="str">
        <f>IFERROR(VLOOKUP(A1093,Internal_lists_bugs!$A$2:$I2033,9,FALSE()),"please select a BUG ID")</f>
        <v>please select a BUG ID</v>
      </c>
      <c r="D1093" s="85"/>
      <c r="E1093" s="85"/>
      <c r="F1093" s="133"/>
      <c r="G1093" s="122"/>
      <c r="H1093" s="42"/>
      <c r="I1093" s="131"/>
      <c r="J1093" s="131"/>
      <c r="K1093" s="131"/>
      <c r="L1093" s="131"/>
      <c r="M1093" s="131"/>
      <c r="N1093" s="43"/>
      <c r="O1093" s="51"/>
    </row>
    <row r="1094">
      <c r="A1094" s="43"/>
      <c r="B1094" s="59" t="str">
        <f>IFERROR(VLOOKUP(A1094,Internal_lists_bugs!$A$2:$G2033,7,FALSE()),"please select a BUG ID")</f>
        <v>please select a BUG ID</v>
      </c>
      <c r="C1094" s="51" t="str">
        <f>IFERROR(VLOOKUP(A1094,Internal_lists_bugs!$A$2:$I2033,9,FALSE()),"please select a BUG ID")</f>
        <v>please select a BUG ID</v>
      </c>
      <c r="D1094" s="85"/>
      <c r="E1094" s="85"/>
      <c r="F1094" s="133"/>
      <c r="G1094" s="122"/>
      <c r="H1094" s="42"/>
      <c r="I1094" s="131"/>
      <c r="J1094" s="131"/>
      <c r="K1094" s="131"/>
      <c r="L1094" s="131"/>
      <c r="M1094" s="131"/>
      <c r="N1094" s="43"/>
      <c r="O1094" s="51"/>
    </row>
    <row r="1095">
      <c r="A1095" s="43"/>
      <c r="B1095" s="59" t="str">
        <f>IFERROR(VLOOKUP(A1095,Internal_lists_bugs!$A$2:$G2033,7,FALSE()),"please select a BUG ID")</f>
        <v>please select a BUG ID</v>
      </c>
      <c r="C1095" s="51" t="str">
        <f>IFERROR(VLOOKUP(A1095,Internal_lists_bugs!$A$2:$I2033,9,FALSE()),"please select a BUG ID")</f>
        <v>please select a BUG ID</v>
      </c>
      <c r="D1095" s="85"/>
      <c r="E1095" s="85"/>
      <c r="F1095" s="133"/>
      <c r="G1095" s="41"/>
      <c r="H1095" s="42"/>
      <c r="I1095" s="131"/>
      <c r="J1095" s="131"/>
      <c r="K1095" s="131"/>
      <c r="L1095" s="131"/>
      <c r="M1095" s="131"/>
      <c r="N1095" s="43"/>
      <c r="O1095" s="51"/>
    </row>
    <row r="1096">
      <c r="A1096" s="43"/>
      <c r="B1096" s="59" t="str">
        <f>IFERROR(VLOOKUP(A1096,Internal_lists_bugs!$A$2:$G2033,7,FALSE()),"please select a BUG ID")</f>
        <v>please select a BUG ID</v>
      </c>
      <c r="C1096" s="51" t="str">
        <f>IFERROR(VLOOKUP(A1096,Internal_lists_bugs!$A$2:$I2033,9,FALSE()),"please select a BUG ID")</f>
        <v>please select a BUG ID</v>
      </c>
      <c r="D1096" s="85"/>
      <c r="E1096" s="85"/>
      <c r="F1096" s="133"/>
      <c r="G1096" s="122"/>
      <c r="H1096" s="42"/>
      <c r="I1096" s="131"/>
      <c r="J1096" s="131"/>
      <c r="K1096" s="131"/>
      <c r="L1096" s="131"/>
      <c r="M1096" s="131"/>
      <c r="N1096" s="43"/>
      <c r="O1096" s="51"/>
    </row>
    <row r="1097">
      <c r="A1097" s="43"/>
      <c r="B1097" s="59" t="str">
        <f>IFERROR(VLOOKUP(A1097,Internal_lists_bugs!$A$2:$G2033,7,FALSE()),"please select a BUG ID")</f>
        <v>please select a BUG ID</v>
      </c>
      <c r="C1097" s="51" t="str">
        <f>IFERROR(VLOOKUP(A1097,Internal_lists_bugs!$A$2:$I2033,9,FALSE()),"please select a BUG ID")</f>
        <v>please select a BUG ID</v>
      </c>
      <c r="D1097" s="85"/>
      <c r="E1097" s="85"/>
      <c r="F1097" s="133"/>
      <c r="G1097" s="41"/>
      <c r="H1097" s="42"/>
      <c r="I1097" s="131"/>
      <c r="J1097" s="131"/>
      <c r="K1097" s="131"/>
      <c r="L1097" s="131"/>
      <c r="M1097" s="131"/>
      <c r="N1097" s="43"/>
      <c r="O1097" s="51"/>
    </row>
    <row r="1098">
      <c r="A1098" s="43"/>
      <c r="B1098" s="59" t="str">
        <f>IFERROR(VLOOKUP(A1098,Internal_lists_bugs!$A$2:$G2033,7,FALSE()),"please select a BUG ID")</f>
        <v>please select a BUG ID</v>
      </c>
      <c r="C1098" s="51" t="str">
        <f>IFERROR(VLOOKUP(A1098,Internal_lists_bugs!$A$2:$I2033,9,FALSE()),"please select a BUG ID")</f>
        <v>please select a BUG ID</v>
      </c>
      <c r="D1098" s="85"/>
      <c r="E1098" s="85"/>
      <c r="F1098" s="133"/>
      <c r="G1098" s="41"/>
      <c r="H1098" s="42"/>
      <c r="I1098" s="131"/>
      <c r="J1098" s="131"/>
      <c r="K1098" s="131"/>
      <c r="L1098" s="131"/>
      <c r="M1098" s="131"/>
      <c r="N1098" s="43"/>
      <c r="O1098" s="51"/>
    </row>
    <row r="1099">
      <c r="A1099" s="43"/>
      <c r="B1099" s="59" t="str">
        <f>IFERROR(VLOOKUP(A1099,Internal_lists_bugs!$A$2:$G2033,7,FALSE()),"please select a BUG ID")</f>
        <v>please select a BUG ID</v>
      </c>
      <c r="C1099" s="51" t="str">
        <f>IFERROR(VLOOKUP(A1099,Internal_lists_bugs!$A$2:$I2033,9,FALSE()),"please select a BUG ID")</f>
        <v>please select a BUG ID</v>
      </c>
      <c r="D1099" s="85"/>
      <c r="E1099" s="85"/>
      <c r="F1099" s="133"/>
      <c r="G1099" s="41"/>
      <c r="H1099" s="42"/>
      <c r="I1099" s="131"/>
      <c r="J1099" s="131"/>
      <c r="K1099" s="131"/>
      <c r="L1099" s="131"/>
      <c r="M1099" s="131"/>
      <c r="N1099" s="43"/>
      <c r="O1099" s="51"/>
    </row>
    <row r="1100">
      <c r="A1100" s="43"/>
      <c r="B1100" s="59" t="str">
        <f>IFERROR(VLOOKUP(A1100,Internal_lists_bugs!$A$2:$G2033,7,FALSE()),"please select a BUG ID")</f>
        <v>please select a BUG ID</v>
      </c>
      <c r="C1100" s="51" t="str">
        <f>IFERROR(VLOOKUP(A1100,Internal_lists_bugs!$A$2:$I2033,9,FALSE()),"please select a BUG ID")</f>
        <v>please select a BUG ID</v>
      </c>
      <c r="D1100" s="85"/>
      <c r="E1100" s="85"/>
      <c r="F1100" s="133"/>
      <c r="G1100" s="41"/>
      <c r="H1100" s="42"/>
      <c r="I1100" s="131"/>
      <c r="J1100" s="131"/>
      <c r="K1100" s="131"/>
      <c r="L1100" s="131"/>
      <c r="M1100" s="131"/>
      <c r="N1100" s="43"/>
      <c r="O1100" s="51"/>
    </row>
    <row r="1101">
      <c r="A1101" s="43"/>
      <c r="B1101" s="59" t="str">
        <f>IFERROR(VLOOKUP(A1101,Internal_lists_bugs!$A$2:$G2033,7,FALSE()),"please select a BUG ID")</f>
        <v>please select a BUG ID</v>
      </c>
      <c r="C1101" s="51" t="str">
        <f>IFERROR(VLOOKUP(A1101,Internal_lists_bugs!$A$2:$I2033,9,FALSE()),"please select a BUG ID")</f>
        <v>please select a BUG ID</v>
      </c>
      <c r="D1101" s="85"/>
      <c r="E1101" s="85"/>
      <c r="F1101" s="133"/>
      <c r="G1101" s="41"/>
      <c r="H1101" s="42"/>
      <c r="I1101" s="131"/>
      <c r="J1101" s="131"/>
      <c r="K1101" s="131"/>
      <c r="L1101" s="131"/>
      <c r="M1101" s="131"/>
      <c r="N1101" s="43"/>
      <c r="O1101" s="51"/>
    </row>
    <row r="1102">
      <c r="A1102" s="43"/>
      <c r="B1102" s="59" t="str">
        <f>IFERROR(VLOOKUP(A1102,Internal_lists_bugs!$A$2:$G2033,7,FALSE()),"please select a BUG ID")</f>
        <v>please select a BUG ID</v>
      </c>
      <c r="C1102" s="51" t="str">
        <f>IFERROR(VLOOKUP(A1102,Internal_lists_bugs!$A$2:$I2033,9,FALSE()),"please select a BUG ID")</f>
        <v>please select a BUG ID</v>
      </c>
      <c r="D1102" s="85"/>
      <c r="E1102" s="85"/>
      <c r="F1102" s="133"/>
      <c r="G1102" s="41"/>
      <c r="H1102" s="42"/>
      <c r="I1102" s="131"/>
      <c r="J1102" s="131"/>
      <c r="K1102" s="131"/>
      <c r="L1102" s="131"/>
      <c r="M1102" s="131"/>
      <c r="N1102" s="43"/>
      <c r="O1102" s="51"/>
    </row>
    <row r="1103">
      <c r="A1103" s="43"/>
      <c r="B1103" s="59" t="str">
        <f>IFERROR(VLOOKUP(A1103,Internal_lists_bugs!$A$2:$G2033,7,FALSE()),"please select a BUG ID")</f>
        <v>please select a BUG ID</v>
      </c>
      <c r="C1103" s="51" t="str">
        <f>IFERROR(VLOOKUP(A1103,Internal_lists_bugs!$A$2:$I2033,9,FALSE()),"please select a BUG ID")</f>
        <v>please select a BUG ID</v>
      </c>
      <c r="D1103" s="85"/>
      <c r="E1103" s="85"/>
      <c r="F1103" s="133"/>
      <c r="G1103" s="41"/>
      <c r="H1103" s="42"/>
      <c r="I1103" s="131"/>
      <c r="J1103" s="131"/>
      <c r="K1103" s="131"/>
      <c r="L1103" s="131"/>
      <c r="M1103" s="131"/>
      <c r="N1103" s="43"/>
      <c r="O1103" s="51"/>
    </row>
    <row r="1104">
      <c r="A1104" s="43"/>
      <c r="B1104" s="59" t="str">
        <f>IFERROR(VLOOKUP(A1104,Internal_lists_bugs!$A$2:$G2033,7,FALSE()),"please select a BUG ID")</f>
        <v>please select a BUG ID</v>
      </c>
      <c r="C1104" s="51" t="str">
        <f>IFERROR(VLOOKUP(A1104,Internal_lists_bugs!$A$2:$I2033,9,FALSE()),"please select a BUG ID")</f>
        <v>please select a BUG ID</v>
      </c>
      <c r="D1104" s="85"/>
      <c r="E1104" s="85"/>
      <c r="F1104" s="133"/>
      <c r="G1104" s="41"/>
      <c r="H1104" s="42"/>
      <c r="I1104" s="131"/>
      <c r="J1104" s="131"/>
      <c r="K1104" s="131"/>
      <c r="L1104" s="131"/>
      <c r="M1104" s="131"/>
      <c r="N1104" s="43"/>
      <c r="O1104" s="51"/>
    </row>
    <row r="1105">
      <c r="A1105" s="43"/>
      <c r="B1105" s="59" t="str">
        <f>IFERROR(VLOOKUP(A1105,Internal_lists_bugs!$A$2:$G2033,7,FALSE()),"please select a BUG ID")</f>
        <v>please select a BUG ID</v>
      </c>
      <c r="C1105" s="51" t="str">
        <f>IFERROR(VLOOKUP(A1105,Internal_lists_bugs!$A$2:$I2033,9,FALSE()),"please select a BUG ID")</f>
        <v>please select a BUG ID</v>
      </c>
      <c r="D1105" s="85"/>
      <c r="E1105" s="85"/>
      <c r="F1105" s="133"/>
      <c r="G1105" s="41"/>
      <c r="H1105" s="42"/>
      <c r="I1105" s="131"/>
      <c r="J1105" s="131"/>
      <c r="K1105" s="131"/>
      <c r="L1105" s="131"/>
      <c r="M1105" s="131"/>
      <c r="N1105" s="43"/>
      <c r="O1105" s="51"/>
    </row>
    <row r="1106">
      <c r="A1106" s="43"/>
      <c r="B1106" s="59" t="str">
        <f>IFERROR(VLOOKUP(A1106,Internal_lists_bugs!$A$2:$G2033,7,FALSE()),"please select a BUG ID")</f>
        <v>please select a BUG ID</v>
      </c>
      <c r="C1106" s="51" t="str">
        <f>IFERROR(VLOOKUP(A1106,Internal_lists_bugs!$A$2:$I2033,9,FALSE()),"please select a BUG ID")</f>
        <v>please select a BUG ID</v>
      </c>
      <c r="D1106" s="85"/>
      <c r="E1106" s="85"/>
      <c r="F1106" s="133"/>
      <c r="G1106" s="41"/>
      <c r="H1106" s="42"/>
      <c r="I1106" s="131"/>
      <c r="J1106" s="131"/>
      <c r="K1106" s="131"/>
      <c r="L1106" s="131"/>
      <c r="M1106" s="131"/>
      <c r="N1106" s="43"/>
      <c r="O1106" s="51"/>
    </row>
    <row r="1107">
      <c r="A1107" s="43"/>
      <c r="B1107" s="59" t="str">
        <f>IFERROR(VLOOKUP(A1107,Internal_lists_bugs!$A$2:$G2033,7,FALSE()),"please select a BUG ID")</f>
        <v>please select a BUG ID</v>
      </c>
      <c r="C1107" s="51" t="str">
        <f>IFERROR(VLOOKUP(A1107,Internal_lists_bugs!$A$2:$I2033,9,FALSE()),"please select a BUG ID")</f>
        <v>please select a BUG ID</v>
      </c>
      <c r="D1107" s="85"/>
      <c r="E1107" s="85"/>
      <c r="F1107" s="133"/>
      <c r="G1107" s="41"/>
      <c r="H1107" s="42"/>
      <c r="I1107" s="131"/>
      <c r="J1107" s="131"/>
      <c r="K1107" s="131"/>
      <c r="L1107" s="131"/>
      <c r="M1107" s="131"/>
      <c r="N1107" s="43"/>
      <c r="O1107" s="51"/>
    </row>
    <row r="1108">
      <c r="A1108" s="43"/>
      <c r="B1108" s="59" t="str">
        <f>IFERROR(VLOOKUP(A1108,Internal_lists_bugs!$A$2:$G2033,7,FALSE()),"please select a BUG ID")</f>
        <v>please select a BUG ID</v>
      </c>
      <c r="C1108" s="51" t="str">
        <f>IFERROR(VLOOKUP(A1108,Internal_lists_bugs!$A$2:$I2033,9,FALSE()),"please select a BUG ID")</f>
        <v>please select a BUG ID</v>
      </c>
      <c r="D1108" s="85"/>
      <c r="E1108" s="85"/>
      <c r="F1108" s="133"/>
      <c r="G1108" s="41"/>
      <c r="H1108" s="42"/>
      <c r="I1108" s="131"/>
      <c r="J1108" s="131"/>
      <c r="K1108" s="131"/>
      <c r="L1108" s="131"/>
      <c r="M1108" s="131"/>
      <c r="N1108" s="43"/>
      <c r="O1108" s="51"/>
    </row>
    <row r="1109">
      <c r="A1109" s="43"/>
      <c r="B1109" s="59" t="str">
        <f>IFERROR(VLOOKUP(A1109,Internal_lists_bugs!$A$2:$G2033,7,FALSE()),"please select a BUG ID")</f>
        <v>please select a BUG ID</v>
      </c>
      <c r="C1109" s="51" t="str">
        <f>IFERROR(VLOOKUP(A1109,Internal_lists_bugs!$A$2:$I2033,9,FALSE()),"please select a BUG ID")</f>
        <v>please select a BUG ID</v>
      </c>
      <c r="D1109" s="85"/>
      <c r="E1109" s="85"/>
      <c r="F1109" s="133"/>
      <c r="G1109" s="41"/>
      <c r="H1109" s="42"/>
      <c r="I1109" s="131"/>
      <c r="J1109" s="131"/>
      <c r="K1109" s="131"/>
      <c r="L1109" s="131"/>
      <c r="M1109" s="131"/>
      <c r="N1109" s="43"/>
      <c r="O1109" s="51"/>
    </row>
    <row r="1110">
      <c r="A1110" s="43"/>
      <c r="B1110" s="59" t="str">
        <f>IFERROR(VLOOKUP(A1110,Internal_lists_bugs!$A$2:$G2033,7,FALSE()),"please select a BUG ID")</f>
        <v>please select a BUG ID</v>
      </c>
      <c r="C1110" s="51" t="str">
        <f>IFERROR(VLOOKUP(A1110,Internal_lists_bugs!$A$2:$I2033,9,FALSE()),"please select a BUG ID")</f>
        <v>please select a BUG ID</v>
      </c>
      <c r="D1110" s="85"/>
      <c r="E1110" s="85"/>
      <c r="F1110" s="133"/>
      <c r="G1110" s="41"/>
      <c r="H1110" s="42"/>
      <c r="I1110" s="131"/>
      <c r="J1110" s="131"/>
      <c r="K1110" s="131"/>
      <c r="L1110" s="131"/>
      <c r="M1110" s="131"/>
      <c r="N1110" s="43"/>
      <c r="O1110" s="51"/>
    </row>
    <row r="1111">
      <c r="A1111" s="43"/>
      <c r="B1111" s="59" t="str">
        <f>IFERROR(VLOOKUP(A1111,Internal_lists_bugs!$A$2:$G2033,7,FALSE()),"please select a BUG ID")</f>
        <v>please select a BUG ID</v>
      </c>
      <c r="C1111" s="51" t="str">
        <f>IFERROR(VLOOKUP(A1111,Internal_lists_bugs!$A$2:$I2033,9,FALSE()),"please select a BUG ID")</f>
        <v>please select a BUG ID</v>
      </c>
      <c r="D1111" s="85"/>
      <c r="E1111" s="85"/>
      <c r="F1111" s="133"/>
      <c r="G1111" s="41"/>
      <c r="H1111" s="42"/>
      <c r="I1111" s="131"/>
      <c r="J1111" s="131"/>
      <c r="K1111" s="131"/>
      <c r="L1111" s="131"/>
      <c r="M1111" s="131"/>
      <c r="N1111" s="43"/>
      <c r="O1111" s="51"/>
    </row>
    <row r="1112">
      <c r="A1112" s="43"/>
      <c r="B1112" s="59" t="str">
        <f>IFERROR(VLOOKUP(A1112,Internal_lists_bugs!$A$2:$G2033,7,FALSE()),"please select a BUG ID")</f>
        <v>please select a BUG ID</v>
      </c>
      <c r="C1112" s="51" t="str">
        <f>IFERROR(VLOOKUP(A1112,Internal_lists_bugs!$A$2:$I2033,9,FALSE()),"please select a BUG ID")</f>
        <v>please select a BUG ID</v>
      </c>
      <c r="D1112" s="85"/>
      <c r="E1112" s="85"/>
      <c r="F1112" s="133"/>
      <c r="G1112" s="41"/>
      <c r="H1112" s="42"/>
      <c r="I1112" s="131"/>
      <c r="J1112" s="131"/>
      <c r="K1112" s="131"/>
      <c r="L1112" s="131"/>
      <c r="M1112" s="131"/>
      <c r="N1112" s="43"/>
      <c r="O1112" s="51"/>
    </row>
    <row r="1113">
      <c r="A1113" s="43"/>
      <c r="B1113" s="59" t="str">
        <f>IFERROR(VLOOKUP(A1113,Internal_lists_bugs!$A$2:$G2033,7,FALSE()),"please select a BUG ID")</f>
        <v>please select a BUG ID</v>
      </c>
      <c r="C1113" s="51" t="str">
        <f>IFERROR(VLOOKUP(A1113,Internal_lists_bugs!$A$2:$I2033,9,FALSE()),"please select a BUG ID")</f>
        <v>please select a BUG ID</v>
      </c>
      <c r="D1113" s="85"/>
      <c r="E1113" s="85"/>
      <c r="F1113" s="133"/>
      <c r="G1113" s="41"/>
      <c r="H1113" s="42"/>
      <c r="I1113" s="131"/>
      <c r="J1113" s="131"/>
      <c r="K1113" s="131"/>
      <c r="L1113" s="131"/>
      <c r="M1113" s="131"/>
      <c r="N1113" s="43"/>
      <c r="O1113" s="51"/>
    </row>
    <row r="1114">
      <c r="A1114" s="43"/>
      <c r="B1114" s="59" t="str">
        <f>IFERROR(VLOOKUP(A1114,Internal_lists_bugs!$A$2:$G2033,7,FALSE()),"please select a BUG ID")</f>
        <v>please select a BUG ID</v>
      </c>
      <c r="C1114" s="51" t="str">
        <f>IFERROR(VLOOKUP(A1114,Internal_lists_bugs!$A$2:$I2033,9,FALSE()),"please select a BUG ID")</f>
        <v>please select a BUG ID</v>
      </c>
      <c r="D1114" s="85"/>
      <c r="E1114" s="85"/>
      <c r="F1114" s="133"/>
      <c r="G1114" s="41"/>
      <c r="H1114" s="42"/>
      <c r="I1114" s="131"/>
      <c r="J1114" s="131"/>
      <c r="K1114" s="131"/>
      <c r="L1114" s="131"/>
      <c r="M1114" s="131"/>
      <c r="N1114" s="43"/>
      <c r="O1114" s="51"/>
    </row>
    <row r="1115">
      <c r="A1115" s="43"/>
      <c r="B1115" s="59" t="str">
        <f>IFERROR(VLOOKUP(A1115,Internal_lists_bugs!$A$2:$G2033,7,FALSE()),"please select a BUG ID")</f>
        <v>please select a BUG ID</v>
      </c>
      <c r="C1115" s="51" t="str">
        <f>IFERROR(VLOOKUP(A1115,Internal_lists_bugs!$A$2:$I2033,9,FALSE()),"please select a BUG ID")</f>
        <v>please select a BUG ID</v>
      </c>
      <c r="D1115" s="85"/>
      <c r="E1115" s="85"/>
      <c r="F1115" s="133"/>
      <c r="G1115" s="41"/>
      <c r="H1115" s="42"/>
      <c r="I1115" s="131"/>
      <c r="J1115" s="131"/>
      <c r="K1115" s="131"/>
      <c r="L1115" s="131"/>
      <c r="M1115" s="131"/>
      <c r="N1115" s="43"/>
      <c r="O1115" s="51"/>
    </row>
    <row r="1116">
      <c r="A1116" s="43"/>
      <c r="B1116" s="59" t="str">
        <f>IFERROR(VLOOKUP(A1116,Internal_lists_bugs!$A$2:$G2033,7,FALSE()),"please select a BUG ID")</f>
        <v>please select a BUG ID</v>
      </c>
      <c r="C1116" s="51" t="str">
        <f>IFERROR(VLOOKUP(A1116,Internal_lists_bugs!$A$2:$I2033,9,FALSE()),"please select a BUG ID")</f>
        <v>please select a BUG ID</v>
      </c>
      <c r="D1116" s="85"/>
      <c r="E1116" s="85"/>
      <c r="F1116" s="133"/>
      <c r="G1116" s="41"/>
      <c r="H1116" s="115"/>
      <c r="I1116" s="131"/>
      <c r="J1116" s="131"/>
      <c r="K1116" s="131"/>
      <c r="L1116" s="131"/>
      <c r="M1116" s="131"/>
      <c r="N1116" s="43"/>
      <c r="O1116" s="51"/>
    </row>
    <row r="1117">
      <c r="A1117" s="43"/>
      <c r="B1117" s="59" t="str">
        <f>IFERROR(VLOOKUP(A1117,Internal_lists_bugs!$A$2:$G2033,7,FALSE()),"please select a BUG ID")</f>
        <v>please select a BUG ID</v>
      </c>
      <c r="C1117" s="51" t="str">
        <f>IFERROR(VLOOKUP(A1117,Internal_lists_bugs!$A$2:$I2033,9,FALSE()),"please select a BUG ID")</f>
        <v>please select a BUG ID</v>
      </c>
      <c r="D1117" s="85"/>
      <c r="E1117" s="85"/>
      <c r="F1117" s="133"/>
      <c r="G1117" s="122"/>
      <c r="H1117" s="115"/>
      <c r="I1117" s="131"/>
      <c r="J1117" s="131"/>
      <c r="K1117" s="131"/>
      <c r="L1117" s="131"/>
      <c r="M1117" s="131"/>
      <c r="N1117" s="43"/>
      <c r="O1117" s="51"/>
    </row>
    <row r="1118">
      <c r="A1118" s="43"/>
      <c r="B1118" s="59" t="str">
        <f>IFERROR(VLOOKUP(A1118,Internal_lists_bugs!$A$2:$G2033,7,FALSE()),"please select a BUG ID")</f>
        <v>please select a BUG ID</v>
      </c>
      <c r="C1118" s="51" t="str">
        <f>IFERROR(VLOOKUP(A1118,Internal_lists_bugs!$A$2:$I2033,9,FALSE()),"please select a BUG ID")</f>
        <v>please select a BUG ID</v>
      </c>
      <c r="D1118" s="85"/>
      <c r="E1118" s="85"/>
      <c r="F1118" s="133"/>
      <c r="G1118" s="122"/>
      <c r="H1118" s="115"/>
      <c r="I1118" s="131"/>
      <c r="J1118" s="131"/>
      <c r="K1118" s="131"/>
      <c r="L1118" s="131"/>
      <c r="M1118" s="131"/>
      <c r="N1118" s="43"/>
      <c r="O1118" s="51"/>
    </row>
    <row r="1119">
      <c r="A1119" s="43"/>
      <c r="B1119" s="59" t="str">
        <f>IFERROR(VLOOKUP(A1119,Internal_lists_bugs!$A$2:$G2033,7,FALSE()),"please select a BUG ID")</f>
        <v>please select a BUG ID</v>
      </c>
      <c r="C1119" s="51" t="str">
        <f>IFERROR(VLOOKUP(A1119,Internal_lists_bugs!$A$2:$I2033,9,FALSE()),"please select a BUG ID")</f>
        <v>please select a BUG ID</v>
      </c>
      <c r="D1119" s="85"/>
      <c r="E1119" s="85"/>
      <c r="F1119" s="133"/>
      <c r="G1119" s="122"/>
      <c r="H1119" s="115"/>
      <c r="I1119" s="131"/>
      <c r="J1119" s="131"/>
      <c r="K1119" s="131"/>
      <c r="L1119" s="131"/>
      <c r="M1119" s="131"/>
      <c r="N1119" s="43"/>
      <c r="O1119" s="51"/>
    </row>
    <row r="1120">
      <c r="A1120" s="43"/>
      <c r="B1120" s="59" t="str">
        <f>IFERROR(VLOOKUP(A1120,Internal_lists_bugs!$A$2:$G2033,7,FALSE()),"please select a BUG ID")</f>
        <v>please select a BUG ID</v>
      </c>
      <c r="C1120" s="51" t="str">
        <f>IFERROR(VLOOKUP(A1120,Internal_lists_bugs!$A$2:$I2033,9,FALSE()),"please select a BUG ID")</f>
        <v>please select a BUG ID</v>
      </c>
      <c r="D1120" s="85"/>
      <c r="E1120" s="85"/>
      <c r="F1120" s="133"/>
      <c r="G1120" s="122"/>
      <c r="H1120" s="115"/>
      <c r="I1120" s="131"/>
      <c r="J1120" s="131"/>
      <c r="K1120" s="131"/>
      <c r="L1120" s="131"/>
      <c r="M1120" s="131"/>
      <c r="N1120" s="43"/>
      <c r="O1120" s="51"/>
    </row>
    <row r="1121">
      <c r="A1121" s="43"/>
      <c r="B1121" s="59" t="str">
        <f>IFERROR(VLOOKUP(A1121,Internal_lists_bugs!$A$2:$G2033,7,FALSE()),"please select a BUG ID")</f>
        <v>please select a BUG ID</v>
      </c>
      <c r="C1121" s="51" t="str">
        <f>IFERROR(VLOOKUP(A1121,Internal_lists_bugs!$A$2:$I2033,9,FALSE()),"please select a BUG ID")</f>
        <v>please select a BUG ID</v>
      </c>
      <c r="D1121" s="85"/>
      <c r="E1121" s="85"/>
      <c r="F1121" s="133"/>
      <c r="G1121" s="122"/>
      <c r="H1121" s="115"/>
      <c r="I1121" s="131"/>
      <c r="J1121" s="131"/>
      <c r="K1121" s="131"/>
      <c r="L1121" s="131"/>
      <c r="M1121" s="131"/>
      <c r="N1121" s="43"/>
      <c r="O1121" s="51"/>
    </row>
    <row r="1122">
      <c r="A1122" s="43"/>
      <c r="B1122" s="59" t="str">
        <f>IFERROR(VLOOKUP(A1122,Internal_lists_bugs!$A$2:$G2033,7,FALSE()),"please select a BUG ID")</f>
        <v>please select a BUG ID</v>
      </c>
      <c r="C1122" s="51" t="str">
        <f>IFERROR(VLOOKUP(A1122,Internal_lists_bugs!$A$2:$I2033,9,FALSE()),"please select a BUG ID")</f>
        <v>please select a BUG ID</v>
      </c>
      <c r="D1122" s="85"/>
      <c r="E1122" s="85"/>
      <c r="F1122" s="133"/>
      <c r="G1122" s="122"/>
      <c r="H1122" s="115"/>
      <c r="I1122" s="131"/>
      <c r="J1122" s="131"/>
      <c r="K1122" s="131"/>
      <c r="L1122" s="131"/>
      <c r="M1122" s="131"/>
      <c r="N1122" s="43"/>
      <c r="O1122" s="51"/>
    </row>
    <row r="1123">
      <c r="A1123" s="43"/>
      <c r="B1123" s="59" t="str">
        <f>IFERROR(VLOOKUP(A1123,Internal_lists_bugs!$A$2:$G2033,7,FALSE()),"please select a BUG ID")</f>
        <v>please select a BUG ID</v>
      </c>
      <c r="C1123" s="51" t="str">
        <f>IFERROR(VLOOKUP(A1123,Internal_lists_bugs!$A$2:$I2033,9,FALSE()),"please select a BUG ID")</f>
        <v>please select a BUG ID</v>
      </c>
      <c r="D1123" s="85"/>
      <c r="E1123" s="85"/>
      <c r="F1123" s="133"/>
      <c r="G1123" s="41"/>
      <c r="H1123" s="115"/>
      <c r="I1123" s="131"/>
      <c r="J1123" s="131"/>
      <c r="K1123" s="131"/>
      <c r="L1123" s="131"/>
      <c r="M1123" s="131"/>
      <c r="N1123" s="43"/>
      <c r="O1123" s="51"/>
    </row>
    <row r="1124">
      <c r="A1124" s="43"/>
      <c r="B1124" s="59" t="str">
        <f>IFERROR(VLOOKUP(A1124,Internal_lists_bugs!$A$2:$G2033,7,FALSE()),"please select a BUG ID")</f>
        <v>please select a BUG ID</v>
      </c>
      <c r="C1124" s="51" t="str">
        <f>IFERROR(VLOOKUP(A1124,Internal_lists_bugs!$A$2:$I2033,9,FALSE()),"please select a BUG ID")</f>
        <v>please select a BUG ID</v>
      </c>
      <c r="D1124" s="85"/>
      <c r="E1124" s="85"/>
      <c r="F1124" s="133"/>
      <c r="G1124" s="41"/>
      <c r="H1124" s="115"/>
      <c r="I1124" s="131"/>
      <c r="J1124" s="131"/>
      <c r="K1124" s="131"/>
      <c r="L1124" s="131"/>
      <c r="M1124" s="131"/>
      <c r="N1124" s="43"/>
      <c r="O1124" s="51"/>
    </row>
    <row r="1125">
      <c r="A1125" s="43"/>
      <c r="B1125" s="59" t="str">
        <f>IFERROR(VLOOKUP(A1125,Internal_lists_bugs!$A$2:$G2033,7,FALSE()),"please select a BUG ID")</f>
        <v>please select a BUG ID</v>
      </c>
      <c r="C1125" s="51" t="str">
        <f>IFERROR(VLOOKUP(A1125,Internal_lists_bugs!$A$2:$I2033,9,FALSE()),"please select a BUG ID")</f>
        <v>please select a BUG ID</v>
      </c>
      <c r="D1125" s="85"/>
      <c r="E1125" s="85"/>
      <c r="F1125" s="133"/>
      <c r="G1125" s="41"/>
      <c r="H1125" s="115"/>
      <c r="I1125" s="131"/>
      <c r="J1125" s="131"/>
      <c r="K1125" s="131"/>
      <c r="L1125" s="131"/>
      <c r="M1125" s="131"/>
      <c r="N1125" s="43"/>
      <c r="O1125" s="51"/>
    </row>
    <row r="1126">
      <c r="A1126" s="43"/>
      <c r="B1126" s="59" t="str">
        <f>IFERROR(VLOOKUP(A1126,Internal_lists_bugs!$A$2:$G2033,7,FALSE()),"please select a BUG ID")</f>
        <v>please select a BUG ID</v>
      </c>
      <c r="C1126" s="51" t="str">
        <f>IFERROR(VLOOKUP(A1126,Internal_lists_bugs!$A$2:$I2033,9,FALSE()),"please select a BUG ID")</f>
        <v>please select a BUG ID</v>
      </c>
      <c r="D1126" s="85"/>
      <c r="E1126" s="85"/>
      <c r="F1126" s="133"/>
      <c r="G1126" s="41"/>
      <c r="H1126" s="115"/>
      <c r="I1126" s="131"/>
      <c r="J1126" s="131"/>
      <c r="K1126" s="131"/>
      <c r="L1126" s="131"/>
      <c r="M1126" s="131"/>
      <c r="N1126" s="43"/>
      <c r="O1126" s="51"/>
    </row>
    <row r="1127">
      <c r="A1127" s="43"/>
      <c r="B1127" s="59" t="str">
        <f>IFERROR(VLOOKUP(A1127,Internal_lists_bugs!$A$2:$G2033,7,FALSE()),"please select a BUG ID")</f>
        <v>please select a BUG ID</v>
      </c>
      <c r="C1127" s="51" t="str">
        <f>IFERROR(VLOOKUP(A1127,Internal_lists_bugs!$A$2:$I2033,9,FALSE()),"please select a BUG ID")</f>
        <v>please select a BUG ID</v>
      </c>
      <c r="D1127" s="85"/>
      <c r="E1127" s="85"/>
      <c r="F1127" s="133"/>
      <c r="G1127" s="41"/>
      <c r="H1127" s="115"/>
      <c r="I1127" s="131"/>
      <c r="J1127" s="131"/>
      <c r="K1127" s="131"/>
      <c r="L1127" s="131"/>
      <c r="M1127" s="131"/>
      <c r="N1127" s="43"/>
      <c r="O1127" s="51"/>
    </row>
    <row r="1128">
      <c r="A1128" s="43"/>
      <c r="B1128" s="59" t="str">
        <f>IFERROR(VLOOKUP(A1128,Internal_lists_bugs!$A$2:$G2033,7,FALSE()),"please select a BUG ID")</f>
        <v>please select a BUG ID</v>
      </c>
      <c r="C1128" s="51" t="str">
        <f>IFERROR(VLOOKUP(A1128,Internal_lists_bugs!$A$2:$I2033,9,FALSE()),"please select a BUG ID")</f>
        <v>please select a BUG ID</v>
      </c>
      <c r="D1128" s="85"/>
      <c r="E1128" s="85"/>
      <c r="F1128" s="133"/>
      <c r="G1128" s="41"/>
      <c r="H1128" s="115"/>
      <c r="I1128" s="131"/>
      <c r="J1128" s="131"/>
      <c r="K1128" s="131"/>
      <c r="L1128" s="131"/>
      <c r="M1128" s="131"/>
      <c r="N1128" s="43"/>
      <c r="O1128" s="51"/>
    </row>
    <row r="1129">
      <c r="A1129" s="43"/>
      <c r="B1129" s="59" t="str">
        <f>IFERROR(VLOOKUP(A1129,Internal_lists_bugs!$A$2:$G2033,7,FALSE()),"please select a BUG ID")</f>
        <v>please select a BUG ID</v>
      </c>
      <c r="C1129" s="51" t="str">
        <f>IFERROR(VLOOKUP(A1129,Internal_lists_bugs!$A$2:$I2033,9,FALSE()),"please select a BUG ID")</f>
        <v>please select a BUG ID</v>
      </c>
      <c r="D1129" s="85"/>
      <c r="E1129" s="85"/>
      <c r="F1129" s="133"/>
      <c r="G1129" s="41"/>
      <c r="H1129" s="115"/>
      <c r="I1129" s="131"/>
      <c r="J1129" s="131"/>
      <c r="K1129" s="131"/>
      <c r="L1129" s="131"/>
      <c r="M1129" s="131"/>
      <c r="N1129" s="43"/>
      <c r="O1129" s="51"/>
    </row>
    <row r="1130">
      <c r="A1130" s="43"/>
      <c r="B1130" s="59" t="str">
        <f>IFERROR(VLOOKUP(A1130,Internal_lists_bugs!$A$2:$G2033,7,FALSE()),"please select a BUG ID")</f>
        <v>please select a BUG ID</v>
      </c>
      <c r="C1130" s="51" t="str">
        <f>IFERROR(VLOOKUP(A1130,Internal_lists_bugs!$A$2:$I2033,9,FALSE()),"please select a BUG ID")</f>
        <v>please select a BUG ID</v>
      </c>
      <c r="D1130" s="85"/>
      <c r="E1130" s="85"/>
      <c r="F1130" s="133"/>
      <c r="G1130" s="41"/>
      <c r="H1130" s="115"/>
      <c r="I1130" s="131"/>
      <c r="J1130" s="131"/>
      <c r="K1130" s="131"/>
      <c r="L1130" s="131"/>
      <c r="M1130" s="131"/>
      <c r="N1130" s="43"/>
      <c r="O1130" s="51"/>
    </row>
    <row r="1131">
      <c r="A1131" s="43"/>
      <c r="B1131" s="59" t="str">
        <f>IFERROR(VLOOKUP(A1131,Internal_lists_bugs!$A$2:$G2033,7,FALSE()),"please select a BUG ID")</f>
        <v>please select a BUG ID</v>
      </c>
      <c r="C1131" s="51" t="str">
        <f>IFERROR(VLOOKUP(A1131,Internal_lists_bugs!$A$2:$I2033,9,FALSE()),"please select a BUG ID")</f>
        <v>please select a BUG ID</v>
      </c>
      <c r="D1131" s="85"/>
      <c r="E1131" s="85"/>
      <c r="F1131" s="133"/>
      <c r="G1131" s="41"/>
      <c r="H1131" s="115"/>
      <c r="I1131" s="131"/>
      <c r="J1131" s="131"/>
      <c r="K1131" s="131"/>
      <c r="L1131" s="131"/>
      <c r="M1131" s="131"/>
      <c r="N1131" s="43"/>
      <c r="O1131" s="51"/>
    </row>
    <row r="1132">
      <c r="A1132" s="43"/>
      <c r="B1132" s="59" t="str">
        <f>IFERROR(VLOOKUP(A1132,Internal_lists_bugs!$A$2:$G2033,7,FALSE()),"please select a BUG ID")</f>
        <v>please select a BUG ID</v>
      </c>
      <c r="C1132" s="51" t="str">
        <f>IFERROR(VLOOKUP(A1132,Internal_lists_bugs!$A$2:$I2033,9,FALSE()),"please select a BUG ID")</f>
        <v>please select a BUG ID</v>
      </c>
      <c r="D1132" s="85"/>
      <c r="E1132" s="85"/>
      <c r="F1132" s="133"/>
      <c r="G1132" s="41"/>
      <c r="H1132" s="115"/>
      <c r="I1132" s="131"/>
      <c r="J1132" s="131"/>
      <c r="K1132" s="131"/>
      <c r="L1132" s="131"/>
      <c r="M1132" s="131"/>
      <c r="N1132" s="43"/>
      <c r="O1132" s="51"/>
    </row>
    <row r="1133">
      <c r="A1133" s="43"/>
      <c r="B1133" s="59" t="str">
        <f>IFERROR(VLOOKUP(A1133,Internal_lists_bugs!$A$2:$G2033,7,FALSE()),"please select a BUG ID")</f>
        <v>please select a BUG ID</v>
      </c>
      <c r="C1133" s="51" t="str">
        <f>IFERROR(VLOOKUP(A1133,Internal_lists_bugs!$A$2:$I2033,9,FALSE()),"please select a BUG ID")</f>
        <v>please select a BUG ID</v>
      </c>
      <c r="D1133" s="85"/>
      <c r="E1133" s="85"/>
      <c r="F1133" s="133"/>
      <c r="G1133" s="41"/>
      <c r="H1133" s="115"/>
      <c r="I1133" s="131"/>
      <c r="J1133" s="131"/>
      <c r="K1133" s="131"/>
      <c r="L1133" s="131"/>
      <c r="M1133" s="131"/>
      <c r="N1133" s="43"/>
      <c r="O1133" s="51"/>
    </row>
    <row r="1134">
      <c r="A1134" s="43"/>
      <c r="B1134" s="59" t="str">
        <f>IFERROR(VLOOKUP(A1134,Internal_lists_bugs!$A$2:$G2033,7,FALSE()),"please select a BUG ID")</f>
        <v>please select a BUG ID</v>
      </c>
      <c r="C1134" s="51" t="str">
        <f>IFERROR(VLOOKUP(A1134,Internal_lists_bugs!$A$2:$I2033,9,FALSE()),"please select a BUG ID")</f>
        <v>please select a BUG ID</v>
      </c>
      <c r="D1134" s="85"/>
      <c r="E1134" s="85"/>
      <c r="F1134" s="133"/>
      <c r="G1134" s="41"/>
      <c r="H1134" s="115"/>
      <c r="I1134" s="131"/>
      <c r="J1134" s="131"/>
      <c r="K1134" s="131"/>
      <c r="L1134" s="131"/>
      <c r="M1134" s="131"/>
      <c r="N1134" s="43"/>
      <c r="O1134" s="51"/>
    </row>
    <row r="1135">
      <c r="A1135" s="43"/>
      <c r="B1135" s="59" t="str">
        <f>IFERROR(VLOOKUP(A1135,Internal_lists_bugs!$A$2:$G2033,7,FALSE()),"please select a BUG ID")</f>
        <v>please select a BUG ID</v>
      </c>
      <c r="C1135" s="51" t="str">
        <f>IFERROR(VLOOKUP(A1135,Internal_lists_bugs!$A$2:$I2033,9,FALSE()),"please select a BUG ID")</f>
        <v>please select a BUG ID</v>
      </c>
      <c r="D1135" s="85"/>
      <c r="E1135" s="85"/>
      <c r="F1135" s="133"/>
      <c r="G1135" s="41"/>
      <c r="H1135" s="115"/>
      <c r="I1135" s="131"/>
      <c r="J1135" s="131"/>
      <c r="K1135" s="131"/>
      <c r="L1135" s="131"/>
      <c r="M1135" s="131"/>
      <c r="N1135" s="43"/>
      <c r="O1135" s="51"/>
    </row>
    <row r="1136">
      <c r="A1136" s="43"/>
      <c r="B1136" s="59" t="str">
        <f>IFERROR(VLOOKUP(A1136,Internal_lists_bugs!$A$2:$G2033,7,FALSE()),"please select a BUG ID")</f>
        <v>please select a BUG ID</v>
      </c>
      <c r="C1136" s="51" t="str">
        <f>IFERROR(VLOOKUP(A1136,Internal_lists_bugs!$A$2:$I2033,9,FALSE()),"please select a BUG ID")</f>
        <v>please select a BUG ID</v>
      </c>
      <c r="D1136" s="85"/>
      <c r="E1136" s="85"/>
      <c r="F1136" s="133"/>
      <c r="G1136" s="41"/>
      <c r="H1136" s="115"/>
      <c r="I1136" s="131"/>
      <c r="J1136" s="131"/>
      <c r="K1136" s="131"/>
      <c r="L1136" s="131"/>
      <c r="M1136" s="131"/>
      <c r="N1136" s="43"/>
      <c r="O1136" s="51"/>
    </row>
    <row r="1137">
      <c r="A1137" s="43"/>
      <c r="B1137" s="59" t="str">
        <f>IFERROR(VLOOKUP(A1137,Internal_lists_bugs!$A$2:$G2033,7,FALSE()),"please select a BUG ID")</f>
        <v>please select a BUG ID</v>
      </c>
      <c r="C1137" s="51" t="str">
        <f>IFERROR(VLOOKUP(A1137,Internal_lists_bugs!$A$2:$I2033,9,FALSE()),"please select a BUG ID")</f>
        <v>please select a BUG ID</v>
      </c>
      <c r="D1137" s="85"/>
      <c r="E1137" s="85"/>
      <c r="F1137" s="133"/>
      <c r="G1137" s="41"/>
      <c r="H1137" s="115"/>
      <c r="I1137" s="131"/>
      <c r="J1137" s="131"/>
      <c r="K1137" s="131"/>
      <c r="L1137" s="131"/>
      <c r="M1137" s="131"/>
      <c r="N1137" s="43"/>
      <c r="O1137" s="51"/>
    </row>
    <row r="1138">
      <c r="A1138" s="43"/>
      <c r="B1138" s="59" t="str">
        <f>IFERROR(VLOOKUP(A1138,Internal_lists_bugs!$A$2:$G2033,7,FALSE()),"please select a BUG ID")</f>
        <v>please select a BUG ID</v>
      </c>
      <c r="C1138" s="51" t="str">
        <f>IFERROR(VLOOKUP(A1138,Internal_lists_bugs!$A$2:$I2033,9,FALSE()),"please select a BUG ID")</f>
        <v>please select a BUG ID</v>
      </c>
      <c r="D1138" s="85"/>
      <c r="E1138" s="85"/>
      <c r="F1138" s="133"/>
      <c r="G1138" s="41"/>
      <c r="H1138" s="115"/>
      <c r="I1138" s="131"/>
      <c r="J1138" s="131"/>
      <c r="K1138" s="131"/>
      <c r="L1138" s="131"/>
      <c r="M1138" s="131"/>
      <c r="N1138" s="43"/>
      <c r="O1138" s="51"/>
    </row>
    <row r="1139">
      <c r="A1139" s="43"/>
      <c r="B1139" s="59" t="str">
        <f>IFERROR(VLOOKUP(A1139,Internal_lists_bugs!$A$2:$G2033,7,FALSE()),"please select a BUG ID")</f>
        <v>please select a BUG ID</v>
      </c>
      <c r="C1139" s="51" t="str">
        <f>IFERROR(VLOOKUP(A1139,Internal_lists_bugs!$A$2:$I2033,9,FALSE()),"please select a BUG ID")</f>
        <v>please select a BUG ID</v>
      </c>
      <c r="D1139" s="85"/>
      <c r="E1139" s="85"/>
      <c r="F1139" s="133"/>
      <c r="G1139" s="41"/>
      <c r="H1139" s="115"/>
      <c r="I1139" s="131"/>
      <c r="J1139" s="131"/>
      <c r="K1139" s="131"/>
      <c r="L1139" s="131"/>
      <c r="M1139" s="131"/>
      <c r="N1139" s="43"/>
      <c r="O1139" s="51"/>
    </row>
    <row r="1140">
      <c r="A1140" s="43"/>
      <c r="B1140" s="59" t="str">
        <f>IFERROR(VLOOKUP(A1140,Internal_lists_bugs!$A$2:$G2033,7,FALSE()),"please select a BUG ID")</f>
        <v>please select a BUG ID</v>
      </c>
      <c r="C1140" s="51" t="str">
        <f>IFERROR(VLOOKUP(A1140,Internal_lists_bugs!$A$2:$I2033,9,FALSE()),"please select a BUG ID")</f>
        <v>please select a BUG ID</v>
      </c>
      <c r="D1140" s="85"/>
      <c r="E1140" s="85"/>
      <c r="F1140" s="133"/>
      <c r="G1140" s="41"/>
      <c r="H1140" s="115"/>
      <c r="I1140" s="131"/>
      <c r="J1140" s="131"/>
      <c r="K1140" s="131"/>
      <c r="L1140" s="131"/>
      <c r="M1140" s="131"/>
      <c r="N1140" s="43"/>
      <c r="O1140" s="51"/>
    </row>
    <row r="1141">
      <c r="A1141" s="43"/>
      <c r="B1141" s="59" t="str">
        <f>IFERROR(VLOOKUP(A1141,Internal_lists_bugs!$A$2:$G2033,7,FALSE()),"please select a BUG ID")</f>
        <v>please select a BUG ID</v>
      </c>
      <c r="C1141" s="51" t="str">
        <f>IFERROR(VLOOKUP(A1141,Internal_lists_bugs!$A$2:$I2033,9,FALSE()),"please select a BUG ID")</f>
        <v>please select a BUG ID</v>
      </c>
      <c r="D1141" s="85"/>
      <c r="E1141" s="85"/>
      <c r="F1141" s="133"/>
      <c r="G1141" s="41"/>
      <c r="H1141" s="115"/>
      <c r="I1141" s="131"/>
      <c r="J1141" s="131"/>
      <c r="K1141" s="131"/>
      <c r="L1141" s="131"/>
      <c r="M1141" s="131"/>
      <c r="N1141" s="43"/>
      <c r="O1141" s="51"/>
    </row>
    <row r="1142">
      <c r="A1142" s="43"/>
      <c r="B1142" s="59" t="str">
        <f>IFERROR(VLOOKUP(A1142,Internal_lists_bugs!$A$2:$G2033,7,FALSE()),"please select a BUG ID")</f>
        <v>please select a BUG ID</v>
      </c>
      <c r="C1142" s="51" t="str">
        <f>IFERROR(VLOOKUP(A1142,Internal_lists_bugs!$A$2:$I2033,9,FALSE()),"please select a BUG ID")</f>
        <v>please select a BUG ID</v>
      </c>
      <c r="D1142" s="85"/>
      <c r="E1142" s="85"/>
      <c r="F1142" s="133"/>
      <c r="G1142" s="41"/>
      <c r="H1142" s="115"/>
      <c r="I1142" s="131"/>
      <c r="J1142" s="131"/>
      <c r="K1142" s="131"/>
      <c r="L1142" s="131"/>
      <c r="M1142" s="131"/>
      <c r="N1142" s="43"/>
      <c r="O1142" s="51"/>
    </row>
    <row r="1143">
      <c r="A1143" s="43"/>
      <c r="B1143" s="59" t="str">
        <f>IFERROR(VLOOKUP(A1143,Internal_lists_bugs!$A$2:$G2033,7,FALSE()),"please select a BUG ID")</f>
        <v>please select a BUG ID</v>
      </c>
      <c r="C1143" s="51" t="str">
        <f>IFERROR(VLOOKUP(A1143,Internal_lists_bugs!$A$2:$I2033,9,FALSE()),"please select a BUG ID")</f>
        <v>please select a BUG ID</v>
      </c>
      <c r="D1143" s="85"/>
      <c r="E1143" s="85"/>
      <c r="F1143" s="133"/>
      <c r="G1143" s="41"/>
      <c r="H1143" s="115"/>
      <c r="I1143" s="131"/>
      <c r="J1143" s="131"/>
      <c r="K1143" s="131"/>
      <c r="L1143" s="131"/>
      <c r="M1143" s="131"/>
      <c r="N1143" s="43"/>
      <c r="O1143" s="51"/>
    </row>
    <row r="1144">
      <c r="A1144" s="43"/>
      <c r="B1144" s="59" t="str">
        <f>IFERROR(VLOOKUP(A1144,Internal_lists_bugs!$A$2:$G2033,7,FALSE()),"please select a BUG ID")</f>
        <v>please select a BUG ID</v>
      </c>
      <c r="C1144" s="51" t="str">
        <f>IFERROR(VLOOKUP(A1144,Internal_lists_bugs!$A$2:$I2033,9,FALSE()),"please select a BUG ID")</f>
        <v>please select a BUG ID</v>
      </c>
      <c r="D1144" s="85"/>
      <c r="E1144" s="85"/>
      <c r="F1144" s="133"/>
      <c r="G1144" s="41"/>
      <c r="H1144" s="115"/>
      <c r="I1144" s="131"/>
      <c r="J1144" s="131"/>
      <c r="K1144" s="131"/>
      <c r="L1144" s="131"/>
      <c r="M1144" s="131"/>
      <c r="N1144" s="43"/>
      <c r="O1144" s="51"/>
    </row>
    <row r="1145">
      <c r="A1145" s="43"/>
      <c r="B1145" s="59" t="str">
        <f>IFERROR(VLOOKUP(A1145,Internal_lists_bugs!$A$2:$G2033,7,FALSE()),"please select a BUG ID")</f>
        <v>please select a BUG ID</v>
      </c>
      <c r="C1145" s="51" t="str">
        <f>IFERROR(VLOOKUP(A1145,Internal_lists_bugs!$A$2:$I2033,9,FALSE()),"please select a BUG ID")</f>
        <v>please select a BUG ID</v>
      </c>
      <c r="D1145" s="85"/>
      <c r="E1145" s="85"/>
      <c r="F1145" s="133"/>
      <c r="G1145" s="41"/>
      <c r="H1145" s="115"/>
      <c r="I1145" s="131"/>
      <c r="J1145" s="131"/>
      <c r="K1145" s="131"/>
      <c r="L1145" s="131"/>
      <c r="M1145" s="131"/>
      <c r="N1145" s="43"/>
      <c r="O1145" s="51"/>
    </row>
    <row r="1146">
      <c r="A1146" s="43"/>
      <c r="B1146" s="59" t="str">
        <f>IFERROR(VLOOKUP(A1146,Internal_lists_bugs!$A$2:$G2033,7,FALSE()),"please select a BUG ID")</f>
        <v>please select a BUG ID</v>
      </c>
      <c r="C1146" s="51" t="str">
        <f>IFERROR(VLOOKUP(A1146,Internal_lists_bugs!$A$2:$I2033,9,FALSE()),"please select a BUG ID")</f>
        <v>please select a BUG ID</v>
      </c>
      <c r="D1146" s="85"/>
      <c r="E1146" s="85"/>
      <c r="F1146" s="133"/>
      <c r="G1146" s="41"/>
      <c r="H1146" s="115"/>
      <c r="I1146" s="131"/>
      <c r="J1146" s="131"/>
      <c r="K1146" s="131"/>
      <c r="L1146" s="131"/>
      <c r="M1146" s="131"/>
      <c r="N1146" s="43"/>
      <c r="O1146" s="51"/>
    </row>
    <row r="1147">
      <c r="A1147" s="43"/>
      <c r="B1147" s="59" t="str">
        <f>IFERROR(VLOOKUP(A1147,Internal_lists_bugs!$A$2:$G2033,7,FALSE()),"please select a BUG ID")</f>
        <v>please select a BUG ID</v>
      </c>
      <c r="C1147" s="51" t="str">
        <f>IFERROR(VLOOKUP(A1147,Internal_lists_bugs!$A$2:$I2033,9,FALSE()),"please select a BUG ID")</f>
        <v>please select a BUG ID</v>
      </c>
      <c r="D1147" s="85"/>
      <c r="E1147" s="85"/>
      <c r="F1147" s="133"/>
      <c r="G1147" s="41"/>
      <c r="H1147" s="115"/>
      <c r="I1147" s="131"/>
      <c r="J1147" s="131"/>
      <c r="K1147" s="131"/>
      <c r="L1147" s="131"/>
      <c r="M1147" s="131"/>
      <c r="N1147" s="43"/>
      <c r="O1147" s="51"/>
    </row>
    <row r="1148">
      <c r="A1148" s="43"/>
      <c r="B1148" s="59" t="str">
        <f>IFERROR(VLOOKUP(A1148,Internal_lists_bugs!$A$2:$G2033,7,FALSE()),"please select a BUG ID")</f>
        <v>please select a BUG ID</v>
      </c>
      <c r="C1148" s="51" t="str">
        <f>IFERROR(VLOOKUP(A1148,Internal_lists_bugs!$A$2:$I2033,9,FALSE()),"please select a BUG ID")</f>
        <v>please select a BUG ID</v>
      </c>
      <c r="D1148" s="85"/>
      <c r="E1148" s="85"/>
      <c r="F1148" s="133"/>
      <c r="G1148" s="41"/>
      <c r="H1148" s="115"/>
      <c r="I1148" s="131"/>
      <c r="J1148" s="131"/>
      <c r="K1148" s="131"/>
      <c r="L1148" s="131"/>
      <c r="M1148" s="131"/>
      <c r="N1148" s="43"/>
      <c r="O1148" s="51"/>
    </row>
    <row r="1149">
      <c r="A1149" s="43"/>
      <c r="B1149" s="59" t="str">
        <f>IFERROR(VLOOKUP(A1149,Internal_lists_bugs!$A$2:$G2033,7,FALSE()),"please select a BUG ID")</f>
        <v>please select a BUG ID</v>
      </c>
      <c r="C1149" s="51" t="str">
        <f>IFERROR(VLOOKUP(A1149,Internal_lists_bugs!$A$2:$I2033,9,FALSE()),"please select a BUG ID")</f>
        <v>please select a BUG ID</v>
      </c>
      <c r="D1149" s="85"/>
      <c r="E1149" s="85"/>
      <c r="F1149" s="133"/>
      <c r="G1149" s="41"/>
      <c r="H1149" s="115"/>
      <c r="I1149" s="131"/>
      <c r="J1149" s="131"/>
      <c r="K1149" s="131"/>
      <c r="L1149" s="131"/>
      <c r="M1149" s="131"/>
      <c r="N1149" s="43"/>
      <c r="O1149" s="51"/>
    </row>
    <row r="1150">
      <c r="A1150" s="43"/>
      <c r="B1150" s="59" t="str">
        <f>IFERROR(VLOOKUP(A1150,Internal_lists_bugs!$A$2:$G2033,7,FALSE()),"please select a BUG ID")</f>
        <v>please select a BUG ID</v>
      </c>
      <c r="C1150" s="51" t="str">
        <f>IFERROR(VLOOKUP(A1150,Internal_lists_bugs!$A$2:$I2033,9,FALSE()),"please select a BUG ID")</f>
        <v>please select a BUG ID</v>
      </c>
      <c r="D1150" s="85"/>
      <c r="E1150" s="85"/>
      <c r="F1150" s="133"/>
      <c r="G1150" s="41"/>
      <c r="H1150" s="115"/>
      <c r="I1150" s="131"/>
      <c r="J1150" s="131"/>
      <c r="K1150" s="131"/>
      <c r="L1150" s="131"/>
      <c r="M1150" s="131"/>
      <c r="N1150" s="43"/>
      <c r="O1150" s="51"/>
    </row>
    <row r="1151">
      <c r="A1151" s="43"/>
      <c r="B1151" s="59" t="str">
        <f>IFERROR(VLOOKUP(A1151,Internal_lists_bugs!$A$2:$G2033,7,FALSE()),"please select a BUG ID")</f>
        <v>please select a BUG ID</v>
      </c>
      <c r="C1151" s="51" t="str">
        <f>IFERROR(VLOOKUP(A1151,Internal_lists_bugs!$A$2:$I2033,9,FALSE()),"please select a BUG ID")</f>
        <v>please select a BUG ID</v>
      </c>
      <c r="D1151" s="85"/>
      <c r="E1151" s="85"/>
      <c r="F1151" s="133"/>
      <c r="G1151" s="41"/>
      <c r="H1151" s="115"/>
      <c r="I1151" s="131"/>
      <c r="J1151" s="131"/>
      <c r="K1151" s="131"/>
      <c r="L1151" s="131"/>
      <c r="M1151" s="131"/>
      <c r="N1151" s="43"/>
      <c r="O1151" s="51"/>
    </row>
    <row r="1152">
      <c r="A1152" s="43"/>
      <c r="B1152" s="59" t="str">
        <f>IFERROR(VLOOKUP(A1152,Internal_lists_bugs!$A$2:$G2033,7,FALSE()),"please select a BUG ID")</f>
        <v>please select a BUG ID</v>
      </c>
      <c r="C1152" s="51" t="str">
        <f>IFERROR(VLOOKUP(A1152,Internal_lists_bugs!$A$2:$I2033,9,FALSE()),"please select a BUG ID")</f>
        <v>please select a BUG ID</v>
      </c>
      <c r="D1152" s="85"/>
      <c r="E1152" s="85"/>
      <c r="F1152" s="133"/>
      <c r="G1152" s="41"/>
      <c r="H1152" s="115"/>
      <c r="I1152" s="131"/>
      <c r="J1152" s="131"/>
      <c r="K1152" s="131"/>
      <c r="L1152" s="131"/>
      <c r="M1152" s="131"/>
      <c r="N1152" s="43"/>
      <c r="O1152" s="51"/>
    </row>
    <row r="1153">
      <c r="A1153" s="43"/>
      <c r="B1153" s="59" t="str">
        <f>IFERROR(VLOOKUP(A1153,Internal_lists_bugs!$A$2:$G2033,7,FALSE()),"please select a BUG ID")</f>
        <v>please select a BUG ID</v>
      </c>
      <c r="C1153" s="51" t="str">
        <f>IFERROR(VLOOKUP(A1153,Internal_lists_bugs!$A$2:$I2033,9,FALSE()),"please select a BUG ID")</f>
        <v>please select a BUG ID</v>
      </c>
      <c r="D1153" s="85"/>
      <c r="E1153" s="85"/>
      <c r="F1153" s="133"/>
      <c r="G1153" s="41"/>
      <c r="H1153" s="115"/>
      <c r="I1153" s="131"/>
      <c r="J1153" s="131"/>
      <c r="K1153" s="131"/>
      <c r="L1153" s="131"/>
      <c r="M1153" s="131"/>
      <c r="N1153" s="43"/>
      <c r="O1153" s="51"/>
    </row>
    <row r="1154">
      <c r="A1154" s="43"/>
      <c r="B1154" s="59" t="str">
        <f>IFERROR(VLOOKUP(A1154,Internal_lists_bugs!$A$2:$G2033,7,FALSE()),"please select a BUG ID")</f>
        <v>please select a BUG ID</v>
      </c>
      <c r="C1154" s="51" t="str">
        <f>IFERROR(VLOOKUP(A1154,Internal_lists_bugs!$A$2:$I2033,9,FALSE()),"please select a BUG ID")</f>
        <v>please select a BUG ID</v>
      </c>
      <c r="D1154" s="85"/>
      <c r="E1154" s="85"/>
      <c r="F1154" s="133"/>
      <c r="G1154" s="41"/>
      <c r="H1154" s="115"/>
      <c r="I1154" s="131"/>
      <c r="J1154" s="131"/>
      <c r="K1154" s="131"/>
      <c r="L1154" s="131"/>
      <c r="M1154" s="131"/>
      <c r="N1154" s="43"/>
      <c r="O1154" s="51"/>
    </row>
    <row r="1155">
      <c r="A1155" s="43"/>
      <c r="B1155" s="59" t="str">
        <f>IFERROR(VLOOKUP(A1155,Internal_lists_bugs!$A$2:$G2033,7,FALSE()),"please select a BUG ID")</f>
        <v>please select a BUG ID</v>
      </c>
      <c r="C1155" s="51" t="str">
        <f>IFERROR(VLOOKUP(A1155,Internal_lists_bugs!$A$2:$I2033,9,FALSE()),"please select a BUG ID")</f>
        <v>please select a BUG ID</v>
      </c>
      <c r="D1155" s="85"/>
      <c r="E1155" s="85"/>
      <c r="F1155" s="133"/>
      <c r="G1155" s="41"/>
      <c r="H1155" s="147"/>
      <c r="I1155" s="131"/>
      <c r="J1155" s="131"/>
      <c r="K1155" s="131"/>
      <c r="L1155" s="131"/>
      <c r="M1155" s="131"/>
      <c r="N1155" s="43"/>
      <c r="O1155" s="51"/>
    </row>
    <row r="1156">
      <c r="A1156" s="43"/>
      <c r="B1156" s="59" t="str">
        <f>IFERROR(VLOOKUP(A1156,Internal_lists_bugs!$A$2:$G2033,7,FALSE()),"please select a BUG ID")</f>
        <v>please select a BUG ID</v>
      </c>
      <c r="C1156" s="51" t="str">
        <f>IFERROR(VLOOKUP(A1156,Internal_lists_bugs!$A$2:$I2033,9,FALSE()),"please select a BUG ID")</f>
        <v>please select a BUG ID</v>
      </c>
      <c r="D1156" s="85"/>
      <c r="E1156" s="85"/>
      <c r="F1156" s="133"/>
      <c r="G1156" s="41"/>
      <c r="H1156" s="147"/>
      <c r="I1156" s="131"/>
      <c r="J1156" s="131"/>
      <c r="K1156" s="131"/>
      <c r="L1156" s="131"/>
      <c r="M1156" s="131"/>
      <c r="N1156" s="43"/>
      <c r="O1156" s="51"/>
    </row>
    <row r="1157">
      <c r="A1157" s="43"/>
      <c r="B1157" s="59" t="str">
        <f>IFERROR(VLOOKUP(A1157,Internal_lists_bugs!$A$2:$G2033,7,FALSE()),"please select a BUG ID")</f>
        <v>please select a BUG ID</v>
      </c>
      <c r="C1157" s="51" t="str">
        <f>IFERROR(VLOOKUP(A1157,Internal_lists_bugs!$A$2:$I2033,9,FALSE()),"please select a BUG ID")</f>
        <v>please select a BUG ID</v>
      </c>
      <c r="D1157" s="85"/>
      <c r="E1157" s="85"/>
      <c r="F1157" s="133"/>
      <c r="G1157" s="41"/>
      <c r="H1157" s="115"/>
      <c r="I1157" s="131"/>
      <c r="J1157" s="131"/>
      <c r="K1157" s="131"/>
      <c r="L1157" s="131"/>
      <c r="M1157" s="131"/>
      <c r="N1157" s="43"/>
      <c r="O1157" s="51"/>
    </row>
    <row r="1158">
      <c r="A1158" s="43"/>
      <c r="B1158" s="59" t="str">
        <f>IFERROR(VLOOKUP(A1158,Internal_lists_bugs!$A$2:$G2033,7,FALSE()),"please select a BUG ID")</f>
        <v>please select a BUG ID</v>
      </c>
      <c r="C1158" s="51" t="str">
        <f>IFERROR(VLOOKUP(A1158,Internal_lists_bugs!$A$2:$I2033,9,FALSE()),"please select a BUG ID")</f>
        <v>please select a BUG ID</v>
      </c>
      <c r="D1158" s="85"/>
      <c r="E1158" s="85"/>
      <c r="F1158" s="133"/>
      <c r="G1158" s="41"/>
      <c r="H1158" s="147"/>
      <c r="I1158" s="131"/>
      <c r="J1158" s="131"/>
      <c r="K1158" s="131"/>
      <c r="L1158" s="131"/>
      <c r="M1158" s="131"/>
      <c r="N1158" s="43"/>
      <c r="O1158" s="51"/>
    </row>
    <row r="1159">
      <c r="A1159" s="43"/>
      <c r="B1159" s="59" t="str">
        <f>IFERROR(VLOOKUP(A1159,Internal_lists_bugs!$A$2:$G2033,7,FALSE()),"please select a BUG ID")</f>
        <v>please select a BUG ID</v>
      </c>
      <c r="C1159" s="51" t="str">
        <f>IFERROR(VLOOKUP(A1159,Internal_lists_bugs!$A$2:$I2033,9,FALSE()),"please select a BUG ID")</f>
        <v>please select a BUG ID</v>
      </c>
      <c r="D1159" s="85"/>
      <c r="E1159" s="85"/>
      <c r="F1159" s="133"/>
      <c r="G1159" s="41"/>
      <c r="H1159" s="115"/>
      <c r="I1159" s="131"/>
      <c r="J1159" s="131"/>
      <c r="K1159" s="131"/>
      <c r="L1159" s="131"/>
      <c r="M1159" s="131"/>
      <c r="N1159" s="43"/>
      <c r="O1159" s="51"/>
    </row>
    <row r="1160">
      <c r="A1160" s="43"/>
      <c r="B1160" s="59" t="str">
        <f>IFERROR(VLOOKUP(A1160,Internal_lists_bugs!$A$2:$G2033,7,FALSE()),"please select a BUG ID")</f>
        <v>please select a BUG ID</v>
      </c>
      <c r="C1160" s="51" t="str">
        <f>IFERROR(VLOOKUP(A1160,Internal_lists_bugs!$A$2:$I2033,9,FALSE()),"please select a BUG ID")</f>
        <v>please select a BUG ID</v>
      </c>
      <c r="D1160" s="85"/>
      <c r="E1160" s="85"/>
      <c r="F1160" s="133"/>
      <c r="G1160" s="41"/>
      <c r="H1160" s="115"/>
      <c r="I1160" s="131"/>
      <c r="J1160" s="131"/>
      <c r="K1160" s="131"/>
      <c r="L1160" s="131"/>
      <c r="M1160" s="131"/>
      <c r="N1160" s="43"/>
      <c r="O1160" s="51"/>
    </row>
    <row r="1161">
      <c r="A1161" s="43"/>
      <c r="B1161" s="59" t="str">
        <f>IFERROR(VLOOKUP(A1161,Internal_lists_bugs!$A$2:$G2033,7,FALSE()),"please select a BUG ID")</f>
        <v>please select a BUG ID</v>
      </c>
      <c r="C1161" s="51" t="str">
        <f>IFERROR(VLOOKUP(A1161,Internal_lists_bugs!$A$2:$I2033,9,FALSE()),"please select a BUG ID")</f>
        <v>please select a BUG ID</v>
      </c>
      <c r="D1161" s="85"/>
      <c r="E1161" s="85"/>
      <c r="F1161" s="133"/>
      <c r="G1161" s="41"/>
      <c r="H1161" s="147"/>
      <c r="I1161" s="131"/>
      <c r="J1161" s="131"/>
      <c r="K1161" s="131"/>
      <c r="L1161" s="131"/>
      <c r="M1161" s="131"/>
      <c r="N1161" s="43"/>
      <c r="O1161" s="51"/>
    </row>
    <row r="1162">
      <c r="A1162" s="43"/>
      <c r="B1162" s="59" t="str">
        <f>IFERROR(VLOOKUP(A1162,Internal_lists_bugs!$A$2:$G2033,7,FALSE()),"please select a BUG ID")</f>
        <v>please select a BUG ID</v>
      </c>
      <c r="C1162" s="51" t="str">
        <f>IFERROR(VLOOKUP(A1162,Internal_lists_bugs!$A$2:$I2033,9,FALSE()),"please select a BUG ID")</f>
        <v>please select a BUG ID</v>
      </c>
      <c r="D1162" s="85"/>
      <c r="E1162" s="85"/>
      <c r="F1162" s="133"/>
      <c r="G1162" s="41"/>
      <c r="H1162" s="147"/>
      <c r="I1162" s="131"/>
      <c r="J1162" s="131"/>
      <c r="K1162" s="131"/>
      <c r="L1162" s="131"/>
      <c r="M1162" s="131"/>
      <c r="N1162" s="43"/>
      <c r="O1162" s="51"/>
    </row>
    <row r="1163">
      <c r="A1163" s="43"/>
      <c r="B1163" s="59" t="str">
        <f>IFERROR(VLOOKUP(A1163,Internal_lists_bugs!$A$2:$G2033,7,FALSE()),"please select a BUG ID")</f>
        <v>please select a BUG ID</v>
      </c>
      <c r="C1163" s="51" t="str">
        <f>IFERROR(VLOOKUP(A1163,Internal_lists_bugs!$A$2:$I2033,9,FALSE()),"please select a BUG ID")</f>
        <v>please select a BUG ID</v>
      </c>
      <c r="D1163" s="85"/>
      <c r="E1163" s="85"/>
      <c r="F1163" s="133"/>
      <c r="G1163" s="41"/>
      <c r="H1163" s="115"/>
      <c r="I1163" s="131"/>
      <c r="J1163" s="131"/>
      <c r="K1163" s="131"/>
      <c r="L1163" s="131"/>
      <c r="M1163" s="131"/>
      <c r="N1163" s="43"/>
      <c r="O1163" s="51"/>
    </row>
    <row r="1164">
      <c r="A1164" s="43"/>
      <c r="B1164" s="59" t="str">
        <f>IFERROR(VLOOKUP(A1164,Internal_lists_bugs!$A$2:$G2033,7,FALSE()),"please select a BUG ID")</f>
        <v>please select a BUG ID</v>
      </c>
      <c r="C1164" s="51" t="str">
        <f>IFERROR(VLOOKUP(A1164,Internal_lists_bugs!$A$2:$I2033,9,FALSE()),"please select a BUG ID")</f>
        <v>please select a BUG ID</v>
      </c>
      <c r="D1164" s="85"/>
      <c r="E1164" s="85"/>
      <c r="F1164" s="133"/>
      <c r="G1164" s="41"/>
      <c r="H1164" s="115"/>
      <c r="I1164" s="131"/>
      <c r="J1164" s="131"/>
      <c r="K1164" s="131"/>
      <c r="L1164" s="131"/>
      <c r="M1164" s="131"/>
      <c r="N1164" s="43"/>
      <c r="O1164" s="51"/>
    </row>
    <row r="1165">
      <c r="A1165" s="43"/>
      <c r="B1165" s="59" t="str">
        <f>IFERROR(VLOOKUP(A1165,Internal_lists_bugs!$A$2:$G2033,7,FALSE()),"please select a BUG ID")</f>
        <v>please select a BUG ID</v>
      </c>
      <c r="C1165" s="51" t="str">
        <f>IFERROR(VLOOKUP(A1165,Internal_lists_bugs!$A$2:$I2033,9,FALSE()),"please select a BUG ID")</f>
        <v>please select a BUG ID</v>
      </c>
      <c r="D1165" s="85"/>
      <c r="E1165" s="85"/>
      <c r="F1165" s="133"/>
      <c r="G1165" s="41"/>
      <c r="H1165" s="115"/>
      <c r="I1165" s="131"/>
      <c r="J1165" s="131"/>
      <c r="K1165" s="131"/>
      <c r="L1165" s="131"/>
      <c r="M1165" s="131"/>
      <c r="N1165" s="43"/>
      <c r="O1165" s="51"/>
    </row>
    <row r="1166">
      <c r="A1166" s="43"/>
      <c r="B1166" s="59" t="str">
        <f>IFERROR(VLOOKUP(A1166,Internal_lists_bugs!$A$2:$G2033,7,FALSE()),"please select a BUG ID")</f>
        <v>please select a BUG ID</v>
      </c>
      <c r="C1166" s="51" t="str">
        <f>IFERROR(VLOOKUP(A1166,Internal_lists_bugs!$A$2:$I2033,9,FALSE()),"please select a BUG ID")</f>
        <v>please select a BUG ID</v>
      </c>
      <c r="D1166" s="85"/>
      <c r="E1166" s="85"/>
      <c r="F1166" s="133"/>
      <c r="G1166" s="41"/>
      <c r="H1166" s="115"/>
      <c r="I1166" s="131"/>
      <c r="J1166" s="131"/>
      <c r="K1166" s="131"/>
      <c r="L1166" s="131"/>
      <c r="M1166" s="131"/>
      <c r="N1166" s="43"/>
      <c r="O1166" s="51"/>
    </row>
    <row r="1167">
      <c r="A1167" s="43"/>
      <c r="B1167" s="59" t="str">
        <f>IFERROR(VLOOKUP(A1167,Internal_lists_bugs!$A$2:$G2033,7,FALSE()),"please select a BUG ID")</f>
        <v>please select a BUG ID</v>
      </c>
      <c r="C1167" s="51" t="str">
        <f>IFERROR(VLOOKUP(A1167,Internal_lists_bugs!$A$2:$I2033,9,FALSE()),"please select a BUG ID")</f>
        <v>please select a BUG ID</v>
      </c>
      <c r="D1167" s="85"/>
      <c r="E1167" s="85"/>
      <c r="F1167" s="133"/>
      <c r="G1167" s="41"/>
      <c r="H1167" s="115"/>
      <c r="I1167" s="131"/>
      <c r="J1167" s="131"/>
      <c r="K1167" s="131"/>
      <c r="L1167" s="131"/>
      <c r="M1167" s="131"/>
      <c r="N1167" s="43"/>
      <c r="O1167" s="51"/>
    </row>
    <row r="1168">
      <c r="A1168" s="43"/>
      <c r="B1168" s="59" t="str">
        <f>IFERROR(VLOOKUP(A1168,Internal_lists_bugs!$A$2:$G2033,7,FALSE()),"please select a BUG ID")</f>
        <v>please select a BUG ID</v>
      </c>
      <c r="C1168" s="51" t="str">
        <f>IFERROR(VLOOKUP(A1168,Internal_lists_bugs!$A$2:$I2033,9,FALSE()),"please select a BUG ID")</f>
        <v>please select a BUG ID</v>
      </c>
      <c r="D1168" s="85"/>
      <c r="E1168" s="85"/>
      <c r="F1168" s="133"/>
      <c r="G1168" s="41"/>
      <c r="H1168" s="115"/>
      <c r="I1168" s="131"/>
      <c r="J1168" s="131"/>
      <c r="K1168" s="131"/>
      <c r="L1168" s="131"/>
      <c r="M1168" s="131"/>
      <c r="N1168" s="43"/>
      <c r="O1168" s="51"/>
    </row>
    <row r="1169">
      <c r="A1169" s="43"/>
      <c r="B1169" s="59" t="str">
        <f>IFERROR(VLOOKUP(A1169,Internal_lists_bugs!$A$2:$G2033,7,FALSE()),"please select a BUG ID")</f>
        <v>please select a BUG ID</v>
      </c>
      <c r="C1169" s="51" t="str">
        <f>IFERROR(VLOOKUP(A1169,Internal_lists_bugs!$A$2:$I2033,9,FALSE()),"please select a BUG ID")</f>
        <v>please select a BUG ID</v>
      </c>
      <c r="D1169" s="85"/>
      <c r="E1169" s="85"/>
      <c r="F1169" s="133"/>
      <c r="G1169" s="41"/>
      <c r="H1169" s="115"/>
      <c r="I1169" s="131"/>
      <c r="J1169" s="131"/>
      <c r="K1169" s="131"/>
      <c r="L1169" s="131"/>
      <c r="M1169" s="131"/>
      <c r="N1169" s="43"/>
      <c r="O1169" s="51"/>
    </row>
    <row r="1170">
      <c r="A1170" s="43"/>
      <c r="B1170" s="59" t="str">
        <f>IFERROR(VLOOKUP(A1170,Internal_lists_bugs!$A$2:$G2033,7,FALSE()),"please select a BUG ID")</f>
        <v>please select a BUG ID</v>
      </c>
      <c r="C1170" s="51" t="str">
        <f>IFERROR(VLOOKUP(A1170,Internal_lists_bugs!$A$2:$I2033,9,FALSE()),"please select a BUG ID")</f>
        <v>please select a BUG ID</v>
      </c>
      <c r="D1170" s="85"/>
      <c r="E1170" s="85"/>
      <c r="F1170" s="133"/>
      <c r="G1170" s="41"/>
      <c r="H1170" s="115"/>
      <c r="I1170" s="131"/>
      <c r="J1170" s="131"/>
      <c r="K1170" s="131"/>
      <c r="L1170" s="131"/>
      <c r="M1170" s="131"/>
      <c r="N1170" s="43"/>
      <c r="O1170" s="51"/>
    </row>
    <row r="1171">
      <c r="A1171" s="43"/>
      <c r="B1171" s="59" t="str">
        <f>IFERROR(VLOOKUP(A1171,Internal_lists_bugs!$A$2:$G2033,7,FALSE()),"please select a BUG ID")</f>
        <v>please select a BUG ID</v>
      </c>
      <c r="C1171" s="51" t="str">
        <f>IFERROR(VLOOKUP(A1171,Internal_lists_bugs!$A$2:$I2033,9,FALSE()),"please select a BUG ID")</f>
        <v>please select a BUG ID</v>
      </c>
      <c r="D1171" s="85"/>
      <c r="E1171" s="85"/>
      <c r="F1171" s="133"/>
      <c r="G1171" s="41"/>
      <c r="H1171" s="115"/>
      <c r="I1171" s="131"/>
      <c r="J1171" s="131"/>
      <c r="K1171" s="131"/>
      <c r="L1171" s="131"/>
      <c r="M1171" s="131"/>
      <c r="N1171" s="43"/>
      <c r="O1171" s="51"/>
    </row>
    <row r="1172">
      <c r="A1172" s="43"/>
      <c r="B1172" s="59" t="str">
        <f>IFERROR(VLOOKUP(A1172,Internal_lists_bugs!$A$2:$G2033,7,FALSE()),"please select a BUG ID")</f>
        <v>please select a BUG ID</v>
      </c>
      <c r="C1172" s="51" t="str">
        <f>IFERROR(VLOOKUP(A1172,Internal_lists_bugs!$A$2:$I2033,9,FALSE()),"please select a BUG ID")</f>
        <v>please select a BUG ID</v>
      </c>
      <c r="D1172" s="85"/>
      <c r="E1172" s="85"/>
      <c r="F1172" s="133"/>
      <c r="G1172" s="41"/>
      <c r="H1172" s="115"/>
      <c r="I1172" s="131"/>
      <c r="J1172" s="131"/>
      <c r="K1172" s="131"/>
      <c r="L1172" s="131"/>
      <c r="M1172" s="131"/>
      <c r="N1172" s="43"/>
      <c r="O1172" s="51"/>
    </row>
    <row r="1173">
      <c r="A1173" s="43"/>
      <c r="B1173" s="59" t="str">
        <f>IFERROR(VLOOKUP(A1173,Internal_lists_bugs!$A$2:$G2033,7,FALSE()),"please select a BUG ID")</f>
        <v>please select a BUG ID</v>
      </c>
      <c r="C1173" s="51" t="str">
        <f>IFERROR(VLOOKUP(A1173,Internal_lists_bugs!$A$2:$I2033,9,FALSE()),"please select a BUG ID")</f>
        <v>please select a BUG ID</v>
      </c>
      <c r="D1173" s="85"/>
      <c r="E1173" s="85"/>
      <c r="F1173" s="133"/>
      <c r="G1173" s="41"/>
      <c r="H1173" s="115"/>
      <c r="I1173" s="131"/>
      <c r="J1173" s="131"/>
      <c r="K1173" s="131"/>
      <c r="L1173" s="131"/>
      <c r="M1173" s="131"/>
      <c r="N1173" s="43"/>
      <c r="O1173" s="51"/>
    </row>
    <row r="1174">
      <c r="A1174" s="43"/>
      <c r="B1174" s="59" t="str">
        <f>IFERROR(VLOOKUP(A1174,Internal_lists_bugs!$A$2:$G2033,7,FALSE()),"please select a BUG ID")</f>
        <v>please select a BUG ID</v>
      </c>
      <c r="C1174" s="51" t="str">
        <f>IFERROR(VLOOKUP(A1174,Internal_lists_bugs!$A$2:$I2033,9,FALSE()),"please select a BUG ID")</f>
        <v>please select a BUG ID</v>
      </c>
      <c r="D1174" s="85"/>
      <c r="E1174" s="85"/>
      <c r="F1174" s="133"/>
      <c r="G1174" s="41"/>
      <c r="H1174" s="115"/>
      <c r="I1174" s="131"/>
      <c r="J1174" s="131"/>
      <c r="K1174" s="131"/>
      <c r="L1174" s="131"/>
      <c r="M1174" s="131"/>
      <c r="N1174" s="43"/>
      <c r="O1174" s="51"/>
    </row>
    <row r="1175">
      <c r="A1175" s="43"/>
      <c r="B1175" s="59" t="str">
        <f>IFERROR(VLOOKUP(A1175,Internal_lists_bugs!$A$2:$G2033,7,FALSE()),"please select a BUG ID")</f>
        <v>please select a BUG ID</v>
      </c>
      <c r="C1175" s="51" t="str">
        <f>IFERROR(VLOOKUP(A1175,Internal_lists_bugs!$A$2:$I2033,9,FALSE()),"please select a BUG ID")</f>
        <v>please select a BUG ID</v>
      </c>
      <c r="D1175" s="85"/>
      <c r="E1175" s="85"/>
      <c r="F1175" s="133"/>
      <c r="G1175" s="41"/>
      <c r="H1175" s="115"/>
      <c r="I1175" s="131"/>
      <c r="J1175" s="131"/>
      <c r="K1175" s="131"/>
      <c r="L1175" s="131"/>
      <c r="M1175" s="131"/>
      <c r="N1175" s="43"/>
      <c r="O1175" s="51"/>
    </row>
    <row r="1176">
      <c r="A1176" s="43"/>
      <c r="B1176" s="59" t="str">
        <f>IFERROR(VLOOKUP(A1176,Internal_lists_bugs!$A$2:$G2033,7,FALSE()),"please select a BUG ID")</f>
        <v>please select a BUG ID</v>
      </c>
      <c r="C1176" s="51" t="str">
        <f>IFERROR(VLOOKUP(A1176,Internal_lists_bugs!$A$2:$I2033,9,FALSE()),"please select a BUG ID")</f>
        <v>please select a BUG ID</v>
      </c>
      <c r="D1176" s="85"/>
      <c r="E1176" s="85"/>
      <c r="F1176" s="133"/>
      <c r="G1176" s="41"/>
      <c r="H1176" s="115"/>
      <c r="I1176" s="131"/>
      <c r="J1176" s="131"/>
      <c r="K1176" s="131"/>
      <c r="L1176" s="131"/>
      <c r="M1176" s="131"/>
      <c r="N1176" s="43"/>
      <c r="O1176" s="51"/>
    </row>
    <row r="1177">
      <c r="A1177" s="43"/>
      <c r="B1177" s="59" t="str">
        <f>IFERROR(VLOOKUP(A1177,Internal_lists_bugs!$A$2:$G2033,7,FALSE()),"please select a BUG ID")</f>
        <v>please select a BUG ID</v>
      </c>
      <c r="C1177" s="51" t="str">
        <f>IFERROR(VLOOKUP(A1177,Internal_lists_bugs!$A$2:$I2033,9,FALSE()),"please select a BUG ID")</f>
        <v>please select a BUG ID</v>
      </c>
      <c r="D1177" s="85"/>
      <c r="E1177" s="85"/>
      <c r="F1177" s="133"/>
      <c r="G1177" s="41"/>
      <c r="H1177" s="115"/>
      <c r="I1177" s="131"/>
      <c r="J1177" s="131"/>
      <c r="K1177" s="131"/>
      <c r="L1177" s="131"/>
      <c r="M1177" s="131"/>
      <c r="N1177" s="43"/>
      <c r="O1177" s="51"/>
    </row>
    <row r="1178">
      <c r="A1178" s="43"/>
      <c r="B1178" s="59" t="str">
        <f>IFERROR(VLOOKUP(A1178,Internal_lists_bugs!$A$2:$G2033,7,FALSE()),"please select a BUG ID")</f>
        <v>please select a BUG ID</v>
      </c>
      <c r="C1178" s="51" t="str">
        <f>IFERROR(VLOOKUP(A1178,Internal_lists_bugs!$A$2:$I2033,9,FALSE()),"please select a BUG ID")</f>
        <v>please select a BUG ID</v>
      </c>
      <c r="D1178" s="85"/>
      <c r="E1178" s="85"/>
      <c r="F1178" s="133"/>
      <c r="G1178" s="41"/>
      <c r="H1178" s="115"/>
      <c r="I1178" s="131"/>
      <c r="J1178" s="131"/>
      <c r="K1178" s="131"/>
      <c r="L1178" s="131"/>
      <c r="M1178" s="131"/>
      <c r="N1178" s="43"/>
      <c r="O1178" s="51"/>
    </row>
    <row r="1179">
      <c r="A1179" s="43"/>
      <c r="B1179" s="59" t="str">
        <f>IFERROR(VLOOKUP(A1179,Internal_lists_bugs!$A$2:$G2033,7,FALSE()),"please select a BUG ID")</f>
        <v>please select a BUG ID</v>
      </c>
      <c r="C1179" s="51" t="str">
        <f>IFERROR(VLOOKUP(A1179,Internal_lists_bugs!$A$2:$I2033,9,FALSE()),"please select a BUG ID")</f>
        <v>please select a BUG ID</v>
      </c>
      <c r="D1179" s="85"/>
      <c r="E1179" s="85"/>
      <c r="F1179" s="133"/>
      <c r="G1179" s="41"/>
      <c r="H1179" s="115"/>
      <c r="I1179" s="131"/>
      <c r="J1179" s="131"/>
      <c r="K1179" s="131"/>
      <c r="L1179" s="131"/>
      <c r="M1179" s="131"/>
      <c r="N1179" s="43"/>
      <c r="O1179" s="51"/>
    </row>
    <row r="1180">
      <c r="A1180" s="43"/>
      <c r="B1180" s="59" t="str">
        <f>IFERROR(VLOOKUP(A1180,Internal_lists_bugs!$A$2:$G2033,7,FALSE()),"please select a BUG ID")</f>
        <v>please select a BUG ID</v>
      </c>
      <c r="C1180" s="51" t="str">
        <f>IFERROR(VLOOKUP(A1180,Internal_lists_bugs!$A$2:$I2033,9,FALSE()),"please select a BUG ID")</f>
        <v>please select a BUG ID</v>
      </c>
      <c r="D1180" s="85"/>
      <c r="E1180" s="85"/>
      <c r="F1180" s="133"/>
      <c r="G1180" s="41"/>
      <c r="H1180" s="115"/>
      <c r="I1180" s="131"/>
      <c r="J1180" s="131"/>
      <c r="K1180" s="131"/>
      <c r="L1180" s="131"/>
      <c r="M1180" s="131"/>
      <c r="N1180" s="43"/>
      <c r="O1180" s="51"/>
    </row>
    <row r="1181">
      <c r="A1181" s="43"/>
      <c r="B1181" s="59" t="str">
        <f>IFERROR(VLOOKUP(A1181,Internal_lists_bugs!$A$2:$G2033,7,FALSE()),"please select a BUG ID")</f>
        <v>please select a BUG ID</v>
      </c>
      <c r="C1181" s="51" t="str">
        <f>IFERROR(VLOOKUP(A1181,Internal_lists_bugs!$A$2:$I2033,9,FALSE()),"please select a BUG ID")</f>
        <v>please select a BUG ID</v>
      </c>
      <c r="D1181" s="85"/>
      <c r="E1181" s="85"/>
      <c r="F1181" s="133"/>
      <c r="G1181" s="41"/>
      <c r="H1181" s="115"/>
      <c r="I1181" s="131"/>
      <c r="J1181" s="131"/>
      <c r="K1181" s="131"/>
      <c r="L1181" s="131"/>
      <c r="M1181" s="131"/>
      <c r="N1181" s="43"/>
      <c r="O1181" s="51"/>
    </row>
    <row r="1182">
      <c r="A1182" s="43"/>
      <c r="B1182" s="59" t="str">
        <f>IFERROR(VLOOKUP(A1182,Internal_lists_bugs!$A$2:$G2033,7,FALSE()),"please select a BUG ID")</f>
        <v>please select a BUG ID</v>
      </c>
      <c r="C1182" s="51" t="str">
        <f>IFERROR(VLOOKUP(A1182,Internal_lists_bugs!$A$2:$I2033,9,FALSE()),"please select a BUG ID")</f>
        <v>please select a BUG ID</v>
      </c>
      <c r="D1182" s="85"/>
      <c r="E1182" s="85"/>
      <c r="F1182" s="133"/>
      <c r="G1182" s="41"/>
      <c r="H1182" s="115"/>
      <c r="I1182" s="131"/>
      <c r="J1182" s="131"/>
      <c r="K1182" s="131"/>
      <c r="L1182" s="131"/>
      <c r="M1182" s="131"/>
      <c r="N1182" s="43"/>
      <c r="O1182" s="51"/>
    </row>
    <row r="1183">
      <c r="A1183" s="43"/>
      <c r="B1183" s="59" t="str">
        <f>IFERROR(VLOOKUP(A1183,Internal_lists_bugs!$A$2:$G2033,7,FALSE()),"please select a BUG ID")</f>
        <v>please select a BUG ID</v>
      </c>
      <c r="C1183" s="51" t="str">
        <f>IFERROR(VLOOKUP(A1183,Internal_lists_bugs!$A$2:$I2033,9,FALSE()),"please select a BUG ID")</f>
        <v>please select a BUG ID</v>
      </c>
      <c r="D1183" s="85"/>
      <c r="E1183" s="85"/>
      <c r="F1183" s="133"/>
      <c r="G1183" s="41"/>
      <c r="H1183" s="115"/>
      <c r="I1183" s="131"/>
      <c r="J1183" s="131"/>
      <c r="K1183" s="131"/>
      <c r="L1183" s="131"/>
      <c r="M1183" s="131"/>
      <c r="N1183" s="43"/>
      <c r="O1183" s="51"/>
    </row>
    <row r="1184">
      <c r="A1184" s="43"/>
      <c r="B1184" s="59" t="str">
        <f>IFERROR(VLOOKUP(A1184,Internal_lists_bugs!$A$2:$G2033,7,FALSE()),"please select a BUG ID")</f>
        <v>please select a BUG ID</v>
      </c>
      <c r="C1184" s="51" t="str">
        <f>IFERROR(VLOOKUP(A1184,Internal_lists_bugs!$A$2:$I2033,9,FALSE()),"please select a BUG ID")</f>
        <v>please select a BUG ID</v>
      </c>
      <c r="D1184" s="85"/>
      <c r="E1184" s="85"/>
      <c r="F1184" s="133"/>
      <c r="G1184" s="41"/>
      <c r="H1184" s="115"/>
      <c r="I1184" s="131"/>
      <c r="J1184" s="131"/>
      <c r="K1184" s="131"/>
      <c r="L1184" s="131"/>
      <c r="M1184" s="131"/>
      <c r="N1184" s="43"/>
      <c r="O1184" s="51"/>
    </row>
    <row r="1185">
      <c r="A1185" s="43"/>
      <c r="B1185" s="59" t="str">
        <f>IFERROR(VLOOKUP(A1185,Internal_lists_bugs!$A$2:$G2033,7,FALSE()),"please select a BUG ID")</f>
        <v>please select a BUG ID</v>
      </c>
      <c r="C1185" s="51" t="str">
        <f>IFERROR(VLOOKUP(A1185,Internal_lists_bugs!$A$2:$I2033,9,FALSE()),"please select a BUG ID")</f>
        <v>please select a BUG ID</v>
      </c>
      <c r="D1185" s="85"/>
      <c r="E1185" s="85"/>
      <c r="F1185" s="133"/>
      <c r="G1185" s="41"/>
      <c r="H1185" s="115"/>
      <c r="I1185" s="131"/>
      <c r="J1185" s="131"/>
      <c r="K1185" s="131"/>
      <c r="L1185" s="131"/>
      <c r="M1185" s="131"/>
      <c r="N1185" s="43"/>
      <c r="O1185" s="51"/>
    </row>
    <row r="1186">
      <c r="A1186" s="43"/>
      <c r="B1186" s="59" t="str">
        <f>IFERROR(VLOOKUP(A1186,Internal_lists_bugs!$A$2:$G2033,7,FALSE()),"please select a BUG ID")</f>
        <v>please select a BUG ID</v>
      </c>
      <c r="C1186" s="51" t="str">
        <f>IFERROR(VLOOKUP(A1186,Internal_lists_bugs!$A$2:$I2033,9,FALSE()),"please select a BUG ID")</f>
        <v>please select a BUG ID</v>
      </c>
      <c r="D1186" s="85"/>
      <c r="E1186" s="85"/>
      <c r="F1186" s="133"/>
      <c r="G1186" s="41"/>
      <c r="H1186" s="115"/>
      <c r="I1186" s="131"/>
      <c r="J1186" s="131"/>
      <c r="K1186" s="131"/>
      <c r="L1186" s="131"/>
      <c r="M1186" s="131"/>
      <c r="N1186" s="43"/>
      <c r="O1186" s="51"/>
    </row>
    <row r="1187">
      <c r="A1187" s="43"/>
      <c r="B1187" s="59" t="str">
        <f>IFERROR(VLOOKUP(A1187,Internal_lists_bugs!$A$2:$G2033,7,FALSE()),"please select a BUG ID")</f>
        <v>please select a BUG ID</v>
      </c>
      <c r="C1187" s="51" t="str">
        <f>IFERROR(VLOOKUP(A1187,Internal_lists_bugs!$A$2:$I2033,9,FALSE()),"please select a BUG ID")</f>
        <v>please select a BUG ID</v>
      </c>
      <c r="D1187" s="85"/>
      <c r="E1187" s="85"/>
      <c r="F1187" s="133"/>
      <c r="G1187" s="41"/>
      <c r="H1187" s="115"/>
      <c r="I1187" s="131"/>
      <c r="J1187" s="131"/>
      <c r="K1187" s="131"/>
      <c r="L1187" s="131"/>
      <c r="M1187" s="131"/>
      <c r="N1187" s="43"/>
      <c r="O1187" s="51"/>
    </row>
    <row r="1188">
      <c r="A1188" s="43"/>
      <c r="B1188" s="59" t="str">
        <f>IFERROR(VLOOKUP(A1188,Internal_lists_bugs!$A$2:$G2033,7,FALSE()),"please select a BUG ID")</f>
        <v>please select a BUG ID</v>
      </c>
      <c r="C1188" s="51" t="str">
        <f>IFERROR(VLOOKUP(A1188,Internal_lists_bugs!$A$2:$I2033,9,FALSE()),"please select a BUG ID")</f>
        <v>please select a BUG ID</v>
      </c>
      <c r="D1188" s="85"/>
      <c r="E1188" s="85"/>
      <c r="F1188" s="133"/>
      <c r="G1188" s="41"/>
      <c r="H1188" s="115"/>
      <c r="I1188" s="131"/>
      <c r="J1188" s="131"/>
      <c r="K1188" s="131"/>
      <c r="L1188" s="131"/>
      <c r="M1188" s="131"/>
      <c r="N1188" s="43"/>
      <c r="O1188" s="51"/>
    </row>
    <row r="1189">
      <c r="A1189" s="43"/>
      <c r="B1189" s="59" t="str">
        <f>IFERROR(VLOOKUP(A1189,Internal_lists_bugs!$A$2:$G2033,7,FALSE()),"please select a BUG ID")</f>
        <v>please select a BUG ID</v>
      </c>
      <c r="C1189" s="51" t="str">
        <f>IFERROR(VLOOKUP(A1189,Internal_lists_bugs!$A$2:$I2033,9,FALSE()),"please select a BUG ID")</f>
        <v>please select a BUG ID</v>
      </c>
      <c r="D1189" s="85"/>
      <c r="E1189" s="85"/>
      <c r="F1189" s="133"/>
      <c r="G1189" s="41"/>
      <c r="H1189" s="115"/>
      <c r="I1189" s="131"/>
      <c r="J1189" s="131"/>
      <c r="K1189" s="131"/>
      <c r="L1189" s="131"/>
      <c r="M1189" s="131"/>
      <c r="N1189" s="43"/>
      <c r="O1189" s="51"/>
    </row>
    <row r="1190">
      <c r="A1190" s="43"/>
      <c r="B1190" s="59" t="str">
        <f>IFERROR(VLOOKUP(A1190,Internal_lists_bugs!$A$2:$G2033,7,FALSE()),"please select a BUG ID")</f>
        <v>please select a BUG ID</v>
      </c>
      <c r="C1190" s="51" t="str">
        <f>IFERROR(VLOOKUP(A1190,Internal_lists_bugs!$A$2:$I2033,9,FALSE()),"please select a BUG ID")</f>
        <v>please select a BUG ID</v>
      </c>
      <c r="D1190" s="85"/>
      <c r="E1190" s="85"/>
      <c r="F1190" s="133"/>
      <c r="G1190" s="41"/>
      <c r="H1190" s="115"/>
      <c r="I1190" s="131"/>
      <c r="J1190" s="131"/>
      <c r="K1190" s="131"/>
      <c r="L1190" s="131"/>
      <c r="M1190" s="131"/>
      <c r="N1190" s="43"/>
      <c r="O1190" s="51"/>
    </row>
    <row r="1191">
      <c r="A1191" s="43"/>
      <c r="B1191" s="59" t="str">
        <f>IFERROR(VLOOKUP(A1191,Internal_lists_bugs!$A$2:$G2033,7,FALSE()),"please select a BUG ID")</f>
        <v>please select a BUG ID</v>
      </c>
      <c r="C1191" s="51" t="str">
        <f>IFERROR(VLOOKUP(A1191,Internal_lists_bugs!$A$2:$I2033,9,FALSE()),"please select a BUG ID")</f>
        <v>please select a BUG ID</v>
      </c>
      <c r="D1191" s="85"/>
      <c r="E1191" s="85"/>
      <c r="F1191" s="133"/>
      <c r="G1191" s="41"/>
      <c r="H1191" s="115"/>
      <c r="I1191" s="131"/>
      <c r="J1191" s="131"/>
      <c r="K1191" s="131"/>
      <c r="L1191" s="131"/>
      <c r="M1191" s="131"/>
      <c r="N1191" s="43"/>
      <c r="O1191" s="51"/>
    </row>
    <row r="1192">
      <c r="A1192" s="43"/>
      <c r="B1192" s="59" t="str">
        <f>IFERROR(VLOOKUP(A1192,Internal_lists_bugs!$A$2:$G2033,7,FALSE()),"please select a BUG ID")</f>
        <v>please select a BUG ID</v>
      </c>
      <c r="C1192" s="51" t="str">
        <f>IFERROR(VLOOKUP(A1192,Internal_lists_bugs!$A$2:$I2033,9,FALSE()),"please select a BUG ID")</f>
        <v>please select a BUG ID</v>
      </c>
      <c r="D1192" s="85"/>
      <c r="E1192" s="85"/>
      <c r="F1192" s="133"/>
      <c r="G1192" s="41"/>
      <c r="H1192" s="115"/>
      <c r="I1192" s="131"/>
      <c r="J1192" s="131"/>
      <c r="K1192" s="131"/>
      <c r="L1192" s="131"/>
      <c r="M1192" s="131"/>
      <c r="N1192" s="43"/>
      <c r="O1192" s="51"/>
    </row>
    <row r="1193">
      <c r="A1193" s="43"/>
      <c r="B1193" s="59" t="str">
        <f>IFERROR(VLOOKUP(A1193,Internal_lists_bugs!$A$2:$G2033,7,FALSE()),"please select a BUG ID")</f>
        <v>please select a BUG ID</v>
      </c>
      <c r="C1193" s="51" t="str">
        <f>IFERROR(VLOOKUP(A1193,Internal_lists_bugs!$A$2:$I2033,9,FALSE()),"please select a BUG ID")</f>
        <v>please select a BUG ID</v>
      </c>
      <c r="D1193" s="85"/>
      <c r="E1193" s="85"/>
      <c r="F1193" s="133"/>
      <c r="G1193" s="41"/>
      <c r="H1193" s="115"/>
      <c r="I1193" s="131"/>
      <c r="J1193" s="131"/>
      <c r="K1193" s="131"/>
      <c r="L1193" s="131"/>
      <c r="M1193" s="131"/>
      <c r="N1193" s="43"/>
      <c r="O1193" s="51"/>
    </row>
    <row r="1194">
      <c r="A1194" s="43"/>
      <c r="B1194" s="59" t="str">
        <f>IFERROR(VLOOKUP(A1194,Internal_lists_bugs!$A$2:$G2033,7,FALSE()),"please select a BUG ID")</f>
        <v>please select a BUG ID</v>
      </c>
      <c r="C1194" s="51" t="str">
        <f>IFERROR(VLOOKUP(A1194,Internal_lists_bugs!$A$2:$I2033,9,FALSE()),"please select a BUG ID")</f>
        <v>please select a BUG ID</v>
      </c>
      <c r="D1194" s="85"/>
      <c r="E1194" s="85"/>
      <c r="F1194" s="133"/>
      <c r="G1194" s="41"/>
      <c r="H1194" s="115"/>
      <c r="I1194" s="131"/>
      <c r="J1194" s="131"/>
      <c r="K1194" s="131"/>
      <c r="L1194" s="131"/>
      <c r="M1194" s="131"/>
      <c r="N1194" s="43"/>
      <c r="O1194" s="51"/>
    </row>
    <row r="1195">
      <c r="A1195" s="43"/>
      <c r="B1195" s="59" t="str">
        <f>IFERROR(VLOOKUP(A1195,Internal_lists_bugs!$A$2:$G2033,7,FALSE()),"please select a BUG ID")</f>
        <v>please select a BUG ID</v>
      </c>
      <c r="C1195" s="51" t="str">
        <f>IFERROR(VLOOKUP(A1195,Internal_lists_bugs!$A$2:$I2033,9,FALSE()),"please select a BUG ID")</f>
        <v>please select a BUG ID</v>
      </c>
      <c r="D1195" s="85"/>
      <c r="E1195" s="85"/>
      <c r="F1195" s="133"/>
      <c r="G1195" s="41"/>
      <c r="H1195" s="115"/>
      <c r="I1195" s="131"/>
      <c r="J1195" s="131"/>
      <c r="K1195" s="131"/>
      <c r="L1195" s="131"/>
      <c r="M1195" s="131"/>
      <c r="N1195" s="43"/>
      <c r="O1195" s="51"/>
    </row>
    <row r="1196">
      <c r="A1196" s="43"/>
      <c r="B1196" s="59" t="str">
        <f>IFERROR(VLOOKUP(A1196,Internal_lists_bugs!$A$2:$G2033,7,FALSE()),"please select a BUG ID")</f>
        <v>please select a BUG ID</v>
      </c>
      <c r="C1196" s="51" t="str">
        <f>IFERROR(VLOOKUP(A1196,Internal_lists_bugs!$A$2:$I2033,9,FALSE()),"please select a BUG ID")</f>
        <v>please select a BUG ID</v>
      </c>
      <c r="D1196" s="85"/>
      <c r="E1196" s="85"/>
      <c r="F1196" s="133"/>
      <c r="G1196" s="41"/>
      <c r="H1196" s="115"/>
      <c r="I1196" s="131"/>
      <c r="J1196" s="131"/>
      <c r="K1196" s="131"/>
      <c r="L1196" s="131"/>
      <c r="M1196" s="131"/>
      <c r="N1196" s="43"/>
      <c r="O1196" s="51"/>
    </row>
    <row r="1197">
      <c r="A1197" s="43"/>
      <c r="B1197" s="59" t="str">
        <f>IFERROR(VLOOKUP(A1197,Internal_lists_bugs!$A$2:$G2033,7,FALSE()),"please select a BUG ID")</f>
        <v>please select a BUG ID</v>
      </c>
      <c r="C1197" s="51" t="str">
        <f>IFERROR(VLOOKUP(A1197,Internal_lists_bugs!$A$2:$I2033,9,FALSE()),"please select a BUG ID")</f>
        <v>please select a BUG ID</v>
      </c>
      <c r="D1197" s="85"/>
      <c r="E1197" s="85"/>
      <c r="F1197" s="133"/>
      <c r="G1197" s="41"/>
      <c r="H1197" s="115"/>
      <c r="I1197" s="131"/>
      <c r="J1197" s="131"/>
      <c r="K1197" s="131"/>
      <c r="L1197" s="131"/>
      <c r="M1197" s="131"/>
      <c r="N1197" s="43"/>
      <c r="O1197" s="51"/>
    </row>
    <row r="1198">
      <c r="A1198" s="43"/>
      <c r="B1198" s="59" t="str">
        <f>IFERROR(VLOOKUP(A1198,Internal_lists_bugs!$A$2:$G2033,7,FALSE()),"please select a BUG ID")</f>
        <v>please select a BUG ID</v>
      </c>
      <c r="C1198" s="51" t="str">
        <f>IFERROR(VLOOKUP(A1198,Internal_lists_bugs!$A$2:$I2033,9,FALSE()),"please select a BUG ID")</f>
        <v>please select a BUG ID</v>
      </c>
      <c r="D1198" s="85"/>
      <c r="E1198" s="85"/>
      <c r="F1198" s="133"/>
      <c r="G1198" s="41"/>
      <c r="H1198" s="115"/>
      <c r="I1198" s="131"/>
      <c r="J1198" s="131"/>
      <c r="K1198" s="131"/>
      <c r="L1198" s="131"/>
      <c r="M1198" s="131"/>
      <c r="N1198" s="43"/>
      <c r="O1198" s="51"/>
    </row>
    <row r="1199">
      <c r="A1199" s="43"/>
      <c r="B1199" s="59" t="str">
        <f>IFERROR(VLOOKUP(A1199,Internal_lists_bugs!$A$2:$G2033,7,FALSE()),"please select a BUG ID")</f>
        <v>please select a BUG ID</v>
      </c>
      <c r="C1199" s="51" t="str">
        <f>IFERROR(VLOOKUP(A1199,Internal_lists_bugs!$A$2:$I2033,9,FALSE()),"please select a BUG ID")</f>
        <v>please select a BUG ID</v>
      </c>
      <c r="D1199" s="85"/>
      <c r="E1199" s="85"/>
      <c r="F1199" s="133"/>
      <c r="G1199" s="41"/>
      <c r="H1199" s="115"/>
      <c r="I1199" s="131"/>
      <c r="J1199" s="131"/>
      <c r="K1199" s="131"/>
      <c r="L1199" s="131"/>
      <c r="M1199" s="131"/>
      <c r="N1199" s="43"/>
      <c r="O1199" s="51"/>
    </row>
    <row r="1200">
      <c r="A1200" s="43"/>
      <c r="B1200" s="59" t="str">
        <f>IFERROR(VLOOKUP(A1200,Internal_lists_bugs!$A$2:$G2033,7,FALSE()),"please select a BUG ID")</f>
        <v>please select a BUG ID</v>
      </c>
      <c r="C1200" s="51" t="str">
        <f>IFERROR(VLOOKUP(A1200,Internal_lists_bugs!$A$2:$I2033,9,FALSE()),"please select a BUG ID")</f>
        <v>please select a BUG ID</v>
      </c>
      <c r="D1200" s="85"/>
      <c r="E1200" s="85"/>
      <c r="F1200" s="133"/>
      <c r="G1200" s="41"/>
      <c r="H1200" s="115"/>
      <c r="I1200" s="131"/>
      <c r="J1200" s="131"/>
      <c r="K1200" s="131"/>
      <c r="L1200" s="131"/>
      <c r="M1200" s="131"/>
      <c r="N1200" s="43"/>
      <c r="O1200" s="51"/>
    </row>
    <row r="1201">
      <c r="A1201" s="43"/>
      <c r="B1201" s="59" t="str">
        <f>IFERROR(VLOOKUP(A1201,Internal_lists_bugs!$A$2:$G2033,7,FALSE()),"please select a BUG ID")</f>
        <v>please select a BUG ID</v>
      </c>
      <c r="C1201" s="51" t="str">
        <f>IFERROR(VLOOKUP(A1201,Internal_lists_bugs!$A$2:$I2033,9,FALSE()),"please select a BUG ID")</f>
        <v>please select a BUG ID</v>
      </c>
      <c r="D1201" s="85"/>
      <c r="E1201" s="85"/>
      <c r="F1201" s="133"/>
      <c r="G1201" s="41"/>
      <c r="H1201" s="115"/>
      <c r="I1201" s="131"/>
      <c r="J1201" s="131"/>
      <c r="K1201" s="131"/>
      <c r="L1201" s="131"/>
      <c r="M1201" s="131"/>
      <c r="N1201" s="43"/>
      <c r="O1201" s="51"/>
    </row>
    <row r="1202">
      <c r="A1202" s="43"/>
      <c r="B1202" s="59" t="str">
        <f>IFERROR(VLOOKUP(A1202,Internal_lists_bugs!$A$2:$G2033,7,FALSE()),"please select a BUG ID")</f>
        <v>please select a BUG ID</v>
      </c>
      <c r="C1202" s="51" t="str">
        <f>IFERROR(VLOOKUP(A1202,Internal_lists_bugs!$A$2:$I2033,9,FALSE()),"please select a BUG ID")</f>
        <v>please select a BUG ID</v>
      </c>
      <c r="D1202" s="85"/>
      <c r="E1202" s="85"/>
      <c r="F1202" s="133"/>
      <c r="G1202" s="41"/>
      <c r="H1202" s="115"/>
      <c r="I1202" s="131"/>
      <c r="J1202" s="131"/>
      <c r="K1202" s="131"/>
      <c r="L1202" s="131"/>
      <c r="M1202" s="131"/>
      <c r="N1202" s="43"/>
      <c r="O1202" s="51"/>
    </row>
    <row r="1203">
      <c r="A1203" s="43"/>
      <c r="B1203" s="59" t="str">
        <f>IFERROR(VLOOKUP(A1203,Internal_lists_bugs!$A$2:$G2033,7,FALSE()),"please select a BUG ID")</f>
        <v>please select a BUG ID</v>
      </c>
      <c r="C1203" s="51" t="str">
        <f>IFERROR(VLOOKUP(A1203,Internal_lists_bugs!$A$2:$I2033,9,FALSE()),"please select a BUG ID")</f>
        <v>please select a BUG ID</v>
      </c>
      <c r="D1203" s="85"/>
      <c r="E1203" s="85"/>
      <c r="F1203" s="133"/>
      <c r="G1203" s="41"/>
      <c r="H1203" s="115"/>
      <c r="I1203" s="131"/>
      <c r="J1203" s="131"/>
      <c r="K1203" s="131"/>
      <c r="L1203" s="131"/>
      <c r="M1203" s="131"/>
      <c r="N1203" s="43"/>
      <c r="O1203" s="51"/>
    </row>
    <row r="1204">
      <c r="A1204" s="43"/>
      <c r="B1204" s="59" t="str">
        <f>IFERROR(VLOOKUP(A1204,Internal_lists_bugs!$A$2:$G2033,7,FALSE()),"please select a BUG ID")</f>
        <v>please select a BUG ID</v>
      </c>
      <c r="C1204" s="51" t="str">
        <f>IFERROR(VLOOKUP(A1204,Internal_lists_bugs!$A$2:$I2033,9,FALSE()),"please select a BUG ID")</f>
        <v>please select a BUG ID</v>
      </c>
      <c r="D1204" s="85"/>
      <c r="E1204" s="85"/>
      <c r="F1204" s="133"/>
      <c r="G1204" s="41"/>
      <c r="H1204" s="115"/>
      <c r="I1204" s="131"/>
      <c r="J1204" s="131"/>
      <c r="K1204" s="131"/>
      <c r="L1204" s="131"/>
      <c r="M1204" s="131"/>
      <c r="N1204" s="43"/>
      <c r="O1204" s="51"/>
    </row>
    <row r="1205">
      <c r="A1205" s="43"/>
      <c r="B1205" s="59" t="str">
        <f>IFERROR(VLOOKUP(A1205,Internal_lists_bugs!$A$2:$G2033,7,FALSE()),"please select a BUG ID")</f>
        <v>please select a BUG ID</v>
      </c>
      <c r="C1205" s="51" t="str">
        <f>IFERROR(VLOOKUP(A1205,Internal_lists_bugs!$A$2:$I2033,9,FALSE()),"please select a BUG ID")</f>
        <v>please select a BUG ID</v>
      </c>
      <c r="D1205" s="85"/>
      <c r="E1205" s="85"/>
      <c r="F1205" s="133"/>
      <c r="G1205" s="41"/>
      <c r="H1205" s="115"/>
      <c r="I1205" s="131"/>
      <c r="J1205" s="131"/>
      <c r="K1205" s="131"/>
      <c r="L1205" s="131"/>
      <c r="M1205" s="131"/>
      <c r="N1205" s="43"/>
      <c r="O1205" s="51"/>
    </row>
    <row r="1206">
      <c r="A1206" s="43"/>
      <c r="B1206" s="59" t="str">
        <f>IFERROR(VLOOKUP(A1206,Internal_lists_bugs!$A$2:$G2033,7,FALSE()),"please select a BUG ID")</f>
        <v>please select a BUG ID</v>
      </c>
      <c r="C1206" s="51" t="str">
        <f>IFERROR(VLOOKUP(A1206,Internal_lists_bugs!$A$2:$I2033,9,FALSE()),"please select a BUG ID")</f>
        <v>please select a BUG ID</v>
      </c>
      <c r="D1206" s="85"/>
      <c r="E1206" s="85"/>
      <c r="F1206" s="133"/>
      <c r="G1206" s="41"/>
      <c r="H1206" s="115"/>
      <c r="I1206" s="131"/>
      <c r="J1206" s="131"/>
      <c r="K1206" s="131"/>
      <c r="L1206" s="131"/>
      <c r="M1206" s="131"/>
      <c r="N1206" s="43"/>
      <c r="O1206" s="51"/>
    </row>
    <row r="1207">
      <c r="A1207" s="43"/>
      <c r="B1207" s="59" t="str">
        <f>IFERROR(VLOOKUP(A1207,Internal_lists_bugs!$A$2:$G2033,7,FALSE()),"please select a BUG ID")</f>
        <v>please select a BUG ID</v>
      </c>
      <c r="C1207" s="51" t="str">
        <f>IFERROR(VLOOKUP(A1207,Internal_lists_bugs!$A$2:$I2033,9,FALSE()),"please select a BUG ID")</f>
        <v>please select a BUG ID</v>
      </c>
      <c r="D1207" s="85"/>
      <c r="E1207" s="85"/>
      <c r="F1207" s="133"/>
      <c r="G1207" s="41"/>
      <c r="H1207" s="115"/>
      <c r="I1207" s="131"/>
      <c r="J1207" s="131"/>
      <c r="K1207" s="131"/>
      <c r="L1207" s="131"/>
      <c r="M1207" s="131"/>
      <c r="N1207" s="43"/>
      <c r="O1207" s="51"/>
    </row>
    <row r="1208">
      <c r="A1208" s="43"/>
      <c r="B1208" s="59" t="str">
        <f>IFERROR(VLOOKUP(A1208,Internal_lists_bugs!$A$2:$G2033,7,FALSE()),"please select a BUG ID")</f>
        <v>please select a BUG ID</v>
      </c>
      <c r="C1208" s="51" t="str">
        <f>IFERROR(VLOOKUP(A1208,Internal_lists_bugs!$A$2:$I2033,9,FALSE()),"please select a BUG ID")</f>
        <v>please select a BUG ID</v>
      </c>
      <c r="D1208" s="85"/>
      <c r="E1208" s="85"/>
      <c r="F1208" s="133"/>
      <c r="G1208" s="41"/>
      <c r="H1208" s="115"/>
      <c r="I1208" s="131"/>
      <c r="J1208" s="131"/>
      <c r="K1208" s="131"/>
      <c r="L1208" s="131"/>
      <c r="M1208" s="131"/>
      <c r="N1208" s="43"/>
      <c r="O1208" s="51"/>
    </row>
    <row r="1209">
      <c r="A1209" s="43"/>
      <c r="B1209" s="59" t="str">
        <f>IFERROR(VLOOKUP(A1209,Internal_lists_bugs!$A$2:$G2033,7,FALSE()),"please select a BUG ID")</f>
        <v>please select a BUG ID</v>
      </c>
      <c r="C1209" s="51" t="str">
        <f>IFERROR(VLOOKUP(A1209,Internal_lists_bugs!$A$2:$I2033,9,FALSE()),"please select a BUG ID")</f>
        <v>please select a BUG ID</v>
      </c>
      <c r="D1209" s="85"/>
      <c r="E1209" s="85"/>
      <c r="F1209" s="133"/>
      <c r="G1209" s="41"/>
      <c r="H1209" s="115"/>
      <c r="I1209" s="131"/>
      <c r="J1209" s="131"/>
      <c r="K1209" s="131"/>
      <c r="L1209" s="131"/>
      <c r="M1209" s="131"/>
      <c r="N1209" s="43"/>
      <c r="O1209" s="51"/>
    </row>
    <row r="1210">
      <c r="A1210" s="43"/>
      <c r="B1210" s="59" t="str">
        <f>IFERROR(VLOOKUP(A1210,Internal_lists_bugs!$A$2:$G2033,7,FALSE()),"please select a BUG ID")</f>
        <v>please select a BUG ID</v>
      </c>
      <c r="C1210" s="51" t="str">
        <f>IFERROR(VLOOKUP(A1210,Internal_lists_bugs!$A$2:$I2033,9,FALSE()),"please select a BUG ID")</f>
        <v>please select a BUG ID</v>
      </c>
      <c r="D1210" s="85"/>
      <c r="E1210" s="85"/>
      <c r="F1210" s="133"/>
      <c r="G1210" s="41"/>
      <c r="H1210" s="115"/>
      <c r="I1210" s="131"/>
      <c r="J1210" s="131"/>
      <c r="K1210" s="131"/>
      <c r="L1210" s="131"/>
      <c r="M1210" s="131"/>
      <c r="N1210" s="43"/>
      <c r="O1210" s="51"/>
    </row>
    <row r="1211">
      <c r="A1211" s="43"/>
      <c r="B1211" s="59" t="str">
        <f>IFERROR(VLOOKUP(A1211,Internal_lists_bugs!$A$2:$G2033,7,FALSE()),"please select a BUG ID")</f>
        <v>please select a BUG ID</v>
      </c>
      <c r="C1211" s="51" t="str">
        <f>IFERROR(VLOOKUP(A1211,Internal_lists_bugs!$A$2:$I2033,9,FALSE()),"please select a BUG ID")</f>
        <v>please select a BUG ID</v>
      </c>
      <c r="D1211" s="85"/>
      <c r="E1211" s="85"/>
      <c r="F1211" s="133"/>
      <c r="G1211" s="41"/>
      <c r="H1211" s="115"/>
      <c r="I1211" s="131"/>
      <c r="J1211" s="131"/>
      <c r="K1211" s="131"/>
      <c r="L1211" s="131"/>
      <c r="M1211" s="131"/>
      <c r="N1211" s="43"/>
      <c r="O1211" s="51"/>
    </row>
    <row r="1212">
      <c r="A1212" s="43"/>
      <c r="B1212" s="59" t="str">
        <f>IFERROR(VLOOKUP(A1212,Internal_lists_bugs!$A$2:$G2033,7,FALSE()),"please select a BUG ID")</f>
        <v>please select a BUG ID</v>
      </c>
      <c r="C1212" s="51" t="str">
        <f>IFERROR(VLOOKUP(A1212,Internal_lists_bugs!$A$2:$I2033,9,FALSE()),"please select a BUG ID")</f>
        <v>please select a BUG ID</v>
      </c>
      <c r="D1212" s="85"/>
      <c r="E1212" s="85"/>
      <c r="F1212" s="133"/>
      <c r="G1212" s="41"/>
      <c r="H1212" s="115"/>
      <c r="I1212" s="131"/>
      <c r="J1212" s="131"/>
      <c r="K1212" s="131"/>
      <c r="L1212" s="131"/>
      <c r="M1212" s="131"/>
      <c r="N1212" s="43"/>
      <c r="O1212" s="51"/>
    </row>
    <row r="1213">
      <c r="A1213" s="43"/>
      <c r="B1213" s="59" t="str">
        <f>IFERROR(VLOOKUP(A1213,Internal_lists_bugs!$A$2:$G2033,7,FALSE()),"please select a BUG ID")</f>
        <v>please select a BUG ID</v>
      </c>
      <c r="C1213" s="51" t="str">
        <f>IFERROR(VLOOKUP(A1213,Internal_lists_bugs!$A$2:$I2033,9,FALSE()),"please select a BUG ID")</f>
        <v>please select a BUG ID</v>
      </c>
      <c r="D1213" s="85"/>
      <c r="E1213" s="85"/>
      <c r="F1213" s="133"/>
      <c r="G1213" s="41"/>
      <c r="H1213" s="115"/>
      <c r="I1213" s="131"/>
      <c r="J1213" s="131"/>
      <c r="K1213" s="131"/>
      <c r="L1213" s="131"/>
      <c r="M1213" s="131"/>
      <c r="N1213" s="43"/>
      <c r="O1213" s="51"/>
    </row>
    <row r="1214">
      <c r="A1214" s="43"/>
      <c r="B1214" s="59" t="str">
        <f>IFERROR(VLOOKUP(A1214,Internal_lists_bugs!$A$2:$G2033,7,FALSE()),"please select a BUG ID")</f>
        <v>please select a BUG ID</v>
      </c>
      <c r="C1214" s="51" t="str">
        <f>IFERROR(VLOOKUP(A1214,Internal_lists_bugs!$A$2:$I2033,9,FALSE()),"please select a BUG ID")</f>
        <v>please select a BUG ID</v>
      </c>
      <c r="D1214" s="85"/>
      <c r="E1214" s="85"/>
      <c r="F1214" s="133"/>
      <c r="G1214" s="41"/>
      <c r="H1214" s="115"/>
      <c r="I1214" s="131"/>
      <c r="J1214" s="131"/>
      <c r="K1214" s="131"/>
      <c r="L1214" s="131"/>
      <c r="M1214" s="131"/>
      <c r="N1214" s="43"/>
      <c r="O1214" s="51"/>
    </row>
    <row r="1215">
      <c r="A1215" s="43"/>
      <c r="B1215" s="59" t="str">
        <f>IFERROR(VLOOKUP(A1215,Internal_lists_bugs!$A$2:$G2033,7,FALSE()),"please select a BUG ID")</f>
        <v>please select a BUG ID</v>
      </c>
      <c r="C1215" s="51" t="str">
        <f>IFERROR(VLOOKUP(A1215,Internal_lists_bugs!$A$2:$I2033,9,FALSE()),"please select a BUG ID")</f>
        <v>please select a BUG ID</v>
      </c>
      <c r="D1215" s="85"/>
      <c r="E1215" s="85"/>
      <c r="F1215" s="133"/>
      <c r="G1215" s="41"/>
      <c r="H1215" s="115"/>
      <c r="I1215" s="131"/>
      <c r="J1215" s="131"/>
      <c r="K1215" s="131"/>
      <c r="L1215" s="131"/>
      <c r="M1215" s="131"/>
      <c r="N1215" s="43"/>
      <c r="O1215" s="51"/>
    </row>
    <row r="1216">
      <c r="A1216" s="43"/>
      <c r="B1216" s="59" t="str">
        <f>IFERROR(VLOOKUP(A1216,Internal_lists_bugs!$A$2:$G2033,7,FALSE()),"please select a BUG ID")</f>
        <v>please select a BUG ID</v>
      </c>
      <c r="C1216" s="51" t="str">
        <f>IFERROR(VLOOKUP(A1216,Internal_lists_bugs!$A$2:$I2033,9,FALSE()),"please select a BUG ID")</f>
        <v>please select a BUG ID</v>
      </c>
      <c r="D1216" s="85"/>
      <c r="E1216" s="85"/>
      <c r="F1216" s="133"/>
      <c r="G1216" s="41"/>
      <c r="H1216" s="115"/>
      <c r="I1216" s="131"/>
      <c r="J1216" s="131"/>
      <c r="K1216" s="131"/>
      <c r="L1216" s="131"/>
      <c r="M1216" s="131"/>
      <c r="N1216" s="43"/>
      <c r="O1216" s="51"/>
    </row>
    <row r="1217">
      <c r="A1217" s="43"/>
      <c r="B1217" s="59" t="str">
        <f>IFERROR(VLOOKUP(A1217,Internal_lists_bugs!$A$2:$G2033,7,FALSE()),"please select a BUG ID")</f>
        <v>please select a BUG ID</v>
      </c>
      <c r="C1217" s="51" t="str">
        <f>IFERROR(VLOOKUP(A1217,Internal_lists_bugs!$A$2:$I2033,9,FALSE()),"please select a BUG ID")</f>
        <v>please select a BUG ID</v>
      </c>
      <c r="D1217" s="85"/>
      <c r="E1217" s="85"/>
      <c r="F1217" s="133"/>
      <c r="G1217" s="41"/>
      <c r="H1217" s="115"/>
      <c r="I1217" s="131"/>
      <c r="J1217" s="131"/>
      <c r="K1217" s="131"/>
      <c r="L1217" s="131"/>
      <c r="M1217" s="131"/>
      <c r="N1217" s="43"/>
      <c r="O1217" s="51"/>
    </row>
    <row r="1218">
      <c r="A1218" s="43"/>
      <c r="B1218" s="59" t="str">
        <f>IFERROR(VLOOKUP(A1218,Internal_lists_bugs!$A$2:$G2033,7,FALSE()),"please select a BUG ID")</f>
        <v>please select a BUG ID</v>
      </c>
      <c r="C1218" s="51" t="str">
        <f>IFERROR(VLOOKUP(A1218,Internal_lists_bugs!$A$2:$I2033,9,FALSE()),"please select a BUG ID")</f>
        <v>please select a BUG ID</v>
      </c>
      <c r="D1218" s="80"/>
      <c r="E1218" s="80"/>
      <c r="F1218" s="130"/>
      <c r="G1218" s="41"/>
      <c r="H1218" s="115"/>
      <c r="I1218" s="131"/>
      <c r="J1218" s="131"/>
      <c r="K1218" s="131"/>
      <c r="L1218" s="131"/>
      <c r="M1218" s="131"/>
      <c r="N1218" s="43"/>
      <c r="O1218" s="51"/>
    </row>
    <row r="1219">
      <c r="A1219" s="43"/>
      <c r="B1219" s="59" t="str">
        <f>IFERROR(VLOOKUP(A1219,Internal_lists_bugs!$A$2:$G2033,7,FALSE()),"please select a BUG ID")</f>
        <v>please select a BUG ID</v>
      </c>
      <c r="C1219" s="51" t="str">
        <f>IFERROR(VLOOKUP(A1219,Internal_lists_bugs!$A$2:$I2033,9,FALSE()),"please select a BUG ID")</f>
        <v>please select a BUG ID</v>
      </c>
      <c r="D1219" s="85"/>
      <c r="E1219" s="85"/>
      <c r="F1219" s="133"/>
      <c r="G1219" s="41"/>
      <c r="H1219" s="115"/>
      <c r="I1219" s="131"/>
      <c r="J1219" s="131"/>
      <c r="K1219" s="131"/>
      <c r="L1219" s="131"/>
      <c r="M1219" s="131"/>
      <c r="N1219" s="43"/>
      <c r="O1219" s="51"/>
    </row>
    <row r="1220">
      <c r="A1220" s="43"/>
      <c r="B1220" s="59" t="str">
        <f>IFERROR(VLOOKUP(A1220,Internal_lists_bugs!$A$2:$G2033,7,FALSE()),"please select a BUG ID")</f>
        <v>please select a BUG ID</v>
      </c>
      <c r="C1220" s="51" t="str">
        <f>IFERROR(VLOOKUP(A1220,Internal_lists_bugs!$A$2:$I2033,9,FALSE()),"please select a BUG ID")</f>
        <v>please select a BUG ID</v>
      </c>
      <c r="D1220" s="85"/>
      <c r="E1220" s="85"/>
      <c r="F1220" s="133"/>
      <c r="G1220" s="41"/>
      <c r="H1220" s="115"/>
      <c r="I1220" s="131"/>
      <c r="J1220" s="131"/>
      <c r="K1220" s="131"/>
      <c r="L1220" s="131"/>
      <c r="M1220" s="131"/>
      <c r="N1220" s="43"/>
      <c r="O1220" s="51"/>
    </row>
    <row r="1221">
      <c r="A1221" s="43"/>
      <c r="B1221" s="59" t="str">
        <f>IFERROR(VLOOKUP(A1221,Internal_lists_bugs!$A$2:$G2033,7,FALSE()),"please select a BUG ID")</f>
        <v>please select a BUG ID</v>
      </c>
      <c r="C1221" s="51" t="str">
        <f>IFERROR(VLOOKUP(A1221,Internal_lists_bugs!$A$2:$I2033,9,FALSE()),"please select a BUG ID")</f>
        <v>please select a BUG ID</v>
      </c>
      <c r="D1221" s="85"/>
      <c r="E1221" s="85"/>
      <c r="F1221" s="133"/>
      <c r="G1221" s="41"/>
      <c r="H1221" s="115"/>
      <c r="I1221" s="131"/>
      <c r="J1221" s="131"/>
      <c r="K1221" s="131"/>
      <c r="L1221" s="131"/>
      <c r="M1221" s="131"/>
      <c r="N1221" s="43"/>
      <c r="O1221" s="51"/>
    </row>
    <row r="1222">
      <c r="A1222" s="43"/>
      <c r="B1222" s="59" t="str">
        <f>IFERROR(VLOOKUP(A1222,Internal_lists_bugs!$A$2:$G2033,7,FALSE()),"please select a BUG ID")</f>
        <v>please select a BUG ID</v>
      </c>
      <c r="C1222" s="51" t="str">
        <f>IFERROR(VLOOKUP(A1222,Internal_lists_bugs!$A$2:$I2033,9,FALSE()),"please select a BUG ID")</f>
        <v>please select a BUG ID</v>
      </c>
      <c r="D1222" s="85"/>
      <c r="E1222" s="85"/>
      <c r="F1222" s="133"/>
      <c r="G1222" s="41"/>
      <c r="H1222" s="115"/>
      <c r="I1222" s="131"/>
      <c r="J1222" s="131"/>
      <c r="K1222" s="131"/>
      <c r="L1222" s="131"/>
      <c r="M1222" s="131"/>
      <c r="N1222" s="43"/>
      <c r="O1222" s="51"/>
    </row>
    <row r="1223">
      <c r="A1223" s="43"/>
      <c r="B1223" s="59" t="str">
        <f>IFERROR(VLOOKUP(A1223,Internal_lists_bugs!$A$2:$G2033,7,FALSE()),"please select a BUG ID")</f>
        <v>please select a BUG ID</v>
      </c>
      <c r="C1223" s="51" t="str">
        <f>IFERROR(VLOOKUP(A1223,Internal_lists_bugs!$A$2:$I2033,9,FALSE()),"please select a BUG ID")</f>
        <v>please select a BUG ID</v>
      </c>
      <c r="D1223" s="85"/>
      <c r="E1223" s="85"/>
      <c r="F1223" s="133"/>
      <c r="G1223" s="41"/>
      <c r="H1223" s="115"/>
      <c r="I1223" s="131"/>
      <c r="J1223" s="131"/>
      <c r="K1223" s="131"/>
      <c r="L1223" s="131"/>
      <c r="M1223" s="131"/>
      <c r="N1223" s="43"/>
      <c r="O1223" s="51"/>
    </row>
    <row r="1224">
      <c r="A1224" s="43"/>
      <c r="B1224" s="59" t="str">
        <f>IFERROR(VLOOKUP(A1224,Internal_lists_bugs!$A$2:$G2033,7,FALSE()),"please select a BUG ID")</f>
        <v>please select a BUG ID</v>
      </c>
      <c r="C1224" s="51" t="str">
        <f>IFERROR(VLOOKUP(A1224,Internal_lists_bugs!$A$2:$I2033,9,FALSE()),"please select a BUG ID")</f>
        <v>please select a BUG ID</v>
      </c>
      <c r="D1224" s="85"/>
      <c r="E1224" s="85"/>
      <c r="F1224" s="133"/>
      <c r="G1224" s="41"/>
      <c r="H1224" s="115"/>
      <c r="I1224" s="131"/>
      <c r="J1224" s="131"/>
      <c r="K1224" s="131"/>
      <c r="L1224" s="131"/>
      <c r="M1224" s="131"/>
      <c r="N1224" s="43"/>
      <c r="O1224" s="51"/>
    </row>
    <row r="1225">
      <c r="A1225" s="43"/>
      <c r="B1225" s="59" t="str">
        <f>IFERROR(VLOOKUP(A1225,Internal_lists_bugs!$A$2:$G2033,7,FALSE()),"please select a BUG ID")</f>
        <v>please select a BUG ID</v>
      </c>
      <c r="C1225" s="51" t="str">
        <f>IFERROR(VLOOKUP(A1225,Internal_lists_bugs!$A$2:$I2033,9,FALSE()),"please select a BUG ID")</f>
        <v>please select a BUG ID</v>
      </c>
      <c r="D1225" s="85"/>
      <c r="E1225" s="85"/>
      <c r="F1225" s="133"/>
      <c r="G1225" s="41"/>
      <c r="H1225" s="115"/>
      <c r="I1225" s="131"/>
      <c r="J1225" s="131"/>
      <c r="K1225" s="131"/>
      <c r="L1225" s="131"/>
      <c r="M1225" s="131"/>
      <c r="N1225" s="43"/>
      <c r="O1225" s="51"/>
    </row>
    <row r="1226">
      <c r="A1226" s="43"/>
      <c r="B1226" s="59" t="str">
        <f>IFERROR(VLOOKUP(A1226,Internal_lists_bugs!$A$2:$G2033,7,FALSE()),"please select a BUG ID")</f>
        <v>please select a BUG ID</v>
      </c>
      <c r="C1226" s="51" t="str">
        <f>IFERROR(VLOOKUP(A1226,Internal_lists_bugs!$A$2:$I2033,9,FALSE()),"please select a BUG ID")</f>
        <v>please select a BUG ID</v>
      </c>
      <c r="D1226" s="85"/>
      <c r="E1226" s="85"/>
      <c r="F1226" s="133"/>
      <c r="G1226" s="41"/>
      <c r="H1226" s="115"/>
      <c r="I1226" s="131"/>
      <c r="J1226" s="131"/>
      <c r="K1226" s="131"/>
      <c r="L1226" s="131"/>
      <c r="M1226" s="131"/>
      <c r="N1226" s="43"/>
      <c r="O1226" s="51"/>
    </row>
    <row r="1227">
      <c r="A1227" s="43"/>
      <c r="B1227" s="59" t="str">
        <f>IFERROR(VLOOKUP(A1227,Internal_lists_bugs!$A$2:$G2033,7,FALSE()),"please select a BUG ID")</f>
        <v>please select a BUG ID</v>
      </c>
      <c r="C1227" s="51" t="str">
        <f>IFERROR(VLOOKUP(A1227,Internal_lists_bugs!$A$2:$I2033,9,FALSE()),"please select a BUG ID")</f>
        <v>please select a BUG ID</v>
      </c>
      <c r="D1227" s="85"/>
      <c r="E1227" s="85"/>
      <c r="F1227" s="133"/>
      <c r="G1227" s="41"/>
      <c r="H1227" s="115"/>
      <c r="I1227" s="131"/>
      <c r="J1227" s="131"/>
      <c r="K1227" s="131"/>
      <c r="L1227" s="131"/>
      <c r="M1227" s="131"/>
      <c r="N1227" s="43"/>
      <c r="O1227" s="51"/>
    </row>
    <row r="1228">
      <c r="A1228" s="43"/>
      <c r="B1228" s="59" t="str">
        <f>IFERROR(VLOOKUP(A1228,Internal_lists_bugs!$A$2:$G2033,7,FALSE()),"please select a BUG ID")</f>
        <v>please select a BUG ID</v>
      </c>
      <c r="C1228" s="51" t="str">
        <f>IFERROR(VLOOKUP(A1228,Internal_lists_bugs!$A$2:$I2033,9,FALSE()),"please select a BUG ID")</f>
        <v>please select a BUG ID</v>
      </c>
      <c r="D1228" s="85"/>
      <c r="E1228" s="85"/>
      <c r="F1228" s="133"/>
      <c r="G1228" s="41"/>
      <c r="I1228" s="131"/>
      <c r="J1228" s="131"/>
      <c r="K1228" s="131"/>
      <c r="L1228" s="131"/>
      <c r="M1228" s="131"/>
      <c r="N1228" s="43"/>
      <c r="O1228" s="51"/>
    </row>
    <row r="1229">
      <c r="A1229" s="43"/>
      <c r="B1229" s="59" t="str">
        <f>IFERROR(VLOOKUP(A1229,Internal_lists_bugs!$A$2:$G2033,7,FALSE()),"please select a BUG ID")</f>
        <v>please select a BUG ID</v>
      </c>
      <c r="C1229" s="51" t="str">
        <f>IFERROR(VLOOKUP(A1229,Internal_lists_bugs!$A$2:$I2033,9,FALSE()),"please select a BUG ID")</f>
        <v>please select a BUG ID</v>
      </c>
      <c r="D1229" s="85"/>
      <c r="E1229" s="85"/>
      <c r="F1229" s="133"/>
      <c r="G1229" s="41"/>
      <c r="H1229" s="115"/>
      <c r="I1229" s="131"/>
      <c r="J1229" s="131"/>
      <c r="K1229" s="131"/>
      <c r="L1229" s="131"/>
      <c r="M1229" s="131"/>
      <c r="N1229" s="43"/>
      <c r="O1229" s="51"/>
    </row>
    <row r="1230">
      <c r="A1230" s="43"/>
      <c r="B1230" s="59" t="str">
        <f>IFERROR(VLOOKUP(A1230,Internal_lists_bugs!$A$2:$G2033,7,FALSE()),"please select a BUG ID")</f>
        <v>please select a BUG ID</v>
      </c>
      <c r="C1230" s="51" t="str">
        <f>IFERROR(VLOOKUP(A1230,Internal_lists_bugs!$A$2:$I2033,9,FALSE()),"please select a BUG ID")</f>
        <v>please select a BUG ID</v>
      </c>
      <c r="D1230" s="85"/>
      <c r="E1230" s="85"/>
      <c r="F1230" s="133"/>
      <c r="G1230" s="41"/>
      <c r="H1230" s="115"/>
      <c r="I1230" s="131"/>
      <c r="J1230" s="131"/>
      <c r="K1230" s="131"/>
      <c r="L1230" s="131"/>
      <c r="M1230" s="131"/>
      <c r="N1230" s="43"/>
      <c r="O1230" s="51"/>
    </row>
    <row r="1231">
      <c r="A1231" s="43"/>
      <c r="B1231" s="59" t="str">
        <f>IFERROR(VLOOKUP(A1231,Internal_lists_bugs!$A$2:$G2033,7,FALSE()),"please select a BUG ID")</f>
        <v>please select a BUG ID</v>
      </c>
      <c r="C1231" s="51" t="str">
        <f>IFERROR(VLOOKUP(A1231,Internal_lists_bugs!$A$2:$I2033,9,FALSE()),"please select a BUG ID")</f>
        <v>please select a BUG ID</v>
      </c>
      <c r="D1231" s="85"/>
      <c r="E1231" s="85"/>
      <c r="F1231" s="133"/>
      <c r="G1231" s="41"/>
      <c r="H1231" s="115"/>
      <c r="I1231" s="131"/>
      <c r="J1231" s="131"/>
      <c r="K1231" s="131"/>
      <c r="L1231" s="131"/>
      <c r="M1231" s="131"/>
      <c r="N1231" s="43"/>
      <c r="O1231" s="51"/>
    </row>
    <row r="1232">
      <c r="A1232" s="43"/>
      <c r="B1232" s="59" t="str">
        <f>IFERROR(VLOOKUP(A1232,Internal_lists_bugs!$A$2:$G2033,7,FALSE()),"please select a BUG ID")</f>
        <v>please select a BUG ID</v>
      </c>
      <c r="C1232" s="51" t="str">
        <f>IFERROR(VLOOKUP(A1232,Internal_lists_bugs!$A$2:$I2033,9,FALSE()),"please select a BUG ID")</f>
        <v>please select a BUG ID</v>
      </c>
      <c r="D1232" s="85"/>
      <c r="E1232" s="85"/>
      <c r="F1232" s="133"/>
      <c r="G1232" s="41"/>
      <c r="H1232" s="115"/>
      <c r="I1232" s="131"/>
      <c r="J1232" s="131"/>
      <c r="K1232" s="131"/>
      <c r="L1232" s="131"/>
      <c r="M1232" s="131"/>
      <c r="N1232" s="43"/>
      <c r="O1232" s="51"/>
    </row>
    <row r="1233">
      <c r="A1233" s="43"/>
      <c r="B1233" s="59" t="str">
        <f>IFERROR(VLOOKUP(A1233,Internal_lists_bugs!$A$2:$G2033,7,FALSE()),"please select a BUG ID")</f>
        <v>please select a BUG ID</v>
      </c>
      <c r="C1233" s="51" t="str">
        <f>IFERROR(VLOOKUP(A1233,Internal_lists_bugs!$A$2:$I2033,9,FALSE()),"please select a BUG ID")</f>
        <v>please select a BUG ID</v>
      </c>
      <c r="D1233" s="85"/>
      <c r="E1233" s="85"/>
      <c r="F1233" s="133"/>
      <c r="G1233" s="41"/>
      <c r="H1233" s="115"/>
      <c r="I1233" s="131"/>
      <c r="J1233" s="131"/>
      <c r="K1233" s="131"/>
      <c r="L1233" s="131"/>
      <c r="M1233" s="131"/>
      <c r="N1233" s="43"/>
      <c r="O1233" s="51"/>
    </row>
    <row r="1234">
      <c r="A1234" s="43"/>
      <c r="B1234" s="59" t="str">
        <f>IFERROR(VLOOKUP(A1234,Internal_lists_bugs!$A$2:$G2033,7,FALSE()),"please select a BUG ID")</f>
        <v>please select a BUG ID</v>
      </c>
      <c r="C1234" s="51" t="str">
        <f>IFERROR(VLOOKUP(A1234,Internal_lists_bugs!$A$2:$I2033,9,FALSE()),"please select a BUG ID")</f>
        <v>please select a BUG ID</v>
      </c>
      <c r="D1234" s="85"/>
      <c r="E1234" s="85"/>
      <c r="F1234" s="133"/>
      <c r="G1234" s="41"/>
      <c r="H1234" s="115"/>
      <c r="I1234" s="131"/>
      <c r="J1234" s="131"/>
      <c r="K1234" s="131"/>
      <c r="L1234" s="131"/>
      <c r="M1234" s="131"/>
      <c r="N1234" s="43"/>
      <c r="O1234" s="51"/>
    </row>
    <row r="1235">
      <c r="A1235" s="43"/>
      <c r="B1235" s="59" t="str">
        <f>IFERROR(VLOOKUP(A1235,Internal_lists_bugs!$A$2:$G2033,7,FALSE()),"please select a BUG ID")</f>
        <v>please select a BUG ID</v>
      </c>
      <c r="C1235" s="51" t="str">
        <f>IFERROR(VLOOKUP(A1235,Internal_lists_bugs!$A$2:$I2033,9,FALSE()),"please select a BUG ID")</f>
        <v>please select a BUG ID</v>
      </c>
      <c r="D1235" s="85"/>
      <c r="E1235" s="85"/>
      <c r="F1235" s="133"/>
      <c r="G1235" s="41"/>
      <c r="H1235" s="115"/>
      <c r="I1235" s="131"/>
      <c r="J1235" s="131"/>
      <c r="K1235" s="131"/>
      <c r="L1235" s="131"/>
      <c r="M1235" s="131"/>
      <c r="N1235" s="43"/>
      <c r="O1235" s="51"/>
    </row>
    <row r="1236">
      <c r="A1236" s="43"/>
      <c r="B1236" s="59" t="str">
        <f>IFERROR(VLOOKUP(A1236,Internal_lists_bugs!$A$2:$G2033,7,FALSE()),"please select a BUG ID")</f>
        <v>please select a BUG ID</v>
      </c>
      <c r="C1236" s="51" t="str">
        <f>IFERROR(VLOOKUP(A1236,Internal_lists_bugs!$A$2:$I2033,9,FALSE()),"please select a BUG ID")</f>
        <v>please select a BUG ID</v>
      </c>
      <c r="D1236" s="85"/>
      <c r="E1236" s="85"/>
      <c r="F1236" s="133"/>
      <c r="G1236" s="41"/>
      <c r="H1236" s="115"/>
      <c r="I1236" s="131"/>
      <c r="J1236" s="131"/>
      <c r="K1236" s="131"/>
      <c r="L1236" s="131"/>
      <c r="M1236" s="131"/>
      <c r="N1236" s="43"/>
      <c r="O1236" s="51"/>
    </row>
    <row r="1237">
      <c r="A1237" s="43"/>
      <c r="B1237" s="59" t="str">
        <f>IFERROR(VLOOKUP(A1237,Internal_lists_bugs!$A$2:$G2033,7,FALSE()),"please select a BUG ID")</f>
        <v>please select a BUG ID</v>
      </c>
      <c r="C1237" s="51" t="str">
        <f>IFERROR(VLOOKUP(A1237,Internal_lists_bugs!$A$2:$I2033,9,FALSE()),"please select a BUG ID")</f>
        <v>please select a BUG ID</v>
      </c>
      <c r="D1237" s="85"/>
      <c r="E1237" s="85"/>
      <c r="F1237" s="133"/>
      <c r="G1237" s="41"/>
      <c r="H1237" s="115"/>
      <c r="I1237" s="131"/>
      <c r="J1237" s="131"/>
      <c r="K1237" s="131"/>
      <c r="L1237" s="131"/>
      <c r="M1237" s="131"/>
      <c r="N1237" s="43"/>
      <c r="O1237" s="51"/>
    </row>
    <row r="1238">
      <c r="A1238" s="43"/>
      <c r="B1238" s="59" t="str">
        <f>IFERROR(VLOOKUP(A1238,Internal_lists_bugs!$A$2:$G2033,7,FALSE()),"please select a BUG ID")</f>
        <v>please select a BUG ID</v>
      </c>
      <c r="C1238" s="51" t="str">
        <f>IFERROR(VLOOKUP(A1238,Internal_lists_bugs!$A$2:$I2033,9,FALSE()),"please select a BUG ID")</f>
        <v>please select a BUG ID</v>
      </c>
      <c r="D1238" s="85"/>
      <c r="E1238" s="85"/>
      <c r="F1238" s="133"/>
      <c r="G1238" s="41"/>
      <c r="H1238" s="115"/>
      <c r="I1238" s="131"/>
      <c r="J1238" s="131"/>
      <c r="K1238" s="131"/>
      <c r="L1238" s="131"/>
      <c r="M1238" s="131"/>
      <c r="N1238" s="43"/>
      <c r="O1238" s="51"/>
    </row>
    <row r="1239">
      <c r="A1239" s="43"/>
      <c r="B1239" s="59" t="str">
        <f>IFERROR(VLOOKUP(A1239,Internal_lists_bugs!$A$2:$G2033,7,FALSE()),"please select a BUG ID")</f>
        <v>please select a BUG ID</v>
      </c>
      <c r="C1239" s="51" t="str">
        <f>IFERROR(VLOOKUP(A1239,Internal_lists_bugs!$A$2:$I2033,9,FALSE()),"please select a BUG ID")</f>
        <v>please select a BUG ID</v>
      </c>
      <c r="D1239" s="85"/>
      <c r="E1239" s="85"/>
      <c r="F1239" s="133"/>
      <c r="G1239" s="41"/>
      <c r="H1239" s="115"/>
      <c r="I1239" s="131"/>
      <c r="J1239" s="131"/>
      <c r="K1239" s="131"/>
      <c r="L1239" s="131"/>
      <c r="M1239" s="131"/>
      <c r="N1239" s="43"/>
      <c r="O1239" s="51"/>
    </row>
    <row r="1240">
      <c r="A1240" s="43"/>
      <c r="B1240" s="59" t="str">
        <f>IFERROR(VLOOKUP(A1240,Internal_lists_bugs!$A$2:$G2033,7,FALSE()),"please select a BUG ID")</f>
        <v>please select a BUG ID</v>
      </c>
      <c r="C1240" s="51" t="str">
        <f>IFERROR(VLOOKUP(A1240,Internal_lists_bugs!$A$2:$I2033,9,FALSE()),"please select a BUG ID")</f>
        <v>please select a BUG ID</v>
      </c>
      <c r="D1240" s="85"/>
      <c r="E1240" s="85"/>
      <c r="F1240" s="133"/>
      <c r="G1240" s="41"/>
      <c r="H1240" s="115"/>
      <c r="I1240" s="131"/>
      <c r="J1240" s="131"/>
      <c r="K1240" s="131"/>
      <c r="L1240" s="131"/>
      <c r="M1240" s="131"/>
      <c r="N1240" s="43"/>
      <c r="O1240" s="51"/>
    </row>
    <row r="1241">
      <c r="A1241" s="43"/>
      <c r="B1241" s="59" t="str">
        <f>IFERROR(VLOOKUP(A1241,Internal_lists_bugs!$A$2:$G2033,7,FALSE()),"please select a BUG ID")</f>
        <v>please select a BUG ID</v>
      </c>
      <c r="C1241" s="51" t="str">
        <f>IFERROR(VLOOKUP(A1241,Internal_lists_bugs!$A$2:$I2033,9,FALSE()),"please select a BUG ID")</f>
        <v>please select a BUG ID</v>
      </c>
      <c r="D1241" s="85"/>
      <c r="E1241" s="85"/>
      <c r="F1241" s="133"/>
      <c r="G1241" s="41"/>
      <c r="H1241" s="115"/>
      <c r="I1241" s="131"/>
      <c r="J1241" s="131"/>
      <c r="K1241" s="131"/>
      <c r="L1241" s="131"/>
      <c r="M1241" s="131"/>
      <c r="N1241" s="43"/>
      <c r="O1241" s="51"/>
    </row>
    <row r="1242">
      <c r="A1242" s="43"/>
      <c r="B1242" s="59" t="str">
        <f>IFERROR(VLOOKUP(A1242,Internal_lists_bugs!$A$2:$G2033,7,FALSE()),"please select a BUG ID")</f>
        <v>please select a BUG ID</v>
      </c>
      <c r="C1242" s="51" t="str">
        <f>IFERROR(VLOOKUP(A1242,Internal_lists_bugs!$A$2:$I2033,9,FALSE()),"please select a BUG ID")</f>
        <v>please select a BUG ID</v>
      </c>
      <c r="D1242" s="85"/>
      <c r="E1242" s="85"/>
      <c r="F1242" s="133"/>
      <c r="G1242" s="41"/>
      <c r="H1242" s="115"/>
      <c r="I1242" s="131"/>
      <c r="J1242" s="131"/>
      <c r="K1242" s="131"/>
      <c r="L1242" s="131"/>
      <c r="M1242" s="131"/>
      <c r="N1242" s="43"/>
      <c r="O1242" s="51"/>
    </row>
    <row r="1243">
      <c r="A1243" s="43"/>
      <c r="B1243" s="59" t="str">
        <f>IFERROR(VLOOKUP(A1243,Internal_lists_bugs!$A$2:$G2033,7,FALSE()),"please select a BUG ID")</f>
        <v>please select a BUG ID</v>
      </c>
      <c r="C1243" s="51" t="str">
        <f>IFERROR(VLOOKUP(A1243,Internal_lists_bugs!$A$2:$I2033,9,FALSE()),"please select a BUG ID")</f>
        <v>please select a BUG ID</v>
      </c>
      <c r="D1243" s="85"/>
      <c r="E1243" s="85"/>
      <c r="F1243" s="133"/>
      <c r="G1243" s="41"/>
      <c r="H1243" s="115"/>
      <c r="I1243" s="131"/>
      <c r="J1243" s="131"/>
      <c r="K1243" s="131"/>
      <c r="L1243" s="131"/>
      <c r="M1243" s="131"/>
      <c r="N1243" s="43"/>
      <c r="O1243" s="51"/>
    </row>
    <row r="1244">
      <c r="A1244" s="43"/>
      <c r="B1244" s="59" t="str">
        <f>IFERROR(VLOOKUP(A1244,Internal_lists_bugs!$A$2:$G2033,7,FALSE()),"please select a BUG ID")</f>
        <v>please select a BUG ID</v>
      </c>
      <c r="C1244" s="51" t="str">
        <f>IFERROR(VLOOKUP(A1244,Internal_lists_bugs!$A$2:$I2033,9,FALSE()),"please select a BUG ID")</f>
        <v>please select a BUG ID</v>
      </c>
      <c r="D1244" s="85"/>
      <c r="E1244" s="85"/>
      <c r="F1244" s="133"/>
      <c r="G1244" s="41"/>
      <c r="H1244" s="115"/>
      <c r="I1244" s="131"/>
      <c r="J1244" s="131"/>
      <c r="K1244" s="131"/>
      <c r="L1244" s="131"/>
      <c r="M1244" s="131"/>
      <c r="N1244" s="43"/>
      <c r="O1244" s="51"/>
    </row>
    <row r="1245">
      <c r="A1245" s="43"/>
      <c r="B1245" s="59" t="str">
        <f>IFERROR(VLOOKUP(A1245,Internal_lists_bugs!$A$2:$G2033,7,FALSE()),"please select a BUG ID")</f>
        <v>please select a BUG ID</v>
      </c>
      <c r="C1245" s="51" t="str">
        <f>IFERROR(VLOOKUP(A1245,Internal_lists_bugs!$A$2:$I2033,9,FALSE()),"please select a BUG ID")</f>
        <v>please select a BUG ID</v>
      </c>
      <c r="D1245" s="85"/>
      <c r="E1245" s="85"/>
      <c r="F1245" s="133"/>
      <c r="G1245" s="41"/>
      <c r="H1245" s="115"/>
      <c r="I1245" s="131"/>
      <c r="J1245" s="131"/>
      <c r="K1245" s="131"/>
      <c r="L1245" s="131"/>
      <c r="M1245" s="131"/>
      <c r="N1245" s="43"/>
      <c r="O1245" s="51"/>
    </row>
    <row r="1246">
      <c r="A1246" s="43"/>
      <c r="B1246" s="59" t="str">
        <f>IFERROR(VLOOKUP(A1246,Internal_lists_bugs!$A$2:$G2033,7,FALSE()),"please select a BUG ID")</f>
        <v>please select a BUG ID</v>
      </c>
      <c r="C1246" s="51" t="str">
        <f>IFERROR(VLOOKUP(A1246,Internal_lists_bugs!$A$2:$I2033,9,FALSE()),"please select a BUG ID")</f>
        <v>please select a BUG ID</v>
      </c>
      <c r="D1246" s="85"/>
      <c r="E1246" s="85"/>
      <c r="F1246" s="133"/>
      <c r="G1246" s="41"/>
      <c r="H1246" s="115"/>
      <c r="I1246" s="131"/>
      <c r="J1246" s="131"/>
      <c r="K1246" s="131"/>
      <c r="L1246" s="131"/>
      <c r="M1246" s="131"/>
      <c r="N1246" s="43"/>
      <c r="O1246" s="51"/>
    </row>
    <row r="1247">
      <c r="A1247" s="43"/>
      <c r="B1247" s="59" t="str">
        <f>IFERROR(VLOOKUP(A1247,Internal_lists_bugs!$A$2:$G2033,7,FALSE()),"please select a BUG ID")</f>
        <v>please select a BUG ID</v>
      </c>
      <c r="C1247" s="51" t="str">
        <f>IFERROR(VLOOKUP(A1247,Internal_lists_bugs!$A$2:$I2033,9,FALSE()),"please select a BUG ID")</f>
        <v>please select a BUG ID</v>
      </c>
      <c r="D1247" s="85"/>
      <c r="E1247" s="85"/>
      <c r="F1247" s="133"/>
      <c r="G1247" s="41"/>
      <c r="H1247" s="115"/>
      <c r="I1247" s="131"/>
      <c r="J1247" s="131"/>
      <c r="K1247" s="131"/>
      <c r="L1247" s="131"/>
      <c r="M1247" s="131"/>
      <c r="N1247" s="43"/>
      <c r="O1247" s="51"/>
    </row>
    <row r="1248">
      <c r="A1248" s="43"/>
      <c r="B1248" s="59" t="str">
        <f>IFERROR(VLOOKUP(A1248,Internal_lists_bugs!$A$2:$G2033,7,FALSE()),"please select a BUG ID")</f>
        <v>please select a BUG ID</v>
      </c>
      <c r="C1248" s="51" t="str">
        <f>IFERROR(VLOOKUP(A1248,Internal_lists_bugs!$A$2:$I2033,9,FALSE()),"please select a BUG ID")</f>
        <v>please select a BUG ID</v>
      </c>
      <c r="D1248" s="85"/>
      <c r="E1248" s="85"/>
      <c r="F1248" s="133"/>
      <c r="G1248" s="41"/>
      <c r="H1248" s="115"/>
      <c r="I1248" s="131"/>
      <c r="J1248" s="131"/>
      <c r="K1248" s="131"/>
      <c r="L1248" s="131"/>
      <c r="M1248" s="131"/>
      <c r="N1248" s="43"/>
      <c r="O1248" s="51"/>
    </row>
    <row r="1249">
      <c r="A1249" s="43"/>
      <c r="B1249" s="59" t="str">
        <f>IFERROR(VLOOKUP(A1249,Internal_lists_bugs!$A$2:$G2033,7,FALSE()),"please select a BUG ID")</f>
        <v>please select a BUG ID</v>
      </c>
      <c r="C1249" s="51" t="str">
        <f>IFERROR(VLOOKUP(A1249,Internal_lists_bugs!$A$2:$I2033,9,FALSE()),"please select a BUG ID")</f>
        <v>please select a BUG ID</v>
      </c>
      <c r="D1249" s="85"/>
      <c r="E1249" s="85"/>
      <c r="F1249" s="133"/>
      <c r="G1249" s="41"/>
      <c r="H1249" s="115"/>
      <c r="I1249" s="131"/>
      <c r="J1249" s="131"/>
      <c r="K1249" s="131"/>
      <c r="L1249" s="131"/>
      <c r="M1249" s="131"/>
      <c r="N1249" s="43"/>
      <c r="O1249" s="51"/>
    </row>
    <row r="1250">
      <c r="A1250" s="43"/>
      <c r="B1250" s="59" t="str">
        <f>IFERROR(VLOOKUP(A1250,Internal_lists_bugs!$A$2:$G2033,7,FALSE()),"please select a BUG ID")</f>
        <v>please select a BUG ID</v>
      </c>
      <c r="C1250" s="51" t="str">
        <f>IFERROR(VLOOKUP(A1250,Internal_lists_bugs!$A$2:$I2033,9,FALSE()),"please select a BUG ID")</f>
        <v>please select a BUG ID</v>
      </c>
      <c r="D1250" s="85"/>
      <c r="E1250" s="85"/>
      <c r="F1250" s="133"/>
      <c r="G1250" s="41"/>
      <c r="H1250" s="115"/>
      <c r="I1250" s="131"/>
      <c r="J1250" s="131"/>
      <c r="K1250" s="131"/>
      <c r="L1250" s="131"/>
      <c r="M1250" s="131"/>
      <c r="N1250" s="43"/>
      <c r="O1250" s="51"/>
    </row>
    <row r="1251">
      <c r="A1251" s="43"/>
      <c r="B1251" s="59" t="str">
        <f>IFERROR(VLOOKUP(A1251,Internal_lists_bugs!$A$2:$G2033,7,FALSE()),"please select a BUG ID")</f>
        <v>please select a BUG ID</v>
      </c>
      <c r="C1251" s="51" t="str">
        <f>IFERROR(VLOOKUP(A1251,Internal_lists_bugs!$A$2:$I2033,9,FALSE()),"please select a BUG ID")</f>
        <v>please select a BUG ID</v>
      </c>
      <c r="D1251" s="85"/>
      <c r="E1251" s="85"/>
      <c r="F1251" s="133"/>
      <c r="G1251" s="41"/>
      <c r="H1251" s="115"/>
      <c r="I1251" s="131"/>
      <c r="J1251" s="131"/>
      <c r="K1251" s="131"/>
      <c r="L1251" s="131"/>
      <c r="M1251" s="131"/>
      <c r="N1251" s="43"/>
      <c r="O1251" s="51"/>
    </row>
    <row r="1252">
      <c r="A1252" s="43"/>
      <c r="B1252" s="59" t="str">
        <f>IFERROR(VLOOKUP(A1252,Internal_lists_bugs!$A$2:$G2033,7,FALSE()),"please select a BUG ID")</f>
        <v>please select a BUG ID</v>
      </c>
      <c r="C1252" s="51" t="str">
        <f>IFERROR(VLOOKUP(A1252,Internal_lists_bugs!$A$2:$I2033,9,FALSE()),"please select a BUG ID")</f>
        <v>please select a BUG ID</v>
      </c>
      <c r="D1252" s="85"/>
      <c r="E1252" s="85"/>
      <c r="F1252" s="133"/>
      <c r="G1252" s="41"/>
      <c r="H1252" s="115"/>
      <c r="I1252" s="131"/>
      <c r="J1252" s="131"/>
      <c r="K1252" s="131"/>
      <c r="L1252" s="131"/>
      <c r="M1252" s="131"/>
      <c r="N1252" s="43"/>
      <c r="O1252" s="51"/>
    </row>
    <row r="1253">
      <c r="A1253" s="43"/>
      <c r="B1253" s="59" t="str">
        <f>IFERROR(VLOOKUP(A1253,Internal_lists_bugs!$A$2:$G2033,7,FALSE()),"please select a BUG ID")</f>
        <v>please select a BUG ID</v>
      </c>
      <c r="C1253" s="51" t="str">
        <f>IFERROR(VLOOKUP(A1253,Internal_lists_bugs!$A$2:$I2033,9,FALSE()),"please select a BUG ID")</f>
        <v>please select a BUG ID</v>
      </c>
      <c r="D1253" s="85"/>
      <c r="E1253" s="85"/>
      <c r="F1253" s="133"/>
      <c r="G1253" s="41"/>
      <c r="H1253" s="115"/>
      <c r="I1253" s="131"/>
      <c r="J1253" s="131"/>
      <c r="K1253" s="131"/>
      <c r="L1253" s="131"/>
      <c r="M1253" s="131"/>
      <c r="N1253" s="43"/>
      <c r="O1253" s="51"/>
    </row>
    <row r="1254">
      <c r="A1254" s="43"/>
      <c r="B1254" s="59" t="str">
        <f>IFERROR(VLOOKUP(A1254,Internal_lists_bugs!$A$2:$G2033,7,FALSE()),"please select a BUG ID")</f>
        <v>please select a BUG ID</v>
      </c>
      <c r="C1254" s="51" t="str">
        <f>IFERROR(VLOOKUP(A1254,Internal_lists_bugs!$A$2:$I2033,9,FALSE()),"please select a BUG ID")</f>
        <v>please select a BUG ID</v>
      </c>
      <c r="D1254" s="85"/>
      <c r="E1254" s="85"/>
      <c r="F1254" s="133"/>
      <c r="G1254" s="41"/>
      <c r="H1254" s="115"/>
      <c r="I1254" s="131"/>
      <c r="J1254" s="131"/>
      <c r="K1254" s="131"/>
      <c r="L1254" s="131"/>
      <c r="M1254" s="131"/>
      <c r="N1254" s="43"/>
      <c r="O1254" s="51"/>
    </row>
    <row r="1255">
      <c r="A1255" s="43"/>
      <c r="B1255" s="59" t="str">
        <f>IFERROR(VLOOKUP(A1255,Internal_lists_bugs!$A$2:$G2033,7,FALSE()),"please select a BUG ID")</f>
        <v>please select a BUG ID</v>
      </c>
      <c r="C1255" s="51" t="str">
        <f>IFERROR(VLOOKUP(A1255,Internal_lists_bugs!$A$2:$I2033,9,FALSE()),"please select a BUG ID")</f>
        <v>please select a BUG ID</v>
      </c>
      <c r="D1255" s="85"/>
      <c r="E1255" s="85"/>
      <c r="F1255" s="133"/>
      <c r="G1255" s="41"/>
      <c r="H1255" s="115"/>
      <c r="I1255" s="131"/>
      <c r="J1255" s="131"/>
      <c r="K1255" s="131"/>
      <c r="L1255" s="131"/>
      <c r="M1255" s="131"/>
      <c r="N1255" s="43"/>
      <c r="O1255" s="51"/>
    </row>
    <row r="1256">
      <c r="A1256" s="43"/>
      <c r="B1256" s="59" t="str">
        <f>IFERROR(VLOOKUP(A1256,Internal_lists_bugs!$A$2:$G2033,7,FALSE()),"please select a BUG ID")</f>
        <v>please select a BUG ID</v>
      </c>
      <c r="C1256" s="51" t="str">
        <f>IFERROR(VLOOKUP(A1256,Internal_lists_bugs!$A$2:$I2033,9,FALSE()),"please select a BUG ID")</f>
        <v>please select a BUG ID</v>
      </c>
      <c r="D1256" s="85"/>
      <c r="E1256" s="85"/>
      <c r="F1256" s="133"/>
      <c r="G1256" s="41"/>
      <c r="H1256" s="115"/>
      <c r="I1256" s="131"/>
      <c r="J1256" s="131"/>
      <c r="K1256" s="131"/>
      <c r="L1256" s="131"/>
      <c r="M1256" s="131"/>
      <c r="N1256" s="43"/>
      <c r="O1256" s="51"/>
    </row>
    <row r="1257">
      <c r="A1257" s="43"/>
      <c r="B1257" s="59" t="str">
        <f>IFERROR(VLOOKUP(A1257,Internal_lists_bugs!$A$2:$G2033,7,FALSE()),"please select a BUG ID")</f>
        <v>please select a BUG ID</v>
      </c>
      <c r="C1257" s="51" t="str">
        <f>IFERROR(VLOOKUP(A1257,Internal_lists_bugs!$A$2:$I2033,9,FALSE()),"please select a BUG ID")</f>
        <v>please select a BUG ID</v>
      </c>
      <c r="D1257" s="85"/>
      <c r="E1257" s="85"/>
      <c r="F1257" s="133"/>
      <c r="G1257" s="41"/>
      <c r="H1257" s="115"/>
      <c r="I1257" s="131"/>
      <c r="J1257" s="131"/>
      <c r="K1257" s="131"/>
      <c r="L1257" s="131"/>
      <c r="M1257" s="131"/>
      <c r="N1257" s="43"/>
      <c r="O1257" s="51"/>
    </row>
    <row r="1258">
      <c r="A1258" s="43"/>
      <c r="B1258" s="59" t="str">
        <f>IFERROR(VLOOKUP(A1258,Internal_lists_bugs!$A$2:$G2033,7,FALSE()),"please select a BUG ID")</f>
        <v>please select a BUG ID</v>
      </c>
      <c r="C1258" s="51" t="str">
        <f>IFERROR(VLOOKUP(A1258,Internal_lists_bugs!$A$2:$I2033,9,FALSE()),"please select a BUG ID")</f>
        <v>please select a BUG ID</v>
      </c>
      <c r="D1258" s="80"/>
      <c r="E1258" s="80"/>
      <c r="F1258" s="130"/>
      <c r="G1258" s="41"/>
      <c r="H1258" s="115"/>
      <c r="I1258" s="131"/>
      <c r="J1258" s="131"/>
      <c r="K1258" s="131"/>
      <c r="L1258" s="131"/>
      <c r="M1258" s="131"/>
      <c r="N1258" s="43"/>
      <c r="O1258" s="51"/>
    </row>
    <row r="1259">
      <c r="A1259" s="43"/>
      <c r="B1259" s="59" t="str">
        <f>IFERROR(VLOOKUP(A1259,Internal_lists_bugs!$A$2:$G2033,7,FALSE()),"please select a BUG ID")</f>
        <v>please select a BUG ID</v>
      </c>
      <c r="C1259" s="51" t="str">
        <f>IFERROR(VLOOKUP(A1259,Internal_lists_bugs!$A$2:$I2033,9,FALSE()),"please select a BUG ID")</f>
        <v>please select a BUG ID</v>
      </c>
      <c r="D1259" s="85"/>
      <c r="E1259" s="85"/>
      <c r="F1259" s="133"/>
      <c r="G1259" s="41"/>
      <c r="H1259" s="115"/>
      <c r="I1259" s="131"/>
      <c r="J1259" s="131"/>
      <c r="K1259" s="131"/>
      <c r="L1259" s="131"/>
      <c r="M1259" s="131"/>
      <c r="N1259" s="43"/>
      <c r="O1259" s="51"/>
    </row>
    <row r="1260">
      <c r="A1260" s="43"/>
      <c r="B1260" s="59" t="str">
        <f>IFERROR(VLOOKUP(A1260,Internal_lists_bugs!$A$2:$G2033,7,FALSE()),"please select a BUG ID")</f>
        <v>please select a BUG ID</v>
      </c>
      <c r="C1260" s="51" t="str">
        <f>IFERROR(VLOOKUP(A1260,Internal_lists_bugs!$A$2:$I2033,9,FALSE()),"please select a BUG ID")</f>
        <v>please select a BUG ID</v>
      </c>
      <c r="D1260" s="85"/>
      <c r="E1260" s="85"/>
      <c r="F1260" s="133"/>
      <c r="G1260" s="41"/>
      <c r="H1260" s="115"/>
      <c r="I1260" s="131"/>
      <c r="J1260" s="131"/>
      <c r="K1260" s="131"/>
      <c r="L1260" s="131"/>
      <c r="M1260" s="131"/>
      <c r="N1260" s="43"/>
      <c r="O1260" s="51"/>
    </row>
    <row r="1261">
      <c r="A1261" s="43"/>
      <c r="B1261" s="59" t="str">
        <f>IFERROR(VLOOKUP(A1261,Internal_lists_bugs!$A$2:$G2033,7,FALSE()),"please select a BUG ID")</f>
        <v>please select a BUG ID</v>
      </c>
      <c r="C1261" s="51" t="str">
        <f>IFERROR(VLOOKUP(A1261,Internal_lists_bugs!$A$2:$I2033,9,FALSE()),"please select a BUG ID")</f>
        <v>please select a BUG ID</v>
      </c>
      <c r="D1261" s="85"/>
      <c r="E1261" s="85"/>
      <c r="F1261" s="133"/>
      <c r="G1261" s="41"/>
      <c r="H1261" s="42"/>
      <c r="I1261" s="131"/>
      <c r="J1261" s="131"/>
      <c r="K1261" s="131"/>
      <c r="L1261" s="131"/>
      <c r="M1261" s="131"/>
      <c r="N1261" s="43"/>
      <c r="O1261" s="51"/>
    </row>
    <row r="1262">
      <c r="A1262" s="43"/>
      <c r="B1262" s="59" t="str">
        <f>IFERROR(VLOOKUP(A1262,Internal_lists_bugs!$A$2:$G2033,7,FALSE()),"please select a BUG ID")</f>
        <v>please select a BUG ID</v>
      </c>
      <c r="C1262" s="51" t="str">
        <f>IFERROR(VLOOKUP(A1262,Internal_lists_bugs!$A$2:$I2033,9,FALSE()),"please select a BUG ID")</f>
        <v>please select a BUG ID</v>
      </c>
      <c r="D1262" s="85"/>
      <c r="E1262" s="85"/>
      <c r="F1262" s="133"/>
      <c r="G1262" s="41"/>
      <c r="H1262" s="42"/>
      <c r="I1262" s="131"/>
      <c r="J1262" s="131"/>
      <c r="K1262" s="131"/>
      <c r="L1262" s="131"/>
      <c r="M1262" s="131"/>
      <c r="N1262" s="43"/>
      <c r="O1262" s="51"/>
    </row>
    <row r="1263">
      <c r="A1263" s="43"/>
      <c r="B1263" s="59" t="str">
        <f>IFERROR(VLOOKUP(A1263,Internal_lists_bugs!$A$2:$G2033,7,FALSE()),"please select a BUG ID")</f>
        <v>please select a BUG ID</v>
      </c>
      <c r="C1263" s="51" t="str">
        <f>IFERROR(VLOOKUP(A1263,Internal_lists_bugs!$A$2:$I2033,9,FALSE()),"please select a BUG ID")</f>
        <v>please select a BUG ID</v>
      </c>
      <c r="D1263" s="85"/>
      <c r="E1263" s="85"/>
      <c r="F1263" s="133"/>
      <c r="G1263" s="41"/>
      <c r="H1263" s="42"/>
      <c r="I1263" s="131"/>
      <c r="J1263" s="131"/>
      <c r="K1263" s="131"/>
      <c r="L1263" s="131"/>
      <c r="M1263" s="131"/>
      <c r="N1263" s="43"/>
      <c r="O1263" s="51"/>
    </row>
    <row r="1264">
      <c r="A1264" s="43"/>
      <c r="B1264" s="59" t="str">
        <f>IFERROR(VLOOKUP(A1264,Internal_lists_bugs!$A$2:$G2033,7,FALSE()),"please select a BUG ID")</f>
        <v>please select a BUG ID</v>
      </c>
      <c r="C1264" s="51" t="str">
        <f>IFERROR(VLOOKUP(A1264,Internal_lists_bugs!$A$2:$I2033,9,FALSE()),"please select a BUG ID")</f>
        <v>please select a BUG ID</v>
      </c>
      <c r="D1264" s="85"/>
      <c r="E1264" s="85"/>
      <c r="F1264" s="133"/>
      <c r="G1264" s="41"/>
      <c r="H1264" s="42"/>
      <c r="I1264" s="131"/>
      <c r="J1264" s="131"/>
      <c r="K1264" s="131"/>
      <c r="L1264" s="131"/>
      <c r="M1264" s="131"/>
      <c r="N1264" s="43"/>
      <c r="O1264" s="51"/>
    </row>
    <row r="1265">
      <c r="A1265" s="43"/>
      <c r="B1265" s="59" t="str">
        <f>IFERROR(VLOOKUP(A1265,Internal_lists_bugs!$A$2:$G2033,7,FALSE()),"please select a BUG ID")</f>
        <v>please select a BUG ID</v>
      </c>
      <c r="C1265" s="51" t="str">
        <f>IFERROR(VLOOKUP(A1265,Internal_lists_bugs!$A$2:$I2033,9,FALSE()),"please select a BUG ID")</f>
        <v>please select a BUG ID</v>
      </c>
      <c r="D1265" s="85"/>
      <c r="E1265" s="85"/>
      <c r="F1265" s="133"/>
      <c r="G1265" s="41"/>
      <c r="H1265" s="42"/>
      <c r="I1265" s="131"/>
      <c r="J1265" s="131"/>
      <c r="K1265" s="131"/>
      <c r="L1265" s="131"/>
      <c r="M1265" s="131"/>
      <c r="N1265" s="43"/>
      <c r="O1265" s="51"/>
    </row>
    <row r="1266">
      <c r="A1266" s="43"/>
      <c r="B1266" s="59" t="str">
        <f>IFERROR(VLOOKUP(A1266,Internal_lists_bugs!$A$2:$G2033,7,FALSE()),"please select a BUG ID")</f>
        <v>please select a BUG ID</v>
      </c>
      <c r="C1266" s="51" t="str">
        <f>IFERROR(VLOOKUP(A1266,Internal_lists_bugs!$A$2:$I2033,9,FALSE()),"please select a BUG ID")</f>
        <v>please select a BUG ID</v>
      </c>
      <c r="D1266" s="85"/>
      <c r="E1266" s="85"/>
      <c r="F1266" s="133"/>
      <c r="G1266" s="41"/>
      <c r="H1266" s="42"/>
      <c r="I1266" s="131"/>
      <c r="J1266" s="131"/>
      <c r="K1266" s="131"/>
      <c r="L1266" s="131"/>
      <c r="M1266" s="131"/>
      <c r="N1266" s="43"/>
      <c r="O1266" s="51"/>
    </row>
    <row r="1267">
      <c r="A1267" s="43"/>
      <c r="B1267" s="59" t="str">
        <f>IFERROR(VLOOKUP(A1267,Internal_lists_bugs!$A$2:$G2033,7,FALSE()),"please select a BUG ID")</f>
        <v>please select a BUG ID</v>
      </c>
      <c r="C1267" s="51" t="str">
        <f>IFERROR(VLOOKUP(A1267,Internal_lists_bugs!$A$2:$I2033,9,FALSE()),"please select a BUG ID")</f>
        <v>please select a BUG ID</v>
      </c>
      <c r="D1267" s="85"/>
      <c r="E1267" s="85"/>
      <c r="F1267" s="133"/>
      <c r="G1267" s="41"/>
      <c r="H1267" s="42"/>
      <c r="I1267" s="131"/>
      <c r="J1267" s="131"/>
      <c r="K1267" s="131"/>
      <c r="L1267" s="131"/>
      <c r="M1267" s="131"/>
      <c r="N1267" s="43"/>
      <c r="O1267" s="51"/>
    </row>
    <row r="1268">
      <c r="A1268" s="43"/>
      <c r="B1268" s="59" t="str">
        <f>IFERROR(VLOOKUP(A1268,Internal_lists_bugs!$A$2:$G2033,7,FALSE()),"please select a BUG ID")</f>
        <v>please select a BUG ID</v>
      </c>
      <c r="C1268" s="51" t="str">
        <f>IFERROR(VLOOKUP(A1268,Internal_lists_bugs!$A$2:$I2033,9,FALSE()),"please select a BUG ID")</f>
        <v>please select a BUG ID</v>
      </c>
      <c r="D1268" s="85"/>
      <c r="E1268" s="85"/>
      <c r="F1268" s="133"/>
      <c r="G1268" s="41"/>
      <c r="H1268" s="42"/>
      <c r="I1268" s="131"/>
      <c r="J1268" s="131"/>
      <c r="K1268" s="131"/>
      <c r="L1268" s="131"/>
      <c r="M1268" s="131"/>
      <c r="N1268" s="43"/>
      <c r="O1268" s="51"/>
    </row>
    <row r="1269">
      <c r="A1269" s="43"/>
      <c r="B1269" s="59" t="str">
        <f>IFERROR(VLOOKUP(A1269,Internal_lists_bugs!$A$2:$G2033,7,FALSE()),"please select a BUG ID")</f>
        <v>please select a BUG ID</v>
      </c>
      <c r="C1269" s="51" t="str">
        <f>IFERROR(VLOOKUP(A1269,Internal_lists_bugs!$A$2:$I2033,9,FALSE()),"please select a BUG ID")</f>
        <v>please select a BUG ID</v>
      </c>
      <c r="D1269" s="85"/>
      <c r="E1269" s="85"/>
      <c r="F1269" s="133"/>
      <c r="G1269" s="41"/>
      <c r="H1269" s="42"/>
      <c r="I1269" s="131"/>
      <c r="J1269" s="131"/>
      <c r="K1269" s="131"/>
      <c r="L1269" s="131"/>
      <c r="M1269" s="131"/>
      <c r="N1269" s="43"/>
      <c r="O1269" s="51"/>
    </row>
    <row r="1270">
      <c r="A1270" s="43"/>
      <c r="B1270" s="59" t="str">
        <f>IFERROR(VLOOKUP(A1270,Internal_lists_bugs!$A$2:$G2033,7,FALSE()),"please select a BUG ID")</f>
        <v>please select a BUG ID</v>
      </c>
      <c r="C1270" s="51" t="str">
        <f>IFERROR(VLOOKUP(A1270,Internal_lists_bugs!$A$2:$I2033,9,FALSE()),"please select a BUG ID")</f>
        <v>please select a BUG ID</v>
      </c>
      <c r="D1270" s="85"/>
      <c r="E1270" s="85"/>
      <c r="F1270" s="133"/>
      <c r="G1270" s="41"/>
      <c r="H1270" s="42"/>
      <c r="I1270" s="131"/>
      <c r="J1270" s="131"/>
      <c r="K1270" s="131"/>
      <c r="L1270" s="131"/>
      <c r="M1270" s="131"/>
      <c r="N1270" s="43"/>
      <c r="O1270" s="51"/>
    </row>
    <row r="1271">
      <c r="A1271" s="43"/>
      <c r="B1271" s="59" t="str">
        <f>IFERROR(VLOOKUP(A1271,Internal_lists_bugs!$A$2:$G2033,7,FALSE()),"please select a BUG ID")</f>
        <v>please select a BUG ID</v>
      </c>
      <c r="C1271" s="51" t="str">
        <f>IFERROR(VLOOKUP(A1271,Internal_lists_bugs!$A$2:$I2033,9,FALSE()),"please select a BUG ID")</f>
        <v>please select a BUG ID</v>
      </c>
      <c r="D1271" s="85"/>
      <c r="E1271" s="85"/>
      <c r="F1271" s="133"/>
      <c r="G1271" s="41"/>
      <c r="H1271" s="42"/>
      <c r="I1271" s="131"/>
      <c r="J1271" s="131"/>
      <c r="K1271" s="131"/>
      <c r="L1271" s="131"/>
      <c r="M1271" s="131"/>
      <c r="N1271" s="43"/>
      <c r="O1271" s="51"/>
    </row>
    <row r="1272">
      <c r="A1272" s="43"/>
      <c r="B1272" s="59" t="str">
        <f>IFERROR(VLOOKUP(A1272,Internal_lists_bugs!$A$2:$G2033,7,FALSE()),"please select a BUG ID")</f>
        <v>please select a BUG ID</v>
      </c>
      <c r="C1272" s="51" t="str">
        <f>IFERROR(VLOOKUP(A1272,Internal_lists_bugs!$A$2:$I2033,9,FALSE()),"please select a BUG ID")</f>
        <v>please select a BUG ID</v>
      </c>
      <c r="D1272" s="85"/>
      <c r="E1272" s="85"/>
      <c r="F1272" s="133"/>
      <c r="G1272" s="41"/>
      <c r="H1272" s="42"/>
      <c r="I1272" s="131"/>
      <c r="J1272" s="131"/>
      <c r="K1272" s="131"/>
      <c r="L1272" s="131"/>
      <c r="M1272" s="131"/>
      <c r="N1272" s="43"/>
      <c r="O1272" s="51"/>
    </row>
    <row r="1273">
      <c r="A1273" s="43"/>
      <c r="B1273" s="59" t="str">
        <f>IFERROR(VLOOKUP(A1273,Internal_lists_bugs!$A$2:$G2033,7,FALSE()),"please select a BUG ID")</f>
        <v>please select a BUG ID</v>
      </c>
      <c r="C1273" s="51" t="str">
        <f>IFERROR(VLOOKUP(A1273,Internal_lists_bugs!$A$2:$I2033,9,FALSE()),"please select a BUG ID")</f>
        <v>please select a BUG ID</v>
      </c>
      <c r="D1273" s="85"/>
      <c r="E1273" s="85"/>
      <c r="F1273" s="133"/>
      <c r="G1273" s="41"/>
      <c r="H1273" s="42"/>
      <c r="I1273" s="131"/>
      <c r="J1273" s="131"/>
      <c r="K1273" s="131"/>
      <c r="L1273" s="131"/>
      <c r="M1273" s="131"/>
      <c r="N1273" s="43"/>
      <c r="O1273" s="51"/>
    </row>
    <row r="1274">
      <c r="A1274" s="43"/>
      <c r="B1274" s="59" t="str">
        <f>IFERROR(VLOOKUP(A1274,Internal_lists_bugs!$A$2:$G2033,7,FALSE()),"please select a BUG ID")</f>
        <v>please select a BUG ID</v>
      </c>
      <c r="C1274" s="51" t="str">
        <f>IFERROR(VLOOKUP(A1274,Internal_lists_bugs!$A$2:$I2033,9,FALSE()),"please select a BUG ID")</f>
        <v>please select a BUG ID</v>
      </c>
      <c r="D1274" s="85"/>
      <c r="E1274" s="85"/>
      <c r="F1274" s="133"/>
      <c r="G1274" s="41"/>
      <c r="H1274" s="42"/>
      <c r="I1274" s="131"/>
      <c r="J1274" s="131"/>
      <c r="K1274" s="131"/>
      <c r="L1274" s="131"/>
      <c r="M1274" s="131"/>
      <c r="N1274" s="43"/>
      <c r="O1274" s="51"/>
    </row>
    <row r="1275">
      <c r="A1275" s="43"/>
      <c r="B1275" s="59" t="str">
        <f>IFERROR(VLOOKUP(A1275,Internal_lists_bugs!$A$2:$G2033,7,FALSE()),"please select a BUG ID")</f>
        <v>please select a BUG ID</v>
      </c>
      <c r="C1275" s="51" t="str">
        <f>IFERROR(VLOOKUP(A1275,Internal_lists_bugs!$A$2:$I2033,9,FALSE()),"please select a BUG ID")</f>
        <v>please select a BUG ID</v>
      </c>
      <c r="D1275" s="85"/>
      <c r="E1275" s="85"/>
      <c r="F1275" s="133"/>
      <c r="G1275" s="41"/>
      <c r="H1275" s="42"/>
      <c r="I1275" s="131"/>
      <c r="J1275" s="131"/>
      <c r="K1275" s="131"/>
      <c r="L1275" s="131"/>
      <c r="M1275" s="131"/>
      <c r="N1275" s="43"/>
      <c r="O1275" s="51"/>
    </row>
    <row r="1276">
      <c r="A1276" s="43"/>
      <c r="B1276" s="59" t="str">
        <f>IFERROR(VLOOKUP(A1276,Internal_lists_bugs!$A$2:$G2033,7,FALSE()),"please select a BUG ID")</f>
        <v>please select a BUG ID</v>
      </c>
      <c r="C1276" s="51" t="str">
        <f>IFERROR(VLOOKUP(A1276,Internal_lists_bugs!$A$2:$I2033,9,FALSE()),"please select a BUG ID")</f>
        <v>please select a BUG ID</v>
      </c>
      <c r="D1276" s="85"/>
      <c r="E1276" s="85"/>
      <c r="F1276" s="133"/>
      <c r="G1276" s="41"/>
      <c r="H1276" s="42"/>
      <c r="I1276" s="131"/>
      <c r="J1276" s="131"/>
      <c r="K1276" s="131"/>
      <c r="L1276" s="131"/>
      <c r="M1276" s="131"/>
      <c r="N1276" s="43"/>
      <c r="O1276" s="51"/>
    </row>
    <row r="1277">
      <c r="A1277" s="43"/>
      <c r="B1277" s="59" t="str">
        <f>IFERROR(VLOOKUP(A1277,Internal_lists_bugs!$A$2:$G2033,7,FALSE()),"please select a BUG ID")</f>
        <v>please select a BUG ID</v>
      </c>
      <c r="C1277" s="51" t="str">
        <f>IFERROR(VLOOKUP(A1277,Internal_lists_bugs!$A$2:$I2033,9,FALSE()),"please select a BUG ID")</f>
        <v>please select a BUG ID</v>
      </c>
      <c r="D1277" s="85"/>
      <c r="E1277" s="85"/>
      <c r="F1277" s="133"/>
      <c r="G1277" s="41"/>
      <c r="H1277" s="42"/>
      <c r="I1277" s="131"/>
      <c r="J1277" s="131"/>
      <c r="K1277" s="131"/>
      <c r="L1277" s="131"/>
      <c r="M1277" s="131"/>
      <c r="N1277" s="43"/>
      <c r="O1277" s="51"/>
    </row>
    <row r="1278">
      <c r="A1278" s="43"/>
      <c r="B1278" s="59" t="str">
        <f>IFERROR(VLOOKUP(A1278,Internal_lists_bugs!$A$2:$G2033,7,FALSE()),"please select a BUG ID")</f>
        <v>please select a BUG ID</v>
      </c>
      <c r="C1278" s="51" t="str">
        <f>IFERROR(VLOOKUP(A1278,Internal_lists_bugs!$A$2:$I2033,9,FALSE()),"please select a BUG ID")</f>
        <v>please select a BUG ID</v>
      </c>
      <c r="D1278" s="85"/>
      <c r="E1278" s="85"/>
      <c r="F1278" s="133"/>
      <c r="G1278" s="41"/>
      <c r="H1278" s="42"/>
      <c r="I1278" s="131"/>
      <c r="J1278" s="131"/>
      <c r="K1278" s="131"/>
      <c r="L1278" s="131"/>
      <c r="M1278" s="131"/>
      <c r="N1278" s="43"/>
      <c r="O1278" s="51"/>
    </row>
    <row r="1279">
      <c r="A1279" s="43"/>
      <c r="B1279" s="59" t="str">
        <f>IFERROR(VLOOKUP(A1279,Internal_lists_bugs!$A$2:$G2033,7,FALSE()),"please select a BUG ID")</f>
        <v>please select a BUG ID</v>
      </c>
      <c r="C1279" s="51" t="str">
        <f>IFERROR(VLOOKUP(A1279,Internal_lists_bugs!$A$2:$I2033,9,FALSE()),"please select a BUG ID")</f>
        <v>please select a BUG ID</v>
      </c>
      <c r="D1279" s="85"/>
      <c r="E1279" s="85"/>
      <c r="F1279" s="133"/>
      <c r="G1279" s="41"/>
      <c r="H1279" s="42"/>
      <c r="I1279" s="131"/>
      <c r="J1279" s="131"/>
      <c r="K1279" s="131"/>
      <c r="L1279" s="131"/>
      <c r="M1279" s="131"/>
      <c r="N1279" s="43"/>
      <c r="O1279" s="51"/>
    </row>
    <row r="1280">
      <c r="A1280" s="43"/>
      <c r="B1280" s="59" t="str">
        <f>IFERROR(VLOOKUP(A1280,Internal_lists_bugs!$A$2:$G2033,7,FALSE()),"please select a BUG ID")</f>
        <v>please select a BUG ID</v>
      </c>
      <c r="C1280" s="51" t="str">
        <f>IFERROR(VLOOKUP(A1280,Internal_lists_bugs!$A$2:$I2033,9,FALSE()),"please select a BUG ID")</f>
        <v>please select a BUG ID</v>
      </c>
      <c r="D1280" s="85"/>
      <c r="E1280" s="85"/>
      <c r="F1280" s="133"/>
      <c r="G1280" s="41"/>
      <c r="H1280" s="42"/>
      <c r="I1280" s="131"/>
      <c r="J1280" s="131"/>
      <c r="K1280" s="131"/>
      <c r="L1280" s="131"/>
      <c r="M1280" s="131"/>
      <c r="N1280" s="43"/>
      <c r="O1280" s="51"/>
    </row>
    <row r="1281">
      <c r="A1281" s="43"/>
      <c r="B1281" s="59" t="str">
        <f>IFERROR(VLOOKUP(A1281,Internal_lists_bugs!$A$2:$G2033,7,FALSE()),"please select a BUG ID")</f>
        <v>please select a BUG ID</v>
      </c>
      <c r="C1281" s="51" t="str">
        <f>IFERROR(VLOOKUP(A1281,Internal_lists_bugs!$A$2:$I2033,9,FALSE()),"please select a BUG ID")</f>
        <v>please select a BUG ID</v>
      </c>
      <c r="D1281" s="85"/>
      <c r="E1281" s="85"/>
      <c r="F1281" s="133"/>
      <c r="G1281" s="41"/>
      <c r="H1281" s="42"/>
      <c r="I1281" s="131"/>
      <c r="J1281" s="131"/>
      <c r="K1281" s="131"/>
      <c r="L1281" s="131"/>
      <c r="M1281" s="131"/>
      <c r="N1281" s="43"/>
      <c r="O1281" s="51"/>
    </row>
    <row r="1282">
      <c r="A1282" s="43"/>
      <c r="B1282" s="59" t="str">
        <f>IFERROR(VLOOKUP(A1282,Internal_lists_bugs!$A$2:$G2033,7,FALSE()),"please select a BUG ID")</f>
        <v>please select a BUG ID</v>
      </c>
      <c r="C1282" s="51" t="str">
        <f>IFERROR(VLOOKUP(A1282,Internal_lists_bugs!$A$2:$I2033,9,FALSE()),"please select a BUG ID")</f>
        <v>please select a BUG ID</v>
      </c>
      <c r="D1282" s="85"/>
      <c r="E1282" s="85"/>
      <c r="F1282" s="133"/>
      <c r="G1282" s="41"/>
      <c r="H1282" s="42"/>
      <c r="I1282" s="131"/>
      <c r="J1282" s="131"/>
      <c r="K1282" s="131"/>
      <c r="L1282" s="131"/>
      <c r="M1282" s="131"/>
      <c r="N1282" s="43"/>
      <c r="O1282" s="51"/>
    </row>
    <row r="1283">
      <c r="A1283" s="43"/>
      <c r="B1283" s="59" t="str">
        <f>IFERROR(VLOOKUP(A1283,Internal_lists_bugs!$A$2:$G2033,7,FALSE()),"please select a BUG ID")</f>
        <v>please select a BUG ID</v>
      </c>
      <c r="C1283" s="51" t="str">
        <f>IFERROR(VLOOKUP(A1283,Internal_lists_bugs!$A$2:$I2033,9,FALSE()),"please select a BUG ID")</f>
        <v>please select a BUG ID</v>
      </c>
      <c r="D1283" s="85"/>
      <c r="E1283" s="85"/>
      <c r="F1283" s="133"/>
      <c r="G1283" s="41"/>
      <c r="H1283" s="42"/>
      <c r="I1283" s="131"/>
      <c r="J1283" s="131"/>
      <c r="K1283" s="131"/>
      <c r="L1283" s="131"/>
      <c r="M1283" s="131"/>
      <c r="N1283" s="43"/>
      <c r="O1283" s="51"/>
    </row>
    <row r="1284">
      <c r="A1284" s="43"/>
      <c r="B1284" s="59" t="str">
        <f>IFERROR(VLOOKUP(A1284,Internal_lists_bugs!$A$2:$G2033,7,FALSE()),"please select a BUG ID")</f>
        <v>please select a BUG ID</v>
      </c>
      <c r="C1284" s="51" t="str">
        <f>IFERROR(VLOOKUP(A1284,Internal_lists_bugs!$A$2:$I2033,9,FALSE()),"please select a BUG ID")</f>
        <v>please select a BUG ID</v>
      </c>
      <c r="D1284" s="85"/>
      <c r="E1284" s="85"/>
      <c r="F1284" s="133"/>
      <c r="G1284" s="41"/>
      <c r="H1284" s="42"/>
      <c r="I1284" s="131"/>
      <c r="J1284" s="131"/>
      <c r="K1284" s="131"/>
      <c r="L1284" s="131"/>
      <c r="M1284" s="131"/>
      <c r="N1284" s="43"/>
      <c r="O1284" s="51"/>
    </row>
    <row r="1285">
      <c r="A1285" s="43"/>
      <c r="B1285" s="59" t="str">
        <f>IFERROR(VLOOKUP(A1285,Internal_lists_bugs!$A$2:$G2033,7,FALSE()),"please select a BUG ID")</f>
        <v>please select a BUG ID</v>
      </c>
      <c r="C1285" s="51" t="str">
        <f>IFERROR(VLOOKUP(A1285,Internal_lists_bugs!$A$2:$I2033,9,FALSE()),"please select a BUG ID")</f>
        <v>please select a BUG ID</v>
      </c>
      <c r="D1285" s="85"/>
      <c r="E1285" s="85"/>
      <c r="F1285" s="133"/>
      <c r="G1285" s="41"/>
      <c r="H1285" s="42"/>
      <c r="I1285" s="131"/>
      <c r="J1285" s="131"/>
      <c r="K1285" s="131"/>
      <c r="L1285" s="131"/>
      <c r="M1285" s="131"/>
      <c r="N1285" s="43"/>
      <c r="O1285" s="51"/>
    </row>
    <row r="1286">
      <c r="A1286" s="43"/>
      <c r="B1286" s="59" t="str">
        <f>IFERROR(VLOOKUP(A1286,Internal_lists_bugs!$A$2:$G2033,7,FALSE()),"please select a BUG ID")</f>
        <v>please select a BUG ID</v>
      </c>
      <c r="C1286" s="51" t="str">
        <f>IFERROR(VLOOKUP(A1286,Internal_lists_bugs!$A$2:$I2033,9,FALSE()),"please select a BUG ID")</f>
        <v>please select a BUG ID</v>
      </c>
      <c r="D1286" s="85"/>
      <c r="E1286" s="85"/>
      <c r="F1286" s="133"/>
      <c r="G1286" s="41"/>
      <c r="H1286" s="42"/>
      <c r="I1286" s="131"/>
      <c r="J1286" s="131"/>
      <c r="K1286" s="131"/>
      <c r="L1286" s="131"/>
      <c r="M1286" s="131"/>
      <c r="N1286" s="43"/>
      <c r="O1286" s="51"/>
    </row>
    <row r="1287">
      <c r="A1287" s="43"/>
      <c r="B1287" s="59" t="str">
        <f>IFERROR(VLOOKUP(A1287,Internal_lists_bugs!$A$2:$G2033,7,FALSE()),"please select a BUG ID")</f>
        <v>please select a BUG ID</v>
      </c>
      <c r="C1287" s="51" t="str">
        <f>IFERROR(VLOOKUP(A1287,Internal_lists_bugs!$A$2:$I2033,9,FALSE()),"please select a BUG ID")</f>
        <v>please select a BUG ID</v>
      </c>
      <c r="D1287" s="85"/>
      <c r="E1287" s="85"/>
      <c r="F1287" s="133"/>
      <c r="G1287" s="41"/>
      <c r="H1287" s="42"/>
      <c r="I1287" s="131"/>
      <c r="J1287" s="131"/>
      <c r="K1287" s="131"/>
      <c r="L1287" s="131"/>
      <c r="M1287" s="131"/>
      <c r="N1287" s="43"/>
      <c r="O1287" s="51"/>
    </row>
    <row r="1288">
      <c r="A1288" s="43"/>
      <c r="B1288" s="59" t="str">
        <f>IFERROR(VLOOKUP(A1288,Internal_lists_bugs!$A$2:$G2033,7,FALSE()),"please select a BUG ID")</f>
        <v>please select a BUG ID</v>
      </c>
      <c r="C1288" s="51" t="str">
        <f>IFERROR(VLOOKUP(A1288,Internal_lists_bugs!$A$2:$I2033,9,FALSE()),"please select a BUG ID")</f>
        <v>please select a BUG ID</v>
      </c>
      <c r="D1288" s="85"/>
      <c r="E1288" s="85"/>
      <c r="F1288" s="133"/>
      <c r="G1288" s="41"/>
      <c r="H1288" s="42"/>
      <c r="I1288" s="131"/>
      <c r="J1288" s="131"/>
      <c r="K1288" s="131"/>
      <c r="L1288" s="131"/>
      <c r="M1288" s="131"/>
      <c r="N1288" s="43"/>
      <c r="O1288" s="51"/>
    </row>
    <row r="1289">
      <c r="A1289" s="43"/>
      <c r="B1289" s="59" t="str">
        <f>IFERROR(VLOOKUP(A1289,Internal_lists_bugs!$A$2:$G2033,7,FALSE()),"please select a BUG ID")</f>
        <v>please select a BUG ID</v>
      </c>
      <c r="C1289" s="51" t="str">
        <f>IFERROR(VLOOKUP(A1289,Internal_lists_bugs!$A$2:$I2033,9,FALSE()),"please select a BUG ID")</f>
        <v>please select a BUG ID</v>
      </c>
      <c r="D1289" s="85"/>
      <c r="E1289" s="85"/>
      <c r="F1289" s="133"/>
      <c r="G1289" s="41"/>
      <c r="H1289" s="42"/>
      <c r="I1289" s="131"/>
      <c r="J1289" s="131"/>
      <c r="K1289" s="131"/>
      <c r="L1289" s="131"/>
      <c r="M1289" s="131"/>
      <c r="N1289" s="43"/>
      <c r="O1289" s="51"/>
    </row>
    <row r="1290">
      <c r="A1290" s="43"/>
      <c r="B1290" s="59" t="str">
        <f>IFERROR(VLOOKUP(A1290,Internal_lists_bugs!$A$2:$G2033,7,FALSE()),"please select a BUG ID")</f>
        <v>please select a BUG ID</v>
      </c>
      <c r="C1290" s="51" t="str">
        <f>IFERROR(VLOOKUP(A1290,Internal_lists_bugs!$A$2:$I2033,9,FALSE()),"please select a BUG ID")</f>
        <v>please select a BUG ID</v>
      </c>
      <c r="D1290" s="85"/>
      <c r="E1290" s="85"/>
      <c r="F1290" s="133"/>
      <c r="G1290" s="41"/>
      <c r="H1290" s="42"/>
      <c r="I1290" s="131"/>
      <c r="J1290" s="131"/>
      <c r="K1290" s="131"/>
      <c r="L1290" s="131"/>
      <c r="M1290" s="131"/>
      <c r="N1290" s="43"/>
      <c r="O1290" s="51"/>
    </row>
    <row r="1291">
      <c r="A1291" s="43"/>
      <c r="B1291" s="59" t="str">
        <f>IFERROR(VLOOKUP(A1291,Internal_lists_bugs!$A$2:$G2033,7,FALSE()),"please select a BUG ID")</f>
        <v>please select a BUG ID</v>
      </c>
      <c r="C1291" s="51" t="str">
        <f>IFERROR(VLOOKUP(A1291,Internal_lists_bugs!$A$2:$I2033,9,FALSE()),"please select a BUG ID")</f>
        <v>please select a BUG ID</v>
      </c>
      <c r="D1291" s="85"/>
      <c r="E1291" s="85"/>
      <c r="F1291" s="133"/>
      <c r="G1291" s="41"/>
      <c r="H1291" s="42"/>
      <c r="I1291" s="131"/>
      <c r="J1291" s="131"/>
      <c r="K1291" s="131"/>
      <c r="L1291" s="131"/>
      <c r="M1291" s="131"/>
      <c r="N1291" s="43"/>
      <c r="O1291" s="51"/>
    </row>
    <row r="1292">
      <c r="A1292" s="43"/>
      <c r="B1292" s="59" t="str">
        <f>IFERROR(VLOOKUP(A1292,Internal_lists_bugs!$A$2:$G2033,7,FALSE()),"please select a BUG ID")</f>
        <v>please select a BUG ID</v>
      </c>
      <c r="C1292" s="51" t="str">
        <f>IFERROR(VLOOKUP(A1292,Internal_lists_bugs!$A$2:$I2033,9,FALSE()),"please select a BUG ID")</f>
        <v>please select a BUG ID</v>
      </c>
      <c r="D1292" s="80"/>
      <c r="E1292" s="80"/>
      <c r="F1292" s="130"/>
      <c r="G1292" s="41"/>
      <c r="H1292" s="115"/>
      <c r="I1292" s="131"/>
      <c r="J1292" s="131"/>
      <c r="K1292" s="131"/>
      <c r="L1292" s="131"/>
      <c r="M1292" s="131"/>
      <c r="N1292" s="43"/>
      <c r="O1292" s="51"/>
    </row>
    <row r="1293">
      <c r="A1293" s="43"/>
      <c r="B1293" s="59" t="str">
        <f>IFERROR(VLOOKUP(A1293,Internal_lists_bugs!$A$2:$G2033,7,FALSE()),"please select a BUG ID")</f>
        <v>please select a BUG ID</v>
      </c>
      <c r="C1293" s="51" t="str">
        <f>IFERROR(VLOOKUP(A1293,Internal_lists_bugs!$A$2:$I2033,9,FALSE()),"please select a BUG ID")</f>
        <v>please select a BUG ID</v>
      </c>
      <c r="D1293" s="85"/>
      <c r="E1293" s="85"/>
      <c r="F1293" s="133"/>
      <c r="G1293" s="41"/>
      <c r="H1293" s="115"/>
      <c r="I1293" s="131"/>
      <c r="J1293" s="131"/>
      <c r="K1293" s="131"/>
      <c r="L1293" s="131"/>
      <c r="M1293" s="131"/>
      <c r="N1293" s="43"/>
      <c r="O1293" s="51"/>
    </row>
    <row r="1294">
      <c r="A1294" s="43"/>
      <c r="B1294" s="59" t="str">
        <f>IFERROR(VLOOKUP(A1294,Internal_lists_bugs!$A$2:$G2033,7,FALSE()),"please select a BUG ID")</f>
        <v>please select a BUG ID</v>
      </c>
      <c r="C1294" s="51" t="str">
        <f>IFERROR(VLOOKUP(A1294,Internal_lists_bugs!$A$2:$I2033,9,FALSE()),"please select a BUG ID")</f>
        <v>please select a BUG ID</v>
      </c>
      <c r="D1294" s="85"/>
      <c r="E1294" s="85"/>
      <c r="F1294" s="133"/>
      <c r="G1294" s="41"/>
      <c r="H1294" s="115"/>
      <c r="I1294" s="131"/>
      <c r="J1294" s="131"/>
      <c r="K1294" s="131"/>
      <c r="L1294" s="131"/>
      <c r="M1294" s="131"/>
      <c r="N1294" s="43"/>
      <c r="O1294" s="51"/>
    </row>
    <row r="1295">
      <c r="A1295" s="43"/>
      <c r="B1295" s="59" t="str">
        <f>IFERROR(VLOOKUP(A1295,Internal_lists_bugs!$A$2:$G2033,7,FALSE()),"please select a BUG ID")</f>
        <v>please select a BUG ID</v>
      </c>
      <c r="C1295" s="51" t="str">
        <f>IFERROR(VLOOKUP(A1295,Internal_lists_bugs!$A$2:$I2033,9,FALSE()),"please select a BUG ID")</f>
        <v>please select a BUG ID</v>
      </c>
      <c r="D1295" s="85"/>
      <c r="E1295" s="85"/>
      <c r="F1295" s="133"/>
      <c r="G1295" s="41"/>
      <c r="H1295" s="115"/>
      <c r="I1295" s="131"/>
      <c r="J1295" s="131"/>
      <c r="K1295" s="131"/>
      <c r="L1295" s="131"/>
      <c r="M1295" s="131"/>
      <c r="N1295" s="43"/>
      <c r="O1295" s="51"/>
    </row>
    <row r="1296">
      <c r="A1296" s="43"/>
      <c r="B1296" s="59" t="str">
        <f>IFERROR(VLOOKUP(A1296,Internal_lists_bugs!$A$2:$G2033,7,FALSE()),"please select a BUG ID")</f>
        <v>please select a BUG ID</v>
      </c>
      <c r="C1296" s="51" t="str">
        <f>IFERROR(VLOOKUP(A1296,Internal_lists_bugs!$A$2:$I2033,9,FALSE()),"please select a BUG ID")</f>
        <v>please select a BUG ID</v>
      </c>
      <c r="D1296" s="85"/>
      <c r="E1296" s="85"/>
      <c r="F1296" s="133"/>
      <c r="G1296" s="41"/>
      <c r="H1296" s="115"/>
      <c r="I1296" s="131"/>
      <c r="J1296" s="131"/>
      <c r="K1296" s="131"/>
      <c r="L1296" s="131"/>
      <c r="M1296" s="131"/>
      <c r="N1296" s="43"/>
      <c r="O1296" s="51"/>
    </row>
    <row r="1297">
      <c r="A1297" s="43"/>
      <c r="B1297" s="59" t="str">
        <f>IFERROR(VLOOKUP(A1297,Internal_lists_bugs!$A$2:$G2033,7,FALSE()),"please select a BUG ID")</f>
        <v>please select a BUG ID</v>
      </c>
      <c r="C1297" s="51" t="str">
        <f>IFERROR(VLOOKUP(A1297,Internal_lists_bugs!$A$2:$I2033,9,FALSE()),"please select a BUG ID")</f>
        <v>please select a BUG ID</v>
      </c>
      <c r="D1297" s="85"/>
      <c r="E1297" s="85"/>
      <c r="F1297" s="133"/>
      <c r="G1297" s="41"/>
      <c r="H1297" s="115"/>
      <c r="I1297" s="131"/>
      <c r="J1297" s="131"/>
      <c r="K1297" s="131"/>
      <c r="L1297" s="131"/>
      <c r="M1297" s="131"/>
      <c r="N1297" s="43"/>
      <c r="O1297" s="51"/>
    </row>
    <row r="1298">
      <c r="A1298" s="43"/>
      <c r="B1298" s="59" t="str">
        <f>IFERROR(VLOOKUP(A1298,Internal_lists_bugs!$A$2:$G2033,7,FALSE()),"please select a BUG ID")</f>
        <v>please select a BUG ID</v>
      </c>
      <c r="C1298" s="51" t="str">
        <f>IFERROR(VLOOKUP(A1298,Internal_lists_bugs!$A$2:$I2033,9,FALSE()),"please select a BUG ID")</f>
        <v>please select a BUG ID</v>
      </c>
      <c r="D1298" s="85"/>
      <c r="E1298" s="85"/>
      <c r="F1298" s="133"/>
      <c r="G1298" s="41"/>
      <c r="H1298" s="115"/>
      <c r="I1298" s="131"/>
      <c r="J1298" s="131"/>
      <c r="K1298" s="131"/>
      <c r="L1298" s="131"/>
      <c r="M1298" s="131"/>
      <c r="N1298" s="43"/>
      <c r="O1298" s="51"/>
    </row>
    <row r="1299">
      <c r="A1299" s="43"/>
      <c r="B1299" s="59" t="str">
        <f>IFERROR(VLOOKUP(A1299,Internal_lists_bugs!$A$2:$G2033,7,FALSE()),"please select a BUG ID")</f>
        <v>please select a BUG ID</v>
      </c>
      <c r="C1299" s="51" t="str">
        <f>IFERROR(VLOOKUP(A1299,Internal_lists_bugs!$A$2:$I2033,9,FALSE()),"please select a BUG ID")</f>
        <v>please select a BUG ID</v>
      </c>
      <c r="D1299" s="85"/>
      <c r="E1299" s="85"/>
      <c r="F1299" s="133"/>
      <c r="G1299" s="41"/>
      <c r="H1299" s="115"/>
      <c r="I1299" s="131"/>
      <c r="J1299" s="131"/>
      <c r="K1299" s="131"/>
      <c r="L1299" s="131"/>
      <c r="M1299" s="131"/>
      <c r="N1299" s="43"/>
      <c r="O1299" s="51"/>
    </row>
    <row r="1300">
      <c r="A1300" s="43"/>
      <c r="B1300" s="59" t="str">
        <f>IFERROR(VLOOKUP(A1300,Internal_lists_bugs!$A$2:$G2033,7,FALSE()),"please select a BUG ID")</f>
        <v>please select a BUG ID</v>
      </c>
      <c r="C1300" s="51" t="str">
        <f>IFERROR(VLOOKUP(A1300,Internal_lists_bugs!$A$2:$I2033,9,FALSE()),"please select a BUG ID")</f>
        <v>please select a BUG ID</v>
      </c>
      <c r="D1300" s="85"/>
      <c r="E1300" s="85"/>
      <c r="F1300" s="133"/>
      <c r="G1300" s="41"/>
      <c r="H1300" s="115"/>
      <c r="I1300" s="131"/>
      <c r="J1300" s="131"/>
      <c r="K1300" s="131"/>
      <c r="L1300" s="131"/>
      <c r="M1300" s="131"/>
      <c r="N1300" s="43"/>
      <c r="O1300" s="51"/>
    </row>
    <row r="1301">
      <c r="A1301" s="43"/>
      <c r="B1301" s="59" t="str">
        <f>IFERROR(VLOOKUP(A1301,Internal_lists_bugs!$A$2:$G2033,7,FALSE()),"please select a BUG ID")</f>
        <v>please select a BUG ID</v>
      </c>
      <c r="C1301" s="51" t="str">
        <f>IFERROR(VLOOKUP(A1301,Internal_lists_bugs!$A$2:$I2033,9,FALSE()),"please select a BUG ID")</f>
        <v>please select a BUG ID</v>
      </c>
      <c r="D1301" s="85"/>
      <c r="E1301" s="85"/>
      <c r="F1301" s="133"/>
      <c r="G1301" s="41"/>
      <c r="H1301" s="115"/>
      <c r="I1301" s="131"/>
      <c r="J1301" s="131"/>
      <c r="K1301" s="131"/>
      <c r="L1301" s="131"/>
      <c r="M1301" s="131"/>
      <c r="N1301" s="43"/>
      <c r="O1301" s="51"/>
    </row>
    <row r="1302">
      <c r="A1302" s="43"/>
      <c r="B1302" s="59" t="str">
        <f>IFERROR(VLOOKUP(A1302,Internal_lists_bugs!$A$2:$G2033,7,FALSE()),"please select a BUG ID")</f>
        <v>please select a BUG ID</v>
      </c>
      <c r="C1302" s="51" t="str">
        <f>IFERROR(VLOOKUP(A1302,Internal_lists_bugs!$A$2:$I2033,9,FALSE()),"please select a BUG ID")</f>
        <v>please select a BUG ID</v>
      </c>
      <c r="D1302" s="85"/>
      <c r="E1302" s="85"/>
      <c r="F1302" s="133"/>
      <c r="G1302" s="41"/>
      <c r="H1302" s="147"/>
      <c r="I1302" s="131"/>
      <c r="J1302" s="131"/>
      <c r="K1302" s="131"/>
      <c r="L1302" s="131"/>
      <c r="M1302" s="131"/>
      <c r="N1302" s="43"/>
      <c r="O1302" s="51"/>
    </row>
    <row r="1303">
      <c r="A1303" s="43"/>
      <c r="B1303" s="59" t="str">
        <f>IFERROR(VLOOKUP(A1303,Internal_lists_bugs!$A$2:$G2033,7,FALSE()),"please select a BUG ID")</f>
        <v>please select a BUG ID</v>
      </c>
      <c r="C1303" s="51" t="str">
        <f>IFERROR(VLOOKUP(A1303,Internal_lists_bugs!$A$2:$I2033,9,FALSE()),"please select a BUG ID")</f>
        <v>please select a BUG ID</v>
      </c>
      <c r="D1303" s="85"/>
      <c r="E1303" s="85"/>
      <c r="F1303" s="133"/>
      <c r="G1303" s="41"/>
      <c r="H1303" s="115"/>
      <c r="I1303" s="131"/>
      <c r="J1303" s="131"/>
      <c r="K1303" s="131"/>
      <c r="L1303" s="131"/>
      <c r="M1303" s="131"/>
      <c r="N1303" s="43"/>
      <c r="O1303" s="51"/>
    </row>
    <row r="1304">
      <c r="A1304" s="43"/>
      <c r="B1304" s="59" t="str">
        <f>IFERROR(VLOOKUP(A1304,Internal_lists_bugs!$A$2:$G2033,7,FALSE()),"please select a BUG ID")</f>
        <v>please select a BUG ID</v>
      </c>
      <c r="C1304" s="51" t="str">
        <f>IFERROR(VLOOKUP(A1304,Internal_lists_bugs!$A$2:$I2033,9,FALSE()),"please select a BUG ID")</f>
        <v>please select a BUG ID</v>
      </c>
      <c r="D1304" s="85"/>
      <c r="E1304" s="85"/>
      <c r="F1304" s="133"/>
      <c r="G1304" s="41"/>
      <c r="H1304" s="115"/>
      <c r="I1304" s="131"/>
      <c r="J1304" s="131"/>
      <c r="K1304" s="131"/>
      <c r="L1304" s="131"/>
      <c r="M1304" s="131"/>
      <c r="N1304" s="43"/>
      <c r="O1304" s="51"/>
    </row>
    <row r="1305">
      <c r="A1305" s="43"/>
      <c r="B1305" s="59" t="str">
        <f>IFERROR(VLOOKUP(A1305,Internal_lists_bugs!$A$2:$G2033,7,FALSE()),"please select a BUG ID")</f>
        <v>please select a BUG ID</v>
      </c>
      <c r="C1305" s="51" t="str">
        <f>IFERROR(VLOOKUP(A1305,Internal_lists_bugs!$A$2:$I2033,9,FALSE()),"please select a BUG ID")</f>
        <v>please select a BUG ID</v>
      </c>
      <c r="D1305" s="85"/>
      <c r="E1305" s="85"/>
      <c r="F1305" s="133"/>
      <c r="G1305" s="41"/>
      <c r="H1305" s="115"/>
      <c r="I1305" s="131"/>
      <c r="J1305" s="131"/>
      <c r="K1305" s="131"/>
      <c r="L1305" s="131"/>
      <c r="M1305" s="131"/>
      <c r="N1305" s="43"/>
      <c r="O1305" s="51"/>
    </row>
    <row r="1306">
      <c r="A1306" s="43"/>
      <c r="B1306" s="59" t="str">
        <f>IFERROR(VLOOKUP(A1306,Internal_lists_bugs!$A$2:$G2033,7,FALSE()),"please select a BUG ID")</f>
        <v>please select a BUG ID</v>
      </c>
      <c r="C1306" s="51" t="str">
        <f>IFERROR(VLOOKUP(A1306,Internal_lists_bugs!$A$2:$I2033,9,FALSE()),"please select a BUG ID")</f>
        <v>please select a BUG ID</v>
      </c>
      <c r="D1306" s="85"/>
      <c r="E1306" s="85"/>
      <c r="F1306" s="133"/>
      <c r="G1306" s="41"/>
      <c r="H1306" s="115"/>
      <c r="I1306" s="131"/>
      <c r="J1306" s="131"/>
      <c r="K1306" s="131"/>
      <c r="L1306" s="131"/>
      <c r="M1306" s="131"/>
      <c r="N1306" s="43"/>
      <c r="O1306" s="51"/>
    </row>
    <row r="1307">
      <c r="A1307" s="43"/>
      <c r="B1307" s="59" t="str">
        <f>IFERROR(VLOOKUP(A1307,Internal_lists_bugs!$A$2:$G2033,7,FALSE()),"please select a BUG ID")</f>
        <v>please select a BUG ID</v>
      </c>
      <c r="C1307" s="51" t="str">
        <f>IFERROR(VLOOKUP(A1307,Internal_lists_bugs!$A$2:$I2033,9,FALSE()),"please select a BUG ID")</f>
        <v>please select a BUG ID</v>
      </c>
      <c r="D1307" s="85"/>
      <c r="E1307" s="85"/>
      <c r="F1307" s="133"/>
      <c r="G1307" s="41"/>
      <c r="H1307" s="115"/>
      <c r="I1307" s="131"/>
      <c r="J1307" s="131"/>
      <c r="K1307" s="131"/>
      <c r="L1307" s="131"/>
      <c r="M1307" s="131"/>
      <c r="N1307" s="43"/>
      <c r="O1307" s="51"/>
    </row>
    <row r="1308">
      <c r="A1308" s="43"/>
      <c r="B1308" s="59" t="str">
        <f>IFERROR(VLOOKUP(A1308,Internal_lists_bugs!$A$2:$G2033,7,FALSE()),"please select a BUG ID")</f>
        <v>please select a BUG ID</v>
      </c>
      <c r="C1308" s="51" t="str">
        <f>IFERROR(VLOOKUP(A1308,Internal_lists_bugs!$A$2:$I2033,9,FALSE()),"please select a BUG ID")</f>
        <v>please select a BUG ID</v>
      </c>
      <c r="D1308" s="85"/>
      <c r="E1308" s="85"/>
      <c r="F1308" s="133"/>
      <c r="G1308" s="41"/>
      <c r="H1308" s="115"/>
      <c r="I1308" s="131"/>
      <c r="J1308" s="131"/>
      <c r="K1308" s="131"/>
      <c r="L1308" s="131"/>
      <c r="M1308" s="131"/>
      <c r="N1308" s="43"/>
      <c r="O1308" s="51"/>
    </row>
    <row r="1309">
      <c r="A1309" s="43"/>
      <c r="B1309" s="59" t="str">
        <f>IFERROR(VLOOKUP(A1309,Internal_lists_bugs!$A$2:$G2033,7,FALSE()),"please select a BUG ID")</f>
        <v>please select a BUG ID</v>
      </c>
      <c r="C1309" s="51" t="str">
        <f>IFERROR(VLOOKUP(A1309,Internal_lists_bugs!$A$2:$I2033,9,FALSE()),"please select a BUG ID")</f>
        <v>please select a BUG ID</v>
      </c>
      <c r="D1309" s="85"/>
      <c r="E1309" s="85"/>
      <c r="F1309" s="133"/>
      <c r="G1309" s="41"/>
      <c r="H1309" s="115"/>
      <c r="I1309" s="131"/>
      <c r="J1309" s="131"/>
      <c r="K1309" s="131"/>
      <c r="L1309" s="131"/>
      <c r="M1309" s="131"/>
      <c r="N1309" s="43"/>
      <c r="O1309" s="51"/>
    </row>
    <row r="1310">
      <c r="A1310" s="43"/>
      <c r="B1310" s="59" t="str">
        <f>IFERROR(VLOOKUP(A1310,Internal_lists_bugs!$A$2:$G2033,7,FALSE()),"please select a BUG ID")</f>
        <v>please select a BUG ID</v>
      </c>
      <c r="C1310" s="51" t="str">
        <f>IFERROR(VLOOKUP(A1310,Internal_lists_bugs!$A$2:$I2033,9,FALSE()),"please select a BUG ID")</f>
        <v>please select a BUG ID</v>
      </c>
      <c r="D1310" s="85"/>
      <c r="E1310" s="85"/>
      <c r="F1310" s="133"/>
      <c r="G1310" s="41"/>
      <c r="H1310" s="115"/>
      <c r="I1310" s="131"/>
      <c r="J1310" s="131"/>
      <c r="K1310" s="131"/>
      <c r="L1310" s="131"/>
      <c r="M1310" s="131"/>
      <c r="N1310" s="43"/>
      <c r="O1310" s="51"/>
    </row>
    <row r="1311">
      <c r="A1311" s="43"/>
      <c r="B1311" s="59" t="str">
        <f>IFERROR(VLOOKUP(A1311,Internal_lists_bugs!$A$2:$G2033,7,FALSE()),"please select a BUG ID")</f>
        <v>please select a BUG ID</v>
      </c>
      <c r="C1311" s="51" t="str">
        <f>IFERROR(VLOOKUP(A1311,Internal_lists_bugs!$A$2:$I2033,9,FALSE()),"please select a BUG ID")</f>
        <v>please select a BUG ID</v>
      </c>
      <c r="D1311" s="85"/>
      <c r="E1311" s="85"/>
      <c r="F1311" s="133"/>
      <c r="G1311" s="41"/>
      <c r="H1311" s="115"/>
      <c r="I1311" s="131"/>
      <c r="J1311" s="131"/>
      <c r="K1311" s="131"/>
      <c r="L1311" s="131"/>
      <c r="M1311" s="131"/>
      <c r="N1311" s="43"/>
      <c r="O1311" s="51"/>
    </row>
    <row r="1312">
      <c r="A1312" s="43"/>
      <c r="B1312" s="59" t="str">
        <f>IFERROR(VLOOKUP(A1312,Internal_lists_bugs!$A$2:$G2033,7,FALSE()),"please select a BUG ID")</f>
        <v>please select a BUG ID</v>
      </c>
      <c r="C1312" s="51" t="str">
        <f>IFERROR(VLOOKUP(A1312,Internal_lists_bugs!$A$2:$I2033,9,FALSE()),"please select a BUG ID")</f>
        <v>please select a BUG ID</v>
      </c>
      <c r="D1312" s="85"/>
      <c r="E1312" s="85"/>
      <c r="F1312" s="133"/>
      <c r="G1312" s="41"/>
      <c r="H1312" s="115"/>
      <c r="I1312" s="131"/>
      <c r="J1312" s="131"/>
      <c r="K1312" s="131"/>
      <c r="L1312" s="131"/>
      <c r="M1312" s="131"/>
      <c r="N1312" s="43"/>
      <c r="O1312" s="51"/>
    </row>
    <row r="1313">
      <c r="A1313" s="43"/>
      <c r="B1313" s="59" t="str">
        <f>IFERROR(VLOOKUP(A1313,Internal_lists_bugs!$A$2:$G2033,7,FALSE()),"please select a BUG ID")</f>
        <v>please select a BUG ID</v>
      </c>
      <c r="C1313" s="51" t="str">
        <f>IFERROR(VLOOKUP(A1313,Internal_lists_bugs!$A$2:$I2033,9,FALSE()),"please select a BUG ID")</f>
        <v>please select a BUG ID</v>
      </c>
      <c r="D1313" s="85"/>
      <c r="E1313" s="85"/>
      <c r="F1313" s="133"/>
      <c r="G1313" s="41"/>
      <c r="H1313" s="115"/>
      <c r="I1313" s="131"/>
      <c r="J1313" s="131"/>
      <c r="K1313" s="131"/>
      <c r="L1313" s="131"/>
      <c r="M1313" s="131"/>
      <c r="N1313" s="43"/>
      <c r="O1313" s="51"/>
    </row>
    <row r="1314">
      <c r="A1314" s="43"/>
      <c r="B1314" s="59" t="str">
        <f>IFERROR(VLOOKUP(A1314,Internal_lists_bugs!$A$2:$G2033,7,FALSE()),"please select a BUG ID")</f>
        <v>please select a BUG ID</v>
      </c>
      <c r="C1314" s="51" t="str">
        <f>IFERROR(VLOOKUP(A1314,Internal_lists_bugs!$A$2:$I2033,9,FALSE()),"please select a BUG ID")</f>
        <v>please select a BUG ID</v>
      </c>
      <c r="D1314" s="85"/>
      <c r="E1314" s="85"/>
      <c r="F1314" s="133"/>
      <c r="G1314" s="41"/>
      <c r="H1314" s="115"/>
      <c r="I1314" s="131"/>
      <c r="J1314" s="131"/>
      <c r="K1314" s="131"/>
      <c r="L1314" s="131"/>
      <c r="M1314" s="131"/>
      <c r="N1314" s="43"/>
      <c r="O1314" s="51"/>
    </row>
    <row r="1315">
      <c r="A1315" s="43"/>
      <c r="B1315" s="59" t="str">
        <f>IFERROR(VLOOKUP(A1315,Internal_lists_bugs!$A$2:$G2033,7,FALSE()),"please select a BUG ID")</f>
        <v>please select a BUG ID</v>
      </c>
      <c r="C1315" s="51" t="str">
        <f>IFERROR(VLOOKUP(A1315,Internal_lists_bugs!$A$2:$I2033,9,FALSE()),"please select a BUG ID")</f>
        <v>please select a BUG ID</v>
      </c>
      <c r="D1315" s="85"/>
      <c r="E1315" s="85"/>
      <c r="F1315" s="133"/>
      <c r="G1315" s="41"/>
      <c r="H1315" s="115"/>
      <c r="I1315" s="131"/>
      <c r="J1315" s="131"/>
      <c r="K1315" s="131"/>
      <c r="L1315" s="131"/>
      <c r="M1315" s="131"/>
      <c r="N1315" s="43"/>
      <c r="O1315" s="51"/>
    </row>
    <row r="1316">
      <c r="A1316" s="43"/>
      <c r="B1316" s="59" t="str">
        <f>IFERROR(VLOOKUP(A1316,Internal_lists_bugs!$A$2:$G2033,7,FALSE()),"please select a BUG ID")</f>
        <v>please select a BUG ID</v>
      </c>
      <c r="C1316" s="51" t="str">
        <f>IFERROR(VLOOKUP(A1316,Internal_lists_bugs!$A$2:$I2033,9,FALSE()),"please select a BUG ID")</f>
        <v>please select a BUG ID</v>
      </c>
      <c r="D1316" s="85"/>
      <c r="E1316" s="85"/>
      <c r="F1316" s="133"/>
      <c r="G1316" s="41"/>
      <c r="H1316" s="115"/>
      <c r="I1316" s="131"/>
      <c r="J1316" s="131"/>
      <c r="K1316" s="131"/>
      <c r="L1316" s="131"/>
      <c r="M1316" s="131"/>
      <c r="N1316" s="43"/>
      <c r="O1316" s="51"/>
    </row>
    <row r="1317">
      <c r="A1317" s="43"/>
      <c r="B1317" s="59" t="str">
        <f>IFERROR(VLOOKUP(A1317,Internal_lists_bugs!$A$2:$G2033,7,FALSE()),"please select a BUG ID")</f>
        <v>please select a BUG ID</v>
      </c>
      <c r="C1317" s="51" t="str">
        <f>IFERROR(VLOOKUP(A1317,Internal_lists_bugs!$A$2:$I2033,9,FALSE()),"please select a BUG ID")</f>
        <v>please select a BUG ID</v>
      </c>
      <c r="D1317" s="85"/>
      <c r="E1317" s="85"/>
      <c r="F1317" s="133"/>
      <c r="G1317" s="41"/>
      <c r="H1317" s="115"/>
      <c r="I1317" s="131"/>
      <c r="J1317" s="131"/>
      <c r="K1317" s="131"/>
      <c r="L1317" s="131"/>
      <c r="M1317" s="131"/>
      <c r="N1317" s="43"/>
      <c r="O1317" s="51"/>
    </row>
    <row r="1318">
      <c r="A1318" s="43"/>
      <c r="B1318" s="59" t="str">
        <f>IFERROR(VLOOKUP(A1318,Internal_lists_bugs!$A$2:$G2033,7,FALSE()),"please select a BUG ID")</f>
        <v>please select a BUG ID</v>
      </c>
      <c r="C1318" s="51" t="str">
        <f>IFERROR(VLOOKUP(A1318,Internal_lists_bugs!$A$2:$I2033,9,FALSE()),"please select a BUG ID")</f>
        <v>please select a BUG ID</v>
      </c>
      <c r="D1318" s="85"/>
      <c r="E1318" s="85"/>
      <c r="F1318" s="133"/>
      <c r="G1318" s="41"/>
      <c r="H1318" s="115"/>
      <c r="I1318" s="131"/>
      <c r="J1318" s="131"/>
      <c r="K1318" s="131"/>
      <c r="L1318" s="131"/>
      <c r="M1318" s="131"/>
      <c r="N1318" s="43"/>
      <c r="O1318" s="51"/>
    </row>
    <row r="1319">
      <c r="A1319" s="43"/>
      <c r="B1319" s="59" t="str">
        <f>IFERROR(VLOOKUP(A1319,Internal_lists_bugs!$A$2:$G2033,7,FALSE()),"please select a BUG ID")</f>
        <v>please select a BUG ID</v>
      </c>
      <c r="C1319" s="51" t="str">
        <f>IFERROR(VLOOKUP(A1319,Internal_lists_bugs!$A$2:$I2033,9,FALSE()),"please select a BUG ID")</f>
        <v>please select a BUG ID</v>
      </c>
      <c r="D1319" s="85"/>
      <c r="E1319" s="85"/>
      <c r="F1319" s="133"/>
      <c r="G1319" s="41"/>
      <c r="H1319" s="115"/>
      <c r="I1319" s="131"/>
      <c r="J1319" s="131"/>
      <c r="K1319" s="131"/>
      <c r="L1319" s="131"/>
      <c r="M1319" s="131"/>
      <c r="N1319" s="43"/>
      <c r="O1319" s="51"/>
    </row>
    <row r="1320">
      <c r="A1320" s="43"/>
      <c r="B1320" s="59" t="str">
        <f>IFERROR(VLOOKUP(A1320,Internal_lists_bugs!$A$2:$G2033,7,FALSE()),"please select a BUG ID")</f>
        <v>please select a BUG ID</v>
      </c>
      <c r="C1320" s="51" t="str">
        <f>IFERROR(VLOOKUP(A1320,Internal_lists_bugs!$A$2:$I2033,9,FALSE()),"please select a BUG ID")</f>
        <v>please select a BUG ID</v>
      </c>
      <c r="D1320" s="85"/>
      <c r="E1320" s="85"/>
      <c r="F1320" s="133"/>
      <c r="G1320" s="41"/>
      <c r="H1320" s="115"/>
      <c r="I1320" s="131"/>
      <c r="J1320" s="131"/>
      <c r="K1320" s="131"/>
      <c r="L1320" s="131"/>
      <c r="M1320" s="131"/>
      <c r="N1320" s="43"/>
      <c r="O1320" s="51"/>
    </row>
    <row r="1321">
      <c r="A1321" s="43"/>
      <c r="B1321" s="59" t="str">
        <f>IFERROR(VLOOKUP(A1321,Internal_lists_bugs!$A$2:$G2033,7,FALSE()),"please select a BUG ID")</f>
        <v>please select a BUG ID</v>
      </c>
      <c r="C1321" s="51" t="str">
        <f>IFERROR(VLOOKUP(A1321,Internal_lists_bugs!$A$2:$I2033,9,FALSE()),"please select a BUG ID")</f>
        <v>please select a BUG ID</v>
      </c>
      <c r="D1321" s="85"/>
      <c r="E1321" s="85"/>
      <c r="F1321" s="133"/>
      <c r="G1321" s="41"/>
      <c r="H1321" s="115"/>
      <c r="I1321" s="131"/>
      <c r="J1321" s="131"/>
      <c r="K1321" s="131"/>
      <c r="L1321" s="131"/>
      <c r="M1321" s="131"/>
      <c r="N1321" s="43"/>
      <c r="O1321" s="51"/>
    </row>
    <row r="1322">
      <c r="A1322" s="43"/>
      <c r="B1322" s="59" t="str">
        <f>IFERROR(VLOOKUP(A1322,Internal_lists_bugs!$A$2:$G2033,7,FALSE()),"please select a BUG ID")</f>
        <v>please select a BUG ID</v>
      </c>
      <c r="C1322" s="51" t="str">
        <f>IFERROR(VLOOKUP(A1322,Internal_lists_bugs!$A$2:$I2033,9,FALSE()),"please select a BUG ID")</f>
        <v>please select a BUG ID</v>
      </c>
      <c r="D1322" s="85"/>
      <c r="E1322" s="85"/>
      <c r="F1322" s="133"/>
      <c r="G1322" s="41"/>
      <c r="H1322" s="115"/>
      <c r="I1322" s="131"/>
      <c r="J1322" s="131"/>
      <c r="K1322" s="131"/>
      <c r="L1322" s="131"/>
      <c r="M1322" s="131"/>
      <c r="N1322" s="43"/>
      <c r="O1322" s="51"/>
    </row>
    <row r="1323">
      <c r="A1323" s="43"/>
      <c r="B1323" s="59" t="str">
        <f>IFERROR(VLOOKUP(A1323,Internal_lists_bugs!$A$2:$G2033,7,FALSE()),"please select a BUG ID")</f>
        <v>please select a BUG ID</v>
      </c>
      <c r="C1323" s="51" t="str">
        <f>IFERROR(VLOOKUP(A1323,Internal_lists_bugs!$A$2:$I2033,9,FALSE()),"please select a BUG ID")</f>
        <v>please select a BUG ID</v>
      </c>
      <c r="D1323" s="85"/>
      <c r="E1323" s="85"/>
      <c r="F1323" s="133"/>
      <c r="G1323" s="41"/>
      <c r="H1323" s="115"/>
      <c r="I1323" s="131"/>
      <c r="J1323" s="131"/>
      <c r="K1323" s="131"/>
      <c r="L1323" s="131"/>
      <c r="M1323" s="131"/>
      <c r="N1323" s="43"/>
      <c r="O1323" s="51"/>
    </row>
    <row r="1324">
      <c r="A1324" s="43"/>
      <c r="B1324" s="59" t="str">
        <f>IFERROR(VLOOKUP(A1324,Internal_lists_bugs!$A$2:$G2033,7,FALSE()),"please select a BUG ID")</f>
        <v>please select a BUG ID</v>
      </c>
      <c r="C1324" s="51" t="str">
        <f>IFERROR(VLOOKUP(A1324,Internal_lists_bugs!$A$2:$I2033,9,FALSE()),"please select a BUG ID")</f>
        <v>please select a BUG ID</v>
      </c>
      <c r="D1324" s="85"/>
      <c r="E1324" s="85"/>
      <c r="F1324" s="133"/>
      <c r="G1324" s="41"/>
      <c r="H1324" s="115"/>
      <c r="I1324" s="131"/>
      <c r="J1324" s="131"/>
      <c r="K1324" s="131"/>
      <c r="L1324" s="131"/>
      <c r="M1324" s="131"/>
      <c r="N1324" s="43"/>
      <c r="O1324" s="51"/>
    </row>
    <row r="1325">
      <c r="A1325" s="43"/>
      <c r="B1325" s="59" t="str">
        <f>IFERROR(VLOOKUP(A1325,Internal_lists_bugs!$A$2:$G2033,7,FALSE()),"please select a BUG ID")</f>
        <v>please select a BUG ID</v>
      </c>
      <c r="C1325" s="51" t="str">
        <f>IFERROR(VLOOKUP(A1325,Internal_lists_bugs!$A$2:$I2033,9,FALSE()),"please select a BUG ID")</f>
        <v>please select a BUG ID</v>
      </c>
      <c r="D1325" s="85"/>
      <c r="E1325" s="85"/>
      <c r="F1325" s="133"/>
      <c r="G1325" s="41"/>
      <c r="H1325" s="115"/>
      <c r="I1325" s="131"/>
      <c r="J1325" s="131"/>
      <c r="K1325" s="131"/>
      <c r="L1325" s="131"/>
      <c r="M1325" s="131"/>
      <c r="N1325" s="43"/>
      <c r="O1325" s="51"/>
    </row>
    <row r="1326">
      <c r="A1326" s="43"/>
      <c r="B1326" s="59" t="str">
        <f>IFERROR(VLOOKUP(A1326,Internal_lists_bugs!$A$2:$G2033,7,FALSE()),"please select a BUG ID")</f>
        <v>please select a BUG ID</v>
      </c>
      <c r="C1326" s="51" t="str">
        <f>IFERROR(VLOOKUP(A1326,Internal_lists_bugs!$A$2:$I2033,9,FALSE()),"please select a BUG ID")</f>
        <v>please select a BUG ID</v>
      </c>
      <c r="D1326" s="85"/>
      <c r="E1326" s="85"/>
      <c r="F1326" s="133"/>
      <c r="G1326" s="41"/>
      <c r="H1326" s="115"/>
      <c r="I1326" s="131"/>
      <c r="J1326" s="131"/>
      <c r="K1326" s="131"/>
      <c r="L1326" s="131"/>
      <c r="M1326" s="131"/>
      <c r="N1326" s="43"/>
      <c r="O1326" s="51"/>
    </row>
    <row r="1327">
      <c r="A1327" s="43"/>
      <c r="B1327" s="59" t="str">
        <f>IFERROR(VLOOKUP(A1327,Internal_lists_bugs!$A$2:$G2033,7,FALSE()),"please select a BUG ID")</f>
        <v>please select a BUG ID</v>
      </c>
      <c r="C1327" s="51" t="str">
        <f>IFERROR(VLOOKUP(A1327,Internal_lists_bugs!$A$2:$I2033,9,FALSE()),"please select a BUG ID")</f>
        <v>please select a BUG ID</v>
      </c>
      <c r="D1327" s="85"/>
      <c r="E1327" s="85"/>
      <c r="F1327" s="133"/>
      <c r="G1327" s="41"/>
      <c r="H1327" s="115"/>
      <c r="I1327" s="131"/>
      <c r="J1327" s="131"/>
      <c r="K1327" s="131"/>
      <c r="L1327" s="131"/>
      <c r="M1327" s="131"/>
      <c r="N1327" s="43"/>
      <c r="O1327" s="51"/>
    </row>
    <row r="1328">
      <c r="A1328" s="43"/>
      <c r="B1328" s="59" t="str">
        <f>IFERROR(VLOOKUP(A1328,Internal_lists_bugs!$A$2:$G2033,7,FALSE()),"please select a BUG ID")</f>
        <v>please select a BUG ID</v>
      </c>
      <c r="C1328" s="51" t="str">
        <f>IFERROR(VLOOKUP(A1328,Internal_lists_bugs!$A$2:$I2033,9,FALSE()),"please select a BUG ID")</f>
        <v>please select a BUG ID</v>
      </c>
      <c r="D1328" s="85"/>
      <c r="E1328" s="85"/>
      <c r="F1328" s="133"/>
      <c r="G1328" s="41"/>
      <c r="H1328" s="115"/>
      <c r="I1328" s="131"/>
      <c r="J1328" s="131"/>
      <c r="K1328" s="131"/>
      <c r="L1328" s="131"/>
      <c r="M1328" s="131"/>
      <c r="N1328" s="43"/>
      <c r="O1328" s="51"/>
    </row>
    <row r="1329">
      <c r="A1329" s="43"/>
      <c r="B1329" s="59" t="str">
        <f>IFERROR(VLOOKUP(A1329,Internal_lists_bugs!$A$2:$G2033,7,FALSE()),"please select a BUG ID")</f>
        <v>please select a BUG ID</v>
      </c>
      <c r="C1329" s="51" t="str">
        <f>IFERROR(VLOOKUP(A1329,Internal_lists_bugs!$A$2:$I2033,9,FALSE()),"please select a BUG ID")</f>
        <v>please select a BUG ID</v>
      </c>
      <c r="D1329" s="85"/>
      <c r="E1329" s="85"/>
      <c r="F1329" s="133"/>
      <c r="G1329" s="41"/>
      <c r="H1329" s="115"/>
      <c r="I1329" s="131"/>
      <c r="J1329" s="131"/>
      <c r="K1329" s="131"/>
      <c r="L1329" s="131"/>
      <c r="M1329" s="131"/>
      <c r="N1329" s="43"/>
      <c r="O1329" s="51"/>
    </row>
    <row r="1330">
      <c r="A1330" s="43"/>
      <c r="B1330" s="59" t="str">
        <f>IFERROR(VLOOKUP(A1330,Internal_lists_bugs!$A$2:$G2033,7,FALSE()),"please select a BUG ID")</f>
        <v>please select a BUG ID</v>
      </c>
      <c r="C1330" s="51" t="str">
        <f>IFERROR(VLOOKUP(A1330,Internal_lists_bugs!$A$2:$I2033,9,FALSE()),"please select a BUG ID")</f>
        <v>please select a BUG ID</v>
      </c>
      <c r="D1330" s="85"/>
      <c r="E1330" s="85"/>
      <c r="F1330" s="133"/>
      <c r="G1330" s="41"/>
      <c r="H1330" s="115"/>
      <c r="I1330" s="131"/>
      <c r="J1330" s="131"/>
      <c r="K1330" s="131"/>
      <c r="L1330" s="131"/>
      <c r="M1330" s="131"/>
      <c r="N1330" s="43"/>
      <c r="O1330" s="51"/>
    </row>
    <row r="1331">
      <c r="A1331" s="43"/>
      <c r="B1331" s="59" t="str">
        <f>IFERROR(VLOOKUP(A1331,Internal_lists_bugs!$A$2:$G2033,7,FALSE()),"please select a BUG ID")</f>
        <v>please select a BUG ID</v>
      </c>
      <c r="C1331" s="51" t="str">
        <f>IFERROR(VLOOKUP(A1331,Internal_lists_bugs!$A$2:$I2033,9,FALSE()),"please select a BUG ID")</f>
        <v>please select a BUG ID</v>
      </c>
      <c r="D1331" s="85"/>
      <c r="E1331" s="85"/>
      <c r="F1331" s="133"/>
      <c r="G1331" s="41"/>
      <c r="H1331" s="115"/>
      <c r="I1331" s="131"/>
      <c r="J1331" s="131"/>
      <c r="K1331" s="131"/>
      <c r="L1331" s="131"/>
      <c r="M1331" s="131"/>
      <c r="N1331" s="43"/>
      <c r="O1331" s="51"/>
    </row>
    <row r="1332">
      <c r="A1332" s="43"/>
      <c r="B1332" s="59" t="str">
        <f>IFERROR(VLOOKUP(A1332,Internal_lists_bugs!$A$2:$G2033,7,FALSE()),"please select a BUG ID")</f>
        <v>please select a BUG ID</v>
      </c>
      <c r="C1332" s="51" t="str">
        <f>IFERROR(VLOOKUP(A1332,Internal_lists_bugs!$A$2:$I2033,9,FALSE()),"please select a BUG ID")</f>
        <v>please select a BUG ID</v>
      </c>
      <c r="D1332" s="85"/>
      <c r="E1332" s="85"/>
      <c r="F1332" s="133"/>
      <c r="G1332" s="41"/>
      <c r="H1332" s="115"/>
      <c r="I1332" s="131"/>
      <c r="J1332" s="131"/>
      <c r="K1332" s="131"/>
      <c r="L1332" s="131"/>
      <c r="M1332" s="131"/>
      <c r="N1332" s="43"/>
      <c r="O1332" s="51"/>
    </row>
    <row r="1333">
      <c r="A1333" s="43"/>
      <c r="B1333" s="59" t="str">
        <f>IFERROR(VLOOKUP(A1333,Internal_lists_bugs!$A$2:$G2033,7,FALSE()),"please select a BUG ID")</f>
        <v>please select a BUG ID</v>
      </c>
      <c r="C1333" s="51" t="str">
        <f>IFERROR(VLOOKUP(A1333,Internal_lists_bugs!$A$2:$I2033,9,FALSE()),"please select a BUG ID")</f>
        <v>please select a BUG ID</v>
      </c>
      <c r="D1333" s="85"/>
      <c r="E1333" s="85"/>
      <c r="F1333" s="133"/>
      <c r="G1333" s="41"/>
      <c r="H1333" s="115"/>
      <c r="I1333" s="131"/>
      <c r="J1333" s="131"/>
      <c r="K1333" s="131"/>
      <c r="L1333" s="131"/>
      <c r="M1333" s="131"/>
      <c r="N1333" s="43"/>
      <c r="O1333" s="51"/>
    </row>
    <row r="1334">
      <c r="A1334" s="43"/>
      <c r="B1334" s="59" t="str">
        <f>IFERROR(VLOOKUP(A1334,Internal_lists_bugs!$A$2:$G2033,7,FALSE()),"please select a BUG ID")</f>
        <v>please select a BUG ID</v>
      </c>
      <c r="C1334" s="51" t="str">
        <f>IFERROR(VLOOKUP(A1334,Internal_lists_bugs!$A$2:$I2033,9,FALSE()),"please select a BUG ID")</f>
        <v>please select a BUG ID</v>
      </c>
      <c r="D1334" s="85"/>
      <c r="E1334" s="85"/>
      <c r="F1334" s="133"/>
      <c r="G1334" s="41"/>
      <c r="H1334" s="115"/>
      <c r="I1334" s="131"/>
      <c r="J1334" s="131"/>
      <c r="K1334" s="131"/>
      <c r="L1334" s="131"/>
      <c r="M1334" s="131"/>
      <c r="N1334" s="43"/>
      <c r="O1334" s="51"/>
    </row>
    <row r="1335">
      <c r="A1335" s="43"/>
      <c r="B1335" s="59" t="str">
        <f>IFERROR(VLOOKUP(A1335,Internal_lists_bugs!$A$2:$G2033,7,FALSE()),"please select a BUG ID")</f>
        <v>please select a BUG ID</v>
      </c>
      <c r="C1335" s="51" t="str">
        <f>IFERROR(VLOOKUP(A1335,Internal_lists_bugs!$A$2:$I2033,9,FALSE()),"please select a BUG ID")</f>
        <v>please select a BUG ID</v>
      </c>
      <c r="D1335" s="85"/>
      <c r="E1335" s="85"/>
      <c r="F1335" s="133"/>
      <c r="G1335" s="41"/>
      <c r="H1335" s="115"/>
      <c r="I1335" s="131"/>
      <c r="J1335" s="131"/>
      <c r="K1335" s="131"/>
      <c r="L1335" s="131"/>
      <c r="M1335" s="131"/>
      <c r="N1335" s="43"/>
      <c r="O1335" s="51"/>
    </row>
    <row r="1336">
      <c r="A1336" s="43"/>
      <c r="B1336" s="59" t="str">
        <f>IFERROR(VLOOKUP(A1336,Internal_lists_bugs!$A$2:$G2033,7,FALSE()),"please select a BUG ID")</f>
        <v>please select a BUG ID</v>
      </c>
      <c r="C1336" s="51" t="str">
        <f>IFERROR(VLOOKUP(A1336,Internal_lists_bugs!$A$2:$I2033,9,FALSE()),"please select a BUG ID")</f>
        <v>please select a BUG ID</v>
      </c>
      <c r="D1336" s="85"/>
      <c r="E1336" s="85"/>
      <c r="F1336" s="133"/>
      <c r="G1336" s="41"/>
      <c r="H1336" s="115"/>
      <c r="I1336" s="131"/>
      <c r="J1336" s="131"/>
      <c r="K1336" s="131"/>
      <c r="L1336" s="131"/>
      <c r="M1336" s="131"/>
      <c r="N1336" s="43"/>
      <c r="O1336" s="51"/>
    </row>
    <row r="1337">
      <c r="A1337" s="43"/>
      <c r="B1337" s="59" t="str">
        <f>IFERROR(VLOOKUP(A1337,Internal_lists_bugs!$A$2:$G2033,7,FALSE()),"please select a BUG ID")</f>
        <v>please select a BUG ID</v>
      </c>
      <c r="C1337" s="51" t="str">
        <f>IFERROR(VLOOKUP(A1337,Internal_lists_bugs!$A$2:$I2033,9,FALSE()),"please select a BUG ID")</f>
        <v>please select a BUG ID</v>
      </c>
      <c r="D1337" s="85"/>
      <c r="E1337" s="85"/>
      <c r="F1337" s="133"/>
      <c r="G1337" s="41"/>
      <c r="H1337" s="115"/>
      <c r="I1337" s="131"/>
      <c r="J1337" s="131"/>
      <c r="K1337" s="131"/>
      <c r="L1337" s="131"/>
      <c r="M1337" s="131"/>
      <c r="N1337" s="43"/>
      <c r="O1337" s="51"/>
    </row>
    <row r="1338">
      <c r="A1338" s="43"/>
      <c r="B1338" s="59" t="str">
        <f>IFERROR(VLOOKUP(A1338,Internal_lists_bugs!$A$2:$G2033,7,FALSE()),"please select a BUG ID")</f>
        <v>please select a BUG ID</v>
      </c>
      <c r="C1338" s="51" t="str">
        <f>IFERROR(VLOOKUP(A1338,Internal_lists_bugs!$A$2:$I2033,9,FALSE()),"please select a BUG ID")</f>
        <v>please select a BUG ID</v>
      </c>
      <c r="D1338" s="85"/>
      <c r="E1338" s="85"/>
      <c r="F1338" s="133"/>
      <c r="G1338" s="41"/>
      <c r="H1338" s="115"/>
      <c r="I1338" s="131"/>
      <c r="J1338" s="131"/>
      <c r="K1338" s="131"/>
      <c r="L1338" s="131"/>
      <c r="M1338" s="131"/>
      <c r="N1338" s="43"/>
      <c r="O1338" s="51"/>
    </row>
    <row r="1339">
      <c r="A1339" s="43"/>
      <c r="B1339" s="59" t="str">
        <f>IFERROR(VLOOKUP(A1339,Internal_lists_bugs!$A$2:$G2033,7,FALSE()),"please select a BUG ID")</f>
        <v>please select a BUG ID</v>
      </c>
      <c r="C1339" s="51" t="str">
        <f>IFERROR(VLOOKUP(A1339,Internal_lists_bugs!$A$2:$I2033,9,FALSE()),"please select a BUG ID")</f>
        <v>please select a BUG ID</v>
      </c>
      <c r="D1339" s="85"/>
      <c r="E1339" s="85"/>
      <c r="F1339" s="133"/>
      <c r="G1339" s="41"/>
      <c r="H1339" s="115"/>
      <c r="I1339" s="131"/>
      <c r="J1339" s="131"/>
      <c r="K1339" s="131"/>
      <c r="L1339" s="131"/>
      <c r="M1339" s="131"/>
      <c r="N1339" s="43"/>
      <c r="O1339" s="51"/>
    </row>
    <row r="1340">
      <c r="A1340" s="43"/>
      <c r="B1340" s="59" t="str">
        <f>IFERROR(VLOOKUP(A1340,Internal_lists_bugs!$A$2:$G2033,7,FALSE()),"please select a BUG ID")</f>
        <v>please select a BUG ID</v>
      </c>
      <c r="C1340" s="51" t="str">
        <f>IFERROR(VLOOKUP(A1340,Internal_lists_bugs!$A$2:$I2033,9,FALSE()),"please select a BUG ID")</f>
        <v>please select a BUG ID</v>
      </c>
      <c r="D1340" s="85"/>
      <c r="E1340" s="85"/>
      <c r="F1340" s="133"/>
      <c r="G1340" s="41"/>
      <c r="H1340" s="147"/>
      <c r="I1340" s="131"/>
      <c r="J1340" s="131"/>
      <c r="K1340" s="131"/>
      <c r="L1340" s="131"/>
      <c r="M1340" s="131"/>
      <c r="N1340" s="43"/>
      <c r="O1340" s="51"/>
    </row>
    <row r="1341">
      <c r="A1341" s="43"/>
      <c r="B1341" s="59" t="str">
        <f>IFERROR(VLOOKUP(A1341,Internal_lists_bugs!$A$2:$G2033,7,FALSE()),"please select a BUG ID")</f>
        <v>please select a BUG ID</v>
      </c>
      <c r="C1341" s="51" t="str">
        <f>IFERROR(VLOOKUP(A1341,Internal_lists_bugs!$A$2:$I2033,9,FALSE()),"please select a BUG ID")</f>
        <v>please select a BUG ID</v>
      </c>
      <c r="D1341" s="85"/>
      <c r="E1341" s="85"/>
      <c r="F1341" s="133"/>
      <c r="G1341" s="41"/>
      <c r="H1341" s="115"/>
      <c r="I1341" s="131"/>
      <c r="J1341" s="131"/>
      <c r="K1341" s="131"/>
      <c r="L1341" s="131"/>
      <c r="M1341" s="131"/>
      <c r="N1341" s="43"/>
      <c r="O1341" s="51"/>
    </row>
    <row r="1342">
      <c r="A1342" s="43"/>
      <c r="B1342" s="59" t="str">
        <f>IFERROR(VLOOKUP(A1342,Internal_lists_bugs!$A$2:$G2033,7,FALSE()),"please select a BUG ID")</f>
        <v>please select a BUG ID</v>
      </c>
      <c r="C1342" s="51" t="str">
        <f>IFERROR(VLOOKUP(A1342,Internal_lists_bugs!$A$2:$I2033,9,FALSE()),"please select a BUG ID")</f>
        <v>please select a BUG ID</v>
      </c>
      <c r="D1342" s="85"/>
      <c r="E1342" s="85"/>
      <c r="F1342" s="133"/>
      <c r="G1342" s="41"/>
      <c r="H1342" s="115"/>
      <c r="I1342" s="131"/>
      <c r="J1342" s="131"/>
      <c r="K1342" s="131"/>
      <c r="L1342" s="131"/>
      <c r="M1342" s="131"/>
      <c r="N1342" s="43"/>
      <c r="O1342" s="51"/>
    </row>
    <row r="1343">
      <c r="A1343" s="43"/>
      <c r="B1343" s="59" t="str">
        <f>IFERROR(VLOOKUP(A1343,Internal_lists_bugs!$A$2:$G2033,7,FALSE()),"please select a BUG ID")</f>
        <v>please select a BUG ID</v>
      </c>
      <c r="C1343" s="51" t="str">
        <f>IFERROR(VLOOKUP(A1343,Internal_lists_bugs!$A$2:$I2033,9,FALSE()),"please select a BUG ID")</f>
        <v>please select a BUG ID</v>
      </c>
      <c r="D1343" s="85"/>
      <c r="E1343" s="85"/>
      <c r="F1343" s="133"/>
      <c r="G1343" s="41"/>
      <c r="H1343" s="115"/>
      <c r="I1343" s="131"/>
      <c r="J1343" s="131"/>
      <c r="K1343" s="131"/>
      <c r="L1343" s="131"/>
      <c r="M1343" s="131"/>
      <c r="N1343" s="43"/>
      <c r="O1343" s="51"/>
    </row>
    <row r="1344">
      <c r="A1344" s="43"/>
      <c r="B1344" s="59" t="str">
        <f>IFERROR(VLOOKUP(A1344,Internal_lists_bugs!$A$2:$G2033,7,FALSE()),"please select a BUG ID")</f>
        <v>please select a BUG ID</v>
      </c>
      <c r="C1344" s="51" t="str">
        <f>IFERROR(VLOOKUP(A1344,Internal_lists_bugs!$A$2:$I2033,9,FALSE()),"please select a BUG ID")</f>
        <v>please select a BUG ID</v>
      </c>
      <c r="D1344" s="85"/>
      <c r="E1344" s="85"/>
      <c r="F1344" s="133"/>
      <c r="G1344" s="41"/>
      <c r="H1344" s="115"/>
      <c r="I1344" s="131"/>
      <c r="J1344" s="131"/>
      <c r="K1344" s="131"/>
      <c r="L1344" s="131"/>
      <c r="M1344" s="131"/>
      <c r="N1344" s="43"/>
      <c r="O1344" s="51"/>
    </row>
    <row r="1345">
      <c r="A1345" s="43"/>
      <c r="B1345" s="59" t="str">
        <f>IFERROR(VLOOKUP(A1345,Internal_lists_bugs!$A$2:$G2033,7,FALSE()),"please select a BUG ID")</f>
        <v>please select a BUG ID</v>
      </c>
      <c r="C1345" s="51" t="str">
        <f>IFERROR(VLOOKUP(A1345,Internal_lists_bugs!$A$2:$I2033,9,FALSE()),"please select a BUG ID")</f>
        <v>please select a BUG ID</v>
      </c>
      <c r="D1345" s="85"/>
      <c r="E1345" s="85"/>
      <c r="F1345" s="133"/>
      <c r="G1345" s="41"/>
      <c r="H1345" s="115"/>
      <c r="I1345" s="131"/>
      <c r="J1345" s="131"/>
      <c r="K1345" s="131"/>
      <c r="L1345" s="131"/>
      <c r="M1345" s="131"/>
      <c r="N1345" s="43"/>
      <c r="O1345" s="51"/>
    </row>
    <row r="1346">
      <c r="A1346" s="43"/>
      <c r="B1346" s="59" t="str">
        <f>IFERROR(VLOOKUP(A1346,Internal_lists_bugs!$A$2:$G2033,7,FALSE()),"please select a BUG ID")</f>
        <v>please select a BUG ID</v>
      </c>
      <c r="C1346" s="51" t="str">
        <f>IFERROR(VLOOKUP(A1346,Internal_lists_bugs!$A$2:$I2033,9,FALSE()),"please select a BUG ID")</f>
        <v>please select a BUG ID</v>
      </c>
      <c r="D1346" s="85"/>
      <c r="E1346" s="85"/>
      <c r="F1346" s="133"/>
      <c r="G1346" s="41"/>
      <c r="H1346" s="115"/>
      <c r="I1346" s="131"/>
      <c r="J1346" s="131"/>
      <c r="K1346" s="131"/>
      <c r="L1346" s="131"/>
      <c r="M1346" s="131"/>
      <c r="N1346" s="43"/>
      <c r="O1346" s="51"/>
    </row>
    <row r="1347">
      <c r="A1347" s="43"/>
      <c r="B1347" s="59" t="str">
        <f>IFERROR(VLOOKUP(A1347,Internal_lists_bugs!$A$2:$G2033,7,FALSE()),"please select a BUG ID")</f>
        <v>please select a BUG ID</v>
      </c>
      <c r="C1347" s="51" t="str">
        <f>IFERROR(VLOOKUP(A1347,Internal_lists_bugs!$A$2:$I2033,9,FALSE()),"please select a BUG ID")</f>
        <v>please select a BUG ID</v>
      </c>
      <c r="D1347" s="85"/>
      <c r="E1347" s="85"/>
      <c r="F1347" s="133"/>
      <c r="G1347" s="41"/>
      <c r="H1347" s="115"/>
      <c r="I1347" s="131"/>
      <c r="J1347" s="131"/>
      <c r="K1347" s="131"/>
      <c r="L1347" s="131"/>
      <c r="M1347" s="131"/>
      <c r="N1347" s="43"/>
      <c r="O1347" s="51"/>
    </row>
    <row r="1348">
      <c r="A1348" s="43"/>
      <c r="B1348" s="59" t="str">
        <f>IFERROR(VLOOKUP(A1348,Internal_lists_bugs!$A$2:$G2033,7,FALSE()),"please select a BUG ID")</f>
        <v>please select a BUG ID</v>
      </c>
      <c r="C1348" s="51" t="str">
        <f>IFERROR(VLOOKUP(A1348,Internal_lists_bugs!$A$2:$I2033,9,FALSE()),"please select a BUG ID")</f>
        <v>please select a BUG ID</v>
      </c>
      <c r="D1348" s="85"/>
      <c r="E1348" s="85"/>
      <c r="F1348" s="133"/>
      <c r="G1348" s="41"/>
      <c r="H1348" s="115"/>
      <c r="I1348" s="131"/>
      <c r="J1348" s="131"/>
      <c r="K1348" s="131"/>
      <c r="L1348" s="131"/>
      <c r="M1348" s="131"/>
      <c r="N1348" s="43"/>
      <c r="O1348" s="51"/>
    </row>
    <row r="1349">
      <c r="A1349" s="43"/>
      <c r="B1349" s="59" t="str">
        <f>IFERROR(VLOOKUP(A1349,Internal_lists_bugs!$A$2:$G2033,7,FALSE()),"please select a BUG ID")</f>
        <v>please select a BUG ID</v>
      </c>
      <c r="C1349" s="51" t="str">
        <f>IFERROR(VLOOKUP(A1349,Internal_lists_bugs!$A$2:$I2033,9,FALSE()),"please select a BUG ID")</f>
        <v>please select a BUG ID</v>
      </c>
      <c r="D1349" s="85"/>
      <c r="E1349" s="85"/>
      <c r="F1349" s="133"/>
      <c r="G1349" s="41"/>
      <c r="H1349" s="115"/>
      <c r="I1349" s="131"/>
      <c r="J1349" s="131"/>
      <c r="K1349" s="131"/>
      <c r="L1349" s="131"/>
      <c r="M1349" s="131"/>
      <c r="N1349" s="43"/>
      <c r="O1349" s="51"/>
    </row>
    <row r="1350">
      <c r="A1350" s="43"/>
      <c r="B1350" s="59" t="str">
        <f>IFERROR(VLOOKUP(A1350,Internal_lists_bugs!$A$2:$G2033,7,FALSE()),"please select a BUG ID")</f>
        <v>please select a BUG ID</v>
      </c>
      <c r="C1350" s="51" t="str">
        <f>IFERROR(VLOOKUP(A1350,Internal_lists_bugs!$A$2:$I2033,9,FALSE()),"please select a BUG ID")</f>
        <v>please select a BUG ID</v>
      </c>
      <c r="D1350" s="85"/>
      <c r="E1350" s="85"/>
      <c r="F1350" s="133"/>
      <c r="G1350" s="41"/>
      <c r="H1350" s="115"/>
      <c r="I1350" s="131"/>
      <c r="J1350" s="131"/>
      <c r="K1350" s="131"/>
      <c r="L1350" s="131"/>
      <c r="M1350" s="131"/>
      <c r="N1350" s="43"/>
      <c r="O1350" s="51"/>
    </row>
    <row r="1351">
      <c r="A1351" s="43"/>
      <c r="B1351" s="59" t="str">
        <f>IFERROR(VLOOKUP(A1351,Internal_lists_bugs!$A$2:$G2033,7,FALSE()),"please select a BUG ID")</f>
        <v>please select a BUG ID</v>
      </c>
      <c r="C1351" s="51" t="str">
        <f>IFERROR(VLOOKUP(A1351,Internal_lists_bugs!$A$2:$I2033,9,FALSE()),"please select a BUG ID")</f>
        <v>please select a BUG ID</v>
      </c>
      <c r="D1351" s="85"/>
      <c r="E1351" s="85"/>
      <c r="F1351" s="133"/>
      <c r="G1351" s="41"/>
      <c r="H1351" s="115"/>
      <c r="I1351" s="131"/>
      <c r="J1351" s="131"/>
      <c r="K1351" s="131"/>
      <c r="L1351" s="131"/>
      <c r="M1351" s="131"/>
      <c r="N1351" s="43"/>
      <c r="O1351" s="51"/>
    </row>
    <row r="1352">
      <c r="A1352" s="43"/>
      <c r="B1352" s="59" t="str">
        <f>IFERROR(VLOOKUP(A1352,Internal_lists_bugs!$A$2:$G2033,7,FALSE()),"please select a BUG ID")</f>
        <v>please select a BUG ID</v>
      </c>
      <c r="C1352" s="51" t="str">
        <f>IFERROR(VLOOKUP(A1352,Internal_lists_bugs!$A$2:$I2033,9,FALSE()),"please select a BUG ID")</f>
        <v>please select a BUG ID</v>
      </c>
      <c r="D1352" s="80"/>
      <c r="E1352" s="80"/>
      <c r="F1352" s="130"/>
      <c r="G1352" s="41"/>
      <c r="H1352" s="115"/>
      <c r="I1352" s="131"/>
      <c r="J1352" s="131"/>
      <c r="K1352" s="131"/>
      <c r="L1352" s="131"/>
      <c r="M1352" s="131"/>
      <c r="N1352" s="43"/>
      <c r="O1352" s="51"/>
    </row>
    <row r="1353">
      <c r="A1353" s="43"/>
      <c r="B1353" s="59" t="str">
        <f>IFERROR(VLOOKUP(A1353,Internal_lists_bugs!$A$2:$G2033,7,FALSE()),"please select a BUG ID")</f>
        <v>please select a BUG ID</v>
      </c>
      <c r="C1353" s="51" t="str">
        <f>IFERROR(VLOOKUP(A1353,Internal_lists_bugs!$A$2:$I2033,9,FALSE()),"please select a BUG ID")</f>
        <v>please select a BUG ID</v>
      </c>
      <c r="D1353" s="85"/>
      <c r="E1353" s="85"/>
      <c r="F1353" s="133"/>
      <c r="G1353" s="41"/>
      <c r="H1353" s="115"/>
      <c r="I1353" s="131"/>
      <c r="J1353" s="131"/>
      <c r="K1353" s="131"/>
      <c r="L1353" s="131"/>
      <c r="M1353" s="131"/>
      <c r="N1353" s="43"/>
      <c r="O1353" s="51"/>
    </row>
    <row r="1354">
      <c r="A1354" s="43"/>
      <c r="B1354" s="59" t="str">
        <f>IFERROR(VLOOKUP(A1354,Internal_lists_bugs!$A$2:$G2033,7,FALSE()),"please select a BUG ID")</f>
        <v>please select a BUG ID</v>
      </c>
      <c r="C1354" s="51" t="str">
        <f>IFERROR(VLOOKUP(A1354,Internal_lists_bugs!$A$2:$I2033,9,FALSE()),"please select a BUG ID")</f>
        <v>please select a BUG ID</v>
      </c>
      <c r="D1354" s="85"/>
      <c r="E1354" s="85"/>
      <c r="F1354" s="133"/>
      <c r="G1354" s="41"/>
      <c r="H1354" s="115"/>
      <c r="I1354" s="131"/>
      <c r="J1354" s="131"/>
      <c r="K1354" s="131"/>
      <c r="L1354" s="131"/>
      <c r="M1354" s="131"/>
      <c r="N1354" s="43"/>
      <c r="O1354" s="51"/>
    </row>
    <row r="1355">
      <c r="A1355" s="43"/>
      <c r="B1355" s="59" t="str">
        <f>IFERROR(VLOOKUP(A1355,Internal_lists_bugs!$A$2:$G2033,7,FALSE()),"please select a BUG ID")</f>
        <v>please select a BUG ID</v>
      </c>
      <c r="C1355" s="51" t="str">
        <f>IFERROR(VLOOKUP(A1355,Internal_lists_bugs!$A$2:$I2033,9,FALSE()),"please select a BUG ID")</f>
        <v>please select a BUG ID</v>
      </c>
      <c r="D1355" s="85"/>
      <c r="E1355" s="85"/>
      <c r="F1355" s="133"/>
      <c r="G1355" s="41"/>
      <c r="H1355" s="115"/>
      <c r="I1355" s="131"/>
      <c r="J1355" s="131"/>
      <c r="K1355" s="131"/>
      <c r="L1355" s="131"/>
      <c r="M1355" s="131"/>
      <c r="N1355" s="43"/>
      <c r="O1355" s="51"/>
    </row>
    <row r="1356">
      <c r="A1356" s="43"/>
      <c r="B1356" s="59" t="str">
        <f>IFERROR(VLOOKUP(A1356,Internal_lists_bugs!$A$2:$G2033,7,FALSE()),"please select a BUG ID")</f>
        <v>please select a BUG ID</v>
      </c>
      <c r="C1356" s="51" t="str">
        <f>IFERROR(VLOOKUP(A1356,Internal_lists_bugs!$A$2:$I2033,9,FALSE()),"please select a BUG ID")</f>
        <v>please select a BUG ID</v>
      </c>
      <c r="D1356" s="85"/>
      <c r="E1356" s="85"/>
      <c r="F1356" s="133"/>
      <c r="G1356" s="41"/>
      <c r="H1356" s="115"/>
      <c r="I1356" s="131"/>
      <c r="J1356" s="131"/>
      <c r="K1356" s="131"/>
      <c r="L1356" s="131"/>
      <c r="M1356" s="131"/>
      <c r="N1356" s="43"/>
      <c r="O1356" s="51"/>
    </row>
    <row r="1357">
      <c r="A1357" s="43"/>
      <c r="B1357" s="59" t="str">
        <f>IFERROR(VLOOKUP(A1357,Internal_lists_bugs!$A$2:$G2033,7,FALSE()),"please select a BUG ID")</f>
        <v>please select a BUG ID</v>
      </c>
      <c r="C1357" s="51" t="str">
        <f>IFERROR(VLOOKUP(A1357,Internal_lists_bugs!$A$2:$I2033,9,FALSE()),"please select a BUG ID")</f>
        <v>please select a BUG ID</v>
      </c>
      <c r="D1357" s="85"/>
      <c r="E1357" s="85"/>
      <c r="F1357" s="133"/>
      <c r="G1357" s="41"/>
      <c r="H1357" s="115"/>
      <c r="I1357" s="131"/>
      <c r="J1357" s="131"/>
      <c r="K1357" s="131"/>
      <c r="L1357" s="131"/>
      <c r="M1357" s="131"/>
      <c r="N1357" s="43"/>
      <c r="O1357" s="51"/>
    </row>
    <row r="1358">
      <c r="A1358" s="43"/>
      <c r="B1358" s="59" t="str">
        <f>IFERROR(VLOOKUP(A1358,Internal_lists_bugs!$A$2:$G2033,7,FALSE()),"please select a BUG ID")</f>
        <v>please select a BUG ID</v>
      </c>
      <c r="C1358" s="51" t="str">
        <f>IFERROR(VLOOKUP(A1358,Internal_lists_bugs!$A$2:$I2033,9,FALSE()),"please select a BUG ID")</f>
        <v>please select a BUG ID</v>
      </c>
      <c r="D1358" s="85"/>
      <c r="E1358" s="85"/>
      <c r="F1358" s="133"/>
      <c r="G1358" s="41"/>
      <c r="H1358" s="115"/>
      <c r="I1358" s="131"/>
      <c r="J1358" s="131"/>
      <c r="K1358" s="131"/>
      <c r="L1358" s="131"/>
      <c r="M1358" s="131"/>
      <c r="N1358" s="43"/>
      <c r="O1358" s="51"/>
    </row>
    <row r="1359">
      <c r="A1359" s="43"/>
      <c r="B1359" s="59" t="str">
        <f>IFERROR(VLOOKUP(A1359,Internal_lists_bugs!$A$2:$G2033,7,FALSE()),"please select a BUG ID")</f>
        <v>please select a BUG ID</v>
      </c>
      <c r="C1359" s="51" t="str">
        <f>IFERROR(VLOOKUP(A1359,Internal_lists_bugs!$A$2:$I2033,9,FALSE()),"please select a BUG ID")</f>
        <v>please select a BUG ID</v>
      </c>
      <c r="D1359" s="85"/>
      <c r="E1359" s="85"/>
      <c r="F1359" s="133"/>
      <c r="G1359" s="41"/>
      <c r="H1359" s="115"/>
      <c r="I1359" s="131"/>
      <c r="J1359" s="131"/>
      <c r="K1359" s="131"/>
      <c r="L1359" s="131"/>
      <c r="M1359" s="131"/>
      <c r="N1359" s="43"/>
      <c r="O1359" s="51"/>
    </row>
    <row r="1360">
      <c r="A1360" s="43"/>
      <c r="B1360" s="59" t="str">
        <f>IFERROR(VLOOKUP(A1360,Internal_lists_bugs!$A$2:$G2033,7,FALSE()),"please select a BUG ID")</f>
        <v>please select a BUG ID</v>
      </c>
      <c r="C1360" s="51" t="str">
        <f>IFERROR(VLOOKUP(A1360,Internal_lists_bugs!$A$2:$I2033,9,FALSE()),"please select a BUG ID")</f>
        <v>please select a BUG ID</v>
      </c>
      <c r="D1360" s="85"/>
      <c r="E1360" s="85"/>
      <c r="F1360" s="133"/>
      <c r="G1360" s="41"/>
      <c r="H1360" s="115"/>
      <c r="I1360" s="131"/>
      <c r="J1360" s="131"/>
      <c r="K1360" s="131"/>
      <c r="L1360" s="131"/>
      <c r="M1360" s="131"/>
      <c r="N1360" s="43"/>
      <c r="O1360" s="51"/>
    </row>
    <row r="1361">
      <c r="A1361" s="43"/>
      <c r="B1361" s="59" t="str">
        <f>IFERROR(VLOOKUP(A1361,Internal_lists_bugs!$A$2:$G2033,7,FALSE()),"please select a BUG ID")</f>
        <v>please select a BUG ID</v>
      </c>
      <c r="C1361" s="51" t="str">
        <f>IFERROR(VLOOKUP(A1361,Internal_lists_bugs!$A$2:$I2033,9,FALSE()),"please select a BUG ID")</f>
        <v>please select a BUG ID</v>
      </c>
      <c r="D1361" s="85"/>
      <c r="E1361" s="85"/>
      <c r="F1361" s="133"/>
      <c r="G1361" s="41"/>
      <c r="H1361" s="115"/>
      <c r="I1361" s="131"/>
      <c r="J1361" s="131"/>
      <c r="K1361" s="131"/>
      <c r="L1361" s="131"/>
      <c r="M1361" s="131"/>
      <c r="N1361" s="43"/>
      <c r="O1361" s="51"/>
    </row>
    <row r="1362">
      <c r="A1362" s="43"/>
      <c r="B1362" s="59" t="str">
        <f>IFERROR(VLOOKUP(A1362,Internal_lists_bugs!$A$2:$G2033,7,FALSE()),"please select a BUG ID")</f>
        <v>please select a BUG ID</v>
      </c>
      <c r="C1362" s="51" t="str">
        <f>IFERROR(VLOOKUP(A1362,Internal_lists_bugs!$A$2:$I2033,9,FALSE()),"please select a BUG ID")</f>
        <v>please select a BUG ID</v>
      </c>
      <c r="D1362" s="85"/>
      <c r="E1362" s="85"/>
      <c r="F1362" s="133"/>
      <c r="G1362" s="41"/>
      <c r="H1362" s="115"/>
      <c r="I1362" s="131"/>
      <c r="J1362" s="131"/>
      <c r="K1362" s="131"/>
      <c r="L1362" s="131"/>
      <c r="M1362" s="131"/>
      <c r="N1362" s="43"/>
      <c r="O1362" s="51"/>
    </row>
    <row r="1363">
      <c r="A1363" s="43"/>
      <c r="B1363" s="59" t="str">
        <f>IFERROR(VLOOKUP(A1363,Internal_lists_bugs!$A$2:$G2033,7,FALSE()),"please select a BUG ID")</f>
        <v>please select a BUG ID</v>
      </c>
      <c r="C1363" s="51" t="str">
        <f>IFERROR(VLOOKUP(A1363,Internal_lists_bugs!$A$2:$I2033,9,FALSE()),"please select a BUG ID")</f>
        <v>please select a BUG ID</v>
      </c>
      <c r="D1363" s="85"/>
      <c r="E1363" s="85"/>
      <c r="F1363" s="133"/>
      <c r="G1363" s="41"/>
      <c r="H1363" s="115"/>
      <c r="I1363" s="131"/>
      <c r="J1363" s="131"/>
      <c r="K1363" s="131"/>
      <c r="L1363" s="131"/>
      <c r="M1363" s="131"/>
      <c r="N1363" s="43"/>
      <c r="O1363" s="51"/>
    </row>
    <row r="1364">
      <c r="A1364" s="43"/>
      <c r="B1364" s="59" t="str">
        <f>IFERROR(VLOOKUP(A1364,Internal_lists_bugs!$A$2:$G2033,7,FALSE()),"please select a BUG ID")</f>
        <v>please select a BUG ID</v>
      </c>
      <c r="C1364" s="51" t="str">
        <f>IFERROR(VLOOKUP(A1364,Internal_lists_bugs!$A$2:$I2033,9,FALSE()),"please select a BUG ID")</f>
        <v>please select a BUG ID</v>
      </c>
      <c r="D1364" s="85"/>
      <c r="E1364" s="85"/>
      <c r="F1364" s="133"/>
      <c r="G1364" s="43"/>
      <c r="H1364" s="115"/>
      <c r="I1364" s="131"/>
      <c r="J1364" s="131"/>
      <c r="K1364" s="131"/>
      <c r="L1364" s="131"/>
      <c r="M1364" s="131"/>
      <c r="N1364" s="43"/>
      <c r="O1364" s="51"/>
    </row>
    <row r="1365">
      <c r="A1365" s="43"/>
      <c r="B1365" s="59" t="str">
        <f>IFERROR(VLOOKUP(A1365,Internal_lists_bugs!$A$2:$G2033,7,FALSE()),"please select a BUG ID")</f>
        <v>please select a BUG ID</v>
      </c>
      <c r="C1365" s="51" t="str">
        <f>IFERROR(VLOOKUP(A1365,Internal_lists_bugs!$A$2:$I2033,9,FALSE()),"please select a BUG ID")</f>
        <v>please select a BUG ID</v>
      </c>
      <c r="D1365" s="85"/>
      <c r="E1365" s="85"/>
      <c r="F1365" s="133"/>
      <c r="G1365" s="43"/>
      <c r="H1365" s="115"/>
      <c r="I1365" s="131"/>
      <c r="J1365" s="131"/>
      <c r="K1365" s="131"/>
      <c r="L1365" s="131"/>
      <c r="M1365" s="131"/>
      <c r="N1365" s="43"/>
      <c r="O1365" s="51"/>
    </row>
    <row r="1366">
      <c r="A1366" s="43"/>
      <c r="B1366" s="59" t="str">
        <f>IFERROR(VLOOKUP(A1366,Internal_lists_bugs!$A$2:$G2033,7,FALSE()),"please select a BUG ID")</f>
        <v>please select a BUG ID</v>
      </c>
      <c r="C1366" s="51" t="str">
        <f>IFERROR(VLOOKUP(A1366,Internal_lists_bugs!$A$2:$I2033,9,FALSE()),"please select a BUG ID")</f>
        <v>please select a BUG ID</v>
      </c>
      <c r="D1366" s="85"/>
      <c r="E1366" s="85"/>
      <c r="F1366" s="133"/>
      <c r="G1366" s="43"/>
      <c r="H1366" s="115"/>
      <c r="I1366" s="131"/>
      <c r="J1366" s="131"/>
      <c r="K1366" s="131"/>
      <c r="L1366" s="131"/>
      <c r="M1366" s="131"/>
      <c r="N1366" s="43"/>
      <c r="O1366" s="51"/>
    </row>
    <row r="1367">
      <c r="A1367" s="43"/>
      <c r="B1367" s="59" t="str">
        <f>IFERROR(VLOOKUP(A1367,Internal_lists_bugs!$A$2:$G2033,7,FALSE()),"please select a BUG ID")</f>
        <v>please select a BUG ID</v>
      </c>
      <c r="C1367" s="51" t="str">
        <f>IFERROR(VLOOKUP(A1367,Internal_lists_bugs!$A$2:$I2033,9,FALSE()),"please select a BUG ID")</f>
        <v>please select a BUG ID</v>
      </c>
      <c r="D1367" s="85"/>
      <c r="E1367" s="85"/>
      <c r="F1367" s="133"/>
      <c r="G1367" s="41"/>
      <c r="H1367" s="115"/>
      <c r="I1367" s="131"/>
      <c r="J1367" s="131"/>
      <c r="K1367" s="131"/>
      <c r="L1367" s="131"/>
      <c r="M1367" s="131"/>
      <c r="N1367" s="43"/>
      <c r="O1367" s="51"/>
    </row>
    <row r="1368">
      <c r="A1368" s="43"/>
      <c r="B1368" s="59" t="str">
        <f>IFERROR(VLOOKUP(A1368,Internal_lists_bugs!$A$2:$G2033,7,FALSE()),"please select a BUG ID")</f>
        <v>please select a BUG ID</v>
      </c>
      <c r="C1368" s="51" t="str">
        <f>IFERROR(VLOOKUP(A1368,Internal_lists_bugs!$A$2:$I2033,9,FALSE()),"please select a BUG ID")</f>
        <v>please select a BUG ID</v>
      </c>
      <c r="D1368" s="85"/>
      <c r="E1368" s="85"/>
      <c r="F1368" s="133"/>
      <c r="G1368" s="41"/>
      <c r="H1368" s="115"/>
      <c r="I1368" s="131"/>
      <c r="J1368" s="131"/>
      <c r="K1368" s="131"/>
      <c r="L1368" s="131"/>
      <c r="M1368" s="131"/>
      <c r="N1368" s="43"/>
      <c r="O1368" s="51"/>
    </row>
    <row r="1369">
      <c r="A1369" s="43"/>
      <c r="B1369" s="59" t="str">
        <f>IFERROR(VLOOKUP(A1369,Internal_lists_bugs!$A$2:$G2033,7,FALSE()),"please select a BUG ID")</f>
        <v>please select a BUG ID</v>
      </c>
      <c r="C1369" s="51" t="str">
        <f>IFERROR(VLOOKUP(A1369,Internal_lists_bugs!$A$2:$I2033,9,FALSE()),"please select a BUG ID")</f>
        <v>please select a BUG ID</v>
      </c>
      <c r="D1369" s="85"/>
      <c r="E1369" s="85"/>
      <c r="F1369" s="133"/>
      <c r="G1369" s="41"/>
      <c r="H1369" s="115"/>
      <c r="I1369" s="131"/>
      <c r="J1369" s="131"/>
      <c r="K1369" s="131"/>
      <c r="L1369" s="131"/>
      <c r="M1369" s="131"/>
      <c r="N1369" s="43"/>
      <c r="O1369" s="51"/>
    </row>
    <row r="1370">
      <c r="A1370" s="43"/>
      <c r="B1370" s="59" t="str">
        <f>IFERROR(VLOOKUP(A1370,Internal_lists_bugs!$A$2:$G2033,7,FALSE()),"please select a BUG ID")</f>
        <v>please select a BUG ID</v>
      </c>
      <c r="C1370" s="51" t="str">
        <f>IFERROR(VLOOKUP(A1370,Internal_lists_bugs!$A$2:$I2033,9,FALSE()),"please select a BUG ID")</f>
        <v>please select a BUG ID</v>
      </c>
      <c r="D1370" s="85"/>
      <c r="E1370" s="85"/>
      <c r="F1370" s="133"/>
      <c r="G1370" s="41"/>
      <c r="H1370" s="115"/>
      <c r="I1370" s="131"/>
      <c r="J1370" s="131"/>
      <c r="K1370" s="131"/>
      <c r="L1370" s="131"/>
      <c r="M1370" s="131"/>
      <c r="N1370" s="43"/>
      <c r="O1370" s="51"/>
    </row>
    <row r="1371">
      <c r="A1371" s="43"/>
      <c r="B1371" s="59" t="str">
        <f>IFERROR(VLOOKUP(A1371,Internal_lists_bugs!$A$2:$G2033,7,FALSE()),"please select a BUG ID")</f>
        <v>please select a BUG ID</v>
      </c>
      <c r="C1371" s="51" t="str">
        <f>IFERROR(VLOOKUP(A1371,Internal_lists_bugs!$A$2:$I2033,9,FALSE()),"please select a BUG ID")</f>
        <v>please select a BUG ID</v>
      </c>
      <c r="D1371" s="85"/>
      <c r="E1371" s="85"/>
      <c r="F1371" s="133"/>
      <c r="G1371" s="41"/>
      <c r="H1371" s="115"/>
      <c r="I1371" s="131"/>
      <c r="J1371" s="131"/>
      <c r="K1371" s="131"/>
      <c r="L1371" s="131"/>
      <c r="M1371" s="131"/>
      <c r="N1371" s="43"/>
      <c r="O1371" s="51"/>
    </row>
    <row r="1372">
      <c r="A1372" s="43"/>
      <c r="B1372" s="59" t="str">
        <f>IFERROR(VLOOKUP(A1372,Internal_lists_bugs!$A$2:$G2033,7,FALSE()),"please select a BUG ID")</f>
        <v>please select a BUG ID</v>
      </c>
      <c r="C1372" s="51" t="str">
        <f>IFERROR(VLOOKUP(A1372,Internal_lists_bugs!$A$2:$I2033,9,FALSE()),"please select a BUG ID")</f>
        <v>please select a BUG ID</v>
      </c>
      <c r="D1372" s="85"/>
      <c r="E1372" s="85"/>
      <c r="F1372" s="133"/>
      <c r="G1372" s="41"/>
      <c r="H1372" s="115"/>
      <c r="I1372" s="131"/>
      <c r="J1372" s="131"/>
      <c r="K1372" s="131"/>
      <c r="L1372" s="131"/>
      <c r="M1372" s="131"/>
      <c r="N1372" s="43"/>
      <c r="O1372" s="51"/>
    </row>
    <row r="1373">
      <c r="A1373" s="43"/>
      <c r="B1373" s="59" t="str">
        <f>IFERROR(VLOOKUP(A1373,Internal_lists_bugs!$A$2:$G2033,7,FALSE()),"please select a BUG ID")</f>
        <v>please select a BUG ID</v>
      </c>
      <c r="C1373" s="51" t="str">
        <f>IFERROR(VLOOKUP(A1373,Internal_lists_bugs!$A$2:$I2033,9,FALSE()),"please select a BUG ID")</f>
        <v>please select a BUG ID</v>
      </c>
      <c r="D1373" s="85"/>
      <c r="E1373" s="85"/>
      <c r="F1373" s="133"/>
      <c r="G1373" s="41"/>
      <c r="H1373" s="115"/>
      <c r="I1373" s="131"/>
      <c r="J1373" s="131"/>
      <c r="K1373" s="131"/>
      <c r="L1373" s="131"/>
      <c r="M1373" s="131"/>
      <c r="N1373" s="43"/>
      <c r="O1373" s="51"/>
    </row>
    <row r="1374">
      <c r="A1374" s="43"/>
      <c r="B1374" s="59" t="str">
        <f>IFERROR(VLOOKUP(A1374,Internal_lists_bugs!$A$2:$G2033,7,FALSE()),"please select a BUG ID")</f>
        <v>please select a BUG ID</v>
      </c>
      <c r="C1374" s="51" t="str">
        <f>IFERROR(VLOOKUP(A1374,Internal_lists_bugs!$A$2:$I2033,9,FALSE()),"please select a BUG ID")</f>
        <v>please select a BUG ID</v>
      </c>
      <c r="D1374" s="85"/>
      <c r="E1374" s="85"/>
      <c r="F1374" s="133"/>
      <c r="G1374" s="41"/>
      <c r="H1374" s="115"/>
      <c r="I1374" s="131"/>
      <c r="J1374" s="131"/>
      <c r="K1374" s="131"/>
      <c r="L1374" s="131"/>
      <c r="M1374" s="131"/>
      <c r="N1374" s="43"/>
      <c r="O1374" s="51"/>
    </row>
    <row r="1375">
      <c r="A1375" s="43"/>
      <c r="B1375" s="59" t="str">
        <f>IFERROR(VLOOKUP(A1375,Internal_lists_bugs!$A$2:$G2033,7,FALSE()),"please select a BUG ID")</f>
        <v>please select a BUG ID</v>
      </c>
      <c r="C1375" s="51" t="str">
        <f>IFERROR(VLOOKUP(A1375,Internal_lists_bugs!$A$2:$I2033,9,FALSE()),"please select a BUG ID")</f>
        <v>please select a BUG ID</v>
      </c>
      <c r="D1375" s="85"/>
      <c r="E1375" s="85"/>
      <c r="F1375" s="133"/>
      <c r="G1375" s="41"/>
      <c r="H1375" s="115"/>
      <c r="I1375" s="131"/>
      <c r="J1375" s="131"/>
      <c r="K1375" s="131"/>
      <c r="L1375" s="131"/>
      <c r="M1375" s="131"/>
      <c r="N1375" s="43"/>
      <c r="O1375" s="51"/>
    </row>
    <row r="1376">
      <c r="A1376" s="43"/>
      <c r="B1376" s="59" t="str">
        <f>IFERROR(VLOOKUP(A1376,Internal_lists_bugs!$A$2:$G2033,7,FALSE()),"please select a BUG ID")</f>
        <v>please select a BUG ID</v>
      </c>
      <c r="C1376" s="51" t="str">
        <f>IFERROR(VLOOKUP(A1376,Internal_lists_bugs!$A$2:$I2033,9,FALSE()),"please select a BUG ID")</f>
        <v>please select a BUG ID</v>
      </c>
      <c r="D1376" s="85"/>
      <c r="E1376" s="85"/>
      <c r="F1376" s="133"/>
      <c r="G1376" s="41"/>
      <c r="H1376" s="115"/>
      <c r="I1376" s="131"/>
      <c r="J1376" s="131"/>
      <c r="K1376" s="131"/>
      <c r="L1376" s="131"/>
      <c r="M1376" s="131"/>
      <c r="N1376" s="43"/>
      <c r="O1376" s="51"/>
    </row>
    <row r="1377">
      <c r="A1377" s="43"/>
      <c r="B1377" s="59" t="str">
        <f>IFERROR(VLOOKUP(A1377,Internal_lists_bugs!$A$2:$G2033,7,FALSE()),"please select a BUG ID")</f>
        <v>please select a BUG ID</v>
      </c>
      <c r="C1377" s="51" t="str">
        <f>IFERROR(VLOOKUP(A1377,Internal_lists_bugs!$A$2:$I2033,9,FALSE()),"please select a BUG ID")</f>
        <v>please select a BUG ID</v>
      </c>
      <c r="D1377" s="85"/>
      <c r="E1377" s="85"/>
      <c r="F1377" s="133"/>
      <c r="G1377" s="41"/>
      <c r="H1377" s="115"/>
      <c r="I1377" s="131"/>
      <c r="J1377" s="131"/>
      <c r="K1377" s="131"/>
      <c r="L1377" s="131"/>
      <c r="M1377" s="131"/>
      <c r="N1377" s="43"/>
      <c r="O1377" s="51"/>
    </row>
    <row r="1378">
      <c r="A1378" s="43"/>
      <c r="B1378" s="59" t="str">
        <f>IFERROR(VLOOKUP(A1378,Internal_lists_bugs!$A$2:$G2033,7,FALSE()),"please select a BUG ID")</f>
        <v>please select a BUG ID</v>
      </c>
      <c r="C1378" s="51" t="str">
        <f>IFERROR(VLOOKUP(A1378,Internal_lists_bugs!$A$2:$I2033,9,FALSE()),"please select a BUG ID")</f>
        <v>please select a BUG ID</v>
      </c>
      <c r="D1378" s="85"/>
      <c r="E1378" s="85"/>
      <c r="F1378" s="133"/>
      <c r="G1378" s="41"/>
      <c r="H1378" s="115"/>
      <c r="I1378" s="131"/>
      <c r="J1378" s="131"/>
      <c r="K1378" s="131"/>
      <c r="L1378" s="131"/>
      <c r="M1378" s="131"/>
      <c r="N1378" s="43"/>
      <c r="O1378" s="51"/>
    </row>
    <row r="1379">
      <c r="A1379" s="43"/>
      <c r="B1379" s="59" t="str">
        <f>IFERROR(VLOOKUP(A1379,Internal_lists_bugs!$A$2:$G2033,7,FALSE()),"please select a BUG ID")</f>
        <v>please select a BUG ID</v>
      </c>
      <c r="C1379" s="51" t="str">
        <f>IFERROR(VLOOKUP(A1379,Internal_lists_bugs!$A$2:$I2033,9,FALSE()),"please select a BUG ID")</f>
        <v>please select a BUG ID</v>
      </c>
      <c r="D1379" s="85"/>
      <c r="E1379" s="85"/>
      <c r="F1379" s="133"/>
      <c r="G1379" s="41"/>
      <c r="H1379" s="115"/>
      <c r="I1379" s="131"/>
      <c r="J1379" s="131"/>
      <c r="K1379" s="131"/>
      <c r="L1379" s="131"/>
      <c r="M1379" s="131"/>
      <c r="N1379" s="43"/>
      <c r="O1379" s="51"/>
    </row>
    <row r="1380">
      <c r="A1380" s="43"/>
      <c r="B1380" s="59" t="str">
        <f>IFERROR(VLOOKUP(A1380,Internal_lists_bugs!$A$2:$G2033,7,FALSE()),"please select a BUG ID")</f>
        <v>please select a BUG ID</v>
      </c>
      <c r="C1380" s="51" t="str">
        <f>IFERROR(VLOOKUP(A1380,Internal_lists_bugs!$A$2:$I2033,9,FALSE()),"please select a BUG ID")</f>
        <v>please select a BUG ID</v>
      </c>
      <c r="D1380" s="85"/>
      <c r="E1380" s="85"/>
      <c r="F1380" s="133"/>
      <c r="G1380" s="41"/>
      <c r="H1380" s="115"/>
      <c r="I1380" s="131"/>
      <c r="J1380" s="131"/>
      <c r="K1380" s="131"/>
      <c r="L1380" s="131"/>
      <c r="M1380" s="131"/>
      <c r="N1380" s="43"/>
      <c r="O1380" s="51"/>
    </row>
    <row r="1381">
      <c r="A1381" s="43"/>
      <c r="B1381" s="59" t="str">
        <f>IFERROR(VLOOKUP(A1381,Internal_lists_bugs!$A$2:$G2033,7,FALSE()),"please select a BUG ID")</f>
        <v>please select a BUG ID</v>
      </c>
      <c r="C1381" s="51" t="str">
        <f>IFERROR(VLOOKUP(A1381,Internal_lists_bugs!$A$2:$I2033,9,FALSE()),"please select a BUG ID")</f>
        <v>please select a BUG ID</v>
      </c>
      <c r="D1381" s="85"/>
      <c r="E1381" s="85"/>
      <c r="F1381" s="133"/>
      <c r="G1381" s="41"/>
      <c r="H1381" s="115"/>
      <c r="I1381" s="131"/>
      <c r="J1381" s="131"/>
      <c r="K1381" s="131"/>
      <c r="L1381" s="131"/>
      <c r="M1381" s="131"/>
      <c r="N1381" s="43"/>
      <c r="O1381" s="51"/>
    </row>
    <row r="1382">
      <c r="A1382" s="43"/>
      <c r="B1382" s="59" t="str">
        <f>IFERROR(VLOOKUP(A1382,Internal_lists_bugs!$A$2:$G2033,7,FALSE()),"please select a BUG ID")</f>
        <v>please select a BUG ID</v>
      </c>
      <c r="C1382" s="51" t="str">
        <f>IFERROR(VLOOKUP(A1382,Internal_lists_bugs!$A$2:$I2033,9,FALSE()),"please select a BUG ID")</f>
        <v>please select a BUG ID</v>
      </c>
      <c r="D1382" s="85"/>
      <c r="E1382" s="85"/>
      <c r="F1382" s="133"/>
      <c r="G1382" s="41"/>
      <c r="H1382" s="115"/>
      <c r="I1382" s="131"/>
      <c r="J1382" s="131"/>
      <c r="K1382" s="131"/>
      <c r="L1382" s="131"/>
      <c r="M1382" s="131"/>
      <c r="N1382" s="43"/>
      <c r="O1382" s="51"/>
    </row>
    <row r="1383">
      <c r="A1383" s="43"/>
      <c r="B1383" s="59" t="str">
        <f>IFERROR(VLOOKUP(A1383,Internal_lists_bugs!$A$2:$G2033,7,FALSE()),"please select a BUG ID")</f>
        <v>please select a BUG ID</v>
      </c>
      <c r="C1383" s="51" t="str">
        <f>IFERROR(VLOOKUP(A1383,Internal_lists_bugs!$A$2:$I2033,9,FALSE()),"please select a BUG ID")</f>
        <v>please select a BUG ID</v>
      </c>
      <c r="D1383" s="85"/>
      <c r="E1383" s="85"/>
      <c r="F1383" s="133"/>
      <c r="G1383" s="41"/>
      <c r="H1383" s="115"/>
      <c r="I1383" s="131"/>
      <c r="J1383" s="131"/>
      <c r="K1383" s="131"/>
      <c r="L1383" s="131"/>
      <c r="M1383" s="131"/>
      <c r="N1383" s="43"/>
      <c r="O1383" s="51"/>
    </row>
    <row r="1384">
      <c r="A1384" s="43"/>
      <c r="B1384" s="59" t="str">
        <f>IFERROR(VLOOKUP(A1384,Internal_lists_bugs!$A$2:$G2033,7,FALSE()),"please select a BUG ID")</f>
        <v>please select a BUG ID</v>
      </c>
      <c r="C1384" s="51" t="str">
        <f>IFERROR(VLOOKUP(A1384,Internal_lists_bugs!$A$2:$I2033,9,FALSE()),"please select a BUG ID")</f>
        <v>please select a BUG ID</v>
      </c>
      <c r="D1384" s="85"/>
      <c r="E1384" s="85"/>
      <c r="F1384" s="133"/>
      <c r="G1384" s="41"/>
      <c r="H1384" s="115"/>
      <c r="I1384" s="131"/>
      <c r="J1384" s="131"/>
      <c r="K1384" s="131"/>
      <c r="L1384" s="131"/>
      <c r="M1384" s="131"/>
      <c r="N1384" s="43"/>
      <c r="O1384" s="51"/>
    </row>
    <row r="1385">
      <c r="A1385" s="43"/>
      <c r="B1385" s="59" t="str">
        <f>IFERROR(VLOOKUP(A1385,Internal_lists_bugs!$A$2:$G2033,7,FALSE()),"please select a BUG ID")</f>
        <v>please select a BUG ID</v>
      </c>
      <c r="C1385" s="51" t="str">
        <f>IFERROR(VLOOKUP(A1385,Internal_lists_bugs!$A$2:$I2033,9,FALSE()),"please select a BUG ID")</f>
        <v>please select a BUG ID</v>
      </c>
      <c r="D1385" s="85"/>
      <c r="E1385" s="85"/>
      <c r="F1385" s="133"/>
      <c r="G1385" s="41"/>
      <c r="H1385" s="115"/>
      <c r="I1385" s="131"/>
      <c r="J1385" s="131"/>
      <c r="K1385" s="131"/>
      <c r="L1385" s="131"/>
      <c r="M1385" s="131"/>
      <c r="N1385" s="43"/>
      <c r="O1385" s="51"/>
    </row>
    <row r="1386">
      <c r="A1386" s="43"/>
      <c r="B1386" s="59" t="str">
        <f>IFERROR(VLOOKUP(A1386,Internal_lists_bugs!$A$2:$G2033,7,FALSE()),"please select a BUG ID")</f>
        <v>please select a BUG ID</v>
      </c>
      <c r="C1386" s="51" t="str">
        <f>IFERROR(VLOOKUP(A1386,Internal_lists_bugs!$A$2:$I2033,9,FALSE()),"please select a BUG ID")</f>
        <v>please select a BUG ID</v>
      </c>
      <c r="D1386" s="85"/>
      <c r="E1386" s="85"/>
      <c r="F1386" s="133"/>
      <c r="G1386" s="41"/>
      <c r="H1386" s="115"/>
      <c r="I1386" s="131"/>
      <c r="J1386" s="131"/>
      <c r="K1386" s="131"/>
      <c r="L1386" s="131"/>
      <c r="M1386" s="131"/>
      <c r="N1386" s="43"/>
      <c r="O1386" s="51"/>
    </row>
    <row r="1387">
      <c r="A1387" s="43"/>
      <c r="B1387" s="59" t="str">
        <f>IFERROR(VLOOKUP(A1387,Internal_lists_bugs!$A$2:$G2033,7,FALSE()),"please select a BUG ID")</f>
        <v>please select a BUG ID</v>
      </c>
      <c r="C1387" s="51" t="str">
        <f>IFERROR(VLOOKUP(A1387,Internal_lists_bugs!$A$2:$I2033,9,FALSE()),"please select a BUG ID")</f>
        <v>please select a BUG ID</v>
      </c>
      <c r="D1387" s="85"/>
      <c r="E1387" s="85"/>
      <c r="F1387" s="133"/>
      <c r="G1387" s="41"/>
      <c r="H1387" s="115"/>
      <c r="I1387" s="131"/>
      <c r="J1387" s="131"/>
      <c r="K1387" s="131"/>
      <c r="L1387" s="131"/>
      <c r="M1387" s="131"/>
      <c r="N1387" s="43"/>
      <c r="O1387" s="51"/>
    </row>
    <row r="1388">
      <c r="A1388" s="43"/>
      <c r="B1388" s="59" t="str">
        <f>IFERROR(VLOOKUP(A1388,Internal_lists_bugs!$A$2:$G2033,7,FALSE()),"please select a BUG ID")</f>
        <v>please select a BUG ID</v>
      </c>
      <c r="C1388" s="51" t="str">
        <f>IFERROR(VLOOKUP(A1388,Internal_lists_bugs!$A$2:$I2033,9,FALSE()),"please select a BUG ID")</f>
        <v>please select a BUG ID</v>
      </c>
      <c r="D1388" s="85"/>
      <c r="E1388" s="85"/>
      <c r="F1388" s="133"/>
      <c r="G1388" s="41"/>
      <c r="H1388" s="115"/>
      <c r="I1388" s="131"/>
      <c r="J1388" s="131"/>
      <c r="K1388" s="131"/>
      <c r="L1388" s="131"/>
      <c r="M1388" s="131"/>
      <c r="N1388" s="43"/>
      <c r="O1388" s="51"/>
    </row>
    <row r="1389">
      <c r="A1389" s="43"/>
      <c r="B1389" s="59" t="str">
        <f>IFERROR(VLOOKUP(A1389,Internal_lists_bugs!$A$2:$G2033,7,FALSE()),"please select a BUG ID")</f>
        <v>please select a BUG ID</v>
      </c>
      <c r="C1389" s="51" t="str">
        <f>IFERROR(VLOOKUP(A1389,Internal_lists_bugs!$A$2:$I2033,9,FALSE()),"please select a BUG ID")</f>
        <v>please select a BUG ID</v>
      </c>
      <c r="D1389" s="85"/>
      <c r="E1389" s="85"/>
      <c r="F1389" s="133"/>
      <c r="G1389" s="41"/>
      <c r="H1389" s="115"/>
      <c r="I1389" s="131"/>
      <c r="J1389" s="131"/>
      <c r="K1389" s="131"/>
      <c r="L1389" s="131"/>
      <c r="M1389" s="131"/>
      <c r="N1389" s="43"/>
      <c r="O1389" s="51"/>
    </row>
    <row r="1390">
      <c r="A1390" s="43"/>
      <c r="B1390" s="59" t="str">
        <f>IFERROR(VLOOKUP(A1390,Internal_lists_bugs!$A$2:$G2033,7,FALSE()),"please select a BUG ID")</f>
        <v>please select a BUG ID</v>
      </c>
      <c r="C1390" s="51" t="str">
        <f>IFERROR(VLOOKUP(A1390,Internal_lists_bugs!$A$2:$I2033,9,FALSE()),"please select a BUG ID")</f>
        <v>please select a BUG ID</v>
      </c>
      <c r="D1390" s="85"/>
      <c r="E1390" s="85"/>
      <c r="F1390" s="133"/>
      <c r="G1390" s="41"/>
      <c r="H1390" s="115"/>
      <c r="I1390" s="131"/>
      <c r="J1390" s="131"/>
      <c r="K1390" s="131"/>
      <c r="L1390" s="131"/>
      <c r="M1390" s="131"/>
      <c r="N1390" s="43"/>
      <c r="O1390" s="51"/>
    </row>
    <row r="1391">
      <c r="A1391" s="43"/>
      <c r="B1391" s="59" t="str">
        <f>IFERROR(VLOOKUP(A1391,Internal_lists_bugs!$A$2:$G2033,7,FALSE()),"please select a BUG ID")</f>
        <v>please select a BUG ID</v>
      </c>
      <c r="C1391" s="51" t="str">
        <f>IFERROR(VLOOKUP(A1391,Internal_lists_bugs!$A$2:$I2033,9,FALSE()),"please select a BUG ID")</f>
        <v>please select a BUG ID</v>
      </c>
      <c r="D1391" s="85"/>
      <c r="E1391" s="85"/>
      <c r="F1391" s="133"/>
      <c r="G1391" s="41"/>
      <c r="H1391" s="115"/>
      <c r="I1391" s="131"/>
      <c r="J1391" s="131"/>
      <c r="K1391" s="131"/>
      <c r="L1391" s="131"/>
      <c r="M1391" s="131"/>
      <c r="N1391" s="43"/>
      <c r="O1391" s="51"/>
    </row>
    <row r="1392">
      <c r="A1392" s="43"/>
      <c r="B1392" s="59" t="str">
        <f>IFERROR(VLOOKUP(A1392,Internal_lists_bugs!$A$2:$G2033,7,FALSE()),"please select a BUG ID")</f>
        <v>please select a BUG ID</v>
      </c>
      <c r="C1392" s="51" t="str">
        <f>IFERROR(VLOOKUP(A1392,Internal_lists_bugs!$A$2:$I2033,9,FALSE()),"please select a BUG ID")</f>
        <v>please select a BUG ID</v>
      </c>
      <c r="D1392" s="85"/>
      <c r="E1392" s="85"/>
      <c r="F1392" s="133"/>
      <c r="G1392" s="41"/>
      <c r="H1392" s="115"/>
      <c r="I1392" s="131"/>
      <c r="J1392" s="131"/>
      <c r="K1392" s="131"/>
      <c r="L1392" s="131"/>
      <c r="M1392" s="131"/>
      <c r="N1392" s="43"/>
      <c r="O1392" s="51"/>
    </row>
    <row r="1393">
      <c r="A1393" s="43"/>
      <c r="B1393" s="59" t="str">
        <f>IFERROR(VLOOKUP(A1393,Internal_lists_bugs!$A$2:$G2033,7,FALSE()),"please select a BUG ID")</f>
        <v>please select a BUG ID</v>
      </c>
      <c r="C1393" s="51" t="str">
        <f>IFERROR(VLOOKUP(A1393,Internal_lists_bugs!$A$2:$I2033,9,FALSE()),"please select a BUG ID")</f>
        <v>please select a BUG ID</v>
      </c>
      <c r="D1393" s="85"/>
      <c r="E1393" s="85"/>
      <c r="F1393" s="133"/>
      <c r="G1393" s="41"/>
      <c r="H1393" s="115"/>
      <c r="I1393" s="131"/>
      <c r="J1393" s="131"/>
      <c r="K1393" s="131"/>
      <c r="L1393" s="131"/>
      <c r="M1393" s="131"/>
      <c r="N1393" s="43"/>
      <c r="O1393" s="51"/>
    </row>
    <row r="1394">
      <c r="A1394" s="43"/>
      <c r="B1394" s="59" t="str">
        <f>IFERROR(VLOOKUP(A1394,Internal_lists_bugs!$A$2:$G2033,7,FALSE()),"please select a BUG ID")</f>
        <v>please select a BUG ID</v>
      </c>
      <c r="C1394" s="51" t="str">
        <f>IFERROR(VLOOKUP(A1394,Internal_lists_bugs!$A$2:$I2033,9,FALSE()),"please select a BUG ID")</f>
        <v>please select a BUG ID</v>
      </c>
      <c r="D1394" s="85"/>
      <c r="E1394" s="85"/>
      <c r="F1394" s="133"/>
      <c r="G1394" s="41"/>
      <c r="H1394" s="115"/>
      <c r="I1394" s="131"/>
      <c r="J1394" s="131"/>
      <c r="K1394" s="131"/>
      <c r="L1394" s="131"/>
      <c r="M1394" s="131"/>
      <c r="N1394" s="43"/>
      <c r="O1394" s="51"/>
    </row>
    <row r="1395">
      <c r="A1395" s="43"/>
      <c r="B1395" s="59" t="str">
        <f>IFERROR(VLOOKUP(A1395,Internal_lists_bugs!$A$2:$G2033,7,FALSE()),"please select a BUG ID")</f>
        <v>please select a BUG ID</v>
      </c>
      <c r="C1395" s="51" t="str">
        <f>IFERROR(VLOOKUP(A1395,Internal_lists_bugs!$A$2:$I2033,9,FALSE()),"please select a BUG ID")</f>
        <v>please select a BUG ID</v>
      </c>
      <c r="D1395" s="85"/>
      <c r="E1395" s="85"/>
      <c r="F1395" s="133"/>
      <c r="G1395" s="41"/>
      <c r="H1395" s="115"/>
      <c r="I1395" s="131"/>
      <c r="J1395" s="131"/>
      <c r="K1395" s="131"/>
      <c r="L1395" s="131"/>
      <c r="M1395" s="131"/>
      <c r="N1395" s="43"/>
      <c r="O1395" s="51"/>
    </row>
    <row r="1396">
      <c r="A1396" s="43"/>
      <c r="B1396" s="59" t="str">
        <f>IFERROR(VLOOKUP(A1396,Internal_lists_bugs!$A$2:$G2033,7,FALSE()),"please select a BUG ID")</f>
        <v>please select a BUG ID</v>
      </c>
      <c r="C1396" s="51" t="str">
        <f>IFERROR(VLOOKUP(A1396,Internal_lists_bugs!$A$2:$I2033,9,FALSE()),"please select a BUG ID")</f>
        <v>please select a BUG ID</v>
      </c>
      <c r="D1396" s="85"/>
      <c r="E1396" s="85"/>
      <c r="F1396" s="133"/>
      <c r="G1396" s="41"/>
      <c r="H1396" s="115"/>
      <c r="I1396" s="131"/>
      <c r="J1396" s="131"/>
      <c r="K1396" s="131"/>
      <c r="L1396" s="131"/>
      <c r="M1396" s="131"/>
      <c r="N1396" s="43"/>
      <c r="O1396" s="51"/>
    </row>
    <row r="1397">
      <c r="A1397" s="43"/>
      <c r="B1397" s="59" t="str">
        <f>IFERROR(VLOOKUP(A1397,Internal_lists_bugs!$A$2:$G2033,7,FALSE()),"please select a BUG ID")</f>
        <v>please select a BUG ID</v>
      </c>
      <c r="C1397" s="51" t="str">
        <f>IFERROR(VLOOKUP(A1397,Internal_lists_bugs!$A$2:$I2033,9,FALSE()),"please select a BUG ID")</f>
        <v>please select a BUG ID</v>
      </c>
      <c r="D1397" s="85"/>
      <c r="E1397" s="85"/>
      <c r="F1397" s="133"/>
      <c r="G1397" s="41"/>
      <c r="H1397" s="115"/>
      <c r="I1397" s="131"/>
      <c r="J1397" s="131"/>
      <c r="K1397" s="131"/>
      <c r="L1397" s="131"/>
      <c r="M1397" s="131"/>
      <c r="N1397" s="43"/>
      <c r="O1397" s="51"/>
    </row>
    <row r="1398">
      <c r="A1398" s="43"/>
      <c r="B1398" s="59" t="str">
        <f>IFERROR(VLOOKUP(A1398,Internal_lists_bugs!$A$2:$G2033,7,FALSE()),"please select a BUG ID")</f>
        <v>please select a BUG ID</v>
      </c>
      <c r="C1398" s="51" t="str">
        <f>IFERROR(VLOOKUP(A1398,Internal_lists_bugs!$A$2:$I2033,9,FALSE()),"please select a BUG ID")</f>
        <v>please select a BUG ID</v>
      </c>
      <c r="D1398" s="85"/>
      <c r="E1398" s="85"/>
      <c r="F1398" s="133"/>
      <c r="G1398" s="41"/>
      <c r="H1398" s="115"/>
      <c r="I1398" s="131"/>
      <c r="J1398" s="131"/>
      <c r="K1398" s="131"/>
      <c r="L1398" s="131"/>
      <c r="M1398" s="131"/>
      <c r="N1398" s="43"/>
      <c r="O1398" s="51"/>
    </row>
    <row r="1399">
      <c r="A1399" s="43"/>
      <c r="B1399" s="59" t="str">
        <f>IFERROR(VLOOKUP(A1399,Internal_lists_bugs!$A$2:$G2033,7,FALSE()),"please select a BUG ID")</f>
        <v>please select a BUG ID</v>
      </c>
      <c r="C1399" s="51" t="str">
        <f>IFERROR(VLOOKUP(A1399,Internal_lists_bugs!$A$2:$I2033,9,FALSE()),"please select a BUG ID")</f>
        <v>please select a BUG ID</v>
      </c>
      <c r="D1399" s="85"/>
      <c r="E1399" s="85"/>
      <c r="F1399" s="133"/>
      <c r="G1399" s="41"/>
      <c r="H1399" s="115"/>
      <c r="I1399" s="131"/>
      <c r="J1399" s="131"/>
      <c r="K1399" s="131"/>
      <c r="L1399" s="131"/>
      <c r="M1399" s="131"/>
      <c r="N1399" s="43"/>
      <c r="O1399" s="51"/>
    </row>
    <row r="1400">
      <c r="A1400" s="43"/>
      <c r="B1400" s="59" t="str">
        <f>IFERROR(VLOOKUP(A1400,Internal_lists_bugs!$A$2:$G2033,7,FALSE()),"please select a BUG ID")</f>
        <v>please select a BUG ID</v>
      </c>
      <c r="C1400" s="51" t="str">
        <f>IFERROR(VLOOKUP(A1400,Internal_lists_bugs!$A$2:$I2033,9,FALSE()),"please select a BUG ID")</f>
        <v>please select a BUG ID</v>
      </c>
      <c r="D1400" s="85"/>
      <c r="E1400" s="85"/>
      <c r="F1400" s="133"/>
      <c r="G1400" s="41"/>
      <c r="H1400" s="115"/>
      <c r="I1400" s="131"/>
      <c r="J1400" s="131"/>
      <c r="K1400" s="131"/>
      <c r="L1400" s="131"/>
      <c r="M1400" s="131"/>
      <c r="N1400" s="43"/>
      <c r="O1400" s="51"/>
    </row>
    <row r="1401">
      <c r="A1401" s="43"/>
      <c r="B1401" s="59" t="str">
        <f>IFERROR(VLOOKUP(A1401,Internal_lists_bugs!$A$2:$G2033,7,FALSE()),"please select a BUG ID")</f>
        <v>please select a BUG ID</v>
      </c>
      <c r="C1401" s="51" t="str">
        <f>IFERROR(VLOOKUP(A1401,Internal_lists_bugs!$A$2:$I2033,9,FALSE()),"please select a BUG ID")</f>
        <v>please select a BUG ID</v>
      </c>
      <c r="D1401" s="85"/>
      <c r="E1401" s="85"/>
      <c r="F1401" s="133"/>
      <c r="G1401" s="41"/>
      <c r="H1401" s="115"/>
      <c r="I1401" s="131"/>
      <c r="J1401" s="131"/>
      <c r="K1401" s="131"/>
      <c r="L1401" s="131"/>
      <c r="M1401" s="131"/>
      <c r="N1401" s="43"/>
      <c r="O1401" s="51"/>
    </row>
    <row r="1402">
      <c r="A1402" s="43"/>
      <c r="B1402" s="59" t="str">
        <f>IFERROR(VLOOKUP(A1402,Internal_lists_bugs!$A$2:$G2033,7,FALSE()),"please select a BUG ID")</f>
        <v>please select a BUG ID</v>
      </c>
      <c r="C1402" s="51" t="str">
        <f>IFERROR(VLOOKUP(A1402,Internal_lists_bugs!$A$2:$I2033,9,FALSE()),"please select a BUG ID")</f>
        <v>please select a BUG ID</v>
      </c>
      <c r="D1402" s="85"/>
      <c r="E1402" s="85"/>
      <c r="F1402" s="133"/>
      <c r="G1402" s="41"/>
      <c r="H1402" s="147"/>
      <c r="I1402" s="131"/>
      <c r="J1402" s="131"/>
      <c r="K1402" s="131"/>
      <c r="L1402" s="131"/>
      <c r="M1402" s="131"/>
      <c r="N1402" s="43"/>
      <c r="O1402" s="51"/>
    </row>
    <row r="1403">
      <c r="A1403" s="43"/>
      <c r="B1403" s="59" t="str">
        <f>IFERROR(VLOOKUP(A1403,Internal_lists_bugs!$A$2:$G2033,7,FALSE()),"please select a BUG ID")</f>
        <v>please select a BUG ID</v>
      </c>
      <c r="C1403" s="51" t="str">
        <f>IFERROR(VLOOKUP(A1403,Internal_lists_bugs!$A$2:$I2033,9,FALSE()),"please select a BUG ID")</f>
        <v>please select a BUG ID</v>
      </c>
      <c r="D1403" s="85"/>
      <c r="E1403" s="85"/>
      <c r="F1403" s="133"/>
      <c r="G1403" s="41"/>
      <c r="H1403" s="115"/>
      <c r="I1403" s="131"/>
      <c r="J1403" s="131"/>
      <c r="K1403" s="131"/>
      <c r="L1403" s="131"/>
      <c r="M1403" s="131"/>
      <c r="N1403" s="43"/>
      <c r="O1403" s="51"/>
    </row>
    <row r="1404">
      <c r="A1404" s="43"/>
      <c r="B1404" s="59" t="str">
        <f>IFERROR(VLOOKUP(A1404,Internal_lists_bugs!$A$2:$G2033,7,FALSE()),"please select a BUG ID")</f>
        <v>please select a BUG ID</v>
      </c>
      <c r="C1404" s="51" t="str">
        <f>IFERROR(VLOOKUP(A1404,Internal_lists_bugs!$A$2:$I2033,9,FALSE()),"please select a BUG ID")</f>
        <v>please select a BUG ID</v>
      </c>
      <c r="D1404" s="85"/>
      <c r="E1404" s="85"/>
      <c r="F1404" s="133"/>
      <c r="G1404" s="41"/>
      <c r="H1404" s="115"/>
      <c r="I1404" s="131"/>
      <c r="J1404" s="131"/>
      <c r="K1404" s="131"/>
      <c r="L1404" s="131"/>
      <c r="M1404" s="131"/>
      <c r="N1404" s="43"/>
      <c r="O1404" s="51"/>
    </row>
    <row r="1405">
      <c r="A1405" s="43"/>
      <c r="B1405" s="59" t="str">
        <f>IFERROR(VLOOKUP(A1405,Internal_lists_bugs!$A$2:$G2033,7,FALSE()),"please select a BUG ID")</f>
        <v>please select a BUG ID</v>
      </c>
      <c r="C1405" s="51" t="str">
        <f>IFERROR(VLOOKUP(A1405,Internal_lists_bugs!$A$2:$I2033,9,FALSE()),"please select a BUG ID")</f>
        <v>please select a BUG ID</v>
      </c>
      <c r="D1405" s="85"/>
      <c r="E1405" s="85"/>
      <c r="F1405" s="133"/>
      <c r="G1405" s="41"/>
      <c r="H1405" s="115"/>
      <c r="I1405" s="131"/>
      <c r="J1405" s="131"/>
      <c r="K1405" s="131"/>
      <c r="L1405" s="131"/>
      <c r="M1405" s="131"/>
      <c r="N1405" s="43"/>
      <c r="O1405" s="51"/>
    </row>
    <row r="1406">
      <c r="A1406" s="43"/>
      <c r="B1406" s="59" t="str">
        <f>IFERROR(VLOOKUP(A1406,Internal_lists_bugs!$A$2:$G2033,7,FALSE()),"please select a BUG ID")</f>
        <v>please select a BUG ID</v>
      </c>
      <c r="C1406" s="51" t="str">
        <f>IFERROR(VLOOKUP(A1406,Internal_lists_bugs!$A$2:$I2033,9,FALSE()),"please select a BUG ID")</f>
        <v>please select a BUG ID</v>
      </c>
      <c r="D1406" s="85"/>
      <c r="E1406" s="85"/>
      <c r="F1406" s="133"/>
      <c r="G1406" s="41"/>
      <c r="H1406" s="115"/>
      <c r="I1406" s="131"/>
      <c r="J1406" s="131"/>
      <c r="K1406" s="131"/>
      <c r="L1406" s="131"/>
      <c r="M1406" s="131"/>
      <c r="N1406" s="43"/>
      <c r="O1406" s="51"/>
    </row>
    <row r="1407">
      <c r="A1407" s="43"/>
      <c r="B1407" s="59" t="str">
        <f>IFERROR(VLOOKUP(A1407,Internal_lists_bugs!$A$2:$G2033,7,FALSE()),"please select a BUG ID")</f>
        <v>please select a BUG ID</v>
      </c>
      <c r="C1407" s="51" t="str">
        <f>IFERROR(VLOOKUP(A1407,Internal_lists_bugs!$A$2:$I2033,9,FALSE()),"please select a BUG ID")</f>
        <v>please select a BUG ID</v>
      </c>
      <c r="D1407" s="85"/>
      <c r="E1407" s="85"/>
      <c r="F1407" s="133"/>
      <c r="G1407" s="41"/>
      <c r="H1407" s="115"/>
      <c r="I1407" s="131"/>
      <c r="J1407" s="131"/>
      <c r="K1407" s="131"/>
      <c r="L1407" s="131"/>
      <c r="M1407" s="131"/>
      <c r="N1407" s="43"/>
      <c r="O1407" s="51"/>
    </row>
    <row r="1408">
      <c r="A1408" s="43"/>
      <c r="B1408" s="59" t="str">
        <f>IFERROR(VLOOKUP(A1408,Internal_lists_bugs!$A$2:$G2033,7,FALSE()),"please select a BUG ID")</f>
        <v>please select a BUG ID</v>
      </c>
      <c r="C1408" s="51" t="str">
        <f>IFERROR(VLOOKUP(A1408,Internal_lists_bugs!$A$2:$I2033,9,FALSE()),"please select a BUG ID")</f>
        <v>please select a BUG ID</v>
      </c>
      <c r="D1408" s="85"/>
      <c r="E1408" s="85"/>
      <c r="F1408" s="133"/>
      <c r="G1408" s="41"/>
      <c r="H1408" s="115"/>
      <c r="I1408" s="131"/>
      <c r="J1408" s="131"/>
      <c r="K1408" s="131"/>
      <c r="L1408" s="131"/>
      <c r="M1408" s="131"/>
      <c r="N1408" s="43"/>
      <c r="O1408" s="51"/>
    </row>
    <row r="1409">
      <c r="A1409" s="43"/>
      <c r="B1409" s="59" t="str">
        <f>IFERROR(VLOOKUP(A1409,Internal_lists_bugs!$A$2:$G2033,7,FALSE()),"please select a BUG ID")</f>
        <v>please select a BUG ID</v>
      </c>
      <c r="C1409" s="51" t="str">
        <f>IFERROR(VLOOKUP(A1409,Internal_lists_bugs!$A$2:$I2033,9,FALSE()),"please select a BUG ID")</f>
        <v>please select a BUG ID</v>
      </c>
      <c r="D1409" s="85"/>
      <c r="E1409" s="85"/>
      <c r="F1409" s="133"/>
      <c r="G1409" s="41"/>
      <c r="H1409" s="147"/>
      <c r="I1409" s="131"/>
      <c r="J1409" s="131"/>
      <c r="K1409" s="131"/>
      <c r="L1409" s="131"/>
      <c r="M1409" s="131"/>
      <c r="N1409" s="43"/>
      <c r="O1409" s="51"/>
    </row>
    <row r="1410">
      <c r="A1410" s="43"/>
      <c r="B1410" s="59" t="str">
        <f>IFERROR(VLOOKUP(A1410,Internal_lists_bugs!$A$2:$G2033,7,FALSE()),"please select a BUG ID")</f>
        <v>please select a BUG ID</v>
      </c>
      <c r="C1410" s="51" t="str">
        <f>IFERROR(VLOOKUP(A1410,Internal_lists_bugs!$A$2:$I2033,9,FALSE()),"please select a BUG ID")</f>
        <v>please select a BUG ID</v>
      </c>
      <c r="D1410" s="85"/>
      <c r="E1410" s="85"/>
      <c r="F1410" s="133"/>
      <c r="G1410" s="41"/>
      <c r="H1410" s="147"/>
      <c r="I1410" s="131"/>
      <c r="J1410" s="131"/>
      <c r="K1410" s="131"/>
      <c r="L1410" s="131"/>
      <c r="M1410" s="131"/>
      <c r="N1410" s="43"/>
      <c r="O1410" s="51"/>
    </row>
    <row r="1411">
      <c r="A1411" s="43"/>
      <c r="B1411" s="59" t="str">
        <f>IFERROR(VLOOKUP(A1411,Internal_lists_bugs!$A$2:$G2033,7,FALSE()),"please select a BUG ID")</f>
        <v>please select a BUG ID</v>
      </c>
      <c r="C1411" s="51" t="str">
        <f>IFERROR(VLOOKUP(A1411,Internal_lists_bugs!$A$2:$I2033,9,FALSE()),"please select a BUG ID")</f>
        <v>please select a BUG ID</v>
      </c>
      <c r="D1411" s="85"/>
      <c r="E1411" s="85"/>
      <c r="F1411" s="133"/>
      <c r="G1411" s="41"/>
      <c r="H1411" s="115"/>
      <c r="I1411" s="131"/>
      <c r="J1411" s="131"/>
      <c r="K1411" s="131"/>
      <c r="L1411" s="131"/>
      <c r="M1411" s="131"/>
      <c r="N1411" s="43"/>
      <c r="O1411" s="51"/>
    </row>
    <row r="1412">
      <c r="A1412" s="43"/>
      <c r="B1412" s="59" t="str">
        <f>IFERROR(VLOOKUP(A1412,Internal_lists_bugs!$A$2:$G2033,7,FALSE()),"please select a BUG ID")</f>
        <v>please select a BUG ID</v>
      </c>
      <c r="C1412" s="51" t="str">
        <f>IFERROR(VLOOKUP(A1412,Internal_lists_bugs!$A$2:$I2033,9,FALSE()),"please select a BUG ID")</f>
        <v>please select a BUG ID</v>
      </c>
      <c r="D1412" s="85"/>
      <c r="E1412" s="85"/>
      <c r="F1412" s="133"/>
      <c r="G1412" s="41"/>
      <c r="H1412" s="115"/>
      <c r="I1412" s="131"/>
      <c r="J1412" s="131"/>
      <c r="K1412" s="131"/>
      <c r="L1412" s="131"/>
      <c r="M1412" s="131"/>
      <c r="N1412" s="43"/>
      <c r="O1412" s="51"/>
    </row>
    <row r="1413">
      <c r="A1413" s="43"/>
      <c r="B1413" s="59" t="str">
        <f>IFERROR(VLOOKUP(A1413,Internal_lists_bugs!$A$2:$G2033,7,FALSE()),"please select a BUG ID")</f>
        <v>please select a BUG ID</v>
      </c>
      <c r="C1413" s="51" t="str">
        <f>IFERROR(VLOOKUP(A1413,Internal_lists_bugs!$A$2:$I2033,9,FALSE()),"please select a BUG ID")</f>
        <v>please select a BUG ID</v>
      </c>
      <c r="D1413" s="85"/>
      <c r="E1413" s="85"/>
      <c r="F1413" s="133"/>
      <c r="G1413" s="41"/>
      <c r="H1413" s="115"/>
      <c r="I1413" s="131"/>
      <c r="J1413" s="131"/>
      <c r="K1413" s="131"/>
      <c r="L1413" s="131"/>
      <c r="M1413" s="131"/>
      <c r="N1413" s="43"/>
      <c r="O1413" s="51"/>
    </row>
    <row r="1414">
      <c r="A1414" s="43"/>
      <c r="B1414" s="59" t="str">
        <f>IFERROR(VLOOKUP(A1414,Internal_lists_bugs!$A$2:$G2033,7,FALSE()),"please select a BUG ID")</f>
        <v>please select a BUG ID</v>
      </c>
      <c r="C1414" s="51" t="str">
        <f>IFERROR(VLOOKUP(A1414,Internal_lists_bugs!$A$2:$I2033,9,FALSE()),"please select a BUG ID")</f>
        <v>please select a BUG ID</v>
      </c>
      <c r="D1414" s="85"/>
      <c r="E1414" s="85"/>
      <c r="F1414" s="133"/>
      <c r="G1414" s="41"/>
      <c r="H1414" s="115"/>
      <c r="I1414" s="131"/>
      <c r="J1414" s="131"/>
      <c r="K1414" s="131"/>
      <c r="L1414" s="131"/>
      <c r="M1414" s="131"/>
      <c r="N1414" s="43"/>
      <c r="O1414" s="51"/>
    </row>
    <row r="1415">
      <c r="A1415" s="43"/>
      <c r="B1415" s="59" t="str">
        <f>IFERROR(VLOOKUP(A1415,Internal_lists_bugs!$A$2:$G2033,7,FALSE()),"please select a BUG ID")</f>
        <v>please select a BUG ID</v>
      </c>
      <c r="C1415" s="51" t="str">
        <f>IFERROR(VLOOKUP(A1415,Internal_lists_bugs!$A$2:$I2033,9,FALSE()),"please select a BUG ID")</f>
        <v>please select a BUG ID</v>
      </c>
      <c r="D1415" s="85"/>
      <c r="E1415" s="85"/>
      <c r="F1415" s="133"/>
      <c r="G1415" s="41"/>
      <c r="H1415" s="115"/>
      <c r="I1415" s="131"/>
      <c r="J1415" s="131"/>
      <c r="K1415" s="131"/>
      <c r="L1415" s="131"/>
      <c r="M1415" s="131"/>
      <c r="N1415" s="43"/>
      <c r="O1415" s="51"/>
    </row>
    <row r="1416">
      <c r="A1416" s="43"/>
      <c r="B1416" s="59" t="str">
        <f>IFERROR(VLOOKUP(A1416,Internal_lists_bugs!$A$2:$G2033,7,FALSE()),"please select a BUG ID")</f>
        <v>please select a BUG ID</v>
      </c>
      <c r="C1416" s="51" t="str">
        <f>IFERROR(VLOOKUP(A1416,Internal_lists_bugs!$A$2:$I2033,9,FALSE()),"please select a BUG ID")</f>
        <v>please select a BUG ID</v>
      </c>
      <c r="D1416" s="85"/>
      <c r="E1416" s="85"/>
      <c r="F1416" s="133"/>
      <c r="G1416" s="41"/>
      <c r="H1416" s="115"/>
      <c r="I1416" s="131"/>
      <c r="J1416" s="131"/>
      <c r="K1416" s="131"/>
      <c r="L1416" s="131"/>
      <c r="M1416" s="131"/>
      <c r="N1416" s="43"/>
      <c r="O1416" s="51"/>
    </row>
    <row r="1417">
      <c r="A1417" s="43"/>
      <c r="B1417" s="59" t="str">
        <f>IFERROR(VLOOKUP(A1417,Internal_lists_bugs!$A$2:$G2033,7,FALSE()),"please select a BUG ID")</f>
        <v>please select a BUG ID</v>
      </c>
      <c r="C1417" s="51" t="str">
        <f>IFERROR(VLOOKUP(A1417,Internal_lists_bugs!$A$2:$I2033,9,FALSE()),"please select a BUG ID")</f>
        <v>please select a BUG ID</v>
      </c>
      <c r="D1417" s="85"/>
      <c r="E1417" s="85"/>
      <c r="F1417" s="133"/>
      <c r="G1417" s="41"/>
      <c r="H1417" s="115"/>
      <c r="I1417" s="131"/>
      <c r="J1417" s="131"/>
      <c r="K1417" s="131"/>
      <c r="L1417" s="131"/>
      <c r="M1417" s="131"/>
      <c r="N1417" s="43"/>
      <c r="O1417" s="51"/>
    </row>
    <row r="1418">
      <c r="A1418" s="43"/>
      <c r="B1418" s="59" t="str">
        <f>IFERROR(VLOOKUP(A1418,Internal_lists_bugs!$A$2:$G2033,7,FALSE()),"please select a BUG ID")</f>
        <v>please select a BUG ID</v>
      </c>
      <c r="C1418" s="51" t="str">
        <f>IFERROR(VLOOKUP(A1418,Internal_lists_bugs!$A$2:$I2033,9,FALSE()),"please select a BUG ID")</f>
        <v>please select a BUG ID</v>
      </c>
      <c r="D1418" s="85"/>
      <c r="E1418" s="85"/>
      <c r="F1418" s="133"/>
      <c r="G1418" s="41"/>
      <c r="H1418" s="115"/>
      <c r="I1418" s="131"/>
      <c r="J1418" s="131"/>
      <c r="K1418" s="131"/>
      <c r="L1418" s="131"/>
      <c r="M1418" s="131"/>
      <c r="N1418" s="43"/>
      <c r="O1418" s="51"/>
    </row>
    <row r="1419">
      <c r="A1419" s="43"/>
      <c r="B1419" s="59" t="str">
        <f>IFERROR(VLOOKUP(A1419,Internal_lists_bugs!$A$2:$G2033,7,FALSE()),"please select a BUG ID")</f>
        <v>please select a BUG ID</v>
      </c>
      <c r="C1419" s="51" t="str">
        <f>IFERROR(VLOOKUP(A1419,Internal_lists_bugs!$A$2:$I2033,9,FALSE()),"please select a BUG ID")</f>
        <v>please select a BUG ID</v>
      </c>
      <c r="D1419" s="85"/>
      <c r="E1419" s="85"/>
      <c r="F1419" s="133"/>
      <c r="G1419" s="41"/>
      <c r="H1419" s="115"/>
      <c r="I1419" s="131"/>
      <c r="J1419" s="131"/>
      <c r="K1419" s="131"/>
      <c r="L1419" s="131"/>
      <c r="M1419" s="131"/>
      <c r="N1419" s="43"/>
      <c r="O1419" s="51"/>
    </row>
    <row r="1420">
      <c r="A1420" s="43"/>
      <c r="B1420" s="59" t="str">
        <f>IFERROR(VLOOKUP(A1420,Internal_lists_bugs!$A$2:$G2033,7,FALSE()),"please select a BUG ID")</f>
        <v>please select a BUG ID</v>
      </c>
      <c r="C1420" s="51" t="str">
        <f>IFERROR(VLOOKUP(A1420,Internal_lists_bugs!$A$2:$I2033,9,FALSE()),"please select a BUG ID")</f>
        <v>please select a BUG ID</v>
      </c>
      <c r="D1420" s="85"/>
      <c r="E1420" s="85"/>
      <c r="F1420" s="133"/>
      <c r="G1420" s="41"/>
      <c r="H1420" s="115"/>
      <c r="I1420" s="131"/>
      <c r="J1420" s="131"/>
      <c r="K1420" s="131"/>
      <c r="L1420" s="131"/>
      <c r="M1420" s="131"/>
      <c r="N1420" s="43"/>
      <c r="O1420" s="51"/>
    </row>
    <row r="1421">
      <c r="A1421" s="43"/>
      <c r="B1421" s="59" t="str">
        <f>IFERROR(VLOOKUP(A1421,Internal_lists_bugs!$A$2:$G2033,7,FALSE()),"please select a BUG ID")</f>
        <v>please select a BUG ID</v>
      </c>
      <c r="C1421" s="51" t="str">
        <f>IFERROR(VLOOKUP(A1421,Internal_lists_bugs!$A$2:$I2033,9,FALSE()),"please select a BUG ID")</f>
        <v>please select a BUG ID</v>
      </c>
      <c r="D1421" s="85"/>
      <c r="E1421" s="85"/>
      <c r="F1421" s="133"/>
      <c r="G1421" s="41"/>
      <c r="H1421" s="115"/>
      <c r="I1421" s="131"/>
      <c r="J1421" s="131"/>
      <c r="K1421" s="131"/>
      <c r="L1421" s="131"/>
      <c r="M1421" s="131"/>
      <c r="N1421" s="43"/>
      <c r="O1421" s="51"/>
    </row>
    <row r="1422">
      <c r="A1422" s="43"/>
      <c r="B1422" s="59" t="str">
        <f>IFERROR(VLOOKUP(A1422,Internal_lists_bugs!$A$2:$G2033,7,FALSE()),"please select a BUG ID")</f>
        <v>please select a BUG ID</v>
      </c>
      <c r="C1422" s="51" t="str">
        <f>IFERROR(VLOOKUP(A1422,Internal_lists_bugs!$A$2:$I2033,9,FALSE()),"please select a BUG ID")</f>
        <v>please select a BUG ID</v>
      </c>
      <c r="D1422" s="85"/>
      <c r="E1422" s="85"/>
      <c r="F1422" s="133"/>
      <c r="G1422" s="41"/>
      <c r="H1422" s="115"/>
      <c r="I1422" s="131"/>
      <c r="J1422" s="131"/>
      <c r="K1422" s="131"/>
      <c r="L1422" s="131"/>
      <c r="M1422" s="131"/>
      <c r="N1422" s="43"/>
      <c r="O1422" s="51"/>
    </row>
    <row r="1423">
      <c r="A1423" s="43"/>
      <c r="B1423" s="59" t="str">
        <f>IFERROR(VLOOKUP(A1423,Internal_lists_bugs!$A$2:$G2033,7,FALSE()),"please select a BUG ID")</f>
        <v>please select a BUG ID</v>
      </c>
      <c r="C1423" s="51" t="str">
        <f>IFERROR(VLOOKUP(A1423,Internal_lists_bugs!$A$2:$I2033,9,FALSE()),"please select a BUG ID")</f>
        <v>please select a BUG ID</v>
      </c>
      <c r="D1423" s="85"/>
      <c r="E1423" s="85"/>
      <c r="F1423" s="133"/>
      <c r="G1423" s="49"/>
      <c r="H1423" s="46"/>
      <c r="I1423" s="131"/>
      <c r="J1423" s="131"/>
      <c r="K1423" s="131"/>
      <c r="L1423" s="131"/>
      <c r="M1423" s="131"/>
      <c r="N1423" s="43"/>
      <c r="O1423" s="51"/>
    </row>
    <row r="1424">
      <c r="A1424" s="43"/>
      <c r="B1424" s="59" t="str">
        <f>IFERROR(VLOOKUP(A1424,Internal_lists_bugs!$A$2:$G2033,7,FALSE()),"please select a BUG ID")</f>
        <v>please select a BUG ID</v>
      </c>
      <c r="C1424" s="51" t="str">
        <f>IFERROR(VLOOKUP(A1424,Internal_lists_bugs!$A$2:$I2033,9,FALSE()),"please select a BUG ID")</f>
        <v>please select a BUG ID</v>
      </c>
      <c r="D1424" s="85"/>
      <c r="E1424" s="85"/>
      <c r="F1424" s="133"/>
      <c r="G1424" s="49"/>
      <c r="H1424" s="46"/>
      <c r="I1424" s="131"/>
      <c r="J1424" s="131"/>
      <c r="K1424" s="131"/>
      <c r="L1424" s="131"/>
      <c r="M1424" s="131"/>
      <c r="N1424" s="43"/>
      <c r="O1424" s="51"/>
    </row>
    <row r="1425">
      <c r="A1425" s="43"/>
      <c r="B1425" s="59" t="str">
        <f>IFERROR(VLOOKUP(A1425,Internal_lists_bugs!$A$2:$G2033,7,FALSE()),"please select a BUG ID")</f>
        <v>please select a BUG ID</v>
      </c>
      <c r="C1425" s="51" t="str">
        <f>IFERROR(VLOOKUP(A1425,Internal_lists_bugs!$A$2:$I2033,9,FALSE()),"please select a BUG ID")</f>
        <v>please select a BUG ID</v>
      </c>
      <c r="D1425" s="85"/>
      <c r="E1425" s="85"/>
      <c r="F1425" s="133"/>
      <c r="G1425" s="49"/>
      <c r="H1425" s="46"/>
      <c r="I1425" s="131"/>
      <c r="J1425" s="131"/>
      <c r="K1425" s="131"/>
      <c r="L1425" s="131"/>
      <c r="M1425" s="131"/>
      <c r="N1425" s="43"/>
      <c r="O1425" s="51"/>
    </row>
    <row r="1426">
      <c r="A1426" s="43"/>
      <c r="B1426" s="59" t="str">
        <f>IFERROR(VLOOKUP(A1426,Internal_lists_bugs!$A$2:$G2033,7,FALSE()),"please select a BUG ID")</f>
        <v>please select a BUG ID</v>
      </c>
      <c r="C1426" s="51" t="str">
        <f>IFERROR(VLOOKUP(A1426,Internal_lists_bugs!$A$2:$I2033,9,FALSE()),"please select a BUG ID")</f>
        <v>please select a BUG ID</v>
      </c>
      <c r="D1426" s="85"/>
      <c r="E1426" s="85"/>
      <c r="F1426" s="133"/>
      <c r="G1426" s="49"/>
      <c r="H1426" s="46"/>
      <c r="I1426" s="131"/>
      <c r="J1426" s="131"/>
      <c r="K1426" s="131"/>
      <c r="L1426" s="131"/>
      <c r="M1426" s="131"/>
      <c r="N1426" s="43"/>
      <c r="O1426" s="51"/>
    </row>
    <row r="1427">
      <c r="A1427" s="43"/>
      <c r="B1427" s="59" t="str">
        <f>IFERROR(VLOOKUP(A1427,Internal_lists_bugs!$A$2:$G2033,7,FALSE()),"please select a BUG ID")</f>
        <v>please select a BUG ID</v>
      </c>
      <c r="C1427" s="51" t="str">
        <f>IFERROR(VLOOKUP(A1427,Internal_lists_bugs!$A$2:$I2033,9,FALSE()),"please select a BUG ID")</f>
        <v>please select a BUG ID</v>
      </c>
      <c r="D1427" s="85"/>
      <c r="E1427" s="85"/>
      <c r="F1427" s="133"/>
      <c r="G1427" s="49"/>
      <c r="H1427" s="46"/>
      <c r="I1427" s="131"/>
      <c r="J1427" s="131"/>
      <c r="K1427" s="131"/>
      <c r="L1427" s="131"/>
      <c r="M1427" s="131"/>
      <c r="N1427" s="43"/>
      <c r="O1427" s="51"/>
    </row>
    <row r="1428">
      <c r="A1428" s="43"/>
      <c r="B1428" s="59" t="str">
        <f>IFERROR(VLOOKUP(A1428,Internal_lists_bugs!$A$2:$G2033,7,FALSE()),"please select a BUG ID")</f>
        <v>please select a BUG ID</v>
      </c>
      <c r="C1428" s="51" t="str">
        <f>IFERROR(VLOOKUP(A1428,Internal_lists_bugs!$A$2:$I2033,9,FALSE()),"please select a BUG ID")</f>
        <v>please select a BUG ID</v>
      </c>
      <c r="D1428" s="85"/>
      <c r="E1428" s="85"/>
      <c r="F1428" s="133"/>
      <c r="G1428" s="49"/>
      <c r="H1428" s="46"/>
      <c r="I1428" s="131"/>
      <c r="J1428" s="131"/>
      <c r="K1428" s="131"/>
      <c r="L1428" s="131"/>
      <c r="M1428" s="131"/>
      <c r="N1428" s="43"/>
      <c r="O1428" s="51"/>
    </row>
    <row r="1429">
      <c r="A1429" s="43"/>
      <c r="B1429" s="59" t="str">
        <f>IFERROR(VLOOKUP(A1429,Internal_lists_bugs!$A$2:$G2033,7,FALSE()),"please select a BUG ID")</f>
        <v>please select a BUG ID</v>
      </c>
      <c r="C1429" s="51" t="str">
        <f>IFERROR(VLOOKUP(A1429,Internal_lists_bugs!$A$2:$I2033,9,FALSE()),"please select a BUG ID")</f>
        <v>please select a BUG ID</v>
      </c>
      <c r="D1429" s="85"/>
      <c r="E1429" s="85"/>
      <c r="F1429" s="133"/>
      <c r="G1429" s="49"/>
      <c r="H1429" s="46"/>
      <c r="I1429" s="131"/>
      <c r="J1429" s="131"/>
      <c r="K1429" s="131"/>
      <c r="L1429" s="131"/>
      <c r="M1429" s="131"/>
      <c r="N1429" s="43"/>
      <c r="O1429" s="51"/>
    </row>
    <row r="1430">
      <c r="A1430" s="43"/>
      <c r="B1430" s="59" t="str">
        <f>IFERROR(VLOOKUP(A1430,Internal_lists_bugs!$A$2:$G2033,7,FALSE()),"please select a BUG ID")</f>
        <v>please select a BUG ID</v>
      </c>
      <c r="C1430" s="51" t="str">
        <f>IFERROR(VLOOKUP(A1430,Internal_lists_bugs!$A$2:$I2033,9,FALSE()),"please select a BUG ID")</f>
        <v>please select a BUG ID</v>
      </c>
      <c r="D1430" s="85"/>
      <c r="E1430" s="85"/>
      <c r="F1430" s="133"/>
      <c r="G1430" s="49"/>
      <c r="H1430" s="46"/>
      <c r="I1430" s="131"/>
      <c r="J1430" s="131"/>
      <c r="K1430" s="131"/>
      <c r="L1430" s="131"/>
      <c r="M1430" s="131"/>
      <c r="N1430" s="43"/>
      <c r="O1430" s="51"/>
    </row>
    <row r="1431">
      <c r="A1431" s="43"/>
      <c r="B1431" s="59" t="str">
        <f>IFERROR(VLOOKUP(A1431,Internal_lists_bugs!$A$2:$G2033,7,FALSE()),"please select a BUG ID")</f>
        <v>please select a BUG ID</v>
      </c>
      <c r="C1431" s="51" t="str">
        <f>IFERROR(VLOOKUP(A1431,Internal_lists_bugs!$A$2:$I2033,9,FALSE()),"please select a BUG ID")</f>
        <v>please select a BUG ID</v>
      </c>
      <c r="D1431" s="85"/>
      <c r="E1431" s="85"/>
      <c r="F1431" s="133"/>
      <c r="G1431" s="49"/>
      <c r="H1431" s="46"/>
      <c r="I1431" s="131"/>
      <c r="J1431" s="131"/>
      <c r="K1431" s="131"/>
      <c r="L1431" s="131"/>
      <c r="M1431" s="131"/>
      <c r="N1431" s="43"/>
      <c r="O1431" s="51"/>
    </row>
    <row r="1432">
      <c r="A1432" s="43"/>
      <c r="B1432" s="59" t="str">
        <f>IFERROR(VLOOKUP(A1432,Internal_lists_bugs!$A$2:$G2033,7,FALSE()),"please select a BUG ID")</f>
        <v>please select a BUG ID</v>
      </c>
      <c r="C1432" s="51" t="str">
        <f>IFERROR(VLOOKUP(A1432,Internal_lists_bugs!$A$2:$I2033,9,FALSE()),"please select a BUG ID")</f>
        <v>please select a BUG ID</v>
      </c>
      <c r="D1432" s="85"/>
      <c r="E1432" s="85"/>
      <c r="F1432" s="133"/>
      <c r="G1432" s="49"/>
      <c r="H1432" s="46"/>
      <c r="I1432" s="131"/>
      <c r="J1432" s="131"/>
      <c r="K1432" s="131"/>
      <c r="L1432" s="131"/>
      <c r="M1432" s="131"/>
      <c r="N1432" s="43"/>
      <c r="O1432" s="51"/>
    </row>
    <row r="1433">
      <c r="A1433" s="43"/>
      <c r="B1433" s="59" t="str">
        <f>IFERROR(VLOOKUP(A1433,Internal_lists_bugs!$A$2:$G2033,7,FALSE()),"please select a BUG ID")</f>
        <v>please select a BUG ID</v>
      </c>
      <c r="C1433" s="51" t="str">
        <f>IFERROR(VLOOKUP(A1433,Internal_lists_bugs!$A$2:$I2033,9,FALSE()),"please select a BUG ID")</f>
        <v>please select a BUG ID</v>
      </c>
      <c r="D1433" s="85"/>
      <c r="E1433" s="85"/>
      <c r="F1433" s="133"/>
      <c r="G1433" s="49"/>
      <c r="H1433" s="46"/>
      <c r="I1433" s="131"/>
      <c r="J1433" s="131"/>
      <c r="K1433" s="131"/>
      <c r="L1433" s="131"/>
      <c r="M1433" s="131"/>
      <c r="N1433" s="43"/>
      <c r="O1433" s="51"/>
    </row>
    <row r="1434">
      <c r="A1434" s="43"/>
      <c r="B1434" s="59" t="str">
        <f>IFERROR(VLOOKUP(A1434,Internal_lists_bugs!$A$2:$G2033,7,FALSE()),"please select a BUG ID")</f>
        <v>please select a BUG ID</v>
      </c>
      <c r="C1434" s="51" t="str">
        <f>IFERROR(VLOOKUP(A1434,Internal_lists_bugs!$A$2:$I2033,9,FALSE()),"please select a BUG ID")</f>
        <v>please select a BUG ID</v>
      </c>
      <c r="D1434" s="85"/>
      <c r="E1434" s="85"/>
      <c r="F1434" s="133"/>
      <c r="G1434" s="49"/>
      <c r="H1434" s="46"/>
      <c r="I1434" s="131"/>
      <c r="J1434" s="131"/>
      <c r="K1434" s="131"/>
      <c r="L1434" s="131"/>
      <c r="M1434" s="131"/>
      <c r="N1434" s="43"/>
      <c r="O1434" s="51"/>
    </row>
    <row r="1435">
      <c r="A1435" s="43"/>
      <c r="B1435" s="59" t="str">
        <f>IFERROR(VLOOKUP(A1435,Internal_lists_bugs!$A$2:$G2033,7,FALSE()),"please select a BUG ID")</f>
        <v>please select a BUG ID</v>
      </c>
      <c r="C1435" s="51" t="str">
        <f>IFERROR(VLOOKUP(A1435,Internal_lists_bugs!$A$2:$I2033,9,FALSE()),"please select a BUG ID")</f>
        <v>please select a BUG ID</v>
      </c>
      <c r="D1435" s="85"/>
      <c r="E1435" s="85"/>
      <c r="F1435" s="133"/>
      <c r="G1435" s="49"/>
      <c r="H1435" s="46"/>
      <c r="I1435" s="131"/>
      <c r="J1435" s="131"/>
      <c r="K1435" s="131"/>
      <c r="L1435" s="131"/>
      <c r="M1435" s="131"/>
      <c r="N1435" s="43"/>
      <c r="O1435" s="51"/>
    </row>
    <row r="1436">
      <c r="A1436" s="43"/>
      <c r="B1436" s="59" t="str">
        <f>IFERROR(VLOOKUP(A1436,Internal_lists_bugs!$A$2:$G2033,7,FALSE()),"please select a BUG ID")</f>
        <v>please select a BUG ID</v>
      </c>
      <c r="C1436" s="51" t="str">
        <f>IFERROR(VLOOKUP(A1436,Internal_lists_bugs!$A$2:$I2033,9,FALSE()),"please select a BUG ID")</f>
        <v>please select a BUG ID</v>
      </c>
      <c r="D1436" s="85"/>
      <c r="E1436" s="85"/>
      <c r="F1436" s="133"/>
      <c r="G1436" s="49"/>
      <c r="H1436" s="46"/>
      <c r="I1436" s="131"/>
      <c r="J1436" s="131"/>
      <c r="K1436" s="131"/>
      <c r="L1436" s="131"/>
      <c r="M1436" s="131"/>
      <c r="N1436" s="43"/>
      <c r="O1436" s="51"/>
    </row>
    <row r="1437">
      <c r="A1437" s="43"/>
      <c r="B1437" s="59" t="str">
        <f>IFERROR(VLOOKUP(A1437,Internal_lists_bugs!$A$2:$G2033,7,FALSE()),"please select a BUG ID")</f>
        <v>please select a BUG ID</v>
      </c>
      <c r="C1437" s="51" t="str">
        <f>IFERROR(VLOOKUP(A1437,Internal_lists_bugs!$A$2:$I2033,9,FALSE()),"please select a BUG ID")</f>
        <v>please select a BUG ID</v>
      </c>
      <c r="D1437" s="85"/>
      <c r="E1437" s="85"/>
      <c r="F1437" s="133"/>
      <c r="G1437" s="49"/>
      <c r="H1437" s="46"/>
      <c r="I1437" s="131"/>
      <c r="J1437" s="131"/>
      <c r="K1437" s="131"/>
      <c r="L1437" s="131"/>
      <c r="M1437" s="131"/>
      <c r="N1437" s="43"/>
      <c r="O1437" s="51"/>
    </row>
    <row r="1438">
      <c r="A1438" s="43"/>
      <c r="B1438" s="59" t="str">
        <f>IFERROR(VLOOKUP(A1438,Internal_lists_bugs!$A$2:$G2033,7,FALSE()),"please select a BUG ID")</f>
        <v>please select a BUG ID</v>
      </c>
      <c r="C1438" s="51" t="str">
        <f>IFERROR(VLOOKUP(A1438,Internal_lists_bugs!$A$2:$I2033,9,FALSE()),"please select a BUG ID")</f>
        <v>please select a BUG ID</v>
      </c>
      <c r="D1438" s="85"/>
      <c r="E1438" s="85"/>
      <c r="F1438" s="133"/>
      <c r="G1438" s="49"/>
      <c r="H1438" s="50"/>
      <c r="I1438" s="131"/>
      <c r="J1438" s="131"/>
      <c r="K1438" s="131"/>
      <c r="L1438" s="131"/>
      <c r="M1438" s="131"/>
      <c r="N1438" s="43"/>
      <c r="O1438" s="51"/>
    </row>
    <row r="1439">
      <c r="A1439" s="43"/>
      <c r="B1439" s="59" t="str">
        <f>IFERROR(VLOOKUP(A1439,Internal_lists_bugs!$A$2:$G2033,7,FALSE()),"please select a BUG ID")</f>
        <v>please select a BUG ID</v>
      </c>
      <c r="C1439" s="51" t="str">
        <f>IFERROR(VLOOKUP(A1439,Internal_lists_bugs!$A$2:$I2033,9,FALSE()),"please select a BUG ID")</f>
        <v>please select a BUG ID</v>
      </c>
      <c r="D1439" s="85"/>
      <c r="E1439" s="85"/>
      <c r="F1439" s="133"/>
      <c r="G1439" s="49"/>
      <c r="H1439" s="50"/>
      <c r="I1439" s="131"/>
      <c r="J1439" s="131"/>
      <c r="K1439" s="131"/>
      <c r="L1439" s="131"/>
      <c r="M1439" s="131"/>
      <c r="N1439" s="43"/>
      <c r="O1439" s="51"/>
    </row>
    <row r="1440">
      <c r="A1440" s="43"/>
      <c r="B1440" s="59" t="str">
        <f>IFERROR(VLOOKUP(A1440,Internal_lists_bugs!$A$2:$G2033,7,FALSE()),"please select a BUG ID")</f>
        <v>please select a BUG ID</v>
      </c>
      <c r="C1440" s="51" t="str">
        <f>IFERROR(VLOOKUP(A1440,Internal_lists_bugs!$A$2:$I2033,9,FALSE()),"please select a BUG ID")</f>
        <v>please select a BUG ID</v>
      </c>
      <c r="D1440" s="85"/>
      <c r="E1440" s="85"/>
      <c r="F1440" s="133"/>
      <c r="G1440" s="49"/>
      <c r="H1440" s="50"/>
      <c r="I1440" s="131"/>
      <c r="J1440" s="131"/>
      <c r="K1440" s="131"/>
      <c r="L1440" s="131"/>
      <c r="M1440" s="131"/>
      <c r="N1440" s="43"/>
      <c r="O1440" s="51"/>
    </row>
    <row r="1441">
      <c r="A1441" s="43"/>
      <c r="B1441" s="59" t="str">
        <f>IFERROR(VLOOKUP(A1441,Internal_lists_bugs!$A$2:$G2033,7,FALSE()),"please select a BUG ID")</f>
        <v>please select a BUG ID</v>
      </c>
      <c r="C1441" s="51" t="str">
        <f>IFERROR(VLOOKUP(A1441,Internal_lists_bugs!$A$2:$I2033,9,FALSE()),"please select a BUG ID")</f>
        <v>please select a BUG ID</v>
      </c>
      <c r="D1441" s="85"/>
      <c r="E1441" s="85"/>
      <c r="F1441" s="133"/>
      <c r="G1441" s="49"/>
      <c r="H1441" s="50"/>
      <c r="I1441" s="131"/>
      <c r="J1441" s="131"/>
      <c r="K1441" s="131"/>
      <c r="L1441" s="131"/>
      <c r="M1441" s="131"/>
      <c r="N1441" s="43"/>
      <c r="O1441" s="51"/>
    </row>
    <row r="1442">
      <c r="A1442" s="43"/>
      <c r="B1442" s="59" t="str">
        <f>IFERROR(VLOOKUP(A1442,Internal_lists_bugs!$A$2:$G2033,7,FALSE()),"please select a BUG ID")</f>
        <v>please select a BUG ID</v>
      </c>
      <c r="C1442" s="51" t="str">
        <f>IFERROR(VLOOKUP(A1442,Internal_lists_bugs!$A$2:$I2033,9,FALSE()),"please select a BUG ID")</f>
        <v>please select a BUG ID</v>
      </c>
      <c r="D1442" s="85"/>
      <c r="E1442" s="85"/>
      <c r="F1442" s="133"/>
      <c r="G1442" s="49"/>
      <c r="H1442" s="50"/>
      <c r="I1442" s="131"/>
      <c r="J1442" s="131"/>
      <c r="K1442" s="131"/>
      <c r="L1442" s="131"/>
      <c r="M1442" s="131"/>
      <c r="N1442" s="43"/>
      <c r="O1442" s="51"/>
    </row>
    <row r="1443">
      <c r="A1443" s="43"/>
      <c r="B1443" s="59" t="str">
        <f>IFERROR(VLOOKUP(A1443,Internal_lists_bugs!$A$2:$G2033,7,FALSE()),"please select a BUG ID")</f>
        <v>please select a BUG ID</v>
      </c>
      <c r="C1443" s="51" t="str">
        <f>IFERROR(VLOOKUP(A1443,Internal_lists_bugs!$A$2:$I2033,9,FALSE()),"please select a BUG ID")</f>
        <v>please select a BUG ID</v>
      </c>
      <c r="D1443" s="85"/>
      <c r="E1443" s="85"/>
      <c r="F1443" s="133"/>
      <c r="G1443" s="49"/>
      <c r="H1443" s="50"/>
      <c r="I1443" s="131"/>
      <c r="J1443" s="131"/>
      <c r="K1443" s="131"/>
      <c r="L1443" s="131"/>
      <c r="M1443" s="131"/>
      <c r="N1443" s="43"/>
      <c r="O1443" s="51"/>
    </row>
    <row r="1444">
      <c r="A1444" s="43"/>
      <c r="B1444" s="59" t="str">
        <f>IFERROR(VLOOKUP(A1444,Internal_lists_bugs!$A$2:$G2033,7,FALSE()),"please select a BUG ID")</f>
        <v>please select a BUG ID</v>
      </c>
      <c r="C1444" s="51" t="str">
        <f>IFERROR(VLOOKUP(A1444,Internal_lists_bugs!$A$2:$I2033,9,FALSE()),"please select a BUG ID")</f>
        <v>please select a BUG ID</v>
      </c>
      <c r="D1444" s="85"/>
      <c r="E1444" s="85"/>
      <c r="F1444" s="133"/>
      <c r="G1444" s="49"/>
      <c r="H1444" s="50"/>
      <c r="I1444" s="131"/>
      <c r="J1444" s="131"/>
      <c r="K1444" s="131"/>
      <c r="L1444" s="131"/>
      <c r="M1444" s="131"/>
      <c r="N1444" s="43"/>
      <c r="O1444" s="51"/>
    </row>
    <row r="1445">
      <c r="A1445" s="43"/>
      <c r="B1445" s="59" t="str">
        <f>IFERROR(VLOOKUP(A1445,Internal_lists_bugs!$A$2:$G2033,7,FALSE()),"please select a BUG ID")</f>
        <v>please select a BUG ID</v>
      </c>
      <c r="C1445" s="51" t="str">
        <f>IFERROR(VLOOKUP(A1445,Internal_lists_bugs!$A$2:$I2033,9,FALSE()),"please select a BUG ID")</f>
        <v>please select a BUG ID</v>
      </c>
      <c r="D1445" s="85"/>
      <c r="E1445" s="85"/>
      <c r="F1445" s="133"/>
      <c r="G1445" s="49"/>
      <c r="H1445" s="50"/>
      <c r="I1445" s="131"/>
      <c r="J1445" s="131"/>
      <c r="K1445" s="131"/>
      <c r="L1445" s="131"/>
      <c r="M1445" s="131"/>
      <c r="N1445" s="43"/>
      <c r="O1445" s="51"/>
    </row>
    <row r="1446">
      <c r="A1446" s="43"/>
      <c r="B1446" s="59" t="str">
        <f>IFERROR(VLOOKUP(A1446,Internal_lists_bugs!$A$2:$G2033,7,FALSE()),"please select a BUG ID")</f>
        <v>please select a BUG ID</v>
      </c>
      <c r="C1446" s="51" t="str">
        <f>IFERROR(VLOOKUP(A1446,Internal_lists_bugs!$A$2:$I2033,9,FALSE()),"please select a BUG ID")</f>
        <v>please select a BUG ID</v>
      </c>
      <c r="D1446" s="85"/>
      <c r="E1446" s="85"/>
      <c r="F1446" s="133"/>
      <c r="G1446" s="49"/>
      <c r="H1446" s="50"/>
      <c r="I1446" s="131"/>
      <c r="J1446" s="131"/>
      <c r="K1446" s="131"/>
      <c r="L1446" s="131"/>
      <c r="M1446" s="131"/>
      <c r="N1446" s="43"/>
      <c r="O1446" s="51"/>
    </row>
    <row r="1447">
      <c r="A1447" s="43"/>
      <c r="B1447" s="59" t="str">
        <f>IFERROR(VLOOKUP(A1447,Internal_lists_bugs!$A$2:$G2033,7,FALSE()),"please select a BUG ID")</f>
        <v>please select a BUG ID</v>
      </c>
      <c r="C1447" s="51" t="str">
        <f>IFERROR(VLOOKUP(A1447,Internal_lists_bugs!$A$2:$I2033,9,FALSE()),"please select a BUG ID")</f>
        <v>please select a BUG ID</v>
      </c>
      <c r="D1447" s="85"/>
      <c r="E1447" s="85"/>
      <c r="F1447" s="133"/>
      <c r="G1447" s="49"/>
      <c r="H1447" s="50"/>
      <c r="I1447" s="131"/>
      <c r="J1447" s="131"/>
      <c r="K1447" s="131"/>
      <c r="L1447" s="131"/>
      <c r="M1447" s="131"/>
      <c r="N1447" s="43"/>
      <c r="O1447" s="51"/>
    </row>
    <row r="1448">
      <c r="A1448" s="43"/>
      <c r="B1448" s="59" t="str">
        <f>IFERROR(VLOOKUP(A1448,Internal_lists_bugs!$A$2:$G2033,7,FALSE()),"please select a BUG ID")</f>
        <v>please select a BUG ID</v>
      </c>
      <c r="C1448" s="51" t="str">
        <f>IFERROR(VLOOKUP(A1448,Internal_lists_bugs!$A$2:$I2033,9,FALSE()),"please select a BUG ID")</f>
        <v>please select a BUG ID</v>
      </c>
      <c r="D1448" s="85"/>
      <c r="E1448" s="85"/>
      <c r="F1448" s="133"/>
      <c r="G1448" s="49"/>
      <c r="H1448" s="50"/>
      <c r="I1448" s="131"/>
      <c r="J1448" s="131"/>
      <c r="K1448" s="131"/>
      <c r="L1448" s="131"/>
      <c r="M1448" s="131"/>
      <c r="N1448" s="43"/>
      <c r="O1448" s="51"/>
    </row>
    <row r="1449">
      <c r="A1449" s="43"/>
      <c r="B1449" s="59" t="str">
        <f>IFERROR(VLOOKUP(A1449,Internal_lists_bugs!$A$2:$G2033,7,FALSE()),"please select a BUG ID")</f>
        <v>please select a BUG ID</v>
      </c>
      <c r="C1449" s="51" t="str">
        <f>IFERROR(VLOOKUP(A1449,Internal_lists_bugs!$A$2:$I2033,9,FALSE()),"please select a BUG ID")</f>
        <v>please select a BUG ID</v>
      </c>
      <c r="D1449" s="85"/>
      <c r="E1449" s="85"/>
      <c r="F1449" s="133"/>
      <c r="G1449" s="49"/>
      <c r="H1449" s="50"/>
      <c r="I1449" s="131"/>
      <c r="J1449" s="131"/>
      <c r="K1449" s="131"/>
      <c r="L1449" s="131"/>
      <c r="M1449" s="131"/>
      <c r="N1449" s="43"/>
      <c r="O1449" s="51"/>
    </row>
    <row r="1450">
      <c r="A1450" s="43"/>
      <c r="B1450" s="59" t="str">
        <f>IFERROR(VLOOKUP(A1450,Internal_lists_bugs!$A$2:$G2033,7,FALSE()),"please select a BUG ID")</f>
        <v>please select a BUG ID</v>
      </c>
      <c r="C1450" s="51" t="str">
        <f>IFERROR(VLOOKUP(A1450,Internal_lists_bugs!$A$2:$I2033,9,FALSE()),"please select a BUG ID")</f>
        <v>please select a BUG ID</v>
      </c>
      <c r="D1450" s="85"/>
      <c r="E1450" s="85"/>
      <c r="F1450" s="133"/>
      <c r="G1450" s="49"/>
      <c r="H1450" s="50"/>
      <c r="I1450" s="131"/>
      <c r="J1450" s="131"/>
      <c r="K1450" s="131"/>
      <c r="L1450" s="131"/>
      <c r="M1450" s="131"/>
      <c r="N1450" s="43"/>
      <c r="O1450" s="51"/>
    </row>
    <row r="1451">
      <c r="A1451" s="43"/>
      <c r="B1451" s="59" t="str">
        <f>IFERROR(VLOOKUP(A1451,Internal_lists_bugs!$A$2:$G2033,7,FALSE()),"please select a BUG ID")</f>
        <v>please select a BUG ID</v>
      </c>
      <c r="C1451" s="51" t="str">
        <f>IFERROR(VLOOKUP(A1451,Internal_lists_bugs!$A$2:$I2033,9,FALSE()),"please select a BUG ID")</f>
        <v>please select a BUG ID</v>
      </c>
      <c r="D1451" s="85"/>
      <c r="E1451" s="85"/>
      <c r="F1451" s="133"/>
      <c r="G1451" s="49"/>
      <c r="H1451" s="50"/>
      <c r="I1451" s="131"/>
      <c r="J1451" s="131"/>
      <c r="K1451" s="131"/>
      <c r="L1451" s="131"/>
      <c r="M1451" s="131"/>
      <c r="N1451" s="43"/>
      <c r="O1451" s="51"/>
    </row>
    <row r="1452">
      <c r="A1452" s="43"/>
      <c r="B1452" s="59" t="str">
        <f>IFERROR(VLOOKUP(A1452,Internal_lists_bugs!$A$2:$G2033,7,FALSE()),"please select a BUG ID")</f>
        <v>please select a BUG ID</v>
      </c>
      <c r="C1452" s="51" t="str">
        <f>IFERROR(VLOOKUP(A1452,Internal_lists_bugs!$A$2:$I2033,9,FALSE()),"please select a BUG ID")</f>
        <v>please select a BUG ID</v>
      </c>
      <c r="D1452" s="85"/>
      <c r="E1452" s="85"/>
      <c r="F1452" s="133"/>
      <c r="G1452" s="49"/>
      <c r="H1452" s="50"/>
      <c r="I1452" s="131"/>
      <c r="J1452" s="131"/>
      <c r="K1452" s="131"/>
      <c r="L1452" s="131"/>
      <c r="M1452" s="131"/>
      <c r="N1452" s="43"/>
      <c r="O1452" s="51"/>
    </row>
    <row r="1453">
      <c r="A1453" s="43"/>
      <c r="B1453" s="59" t="str">
        <f>IFERROR(VLOOKUP(A1453,Internal_lists_bugs!$A$2:$G2033,7,FALSE()),"please select a BUG ID")</f>
        <v>please select a BUG ID</v>
      </c>
      <c r="C1453" s="51" t="str">
        <f>IFERROR(VLOOKUP(A1453,Internal_lists_bugs!$A$2:$I2033,9,FALSE()),"please select a BUG ID")</f>
        <v>please select a BUG ID</v>
      </c>
      <c r="D1453" s="85"/>
      <c r="E1453" s="85"/>
      <c r="F1453" s="133"/>
      <c r="G1453" s="49"/>
      <c r="H1453" s="50"/>
      <c r="I1453" s="131"/>
      <c r="J1453" s="131"/>
      <c r="K1453" s="131"/>
      <c r="L1453" s="131"/>
      <c r="M1453" s="131"/>
      <c r="N1453" s="43"/>
      <c r="O1453" s="51"/>
    </row>
    <row r="1454">
      <c r="A1454" s="43"/>
      <c r="B1454" s="59" t="str">
        <f>IFERROR(VLOOKUP(A1454,Internal_lists_bugs!$A$2:$G2033,7,FALSE()),"please select a BUG ID")</f>
        <v>please select a BUG ID</v>
      </c>
      <c r="C1454" s="51" t="str">
        <f>IFERROR(VLOOKUP(A1454,Internal_lists_bugs!$A$2:$I2033,9,FALSE()),"please select a BUG ID")</f>
        <v>please select a BUG ID</v>
      </c>
      <c r="D1454" s="85"/>
      <c r="E1454" s="85"/>
      <c r="F1454" s="133"/>
      <c r="G1454" s="49"/>
      <c r="H1454" s="50"/>
      <c r="I1454" s="131"/>
      <c r="J1454" s="131"/>
      <c r="K1454" s="131"/>
      <c r="L1454" s="131"/>
      <c r="M1454" s="131"/>
      <c r="N1454" s="43"/>
      <c r="O1454" s="51"/>
    </row>
    <row r="1455">
      <c r="A1455" s="43"/>
      <c r="B1455" s="59" t="str">
        <f>IFERROR(VLOOKUP(A1455,Internal_lists_bugs!$A$2:$G2033,7,FALSE()),"please select a BUG ID")</f>
        <v>please select a BUG ID</v>
      </c>
      <c r="C1455" s="51" t="str">
        <f>IFERROR(VLOOKUP(A1455,Internal_lists_bugs!$A$2:$I2033,9,FALSE()),"please select a BUG ID")</f>
        <v>please select a BUG ID</v>
      </c>
      <c r="D1455" s="85"/>
      <c r="E1455" s="85"/>
      <c r="F1455" s="133"/>
      <c r="G1455" s="49"/>
      <c r="H1455" s="50"/>
      <c r="I1455" s="131"/>
      <c r="J1455" s="131"/>
      <c r="K1455" s="131"/>
      <c r="L1455" s="131"/>
      <c r="M1455" s="131"/>
      <c r="N1455" s="43"/>
      <c r="O1455" s="51"/>
    </row>
    <row r="1456">
      <c r="A1456" s="43"/>
      <c r="B1456" s="59" t="str">
        <f>IFERROR(VLOOKUP(A1456,Internal_lists_bugs!$A$2:$G2033,7,FALSE()),"please select a BUG ID")</f>
        <v>please select a BUG ID</v>
      </c>
      <c r="C1456" s="51" t="str">
        <f>IFERROR(VLOOKUP(A1456,Internal_lists_bugs!$A$2:$I2033,9,FALSE()),"please select a BUG ID")</f>
        <v>please select a BUG ID</v>
      </c>
      <c r="D1456" s="85"/>
      <c r="E1456" s="85"/>
      <c r="F1456" s="133"/>
      <c r="G1456" s="49"/>
      <c r="H1456" s="50"/>
      <c r="I1456" s="131"/>
      <c r="J1456" s="131"/>
      <c r="K1456" s="131"/>
      <c r="L1456" s="131"/>
      <c r="M1456" s="131"/>
      <c r="N1456" s="43"/>
      <c r="O1456" s="51"/>
    </row>
    <row r="1457">
      <c r="A1457" s="43"/>
      <c r="B1457" s="59" t="str">
        <f>IFERROR(VLOOKUP(A1457,Internal_lists_bugs!$A$2:$G2033,7,FALSE()),"please select a BUG ID")</f>
        <v>please select a BUG ID</v>
      </c>
      <c r="C1457" s="51" t="str">
        <f>IFERROR(VLOOKUP(A1457,Internal_lists_bugs!$A$2:$I2033,9,FALSE()),"please select a BUG ID")</f>
        <v>please select a BUG ID</v>
      </c>
      <c r="D1457" s="85"/>
      <c r="E1457" s="85"/>
      <c r="F1457" s="133"/>
      <c r="G1457" s="49"/>
      <c r="H1457" s="50"/>
      <c r="I1457" s="131"/>
      <c r="J1457" s="131"/>
      <c r="K1457" s="131"/>
      <c r="L1457" s="131"/>
      <c r="M1457" s="131"/>
      <c r="N1457" s="43"/>
      <c r="O1457" s="51"/>
    </row>
    <row r="1458">
      <c r="A1458" s="43"/>
      <c r="B1458" s="59" t="str">
        <f>IFERROR(VLOOKUP(A1458,Internal_lists_bugs!$A$2:$G2033,7,FALSE()),"please select a BUG ID")</f>
        <v>please select a BUG ID</v>
      </c>
      <c r="C1458" s="51" t="str">
        <f>IFERROR(VLOOKUP(A1458,Internal_lists_bugs!$A$2:$I2033,9,FALSE()),"please select a BUG ID")</f>
        <v>please select a BUG ID</v>
      </c>
      <c r="D1458" s="85"/>
      <c r="E1458" s="85"/>
      <c r="F1458" s="133"/>
      <c r="G1458" s="49"/>
      <c r="H1458" s="50"/>
      <c r="I1458" s="131"/>
      <c r="J1458" s="131"/>
      <c r="K1458" s="131"/>
      <c r="L1458" s="131"/>
      <c r="M1458" s="131"/>
      <c r="N1458" s="43"/>
      <c r="O1458" s="51"/>
    </row>
    <row r="1459">
      <c r="A1459" s="43"/>
      <c r="B1459" s="59" t="str">
        <f>IFERROR(VLOOKUP(A1459,Internal_lists_bugs!$A$2:$G2033,7,FALSE()),"please select a BUG ID")</f>
        <v>please select a BUG ID</v>
      </c>
      <c r="C1459" s="51" t="str">
        <f>IFERROR(VLOOKUP(A1459,Internal_lists_bugs!$A$2:$I2033,9,FALSE()),"please select a BUG ID")</f>
        <v>please select a BUG ID</v>
      </c>
      <c r="D1459" s="85"/>
      <c r="E1459" s="85"/>
      <c r="F1459" s="133"/>
      <c r="G1459" s="49"/>
      <c r="H1459" s="50"/>
      <c r="I1459" s="131"/>
      <c r="J1459" s="131"/>
      <c r="K1459" s="131"/>
      <c r="L1459" s="131"/>
      <c r="M1459" s="131"/>
      <c r="N1459" s="43"/>
      <c r="O1459" s="51"/>
    </row>
    <row r="1460">
      <c r="A1460" s="43"/>
      <c r="B1460" s="59" t="str">
        <f>IFERROR(VLOOKUP(A1460,Internal_lists_bugs!$A$2:$G2033,7,FALSE()),"please select a BUG ID")</f>
        <v>please select a BUG ID</v>
      </c>
      <c r="C1460" s="51" t="str">
        <f>IFERROR(VLOOKUP(A1460,Internal_lists_bugs!$A$2:$I2033,9,FALSE()),"please select a BUG ID")</f>
        <v>please select a BUG ID</v>
      </c>
      <c r="D1460" s="85"/>
      <c r="E1460" s="85"/>
      <c r="F1460" s="133"/>
      <c r="G1460" s="49"/>
      <c r="H1460" s="50"/>
      <c r="I1460" s="131"/>
      <c r="J1460" s="131"/>
      <c r="K1460" s="131"/>
      <c r="L1460" s="131"/>
      <c r="M1460" s="131"/>
      <c r="N1460" s="43"/>
      <c r="O1460" s="51"/>
    </row>
    <row r="1461">
      <c r="A1461" s="43"/>
      <c r="B1461" s="59" t="str">
        <f>IFERROR(VLOOKUP(A1461,Internal_lists_bugs!$A$2:$G2033,7,FALSE()),"please select a BUG ID")</f>
        <v>please select a BUG ID</v>
      </c>
      <c r="C1461" s="51" t="str">
        <f>IFERROR(VLOOKUP(A1461,Internal_lists_bugs!$A$2:$I2033,9,FALSE()),"please select a BUG ID")</f>
        <v>please select a BUG ID</v>
      </c>
      <c r="D1461" s="85"/>
      <c r="E1461" s="85"/>
      <c r="F1461" s="133"/>
      <c r="G1461" s="49"/>
      <c r="H1461" s="50"/>
      <c r="I1461" s="131"/>
      <c r="J1461" s="131"/>
      <c r="K1461" s="131"/>
      <c r="L1461" s="131"/>
      <c r="M1461" s="131"/>
      <c r="N1461" s="43"/>
      <c r="O1461" s="51"/>
    </row>
    <row r="1462">
      <c r="A1462" s="43"/>
      <c r="B1462" s="59" t="str">
        <f>IFERROR(VLOOKUP(A1462,Internal_lists_bugs!$A$2:$G2033,7,FALSE()),"please select a BUG ID")</f>
        <v>please select a BUG ID</v>
      </c>
      <c r="C1462" s="51" t="str">
        <f>IFERROR(VLOOKUP(A1462,Internal_lists_bugs!$A$2:$I2033,9,FALSE()),"please select a BUG ID")</f>
        <v>please select a BUG ID</v>
      </c>
      <c r="D1462" s="85"/>
      <c r="E1462" s="85"/>
      <c r="F1462" s="133"/>
      <c r="G1462" s="49"/>
      <c r="H1462" s="50"/>
      <c r="I1462" s="131"/>
      <c r="J1462" s="131"/>
      <c r="K1462" s="131"/>
      <c r="L1462" s="131"/>
      <c r="M1462" s="131"/>
      <c r="N1462" s="43"/>
      <c r="O1462" s="51"/>
    </row>
    <row r="1463">
      <c r="A1463" s="43"/>
      <c r="B1463" s="59" t="str">
        <f>IFERROR(VLOOKUP(A1463,Internal_lists_bugs!$A$2:$G2033,7,FALSE()),"please select a BUG ID")</f>
        <v>please select a BUG ID</v>
      </c>
      <c r="C1463" s="51" t="str">
        <f>IFERROR(VLOOKUP(A1463,Internal_lists_bugs!$A$2:$I2033,9,FALSE()),"please select a BUG ID")</f>
        <v>please select a BUG ID</v>
      </c>
      <c r="D1463" s="85"/>
      <c r="E1463" s="85"/>
      <c r="F1463" s="133"/>
      <c r="G1463" s="49"/>
      <c r="H1463" s="50"/>
      <c r="I1463" s="131"/>
      <c r="J1463" s="131"/>
      <c r="K1463" s="131"/>
      <c r="L1463" s="131"/>
      <c r="M1463" s="131"/>
      <c r="N1463" s="43"/>
      <c r="O1463" s="51"/>
    </row>
    <row r="1464">
      <c r="A1464" s="43"/>
      <c r="B1464" s="59" t="str">
        <f>IFERROR(VLOOKUP(A1464,Internal_lists_bugs!$A$2:$G2033,7,FALSE()),"please select a BUG ID")</f>
        <v>please select a BUG ID</v>
      </c>
      <c r="C1464" s="51" t="str">
        <f>IFERROR(VLOOKUP(A1464,Internal_lists_bugs!$A$2:$I2033,9,FALSE()),"please select a BUG ID")</f>
        <v>please select a BUG ID</v>
      </c>
      <c r="D1464" s="85"/>
      <c r="E1464" s="85"/>
      <c r="F1464" s="133"/>
      <c r="G1464" s="49"/>
      <c r="H1464" s="50"/>
      <c r="I1464" s="131"/>
      <c r="J1464" s="131"/>
      <c r="K1464" s="131"/>
      <c r="L1464" s="131"/>
      <c r="M1464" s="131"/>
      <c r="N1464" s="43"/>
      <c r="O1464" s="51"/>
    </row>
    <row r="1465">
      <c r="A1465" s="43"/>
      <c r="B1465" s="59" t="str">
        <f>IFERROR(VLOOKUP(A1465,Internal_lists_bugs!$A$2:$G2033,7,FALSE()),"please select a BUG ID")</f>
        <v>please select a BUG ID</v>
      </c>
      <c r="C1465" s="51" t="str">
        <f>IFERROR(VLOOKUP(A1465,Internal_lists_bugs!$A$2:$I2033,9,FALSE()),"please select a BUG ID")</f>
        <v>please select a BUG ID</v>
      </c>
      <c r="D1465" s="85"/>
      <c r="E1465" s="85"/>
      <c r="F1465" s="133"/>
      <c r="G1465" s="49"/>
      <c r="H1465" s="50"/>
      <c r="I1465" s="131"/>
      <c r="J1465" s="131"/>
      <c r="K1465" s="131"/>
      <c r="L1465" s="131"/>
      <c r="M1465" s="131"/>
      <c r="N1465" s="43"/>
      <c r="O1465" s="51"/>
    </row>
    <row r="1466">
      <c r="A1466" s="43"/>
      <c r="B1466" s="59" t="str">
        <f>IFERROR(VLOOKUP(A1466,Internal_lists_bugs!$A$2:$G2033,7,FALSE()),"please select a BUG ID")</f>
        <v>please select a BUG ID</v>
      </c>
      <c r="C1466" s="51" t="str">
        <f>IFERROR(VLOOKUP(A1466,Internal_lists_bugs!$A$2:$I2033,9,FALSE()),"please select a BUG ID")</f>
        <v>please select a BUG ID</v>
      </c>
      <c r="D1466" s="85"/>
      <c r="E1466" s="85"/>
      <c r="F1466" s="133"/>
      <c r="G1466" s="49"/>
      <c r="H1466" s="50"/>
      <c r="I1466" s="131"/>
      <c r="J1466" s="131"/>
      <c r="K1466" s="131"/>
      <c r="L1466" s="131"/>
      <c r="M1466" s="131"/>
      <c r="N1466" s="43"/>
      <c r="O1466" s="51"/>
    </row>
    <row r="1467">
      <c r="A1467" s="43"/>
      <c r="B1467" s="59" t="str">
        <f>IFERROR(VLOOKUP(A1467,Internal_lists_bugs!$A$2:$G2033,7,FALSE()),"please select a BUG ID")</f>
        <v>please select a BUG ID</v>
      </c>
      <c r="C1467" s="51" t="str">
        <f>IFERROR(VLOOKUP(A1467,Internal_lists_bugs!$A$2:$I2033,9,FALSE()),"please select a BUG ID")</f>
        <v>please select a BUG ID</v>
      </c>
      <c r="D1467" s="85"/>
      <c r="E1467" s="85"/>
      <c r="F1467" s="133"/>
      <c r="G1467" s="49"/>
      <c r="H1467" s="50"/>
      <c r="I1467" s="131"/>
      <c r="J1467" s="131"/>
      <c r="K1467" s="131"/>
      <c r="L1467" s="131"/>
      <c r="M1467" s="131"/>
      <c r="N1467" s="43"/>
      <c r="O1467" s="51"/>
    </row>
    <row r="1468">
      <c r="A1468" s="43"/>
      <c r="B1468" s="59" t="str">
        <f>IFERROR(VLOOKUP(A1468,Internal_lists_bugs!$A$2:$G2033,7,FALSE()),"please select a BUG ID")</f>
        <v>please select a BUG ID</v>
      </c>
      <c r="C1468" s="51" t="str">
        <f>IFERROR(VLOOKUP(A1468,Internal_lists_bugs!$A$2:$I2033,9,FALSE()),"please select a BUG ID")</f>
        <v>please select a BUG ID</v>
      </c>
      <c r="D1468" s="85"/>
      <c r="E1468" s="85"/>
      <c r="F1468" s="133"/>
      <c r="G1468" s="49"/>
      <c r="H1468" s="50"/>
      <c r="I1468" s="131"/>
      <c r="J1468" s="131"/>
      <c r="K1468" s="131"/>
      <c r="L1468" s="131"/>
      <c r="M1468" s="131"/>
      <c r="N1468" s="43"/>
      <c r="O1468" s="51"/>
    </row>
    <row r="1469">
      <c r="A1469" s="43"/>
      <c r="B1469" s="59" t="str">
        <f>IFERROR(VLOOKUP(A1469,Internal_lists_bugs!$A$2:$G2033,7,FALSE()),"please select a BUG ID")</f>
        <v>please select a BUG ID</v>
      </c>
      <c r="C1469" s="51" t="str">
        <f>IFERROR(VLOOKUP(A1469,Internal_lists_bugs!$A$2:$I2033,9,FALSE()),"please select a BUG ID")</f>
        <v>please select a BUG ID</v>
      </c>
      <c r="D1469" s="85"/>
      <c r="E1469" s="85"/>
      <c r="F1469" s="133"/>
      <c r="G1469" s="49"/>
      <c r="H1469" s="50"/>
      <c r="I1469" s="131"/>
      <c r="J1469" s="131"/>
      <c r="K1469" s="131"/>
      <c r="L1469" s="131"/>
      <c r="M1469" s="131"/>
      <c r="N1469" s="43"/>
      <c r="O1469" s="51"/>
    </row>
    <row r="1470">
      <c r="A1470" s="43"/>
      <c r="B1470" s="59" t="str">
        <f>IFERROR(VLOOKUP(A1470,Internal_lists_bugs!$A$2:$G2033,7,FALSE()),"please select a BUG ID")</f>
        <v>please select a BUG ID</v>
      </c>
      <c r="C1470" s="51" t="str">
        <f>IFERROR(VLOOKUP(A1470,Internal_lists_bugs!$A$2:$I2033,9,FALSE()),"please select a BUG ID")</f>
        <v>please select a BUG ID</v>
      </c>
      <c r="D1470" s="85"/>
      <c r="E1470" s="85"/>
      <c r="F1470" s="133"/>
      <c r="G1470" s="49"/>
      <c r="H1470" s="50"/>
      <c r="I1470" s="131"/>
      <c r="J1470" s="131"/>
      <c r="K1470" s="131"/>
      <c r="L1470" s="131"/>
      <c r="M1470" s="131"/>
      <c r="N1470" s="43"/>
      <c r="O1470" s="51"/>
    </row>
    <row r="1471">
      <c r="A1471" s="43"/>
      <c r="B1471" s="59" t="str">
        <f>IFERROR(VLOOKUP(A1471,Internal_lists_bugs!$A$2:$G2033,7,FALSE()),"please select a BUG ID")</f>
        <v>please select a BUG ID</v>
      </c>
      <c r="C1471" s="51" t="str">
        <f>IFERROR(VLOOKUP(A1471,Internal_lists_bugs!$A$2:$I2033,9,FALSE()),"please select a BUG ID")</f>
        <v>please select a BUG ID</v>
      </c>
      <c r="D1471" s="85"/>
      <c r="E1471" s="85"/>
      <c r="F1471" s="133"/>
      <c r="G1471" s="49"/>
      <c r="H1471" s="50"/>
      <c r="I1471" s="131"/>
      <c r="J1471" s="131"/>
      <c r="K1471" s="131"/>
      <c r="L1471" s="131"/>
      <c r="M1471" s="131"/>
      <c r="N1471" s="43"/>
      <c r="O1471" s="51"/>
    </row>
    <row r="1472">
      <c r="A1472" s="43"/>
      <c r="B1472" s="59" t="str">
        <f>IFERROR(VLOOKUP(A1472,Internal_lists_bugs!$A$2:$G2033,7,FALSE()),"please select a BUG ID")</f>
        <v>please select a BUG ID</v>
      </c>
      <c r="C1472" s="51" t="str">
        <f>IFERROR(VLOOKUP(A1472,Internal_lists_bugs!$A$2:$I2033,9,FALSE()),"please select a BUG ID")</f>
        <v>please select a BUG ID</v>
      </c>
      <c r="D1472" s="85"/>
      <c r="E1472" s="85"/>
      <c r="F1472" s="133"/>
      <c r="G1472" s="49"/>
      <c r="H1472" s="50"/>
      <c r="I1472" s="131"/>
      <c r="J1472" s="131"/>
      <c r="K1472" s="131"/>
      <c r="L1472" s="131"/>
      <c r="M1472" s="131"/>
      <c r="N1472" s="43"/>
      <c r="O1472" s="51"/>
    </row>
    <row r="1473">
      <c r="A1473" s="43"/>
      <c r="B1473" s="59" t="str">
        <f>IFERROR(VLOOKUP(A1473,Internal_lists_bugs!$A$2:$G2033,7,FALSE()),"please select a BUG ID")</f>
        <v>please select a BUG ID</v>
      </c>
      <c r="C1473" s="51" t="str">
        <f>IFERROR(VLOOKUP(A1473,Internal_lists_bugs!$A$2:$I2033,9,FALSE()),"please select a BUG ID")</f>
        <v>please select a BUG ID</v>
      </c>
      <c r="D1473" s="85"/>
      <c r="E1473" s="85"/>
      <c r="F1473" s="133"/>
      <c r="G1473" s="49"/>
      <c r="H1473" s="50"/>
      <c r="I1473" s="131"/>
      <c r="J1473" s="131"/>
      <c r="K1473" s="131"/>
      <c r="L1473" s="131"/>
      <c r="M1473" s="131"/>
      <c r="N1473" s="43"/>
      <c r="O1473" s="51"/>
    </row>
    <row r="1474">
      <c r="A1474" s="43"/>
      <c r="B1474" s="59" t="str">
        <f>IFERROR(VLOOKUP(A1474,Internal_lists_bugs!$A$2:$G2033,7,FALSE()),"please select a BUG ID")</f>
        <v>please select a BUG ID</v>
      </c>
      <c r="C1474" s="51" t="str">
        <f>IFERROR(VLOOKUP(A1474,Internal_lists_bugs!$A$2:$I2033,9,FALSE()),"please select a BUG ID")</f>
        <v>please select a BUG ID</v>
      </c>
      <c r="D1474" s="85"/>
      <c r="E1474" s="85"/>
      <c r="F1474" s="133"/>
      <c r="G1474" s="49"/>
      <c r="H1474" s="50"/>
      <c r="I1474" s="131"/>
      <c r="J1474" s="131"/>
      <c r="K1474" s="131"/>
      <c r="L1474" s="131"/>
      <c r="M1474" s="131"/>
      <c r="N1474" s="43"/>
      <c r="O1474" s="51"/>
    </row>
    <row r="1475">
      <c r="A1475" s="43"/>
      <c r="B1475" s="59" t="str">
        <f>IFERROR(VLOOKUP(A1475,Internal_lists_bugs!$A$2:$G2033,7,FALSE()),"please select a BUG ID")</f>
        <v>please select a BUG ID</v>
      </c>
      <c r="C1475" s="51" t="str">
        <f>IFERROR(VLOOKUP(A1475,Internal_lists_bugs!$A$2:$I2033,9,FALSE()),"please select a BUG ID")</f>
        <v>please select a BUG ID</v>
      </c>
      <c r="D1475" s="85"/>
      <c r="E1475" s="85"/>
      <c r="F1475" s="133"/>
      <c r="G1475" s="49"/>
      <c r="H1475" s="50"/>
      <c r="I1475" s="131"/>
      <c r="J1475" s="131"/>
      <c r="K1475" s="131"/>
      <c r="L1475" s="131"/>
      <c r="M1475" s="131"/>
      <c r="N1475" s="43"/>
      <c r="O1475" s="51"/>
    </row>
    <row r="1476">
      <c r="A1476" s="43"/>
      <c r="B1476" s="59" t="str">
        <f>IFERROR(VLOOKUP(A1476,Internal_lists_bugs!$A$2:$G2033,7,FALSE()),"please select a BUG ID")</f>
        <v>please select a BUG ID</v>
      </c>
      <c r="C1476" s="51" t="str">
        <f>IFERROR(VLOOKUP(A1476,Internal_lists_bugs!$A$2:$I2033,9,FALSE()),"please select a BUG ID")</f>
        <v>please select a BUG ID</v>
      </c>
      <c r="D1476" s="85"/>
      <c r="E1476" s="85"/>
      <c r="F1476" s="133"/>
      <c r="G1476" s="49"/>
      <c r="H1476" s="50"/>
      <c r="I1476" s="131"/>
      <c r="J1476" s="131"/>
      <c r="K1476" s="131"/>
      <c r="L1476" s="131"/>
      <c r="M1476" s="131"/>
      <c r="N1476" s="43"/>
      <c r="O1476" s="51"/>
    </row>
    <row r="1477">
      <c r="A1477" s="43"/>
      <c r="B1477" s="59" t="str">
        <f>IFERROR(VLOOKUP(A1477,Internal_lists_bugs!$A$2:$G2033,7,FALSE()),"please select a BUG ID")</f>
        <v>please select a BUG ID</v>
      </c>
      <c r="C1477" s="51" t="str">
        <f>IFERROR(VLOOKUP(A1477,Internal_lists_bugs!$A$2:$I2033,9,FALSE()),"please select a BUG ID")</f>
        <v>please select a BUG ID</v>
      </c>
      <c r="D1477" s="85"/>
      <c r="E1477" s="85"/>
      <c r="F1477" s="133"/>
      <c r="G1477" s="49"/>
      <c r="H1477" s="50"/>
      <c r="I1477" s="131"/>
      <c r="J1477" s="131"/>
      <c r="K1477" s="131"/>
      <c r="L1477" s="131"/>
      <c r="M1477" s="131"/>
      <c r="N1477" s="43"/>
      <c r="O1477" s="51"/>
    </row>
    <row r="1478">
      <c r="A1478" s="43"/>
      <c r="B1478" s="59" t="str">
        <f>IFERROR(VLOOKUP(A1478,Internal_lists_bugs!$A$2:$G2033,7,FALSE()),"please select a BUG ID")</f>
        <v>please select a BUG ID</v>
      </c>
      <c r="C1478" s="51" t="str">
        <f>IFERROR(VLOOKUP(A1478,Internal_lists_bugs!$A$2:$I2033,9,FALSE()),"please select a BUG ID")</f>
        <v>please select a BUG ID</v>
      </c>
      <c r="D1478" s="85"/>
      <c r="E1478" s="85"/>
      <c r="F1478" s="133"/>
      <c r="G1478" s="49"/>
      <c r="H1478" s="50"/>
      <c r="I1478" s="131"/>
      <c r="J1478" s="131"/>
      <c r="K1478" s="131"/>
      <c r="L1478" s="131"/>
      <c r="M1478" s="131"/>
      <c r="N1478" s="43"/>
      <c r="O1478" s="51"/>
    </row>
    <row r="1479">
      <c r="A1479" s="43"/>
      <c r="B1479" s="59" t="str">
        <f>IFERROR(VLOOKUP(A1479,Internal_lists_bugs!$A$2:$G2033,7,FALSE()),"please select a BUG ID")</f>
        <v>please select a BUG ID</v>
      </c>
      <c r="C1479" s="51" t="str">
        <f>IFERROR(VLOOKUP(A1479,Internal_lists_bugs!$A$2:$I2033,9,FALSE()),"please select a BUG ID")</f>
        <v>please select a BUG ID</v>
      </c>
      <c r="D1479" s="85"/>
      <c r="E1479" s="85"/>
      <c r="F1479" s="133"/>
      <c r="G1479" s="49"/>
      <c r="H1479" s="50"/>
      <c r="I1479" s="131"/>
      <c r="J1479" s="131"/>
      <c r="K1479" s="131"/>
      <c r="L1479" s="131"/>
      <c r="M1479" s="131"/>
      <c r="N1479" s="43"/>
      <c r="O1479" s="51"/>
    </row>
    <row r="1480">
      <c r="A1480" s="43"/>
      <c r="B1480" s="59" t="str">
        <f>IFERROR(VLOOKUP(A1480,Internal_lists_bugs!$A$2:$G2033,7,FALSE()),"please select a BUG ID")</f>
        <v>please select a BUG ID</v>
      </c>
      <c r="C1480" s="51" t="str">
        <f>IFERROR(VLOOKUP(A1480,Internal_lists_bugs!$A$2:$I2033,9,FALSE()),"please select a BUG ID")</f>
        <v>please select a BUG ID</v>
      </c>
      <c r="D1480" s="85"/>
      <c r="E1480" s="85"/>
      <c r="F1480" s="133"/>
      <c r="G1480" s="49"/>
      <c r="H1480" s="50"/>
      <c r="I1480" s="131"/>
      <c r="J1480" s="131"/>
      <c r="K1480" s="131"/>
      <c r="L1480" s="131"/>
      <c r="M1480" s="131"/>
      <c r="N1480" s="43"/>
      <c r="O1480" s="51"/>
    </row>
    <row r="1481">
      <c r="A1481" s="43"/>
      <c r="B1481" s="59" t="str">
        <f>IFERROR(VLOOKUP(A1481,Internal_lists_bugs!$A$2:$G2033,7,FALSE()),"please select a BUG ID")</f>
        <v>please select a BUG ID</v>
      </c>
      <c r="C1481" s="51" t="str">
        <f>IFERROR(VLOOKUP(A1481,Internal_lists_bugs!$A$2:$I2033,9,FALSE()),"please select a BUG ID")</f>
        <v>please select a BUG ID</v>
      </c>
      <c r="D1481" s="85"/>
      <c r="E1481" s="85"/>
      <c r="F1481" s="133"/>
      <c r="G1481" s="49"/>
      <c r="H1481" s="50"/>
      <c r="I1481" s="131"/>
      <c r="J1481" s="131"/>
      <c r="K1481" s="131"/>
      <c r="L1481" s="131"/>
      <c r="M1481" s="131"/>
      <c r="N1481" s="43"/>
      <c r="O1481" s="51"/>
    </row>
    <row r="1482">
      <c r="A1482" s="43"/>
      <c r="B1482" s="59" t="str">
        <f>IFERROR(VLOOKUP(A1482,Internal_lists_bugs!$A$2:$G2033,7,FALSE()),"please select a BUG ID")</f>
        <v>please select a BUG ID</v>
      </c>
      <c r="C1482" s="51" t="str">
        <f>IFERROR(VLOOKUP(A1482,Internal_lists_bugs!$A$2:$I2033,9,FALSE()),"please select a BUG ID")</f>
        <v>please select a BUG ID</v>
      </c>
      <c r="D1482" s="85"/>
      <c r="E1482" s="85"/>
      <c r="F1482" s="133"/>
      <c r="G1482" s="49"/>
      <c r="H1482" s="50"/>
      <c r="I1482" s="131"/>
      <c r="J1482" s="131"/>
      <c r="K1482" s="131"/>
      <c r="L1482" s="131"/>
      <c r="M1482" s="131"/>
      <c r="N1482" s="43"/>
      <c r="O1482" s="51"/>
    </row>
    <row r="1483">
      <c r="A1483" s="43"/>
      <c r="B1483" s="59" t="str">
        <f>IFERROR(VLOOKUP(A1483,Internal_lists_bugs!$A$2:$G2033,7,FALSE()),"please select a BUG ID")</f>
        <v>please select a BUG ID</v>
      </c>
      <c r="C1483" s="51" t="str">
        <f>IFERROR(VLOOKUP(A1483,Internal_lists_bugs!$A$2:$I2033,9,FALSE()),"please select a BUG ID")</f>
        <v>please select a BUG ID</v>
      </c>
      <c r="D1483" s="85"/>
      <c r="E1483" s="85"/>
      <c r="F1483" s="133"/>
      <c r="G1483" s="49"/>
      <c r="H1483" s="50"/>
      <c r="I1483" s="131"/>
      <c r="J1483" s="131"/>
      <c r="K1483" s="131"/>
      <c r="L1483" s="131"/>
      <c r="M1483" s="131"/>
      <c r="N1483" s="43"/>
      <c r="O1483" s="51"/>
    </row>
    <row r="1484">
      <c r="A1484" s="43"/>
      <c r="B1484" s="59" t="str">
        <f>IFERROR(VLOOKUP(A1484,Internal_lists_bugs!$A$2:$G2033,7,FALSE()),"please select a BUG ID")</f>
        <v>please select a BUG ID</v>
      </c>
      <c r="C1484" s="51" t="str">
        <f>IFERROR(VLOOKUP(A1484,Internal_lists_bugs!$A$2:$I2033,9,FALSE()),"please select a BUG ID")</f>
        <v>please select a BUG ID</v>
      </c>
      <c r="D1484" s="85"/>
      <c r="E1484" s="85"/>
      <c r="F1484" s="133"/>
      <c r="G1484" s="49"/>
      <c r="H1484" s="50"/>
      <c r="I1484" s="131"/>
      <c r="J1484" s="131"/>
      <c r="K1484" s="131"/>
      <c r="L1484" s="131"/>
      <c r="M1484" s="131"/>
      <c r="N1484" s="43"/>
      <c r="O1484" s="51"/>
    </row>
    <row r="1485">
      <c r="A1485" s="43"/>
      <c r="B1485" s="59" t="str">
        <f>IFERROR(VLOOKUP(A1485,Internal_lists_bugs!$A$2:$G2033,7,FALSE()),"please select a BUG ID")</f>
        <v>please select a BUG ID</v>
      </c>
      <c r="C1485" s="51" t="str">
        <f>IFERROR(VLOOKUP(A1485,Internal_lists_bugs!$A$2:$I2033,9,FALSE()),"please select a BUG ID")</f>
        <v>please select a BUG ID</v>
      </c>
      <c r="D1485" s="85"/>
      <c r="E1485" s="85"/>
      <c r="F1485" s="133"/>
      <c r="G1485" s="49"/>
      <c r="H1485" s="50"/>
      <c r="I1485" s="131"/>
      <c r="J1485" s="131"/>
      <c r="K1485" s="131"/>
      <c r="L1485" s="131"/>
      <c r="M1485" s="131"/>
      <c r="N1485" s="43"/>
      <c r="O1485" s="51"/>
    </row>
    <row r="1486">
      <c r="A1486" s="43"/>
      <c r="B1486" s="59" t="str">
        <f>IFERROR(VLOOKUP(A1486,Internal_lists_bugs!$A$2:$G2033,7,FALSE()),"please select a BUG ID")</f>
        <v>please select a BUG ID</v>
      </c>
      <c r="C1486" s="51" t="str">
        <f>IFERROR(VLOOKUP(A1486,Internal_lists_bugs!$A$2:$I2033,9,FALSE()),"please select a BUG ID")</f>
        <v>please select a BUG ID</v>
      </c>
      <c r="D1486" s="85"/>
      <c r="E1486" s="85"/>
      <c r="F1486" s="133"/>
      <c r="G1486" s="49"/>
      <c r="H1486" s="50"/>
      <c r="I1486" s="131"/>
      <c r="J1486" s="131"/>
      <c r="K1486" s="131"/>
      <c r="L1486" s="131"/>
      <c r="M1486" s="131"/>
      <c r="N1486" s="43"/>
      <c r="O1486" s="51"/>
    </row>
    <row r="1487">
      <c r="A1487" s="43"/>
      <c r="B1487" s="59" t="str">
        <f>IFERROR(VLOOKUP(A1487,Internal_lists_bugs!$A$2:$G2033,7,FALSE()),"please select a BUG ID")</f>
        <v>please select a BUG ID</v>
      </c>
      <c r="C1487" s="51" t="str">
        <f>IFERROR(VLOOKUP(A1487,Internal_lists_bugs!$A$2:$I2033,9,FALSE()),"please select a BUG ID")</f>
        <v>please select a BUG ID</v>
      </c>
      <c r="D1487" s="85"/>
      <c r="E1487" s="85"/>
      <c r="F1487" s="133"/>
      <c r="G1487" s="49"/>
      <c r="H1487" s="50"/>
      <c r="I1487" s="131"/>
      <c r="J1487" s="131"/>
      <c r="K1487" s="131"/>
      <c r="L1487" s="131"/>
      <c r="M1487" s="131"/>
      <c r="N1487" s="43"/>
      <c r="O1487" s="51"/>
    </row>
    <row r="1488">
      <c r="A1488" s="43"/>
      <c r="B1488" s="59" t="str">
        <f>IFERROR(VLOOKUP(A1488,Internal_lists_bugs!$A$2:$G2033,7,FALSE()),"please select a BUG ID")</f>
        <v>please select a BUG ID</v>
      </c>
      <c r="C1488" s="51" t="str">
        <f>IFERROR(VLOOKUP(A1488,Internal_lists_bugs!$A$2:$I2033,9,FALSE()),"please select a BUG ID")</f>
        <v>please select a BUG ID</v>
      </c>
      <c r="D1488" s="85"/>
      <c r="E1488" s="85"/>
      <c r="F1488" s="133"/>
      <c r="G1488" s="49"/>
      <c r="H1488" s="50"/>
      <c r="I1488" s="131"/>
      <c r="J1488" s="131"/>
      <c r="K1488" s="131"/>
      <c r="L1488" s="131"/>
      <c r="M1488" s="131"/>
      <c r="N1488" s="43"/>
      <c r="O1488" s="51"/>
    </row>
    <row r="1489">
      <c r="A1489" s="43"/>
      <c r="B1489" s="59" t="str">
        <f>IFERROR(VLOOKUP(A1489,Internal_lists_bugs!$A$2:$G2033,7,FALSE()),"please select a BUG ID")</f>
        <v>please select a BUG ID</v>
      </c>
      <c r="C1489" s="51" t="str">
        <f>IFERROR(VLOOKUP(A1489,Internal_lists_bugs!$A$2:$I2033,9,FALSE()),"please select a BUG ID")</f>
        <v>please select a BUG ID</v>
      </c>
      <c r="D1489" s="85"/>
      <c r="E1489" s="85"/>
      <c r="F1489" s="133"/>
      <c r="G1489" s="49"/>
      <c r="H1489" s="50"/>
      <c r="I1489" s="131"/>
      <c r="J1489" s="131"/>
      <c r="K1489" s="131"/>
      <c r="L1489" s="131"/>
      <c r="M1489" s="131"/>
      <c r="N1489" s="43"/>
      <c r="O1489" s="51"/>
    </row>
    <row r="1490">
      <c r="A1490" s="43"/>
      <c r="B1490" s="59" t="str">
        <f>IFERROR(VLOOKUP(A1490,Internal_lists_bugs!$A$2:$G2033,7,FALSE()),"please select a BUG ID")</f>
        <v>please select a BUG ID</v>
      </c>
      <c r="C1490" s="51" t="str">
        <f>IFERROR(VLOOKUP(A1490,Internal_lists_bugs!$A$2:$I2033,9,FALSE()),"please select a BUG ID")</f>
        <v>please select a BUG ID</v>
      </c>
      <c r="D1490" s="85"/>
      <c r="E1490" s="85"/>
      <c r="F1490" s="133"/>
      <c r="G1490" s="49"/>
      <c r="H1490" s="50"/>
      <c r="I1490" s="131"/>
      <c r="J1490" s="131"/>
      <c r="K1490" s="131"/>
      <c r="L1490" s="131"/>
      <c r="M1490" s="131"/>
      <c r="N1490" s="43"/>
      <c r="O1490" s="51"/>
    </row>
    <row r="1491">
      <c r="A1491" s="43"/>
      <c r="B1491" s="59" t="str">
        <f>IFERROR(VLOOKUP(A1491,Internal_lists_bugs!$A$2:$G2033,7,FALSE()),"please select a BUG ID")</f>
        <v>please select a BUG ID</v>
      </c>
      <c r="C1491" s="51" t="str">
        <f>IFERROR(VLOOKUP(A1491,Internal_lists_bugs!$A$2:$I2033,9,FALSE()),"please select a BUG ID")</f>
        <v>please select a BUG ID</v>
      </c>
      <c r="D1491" s="85"/>
      <c r="E1491" s="85"/>
      <c r="F1491" s="133"/>
      <c r="G1491" s="49"/>
      <c r="H1491" s="50"/>
      <c r="I1491" s="131"/>
      <c r="J1491" s="131"/>
      <c r="K1491" s="131"/>
      <c r="L1491" s="131"/>
      <c r="M1491" s="131"/>
      <c r="N1491" s="43"/>
      <c r="O1491" s="51"/>
    </row>
    <row r="1492">
      <c r="A1492" s="43"/>
      <c r="B1492" s="59" t="str">
        <f>IFERROR(VLOOKUP(A1492,Internal_lists_bugs!$A$2:$G2033,7,FALSE()),"please select a BUG ID")</f>
        <v>please select a BUG ID</v>
      </c>
      <c r="C1492" s="51" t="str">
        <f>IFERROR(VLOOKUP(A1492,Internal_lists_bugs!$A$2:$I2033,9,FALSE()),"please select a BUG ID")</f>
        <v>please select a BUG ID</v>
      </c>
      <c r="D1492" s="85"/>
      <c r="E1492" s="85"/>
      <c r="F1492" s="133"/>
      <c r="G1492" s="49"/>
      <c r="H1492" s="50"/>
      <c r="I1492" s="131"/>
      <c r="J1492" s="131"/>
      <c r="K1492" s="131"/>
      <c r="L1492" s="131"/>
      <c r="M1492" s="131"/>
      <c r="N1492" s="43"/>
      <c r="O1492" s="51"/>
    </row>
    <row r="1493">
      <c r="A1493" s="43"/>
      <c r="B1493" s="59" t="str">
        <f>IFERROR(VLOOKUP(A1493,Internal_lists_bugs!$A$2:$G2033,7,FALSE()),"please select a BUG ID")</f>
        <v>please select a BUG ID</v>
      </c>
      <c r="C1493" s="51" t="str">
        <f>IFERROR(VLOOKUP(A1493,Internal_lists_bugs!$A$2:$I2033,9,FALSE()),"please select a BUG ID")</f>
        <v>please select a BUG ID</v>
      </c>
      <c r="D1493" s="85"/>
      <c r="E1493" s="85"/>
      <c r="F1493" s="133"/>
      <c r="G1493" s="49"/>
      <c r="H1493" s="50"/>
      <c r="I1493" s="131"/>
      <c r="J1493" s="131"/>
      <c r="K1493" s="131"/>
      <c r="L1493" s="131"/>
      <c r="M1493" s="131"/>
      <c r="N1493" s="43"/>
      <c r="O1493" s="51"/>
    </row>
    <row r="1494">
      <c r="A1494" s="43"/>
      <c r="B1494" s="59" t="str">
        <f>IFERROR(VLOOKUP(A1494,Internal_lists_bugs!$A$2:$G2033,7,FALSE()),"please select a BUG ID")</f>
        <v>please select a BUG ID</v>
      </c>
      <c r="C1494" s="51" t="str">
        <f>IFERROR(VLOOKUP(A1494,Internal_lists_bugs!$A$2:$I2033,9,FALSE()),"please select a BUG ID")</f>
        <v>please select a BUG ID</v>
      </c>
      <c r="D1494" s="85"/>
      <c r="E1494" s="85"/>
      <c r="F1494" s="133"/>
      <c r="G1494" s="49"/>
      <c r="H1494" s="50"/>
      <c r="I1494" s="131"/>
      <c r="J1494" s="131"/>
      <c r="K1494" s="131"/>
      <c r="L1494" s="131"/>
      <c r="M1494" s="131"/>
      <c r="N1494" s="43"/>
      <c r="O1494" s="51"/>
    </row>
    <row r="1495">
      <c r="A1495" s="43"/>
      <c r="B1495" s="59" t="str">
        <f>IFERROR(VLOOKUP(A1495,Internal_lists_bugs!$A$2:$G2033,7,FALSE()),"please select a BUG ID")</f>
        <v>please select a BUG ID</v>
      </c>
      <c r="C1495" s="51" t="str">
        <f>IFERROR(VLOOKUP(A1495,Internal_lists_bugs!$A$2:$I2033,9,FALSE()),"please select a BUG ID")</f>
        <v>please select a BUG ID</v>
      </c>
      <c r="D1495" s="85"/>
      <c r="E1495" s="85"/>
      <c r="F1495" s="133"/>
      <c r="G1495" s="49"/>
      <c r="H1495" s="50"/>
      <c r="I1495" s="131"/>
      <c r="J1495" s="131"/>
      <c r="K1495" s="131"/>
      <c r="L1495" s="131"/>
      <c r="M1495" s="131"/>
      <c r="N1495" s="43"/>
      <c r="O1495" s="51"/>
    </row>
    <row r="1496">
      <c r="A1496" s="43"/>
      <c r="B1496" s="59" t="str">
        <f>IFERROR(VLOOKUP(A1496,Internal_lists_bugs!$A$2:$G2033,7,FALSE()),"please select a BUG ID")</f>
        <v>please select a BUG ID</v>
      </c>
      <c r="C1496" s="51" t="str">
        <f>IFERROR(VLOOKUP(A1496,Internal_lists_bugs!$A$2:$I2033,9,FALSE()),"please select a BUG ID")</f>
        <v>please select a BUG ID</v>
      </c>
      <c r="D1496" s="85"/>
      <c r="E1496" s="85"/>
      <c r="F1496" s="133"/>
      <c r="G1496" s="49"/>
      <c r="H1496" s="50"/>
      <c r="I1496" s="131"/>
      <c r="J1496" s="131"/>
      <c r="K1496" s="131"/>
      <c r="L1496" s="131"/>
      <c r="M1496" s="131"/>
      <c r="N1496" s="43"/>
      <c r="O1496" s="51"/>
    </row>
    <row r="1497">
      <c r="A1497" s="43"/>
      <c r="B1497" s="59" t="str">
        <f>IFERROR(VLOOKUP(A1497,Internal_lists_bugs!$A$2:$G2033,7,FALSE()),"please select a BUG ID")</f>
        <v>please select a BUG ID</v>
      </c>
      <c r="C1497" s="51" t="str">
        <f>IFERROR(VLOOKUP(A1497,Internal_lists_bugs!$A$2:$I2033,9,FALSE()),"please select a BUG ID")</f>
        <v>please select a BUG ID</v>
      </c>
      <c r="D1497" s="85"/>
      <c r="E1497" s="85"/>
      <c r="F1497" s="133"/>
      <c r="G1497" s="49"/>
      <c r="H1497" s="50"/>
      <c r="I1497" s="131"/>
      <c r="J1497" s="131"/>
      <c r="K1497" s="131"/>
      <c r="L1497" s="131"/>
      <c r="M1497" s="131"/>
      <c r="N1497" s="43"/>
      <c r="O1497" s="51"/>
    </row>
    <row r="1498">
      <c r="A1498" s="43"/>
      <c r="B1498" s="59" t="str">
        <f>IFERROR(VLOOKUP(A1498,Internal_lists_bugs!$A$2:$G2033,7,FALSE()),"please select a BUG ID")</f>
        <v>please select a BUG ID</v>
      </c>
      <c r="C1498" s="51" t="str">
        <f>IFERROR(VLOOKUP(A1498,Internal_lists_bugs!$A$2:$I2033,9,FALSE()),"please select a BUG ID")</f>
        <v>please select a BUG ID</v>
      </c>
      <c r="D1498" s="85"/>
      <c r="E1498" s="85"/>
      <c r="F1498" s="133"/>
      <c r="G1498" s="49"/>
      <c r="H1498" s="50"/>
      <c r="I1498" s="131"/>
      <c r="J1498" s="131"/>
      <c r="K1498" s="131"/>
      <c r="L1498" s="131"/>
      <c r="M1498" s="131"/>
      <c r="N1498" s="43"/>
      <c r="O1498" s="51"/>
    </row>
    <row r="1499">
      <c r="A1499" s="43"/>
      <c r="B1499" s="59" t="str">
        <f>IFERROR(VLOOKUP(A1499,Internal_lists_bugs!$A$2:$G2033,7,FALSE()),"please select a BUG ID")</f>
        <v>please select a BUG ID</v>
      </c>
      <c r="C1499" s="51" t="str">
        <f>IFERROR(VLOOKUP(A1499,Internal_lists_bugs!$A$2:$I2033,9,FALSE()),"please select a BUG ID")</f>
        <v>please select a BUG ID</v>
      </c>
      <c r="D1499" s="85"/>
      <c r="E1499" s="85"/>
      <c r="F1499" s="133"/>
      <c r="G1499" s="49"/>
      <c r="H1499" s="50"/>
      <c r="I1499" s="131"/>
      <c r="J1499" s="131"/>
      <c r="K1499" s="131"/>
      <c r="L1499" s="131"/>
      <c r="M1499" s="131"/>
      <c r="N1499" s="43"/>
      <c r="O1499" s="51"/>
    </row>
    <row r="1500">
      <c r="A1500" s="43"/>
      <c r="B1500" s="59" t="str">
        <f>IFERROR(VLOOKUP(A1500,Internal_lists_bugs!$A$2:$G2033,7,FALSE()),"please select a BUG ID")</f>
        <v>please select a BUG ID</v>
      </c>
      <c r="C1500" s="51" t="str">
        <f>IFERROR(VLOOKUP(A1500,Internal_lists_bugs!$A$2:$I2033,9,FALSE()),"please select a BUG ID")</f>
        <v>please select a BUG ID</v>
      </c>
      <c r="D1500" s="85"/>
      <c r="E1500" s="85"/>
      <c r="F1500" s="133"/>
      <c r="G1500" s="49"/>
      <c r="H1500" s="50"/>
      <c r="I1500" s="131"/>
      <c r="J1500" s="131"/>
      <c r="K1500" s="131"/>
      <c r="L1500" s="131"/>
      <c r="M1500" s="131"/>
      <c r="N1500" s="43"/>
      <c r="O1500" s="51"/>
    </row>
    <row r="1501">
      <c r="A1501" s="43"/>
      <c r="B1501" s="59" t="str">
        <f>IFERROR(VLOOKUP(A1501,Internal_lists_bugs!$A$2:$G2033,7,FALSE()),"please select a BUG ID")</f>
        <v>please select a BUG ID</v>
      </c>
      <c r="C1501" s="51" t="str">
        <f>IFERROR(VLOOKUP(A1501,Internal_lists_bugs!$A$2:$I2033,9,FALSE()),"please select a BUG ID")</f>
        <v>please select a BUG ID</v>
      </c>
      <c r="D1501" s="85"/>
      <c r="E1501" s="85"/>
      <c r="F1501" s="133"/>
      <c r="G1501" s="49"/>
      <c r="H1501" s="50"/>
      <c r="I1501" s="131"/>
      <c r="J1501" s="131"/>
      <c r="K1501" s="131"/>
      <c r="L1501" s="131"/>
      <c r="M1501" s="131"/>
      <c r="N1501" s="43"/>
      <c r="O1501" s="51"/>
    </row>
    <row r="1502">
      <c r="A1502" s="43"/>
      <c r="B1502" s="59" t="str">
        <f>IFERROR(VLOOKUP(A1502,Internal_lists_bugs!$A$2:$G2033,7,FALSE()),"please select a BUG ID")</f>
        <v>please select a BUG ID</v>
      </c>
      <c r="C1502" s="51" t="str">
        <f>IFERROR(VLOOKUP(A1502,Internal_lists_bugs!$A$2:$I2033,9,FALSE()),"please select a BUG ID")</f>
        <v>please select a BUG ID</v>
      </c>
      <c r="D1502" s="85"/>
      <c r="E1502" s="85"/>
      <c r="F1502" s="133"/>
      <c r="G1502" s="49"/>
      <c r="H1502" s="50"/>
      <c r="I1502" s="131"/>
      <c r="J1502" s="131"/>
      <c r="K1502" s="131"/>
      <c r="L1502" s="131"/>
      <c r="M1502" s="131"/>
      <c r="N1502" s="43"/>
      <c r="O1502" s="51"/>
    </row>
    <row r="1503">
      <c r="A1503" s="43"/>
      <c r="B1503" s="59" t="str">
        <f>IFERROR(VLOOKUP(A1503,Internal_lists_bugs!$A$2:$G2033,7,FALSE()),"please select a BUG ID")</f>
        <v>please select a BUG ID</v>
      </c>
      <c r="C1503" s="51" t="str">
        <f>IFERROR(VLOOKUP(A1503,Internal_lists_bugs!$A$2:$I2033,9,FALSE()),"please select a BUG ID")</f>
        <v>please select a BUG ID</v>
      </c>
      <c r="D1503" s="85"/>
      <c r="E1503" s="85"/>
      <c r="F1503" s="133"/>
      <c r="G1503" s="49"/>
      <c r="H1503" s="50"/>
      <c r="I1503" s="131"/>
      <c r="J1503" s="131"/>
      <c r="K1503" s="131"/>
      <c r="L1503" s="131"/>
      <c r="M1503" s="131"/>
      <c r="N1503" s="43"/>
      <c r="O1503" s="51"/>
    </row>
    <row r="1504">
      <c r="A1504" s="43"/>
      <c r="B1504" s="59" t="str">
        <f>IFERROR(VLOOKUP(A1504,Internal_lists_bugs!$A$2:$G2033,7,FALSE()),"please select a BUG ID")</f>
        <v>please select a BUG ID</v>
      </c>
      <c r="C1504" s="51" t="str">
        <f>IFERROR(VLOOKUP(A1504,Internal_lists_bugs!$A$2:$I2033,9,FALSE()),"please select a BUG ID")</f>
        <v>please select a BUG ID</v>
      </c>
      <c r="D1504" s="85"/>
      <c r="E1504" s="85"/>
      <c r="F1504" s="133"/>
      <c r="G1504" s="49"/>
      <c r="H1504" s="50"/>
      <c r="I1504" s="131"/>
      <c r="J1504" s="131"/>
      <c r="K1504" s="131"/>
      <c r="L1504" s="131"/>
      <c r="M1504" s="131"/>
      <c r="N1504" s="43"/>
      <c r="O1504" s="51"/>
    </row>
    <row r="1505">
      <c r="A1505" s="43"/>
      <c r="B1505" s="59" t="str">
        <f>IFERROR(VLOOKUP(A1505,Internal_lists_bugs!$A$2:$G2033,7,FALSE()),"please select a BUG ID")</f>
        <v>please select a BUG ID</v>
      </c>
      <c r="C1505" s="51" t="str">
        <f>IFERROR(VLOOKUP(A1505,Internal_lists_bugs!$A$2:$I2033,9,FALSE()),"please select a BUG ID")</f>
        <v>please select a BUG ID</v>
      </c>
      <c r="D1505" s="85"/>
      <c r="E1505" s="85"/>
      <c r="F1505" s="133"/>
      <c r="G1505" s="49"/>
      <c r="H1505" s="50"/>
      <c r="I1505" s="131"/>
      <c r="J1505" s="131"/>
      <c r="K1505" s="131"/>
      <c r="L1505" s="131"/>
      <c r="M1505" s="131"/>
      <c r="N1505" s="43"/>
      <c r="O1505" s="51"/>
    </row>
    <row r="1506">
      <c r="A1506" s="43"/>
      <c r="B1506" s="59" t="str">
        <f>IFERROR(VLOOKUP(A1506,Internal_lists_bugs!$A$2:$G2033,7,FALSE()),"please select a BUG ID")</f>
        <v>please select a BUG ID</v>
      </c>
      <c r="C1506" s="51" t="str">
        <f>IFERROR(VLOOKUP(A1506,Internal_lists_bugs!$A$2:$I2033,9,FALSE()),"please select a BUG ID")</f>
        <v>please select a BUG ID</v>
      </c>
      <c r="D1506" s="85"/>
      <c r="E1506" s="85"/>
      <c r="F1506" s="133"/>
      <c r="G1506" s="49"/>
      <c r="H1506" s="50"/>
      <c r="I1506" s="131"/>
      <c r="J1506" s="131"/>
      <c r="K1506" s="131"/>
      <c r="L1506" s="131"/>
      <c r="M1506" s="131"/>
      <c r="N1506" s="43"/>
      <c r="O1506" s="51"/>
    </row>
    <row r="1507">
      <c r="A1507" s="43"/>
      <c r="B1507" s="59" t="str">
        <f>IFERROR(VLOOKUP(A1507,Internal_lists_bugs!$A$2:$G2033,7,FALSE()),"please select a BUG ID")</f>
        <v>please select a BUG ID</v>
      </c>
      <c r="C1507" s="51" t="str">
        <f>IFERROR(VLOOKUP(A1507,Internal_lists_bugs!$A$2:$I2033,9,FALSE()),"please select a BUG ID")</f>
        <v>please select a BUG ID</v>
      </c>
      <c r="D1507" s="85"/>
      <c r="E1507" s="85"/>
      <c r="F1507" s="133"/>
      <c r="G1507" s="49"/>
      <c r="H1507" s="50"/>
      <c r="I1507" s="131"/>
      <c r="J1507" s="131"/>
      <c r="K1507" s="131"/>
      <c r="L1507" s="131"/>
      <c r="M1507" s="131"/>
      <c r="N1507" s="43"/>
      <c r="O1507" s="51"/>
    </row>
    <row r="1508">
      <c r="A1508" s="43"/>
      <c r="B1508" s="59" t="str">
        <f>IFERROR(VLOOKUP(A1508,Internal_lists_bugs!$A$2:$G2033,7,FALSE()),"please select a BUG ID")</f>
        <v>please select a BUG ID</v>
      </c>
      <c r="C1508" s="51" t="str">
        <f>IFERROR(VLOOKUP(A1508,Internal_lists_bugs!$A$2:$I2033,9,FALSE()),"please select a BUG ID")</f>
        <v>please select a BUG ID</v>
      </c>
      <c r="D1508" s="85"/>
      <c r="E1508" s="85"/>
      <c r="F1508" s="133"/>
      <c r="G1508" s="49"/>
      <c r="H1508" s="50"/>
      <c r="I1508" s="131"/>
      <c r="J1508" s="131"/>
      <c r="K1508" s="131"/>
      <c r="L1508" s="131"/>
      <c r="M1508" s="131"/>
      <c r="N1508" s="43"/>
      <c r="O1508" s="51"/>
    </row>
    <row r="1509">
      <c r="A1509" s="43"/>
      <c r="B1509" s="59" t="str">
        <f>IFERROR(VLOOKUP(A1509,Internal_lists_bugs!$A$2:$G2033,7,FALSE()),"please select a BUG ID")</f>
        <v>please select a BUG ID</v>
      </c>
      <c r="C1509" s="51" t="str">
        <f>IFERROR(VLOOKUP(A1509,Internal_lists_bugs!$A$2:$I2033,9,FALSE()),"please select a BUG ID")</f>
        <v>please select a BUG ID</v>
      </c>
      <c r="D1509" s="85"/>
      <c r="E1509" s="85"/>
      <c r="F1509" s="133"/>
      <c r="G1509" s="49"/>
      <c r="H1509" s="50"/>
      <c r="I1509" s="131"/>
      <c r="J1509" s="131"/>
      <c r="K1509" s="131"/>
      <c r="L1509" s="131"/>
      <c r="M1509" s="131"/>
      <c r="N1509" s="43"/>
      <c r="O1509" s="51"/>
    </row>
    <row r="1510">
      <c r="A1510" s="43"/>
      <c r="B1510" s="59" t="str">
        <f>IFERROR(VLOOKUP(A1510,Internal_lists_bugs!$A$2:$G2033,7,FALSE()),"please select a BUG ID")</f>
        <v>please select a BUG ID</v>
      </c>
      <c r="C1510" s="51" t="str">
        <f>IFERROR(VLOOKUP(A1510,Internal_lists_bugs!$A$2:$I2033,9,FALSE()),"please select a BUG ID")</f>
        <v>please select a BUG ID</v>
      </c>
      <c r="D1510" s="85"/>
      <c r="E1510" s="85"/>
      <c r="F1510" s="133"/>
      <c r="G1510" s="49"/>
      <c r="H1510" s="50"/>
      <c r="I1510" s="131"/>
      <c r="J1510" s="131"/>
      <c r="K1510" s="131"/>
      <c r="L1510" s="131"/>
      <c r="M1510" s="131"/>
      <c r="N1510" s="43"/>
      <c r="O1510" s="51"/>
    </row>
    <row r="1511">
      <c r="A1511" s="43"/>
      <c r="B1511" s="59" t="str">
        <f>IFERROR(VLOOKUP(A1511,Internal_lists_bugs!$A$2:$G2033,7,FALSE()),"please select a BUG ID")</f>
        <v>please select a BUG ID</v>
      </c>
      <c r="C1511" s="51" t="str">
        <f>IFERROR(VLOOKUP(A1511,Internal_lists_bugs!$A$2:$I2033,9,FALSE()),"please select a BUG ID")</f>
        <v>please select a BUG ID</v>
      </c>
      <c r="D1511" s="85"/>
      <c r="E1511" s="85"/>
      <c r="F1511" s="133"/>
      <c r="G1511" s="49"/>
      <c r="H1511" s="50"/>
      <c r="I1511" s="131"/>
      <c r="J1511" s="131"/>
      <c r="K1511" s="131"/>
      <c r="L1511" s="131"/>
      <c r="M1511" s="131"/>
      <c r="N1511" s="43"/>
      <c r="O1511" s="51"/>
    </row>
    <row r="1512">
      <c r="A1512" s="43"/>
      <c r="B1512" s="59" t="str">
        <f>IFERROR(VLOOKUP(A1512,Internal_lists_bugs!$A$2:$G2033,7,FALSE()),"please select a BUG ID")</f>
        <v>please select a BUG ID</v>
      </c>
      <c r="C1512" s="51" t="str">
        <f>IFERROR(VLOOKUP(A1512,Internal_lists_bugs!$A$2:$I2033,9,FALSE()),"please select a BUG ID")</f>
        <v>please select a BUG ID</v>
      </c>
      <c r="D1512" s="85"/>
      <c r="E1512" s="85"/>
      <c r="F1512" s="133"/>
      <c r="G1512" s="49"/>
      <c r="H1512" s="50"/>
      <c r="I1512" s="131"/>
      <c r="J1512" s="131"/>
      <c r="K1512" s="131"/>
      <c r="L1512" s="131"/>
      <c r="M1512" s="131"/>
      <c r="N1512" s="43"/>
      <c r="O1512" s="51"/>
    </row>
    <row r="1513">
      <c r="A1513" s="43"/>
      <c r="B1513" s="59" t="str">
        <f>IFERROR(VLOOKUP(A1513,Internal_lists_bugs!$A$2:$G2033,7,FALSE()),"please select a BUG ID")</f>
        <v>please select a BUG ID</v>
      </c>
      <c r="C1513" s="51" t="str">
        <f>IFERROR(VLOOKUP(A1513,Internal_lists_bugs!$A$2:$I2033,9,FALSE()),"please select a BUG ID")</f>
        <v>please select a BUG ID</v>
      </c>
      <c r="D1513" s="85"/>
      <c r="E1513" s="85"/>
      <c r="F1513" s="133"/>
      <c r="G1513" s="49"/>
      <c r="H1513" s="50"/>
      <c r="I1513" s="131"/>
      <c r="J1513" s="131"/>
      <c r="K1513" s="131"/>
      <c r="L1513" s="131"/>
      <c r="M1513" s="131"/>
      <c r="N1513" s="43"/>
      <c r="O1513" s="51"/>
    </row>
    <row r="1514">
      <c r="A1514" s="43"/>
      <c r="B1514" s="59" t="str">
        <f>IFERROR(VLOOKUP(A1514,Internal_lists_bugs!$A$2:$G2033,7,FALSE()),"please select a BUG ID")</f>
        <v>please select a BUG ID</v>
      </c>
      <c r="C1514" s="51" t="str">
        <f>IFERROR(VLOOKUP(A1514,Internal_lists_bugs!$A$2:$I2033,9,FALSE()),"please select a BUG ID")</f>
        <v>please select a BUG ID</v>
      </c>
      <c r="D1514" s="85"/>
      <c r="E1514" s="85"/>
      <c r="F1514" s="133"/>
      <c r="G1514" s="49"/>
      <c r="H1514" s="50"/>
      <c r="I1514" s="131"/>
      <c r="J1514" s="131"/>
      <c r="K1514" s="131"/>
      <c r="L1514" s="131"/>
      <c r="M1514" s="131"/>
      <c r="N1514" s="43"/>
      <c r="O1514" s="51"/>
    </row>
    <row r="1515">
      <c r="A1515" s="43"/>
      <c r="B1515" s="59" t="str">
        <f>IFERROR(VLOOKUP(A1515,Internal_lists_bugs!$A$2:$G2033,7,FALSE()),"please select a BUG ID")</f>
        <v>please select a BUG ID</v>
      </c>
      <c r="C1515" s="51" t="str">
        <f>IFERROR(VLOOKUP(A1515,Internal_lists_bugs!$A$2:$I2033,9,FALSE()),"please select a BUG ID")</f>
        <v>please select a BUG ID</v>
      </c>
      <c r="D1515" s="85"/>
      <c r="E1515" s="85"/>
      <c r="F1515" s="133"/>
      <c r="G1515" s="49"/>
      <c r="H1515" s="50"/>
      <c r="I1515" s="131"/>
      <c r="J1515" s="131"/>
      <c r="K1515" s="131"/>
      <c r="L1515" s="131"/>
      <c r="M1515" s="131"/>
      <c r="N1515" s="43"/>
      <c r="O1515" s="51"/>
    </row>
    <row r="1516">
      <c r="A1516" s="43"/>
      <c r="B1516" s="59" t="str">
        <f>IFERROR(VLOOKUP(A1516,Internal_lists_bugs!$A$2:$G2033,7,FALSE()),"please select a BUG ID")</f>
        <v>please select a BUG ID</v>
      </c>
      <c r="C1516" s="51" t="str">
        <f>IFERROR(VLOOKUP(A1516,Internal_lists_bugs!$A$2:$I2033,9,FALSE()),"please select a BUG ID")</f>
        <v>please select a BUG ID</v>
      </c>
      <c r="D1516" s="85"/>
      <c r="E1516" s="85"/>
      <c r="F1516" s="133"/>
      <c r="G1516" s="49"/>
      <c r="H1516" s="50"/>
      <c r="I1516" s="131"/>
      <c r="J1516" s="131"/>
      <c r="K1516" s="131"/>
      <c r="L1516" s="131"/>
      <c r="M1516" s="131"/>
      <c r="N1516" s="43"/>
      <c r="O1516" s="51"/>
    </row>
    <row r="1517">
      <c r="A1517" s="43"/>
      <c r="B1517" s="59" t="str">
        <f>IFERROR(VLOOKUP(A1517,Internal_lists_bugs!$A$2:$G2033,7,FALSE()),"please select a BUG ID")</f>
        <v>please select a BUG ID</v>
      </c>
      <c r="C1517" s="51" t="str">
        <f>IFERROR(VLOOKUP(A1517,Internal_lists_bugs!$A$2:$I2033,9,FALSE()),"please select a BUG ID")</f>
        <v>please select a BUG ID</v>
      </c>
      <c r="D1517" s="85"/>
      <c r="E1517" s="85"/>
      <c r="F1517" s="133"/>
      <c r="G1517" s="49"/>
      <c r="H1517" s="50"/>
      <c r="I1517" s="131"/>
      <c r="J1517" s="131"/>
      <c r="K1517" s="131"/>
      <c r="L1517" s="131"/>
      <c r="M1517" s="131"/>
      <c r="N1517" s="43"/>
      <c r="O1517" s="51"/>
    </row>
    <row r="1518">
      <c r="A1518" s="43"/>
      <c r="B1518" s="59" t="str">
        <f>IFERROR(VLOOKUP(A1518,Internal_lists_bugs!$A$2:$G2033,7,FALSE()),"please select a BUG ID")</f>
        <v>please select a BUG ID</v>
      </c>
      <c r="C1518" s="51" t="str">
        <f>IFERROR(VLOOKUP(A1518,Internal_lists_bugs!$A$2:$I2033,9,FALSE()),"please select a BUG ID")</f>
        <v>please select a BUG ID</v>
      </c>
      <c r="D1518" s="85"/>
      <c r="E1518" s="85"/>
      <c r="F1518" s="133"/>
      <c r="G1518" s="49"/>
      <c r="H1518" s="50"/>
      <c r="I1518" s="131"/>
      <c r="J1518" s="131"/>
      <c r="K1518" s="131"/>
      <c r="L1518" s="131"/>
      <c r="M1518" s="131"/>
      <c r="N1518" s="43"/>
      <c r="O1518" s="51"/>
    </row>
    <row r="1519">
      <c r="A1519" s="43"/>
      <c r="B1519" s="59" t="str">
        <f>IFERROR(VLOOKUP(A1519,Internal_lists_bugs!$A$2:$G2033,7,FALSE()),"please select a BUG ID")</f>
        <v>please select a BUG ID</v>
      </c>
      <c r="C1519" s="51" t="str">
        <f>IFERROR(VLOOKUP(A1519,Internal_lists_bugs!$A$2:$I2033,9,FALSE()),"please select a BUG ID")</f>
        <v>please select a BUG ID</v>
      </c>
      <c r="D1519" s="85"/>
      <c r="E1519" s="85"/>
      <c r="F1519" s="133"/>
      <c r="G1519" s="49"/>
      <c r="H1519" s="50"/>
      <c r="I1519" s="131"/>
      <c r="J1519" s="131"/>
      <c r="K1519" s="131"/>
      <c r="L1519" s="131"/>
      <c r="M1519" s="131"/>
      <c r="N1519" s="43"/>
      <c r="O1519" s="51"/>
    </row>
    <row r="1520">
      <c r="A1520" s="43"/>
      <c r="B1520" s="59" t="str">
        <f>IFERROR(VLOOKUP(A1520,Internal_lists_bugs!$A$2:$G2033,7,FALSE()),"please select a BUG ID")</f>
        <v>please select a BUG ID</v>
      </c>
      <c r="C1520" s="51" t="str">
        <f>IFERROR(VLOOKUP(A1520,Internal_lists_bugs!$A$2:$I2033,9,FALSE()),"please select a BUG ID")</f>
        <v>please select a BUG ID</v>
      </c>
      <c r="D1520" s="85"/>
      <c r="E1520" s="85"/>
      <c r="F1520" s="133"/>
      <c r="G1520" s="49"/>
      <c r="H1520" s="50"/>
      <c r="I1520" s="131"/>
      <c r="J1520" s="131"/>
      <c r="K1520" s="131"/>
      <c r="L1520" s="131"/>
      <c r="M1520" s="131"/>
      <c r="N1520" s="43"/>
      <c r="O1520" s="51"/>
    </row>
    <row r="1521">
      <c r="A1521" s="43"/>
      <c r="B1521" s="59" t="str">
        <f>IFERROR(VLOOKUP(A1521,Internal_lists_bugs!$A$2:$G2033,7,FALSE()),"please select a BUG ID")</f>
        <v>please select a BUG ID</v>
      </c>
      <c r="C1521" s="51" t="str">
        <f>IFERROR(VLOOKUP(A1521,Internal_lists_bugs!$A$2:$I2033,9,FALSE()),"please select a BUG ID")</f>
        <v>please select a BUG ID</v>
      </c>
      <c r="D1521" s="85"/>
      <c r="E1521" s="85"/>
      <c r="F1521" s="133"/>
      <c r="G1521" s="49"/>
      <c r="H1521" s="50"/>
      <c r="I1521" s="131"/>
      <c r="J1521" s="131"/>
      <c r="K1521" s="131"/>
      <c r="L1521" s="131"/>
      <c r="M1521" s="131"/>
      <c r="N1521" s="43"/>
      <c r="O1521" s="51"/>
    </row>
    <row r="1522">
      <c r="A1522" s="43"/>
      <c r="B1522" s="59" t="str">
        <f>IFERROR(VLOOKUP(A1522,Internal_lists_bugs!$A$2:$G2033,7,FALSE()),"please select a BUG ID")</f>
        <v>please select a BUG ID</v>
      </c>
      <c r="C1522" s="51" t="str">
        <f>IFERROR(VLOOKUP(A1522,Internal_lists_bugs!$A$2:$I2033,9,FALSE()),"please select a BUG ID")</f>
        <v>please select a BUG ID</v>
      </c>
      <c r="D1522" s="85"/>
      <c r="E1522" s="85"/>
      <c r="F1522" s="133"/>
      <c r="G1522" s="49"/>
      <c r="H1522" s="50"/>
      <c r="I1522" s="131"/>
      <c r="J1522" s="131"/>
      <c r="K1522" s="131"/>
      <c r="L1522" s="131"/>
      <c r="M1522" s="131"/>
      <c r="N1522" s="43"/>
      <c r="O1522" s="51"/>
    </row>
    <row r="1523">
      <c r="A1523" s="43"/>
      <c r="B1523" s="59" t="str">
        <f>IFERROR(VLOOKUP(A1523,Internal_lists_bugs!$A$2:$G2033,7,FALSE()),"please select a BUG ID")</f>
        <v>please select a BUG ID</v>
      </c>
      <c r="C1523" s="51" t="str">
        <f>IFERROR(VLOOKUP(A1523,Internal_lists_bugs!$A$2:$I2033,9,FALSE()),"please select a BUG ID")</f>
        <v>please select a BUG ID</v>
      </c>
      <c r="D1523" s="85"/>
      <c r="E1523" s="85"/>
      <c r="F1523" s="133"/>
      <c r="G1523" s="49"/>
      <c r="H1523" s="50"/>
      <c r="I1523" s="131"/>
      <c r="J1523" s="131"/>
      <c r="K1523" s="131"/>
      <c r="L1523" s="131"/>
      <c r="M1523" s="131"/>
      <c r="N1523" s="43"/>
      <c r="O1523" s="51"/>
    </row>
    <row r="1524">
      <c r="A1524" s="43"/>
      <c r="B1524" s="59" t="str">
        <f>IFERROR(VLOOKUP(A1524,Internal_lists_bugs!$A$2:$G2033,7,FALSE()),"please select a BUG ID")</f>
        <v>please select a BUG ID</v>
      </c>
      <c r="C1524" s="51" t="str">
        <f>IFERROR(VLOOKUP(A1524,Internal_lists_bugs!$A$2:$I2033,9,FALSE()),"please select a BUG ID")</f>
        <v>please select a BUG ID</v>
      </c>
      <c r="D1524" s="85"/>
      <c r="E1524" s="85"/>
      <c r="F1524" s="133"/>
      <c r="G1524" s="49"/>
      <c r="H1524" s="50"/>
      <c r="I1524" s="131"/>
      <c r="J1524" s="131"/>
      <c r="K1524" s="131"/>
      <c r="L1524" s="131"/>
      <c r="M1524" s="131"/>
      <c r="N1524" s="43"/>
      <c r="O1524" s="51"/>
    </row>
    <row r="1525">
      <c r="A1525" s="43"/>
      <c r="B1525" s="59" t="str">
        <f>IFERROR(VLOOKUP(A1525,Internal_lists_bugs!$A$2:$G2033,7,FALSE()),"please select a BUG ID")</f>
        <v>please select a BUG ID</v>
      </c>
      <c r="C1525" s="51" t="str">
        <f>IFERROR(VLOOKUP(A1525,Internal_lists_bugs!$A$2:$I2033,9,FALSE()),"please select a BUG ID")</f>
        <v>please select a BUG ID</v>
      </c>
      <c r="D1525" s="85"/>
      <c r="E1525" s="85"/>
      <c r="F1525" s="133"/>
      <c r="G1525" s="49"/>
      <c r="H1525" s="50"/>
      <c r="I1525" s="131"/>
      <c r="J1525" s="131"/>
      <c r="K1525" s="131"/>
      <c r="L1525" s="131"/>
      <c r="M1525" s="131"/>
      <c r="N1525" s="43"/>
      <c r="O1525" s="51"/>
    </row>
    <row r="1526">
      <c r="A1526" s="43"/>
      <c r="B1526" s="59" t="str">
        <f>IFERROR(VLOOKUP(A1526,Internal_lists_bugs!$A$2:$G2033,7,FALSE()),"please select a BUG ID")</f>
        <v>please select a BUG ID</v>
      </c>
      <c r="C1526" s="51" t="str">
        <f>IFERROR(VLOOKUP(A1526,Internal_lists_bugs!$A$2:$I2033,9,FALSE()),"please select a BUG ID")</f>
        <v>please select a BUG ID</v>
      </c>
      <c r="D1526" s="85"/>
      <c r="E1526" s="85"/>
      <c r="F1526" s="133"/>
      <c r="G1526" s="49"/>
      <c r="H1526" s="50"/>
      <c r="I1526" s="131"/>
      <c r="J1526" s="131"/>
      <c r="K1526" s="131"/>
      <c r="L1526" s="131"/>
      <c r="M1526" s="131"/>
      <c r="N1526" s="43"/>
      <c r="O1526" s="51"/>
    </row>
    <row r="1527">
      <c r="A1527" s="43"/>
      <c r="B1527" s="59" t="str">
        <f>IFERROR(VLOOKUP(A1527,Internal_lists_bugs!$A$2:$G2033,7,FALSE()),"please select a BUG ID")</f>
        <v>please select a BUG ID</v>
      </c>
      <c r="C1527" s="51" t="str">
        <f>IFERROR(VLOOKUP(A1527,Internal_lists_bugs!$A$2:$I2033,9,FALSE()),"please select a BUG ID")</f>
        <v>please select a BUG ID</v>
      </c>
      <c r="D1527" s="85"/>
      <c r="E1527" s="85"/>
      <c r="F1527" s="133"/>
      <c r="G1527" s="49"/>
      <c r="H1527" s="50"/>
      <c r="I1527" s="131"/>
      <c r="J1527" s="131"/>
      <c r="K1527" s="131"/>
      <c r="L1527" s="131"/>
      <c r="M1527" s="131"/>
      <c r="N1527" s="43"/>
      <c r="O1527" s="51"/>
    </row>
    <row r="1528">
      <c r="A1528" s="43"/>
      <c r="B1528" s="59" t="str">
        <f>IFERROR(VLOOKUP(A1528,Internal_lists_bugs!$A$2:$G2033,7,FALSE()),"please select a BUG ID")</f>
        <v>please select a BUG ID</v>
      </c>
      <c r="C1528" s="51" t="str">
        <f>IFERROR(VLOOKUP(A1528,Internal_lists_bugs!$A$2:$I2033,9,FALSE()),"please select a BUG ID")</f>
        <v>please select a BUG ID</v>
      </c>
      <c r="D1528" s="85"/>
      <c r="E1528" s="85"/>
      <c r="F1528" s="133"/>
      <c r="G1528" s="49"/>
      <c r="H1528" s="50"/>
      <c r="I1528" s="131"/>
      <c r="J1528" s="131"/>
      <c r="K1528" s="131"/>
      <c r="L1528" s="131"/>
      <c r="M1528" s="131"/>
      <c r="N1528" s="43"/>
      <c r="O1528" s="51"/>
    </row>
    <row r="1529">
      <c r="A1529" s="43"/>
      <c r="B1529" s="59" t="str">
        <f>IFERROR(VLOOKUP(A1529,Internal_lists_bugs!$A$2:$G2033,7,FALSE()),"please select a BUG ID")</f>
        <v>please select a BUG ID</v>
      </c>
      <c r="C1529" s="51" t="str">
        <f>IFERROR(VLOOKUP(A1529,Internal_lists_bugs!$A$2:$I2033,9,FALSE()),"please select a BUG ID")</f>
        <v>please select a BUG ID</v>
      </c>
      <c r="D1529" s="85"/>
      <c r="E1529" s="85"/>
      <c r="F1529" s="133"/>
      <c r="G1529" s="49"/>
      <c r="H1529" s="50"/>
      <c r="I1529" s="131"/>
      <c r="J1529" s="131"/>
      <c r="K1529" s="131"/>
      <c r="L1529" s="131"/>
      <c r="M1529" s="131"/>
      <c r="N1529" s="43"/>
      <c r="O1529" s="51"/>
    </row>
    <row r="1530">
      <c r="A1530" s="43"/>
      <c r="B1530" s="59" t="str">
        <f>IFERROR(VLOOKUP(A1530,Internal_lists_bugs!$A$2:$G2033,7,FALSE()),"please select a BUG ID")</f>
        <v>please select a BUG ID</v>
      </c>
      <c r="C1530" s="51" t="str">
        <f>IFERROR(VLOOKUP(A1530,Internal_lists_bugs!$A$2:$I2033,9,FALSE()),"please select a BUG ID")</f>
        <v>please select a BUG ID</v>
      </c>
      <c r="D1530" s="85"/>
      <c r="E1530" s="85"/>
      <c r="F1530" s="133"/>
      <c r="G1530" s="49"/>
      <c r="H1530" s="50"/>
      <c r="I1530" s="131"/>
      <c r="J1530" s="131"/>
      <c r="K1530" s="131"/>
      <c r="L1530" s="131"/>
      <c r="M1530" s="131"/>
      <c r="N1530" s="43"/>
      <c r="O1530" s="51"/>
    </row>
    <row r="1531">
      <c r="A1531" s="43"/>
      <c r="B1531" s="59" t="str">
        <f>IFERROR(VLOOKUP(A1531,Internal_lists_bugs!$A$2:$G2033,7,FALSE()),"please select a BUG ID")</f>
        <v>please select a BUG ID</v>
      </c>
      <c r="C1531" s="51" t="str">
        <f>IFERROR(VLOOKUP(A1531,Internal_lists_bugs!$A$2:$I2033,9,FALSE()),"please select a BUG ID")</f>
        <v>please select a BUG ID</v>
      </c>
      <c r="D1531" s="85"/>
      <c r="E1531" s="85"/>
      <c r="F1531" s="133"/>
      <c r="G1531" s="49"/>
      <c r="H1531" s="50"/>
      <c r="I1531" s="131"/>
      <c r="J1531" s="131"/>
      <c r="K1531" s="131"/>
      <c r="L1531" s="131"/>
      <c r="M1531" s="131"/>
      <c r="N1531" s="43"/>
      <c r="O1531" s="51"/>
    </row>
    <row r="1532">
      <c r="A1532" s="43"/>
      <c r="B1532" s="59" t="str">
        <f>IFERROR(VLOOKUP(A1532,Internal_lists_bugs!$A$2:$G2033,7,FALSE()),"please select a BUG ID")</f>
        <v>please select a BUG ID</v>
      </c>
      <c r="C1532" s="51" t="str">
        <f>IFERROR(VLOOKUP(A1532,Internal_lists_bugs!$A$2:$I2033,9,FALSE()),"please select a BUG ID")</f>
        <v>please select a BUG ID</v>
      </c>
      <c r="D1532" s="85"/>
      <c r="E1532" s="85"/>
      <c r="F1532" s="133"/>
      <c r="G1532" s="49"/>
      <c r="H1532" s="50"/>
      <c r="I1532" s="131"/>
      <c r="J1532" s="131"/>
      <c r="K1532" s="131"/>
      <c r="L1532" s="131"/>
      <c r="M1532" s="131"/>
      <c r="N1532" s="43"/>
      <c r="O1532" s="51"/>
    </row>
    <row r="1533">
      <c r="A1533" s="43"/>
      <c r="B1533" s="59" t="str">
        <f>IFERROR(VLOOKUP(A1533,Internal_lists_bugs!$A$2:$G2033,7,FALSE()),"please select a BUG ID")</f>
        <v>please select a BUG ID</v>
      </c>
      <c r="C1533" s="51" t="str">
        <f>IFERROR(VLOOKUP(A1533,Internal_lists_bugs!$A$2:$I2033,9,FALSE()),"please select a BUG ID")</f>
        <v>please select a BUG ID</v>
      </c>
      <c r="D1533" s="85"/>
      <c r="E1533" s="85"/>
      <c r="F1533" s="133"/>
      <c r="G1533" s="49"/>
      <c r="H1533" s="50"/>
      <c r="I1533" s="131"/>
      <c r="J1533" s="131"/>
      <c r="K1533" s="131"/>
      <c r="L1533" s="131"/>
      <c r="M1533" s="131"/>
      <c r="N1533" s="43"/>
      <c r="O1533" s="51"/>
    </row>
    <row r="1534">
      <c r="A1534" s="43"/>
      <c r="B1534" s="59" t="str">
        <f>IFERROR(VLOOKUP(A1534,Internal_lists_bugs!$A$2:$G2033,7,FALSE()),"please select a BUG ID")</f>
        <v>please select a BUG ID</v>
      </c>
      <c r="C1534" s="51" t="str">
        <f>IFERROR(VLOOKUP(A1534,Internal_lists_bugs!$A$2:$I2033,9,FALSE()),"please select a BUG ID")</f>
        <v>please select a BUG ID</v>
      </c>
      <c r="D1534" s="85"/>
      <c r="E1534" s="85"/>
      <c r="F1534" s="133"/>
      <c r="G1534" s="49"/>
      <c r="H1534" s="50"/>
      <c r="I1534" s="131"/>
      <c r="J1534" s="131"/>
      <c r="K1534" s="131"/>
      <c r="L1534" s="131"/>
      <c r="M1534" s="131"/>
      <c r="N1534" s="43"/>
      <c r="O1534" s="51"/>
    </row>
    <row r="1535">
      <c r="A1535" s="43"/>
      <c r="B1535" s="59" t="str">
        <f>IFERROR(VLOOKUP(A1535,Internal_lists_bugs!$A$2:$G2033,7,FALSE()),"please select a BUG ID")</f>
        <v>please select a BUG ID</v>
      </c>
      <c r="C1535" s="51" t="str">
        <f>IFERROR(VLOOKUP(A1535,Internal_lists_bugs!$A$2:$I2033,9,FALSE()),"please select a BUG ID")</f>
        <v>please select a BUG ID</v>
      </c>
      <c r="D1535" s="85"/>
      <c r="E1535" s="85"/>
      <c r="F1535" s="133"/>
      <c r="G1535" s="49"/>
      <c r="H1535" s="50"/>
      <c r="I1535" s="131"/>
      <c r="J1535" s="131"/>
      <c r="K1535" s="131"/>
      <c r="L1535" s="131"/>
      <c r="M1535" s="131"/>
      <c r="N1535" s="43"/>
      <c r="O1535" s="51"/>
    </row>
    <row r="1536">
      <c r="A1536" s="43"/>
      <c r="B1536" s="59" t="str">
        <f>IFERROR(VLOOKUP(A1536,Internal_lists_bugs!$A$2:$G2033,7,FALSE()),"please select a BUG ID")</f>
        <v>please select a BUG ID</v>
      </c>
      <c r="C1536" s="51" t="str">
        <f>IFERROR(VLOOKUP(A1536,Internal_lists_bugs!$A$2:$I2033,9,FALSE()),"please select a BUG ID")</f>
        <v>please select a BUG ID</v>
      </c>
      <c r="D1536" s="85"/>
      <c r="E1536" s="85"/>
      <c r="F1536" s="133"/>
      <c r="G1536" s="49"/>
      <c r="H1536" s="50"/>
      <c r="I1536" s="131"/>
      <c r="J1536" s="131"/>
      <c r="K1536" s="131"/>
      <c r="L1536" s="131"/>
      <c r="M1536" s="131"/>
      <c r="N1536" s="43"/>
      <c r="O1536" s="51"/>
    </row>
    <row r="1537">
      <c r="A1537" s="43"/>
      <c r="B1537" s="59" t="str">
        <f>IFERROR(VLOOKUP(A1537,Internal_lists_bugs!$A$2:$G2033,7,FALSE()),"please select a BUG ID")</f>
        <v>please select a BUG ID</v>
      </c>
      <c r="C1537" s="51" t="str">
        <f>IFERROR(VLOOKUP(A1537,Internal_lists_bugs!$A$2:$I2033,9,FALSE()),"please select a BUG ID")</f>
        <v>please select a BUG ID</v>
      </c>
      <c r="D1537" s="85"/>
      <c r="E1537" s="85"/>
      <c r="F1537" s="133"/>
      <c r="G1537" s="49"/>
      <c r="H1537" s="50"/>
      <c r="I1537" s="131"/>
      <c r="J1537" s="131"/>
      <c r="K1537" s="131"/>
      <c r="L1537" s="131"/>
      <c r="M1537" s="131"/>
      <c r="N1537" s="43"/>
      <c r="O1537" s="51"/>
    </row>
    <row r="1538">
      <c r="A1538" s="43"/>
      <c r="B1538" s="59" t="str">
        <f>IFERROR(VLOOKUP(A1538,Internal_lists_bugs!$A$2:$G2033,7,FALSE()),"please select a BUG ID")</f>
        <v>please select a BUG ID</v>
      </c>
      <c r="C1538" s="51" t="str">
        <f>IFERROR(VLOOKUP(A1538,Internal_lists_bugs!$A$2:$I2033,9,FALSE()),"please select a BUG ID")</f>
        <v>please select a BUG ID</v>
      </c>
      <c r="D1538" s="85"/>
      <c r="E1538" s="85"/>
      <c r="F1538" s="133"/>
      <c r="G1538" s="49"/>
      <c r="H1538" s="50"/>
      <c r="I1538" s="131"/>
      <c r="J1538" s="131"/>
      <c r="K1538" s="131"/>
      <c r="L1538" s="131"/>
      <c r="M1538" s="131"/>
      <c r="N1538" s="43"/>
      <c r="O1538" s="51"/>
    </row>
    <row r="1539">
      <c r="A1539" s="43"/>
      <c r="B1539" s="59" t="str">
        <f>IFERROR(VLOOKUP(A1539,Internal_lists_bugs!$A$2:$G2033,7,FALSE()),"please select a BUG ID")</f>
        <v>please select a BUG ID</v>
      </c>
      <c r="C1539" s="51" t="str">
        <f>IFERROR(VLOOKUP(A1539,Internal_lists_bugs!$A$2:$I2033,9,FALSE()),"please select a BUG ID")</f>
        <v>please select a BUG ID</v>
      </c>
      <c r="D1539" s="85"/>
      <c r="E1539" s="85"/>
      <c r="F1539" s="133"/>
      <c r="G1539" s="49"/>
      <c r="H1539" s="50"/>
      <c r="I1539" s="131"/>
      <c r="J1539" s="131"/>
      <c r="K1539" s="131"/>
      <c r="L1539" s="131"/>
      <c r="M1539" s="131"/>
      <c r="N1539" s="43"/>
      <c r="O1539" s="51"/>
    </row>
    <row r="1540">
      <c r="A1540" s="43"/>
      <c r="B1540" s="59" t="str">
        <f>IFERROR(VLOOKUP(A1540,Internal_lists_bugs!$A$2:$G2033,7,FALSE()),"please select a BUG ID")</f>
        <v>please select a BUG ID</v>
      </c>
      <c r="C1540" s="51" t="str">
        <f>IFERROR(VLOOKUP(A1540,Internal_lists_bugs!$A$2:$I2033,9,FALSE()),"please select a BUG ID")</f>
        <v>please select a BUG ID</v>
      </c>
      <c r="D1540" s="85"/>
      <c r="E1540" s="85"/>
      <c r="F1540" s="133"/>
      <c r="G1540" s="49"/>
      <c r="H1540" s="50"/>
      <c r="I1540" s="131"/>
      <c r="J1540" s="131"/>
      <c r="K1540" s="131"/>
      <c r="L1540" s="131"/>
      <c r="M1540" s="131"/>
      <c r="N1540" s="43"/>
      <c r="O1540" s="51"/>
    </row>
    <row r="1541">
      <c r="A1541" s="43"/>
      <c r="B1541" s="59" t="str">
        <f>IFERROR(VLOOKUP(A1541,Internal_lists_bugs!$A$2:$G2033,7,FALSE()),"please select a BUG ID")</f>
        <v>please select a BUG ID</v>
      </c>
      <c r="C1541" s="51" t="str">
        <f>IFERROR(VLOOKUP(A1541,Internal_lists_bugs!$A$2:$I2033,9,FALSE()),"please select a BUG ID")</f>
        <v>please select a BUG ID</v>
      </c>
      <c r="D1541" s="85"/>
      <c r="E1541" s="85"/>
      <c r="F1541" s="133"/>
      <c r="G1541" s="49"/>
      <c r="H1541" s="50"/>
      <c r="I1541" s="131"/>
      <c r="J1541" s="131"/>
      <c r="K1541" s="131"/>
      <c r="L1541" s="131"/>
      <c r="M1541" s="131"/>
      <c r="N1541" s="43"/>
      <c r="O1541" s="51"/>
    </row>
    <row r="1542">
      <c r="A1542" s="43"/>
      <c r="B1542" s="59" t="str">
        <f>IFERROR(VLOOKUP(A1542,Internal_lists_bugs!$A$2:$G2033,7,FALSE()),"please select a BUG ID")</f>
        <v>please select a BUG ID</v>
      </c>
      <c r="C1542" s="51" t="str">
        <f>IFERROR(VLOOKUP(A1542,Internal_lists_bugs!$A$2:$I2033,9,FALSE()),"please select a BUG ID")</f>
        <v>please select a BUG ID</v>
      </c>
      <c r="D1542" s="85"/>
      <c r="E1542" s="85"/>
      <c r="F1542" s="133"/>
      <c r="G1542" s="49"/>
      <c r="H1542" s="50"/>
      <c r="I1542" s="131"/>
      <c r="J1542" s="131"/>
      <c r="K1542" s="131"/>
      <c r="L1542" s="131"/>
      <c r="M1542" s="131"/>
      <c r="N1542" s="43"/>
      <c r="O1542" s="51"/>
    </row>
    <row r="1543">
      <c r="A1543" s="43"/>
      <c r="B1543" s="59" t="str">
        <f>IFERROR(VLOOKUP(A1543,Internal_lists_bugs!$A$2:$G2033,7,FALSE()),"please select a BUG ID")</f>
        <v>please select a BUG ID</v>
      </c>
      <c r="C1543" s="51" t="str">
        <f>IFERROR(VLOOKUP(A1543,Internal_lists_bugs!$A$2:$I2033,9,FALSE()),"please select a BUG ID")</f>
        <v>please select a BUG ID</v>
      </c>
      <c r="D1543" s="85"/>
      <c r="E1543" s="85"/>
      <c r="F1543" s="133"/>
      <c r="G1543" s="49"/>
      <c r="H1543" s="50"/>
      <c r="I1543" s="131"/>
      <c r="J1543" s="131"/>
      <c r="K1543" s="131"/>
      <c r="L1543" s="131"/>
      <c r="M1543" s="131"/>
      <c r="N1543" s="43"/>
      <c r="O1543" s="51"/>
    </row>
    <row r="1544">
      <c r="A1544" s="43"/>
      <c r="B1544" s="59" t="str">
        <f>IFERROR(VLOOKUP(A1544,Internal_lists_bugs!$A$2:$G2033,7,FALSE()),"please select a BUG ID")</f>
        <v>please select a BUG ID</v>
      </c>
      <c r="C1544" s="51" t="str">
        <f>IFERROR(VLOOKUP(A1544,Internal_lists_bugs!$A$2:$I2033,9,FALSE()),"please select a BUG ID")</f>
        <v>please select a BUG ID</v>
      </c>
      <c r="D1544" s="85"/>
      <c r="E1544" s="85"/>
      <c r="F1544" s="133"/>
      <c r="G1544" s="49"/>
      <c r="H1544" s="50"/>
      <c r="I1544" s="131"/>
      <c r="J1544" s="131"/>
      <c r="K1544" s="131"/>
      <c r="L1544" s="131"/>
      <c r="M1544" s="131"/>
      <c r="N1544" s="43"/>
      <c r="O1544" s="51"/>
    </row>
    <row r="1545">
      <c r="A1545" s="43"/>
      <c r="B1545" s="59" t="str">
        <f>IFERROR(VLOOKUP(A1545,Internal_lists_bugs!$A$2:$G2033,7,FALSE()),"please select a BUG ID")</f>
        <v>please select a BUG ID</v>
      </c>
      <c r="C1545" s="51" t="str">
        <f>IFERROR(VLOOKUP(A1545,Internal_lists_bugs!$A$2:$I2033,9,FALSE()),"please select a BUG ID")</f>
        <v>please select a BUG ID</v>
      </c>
      <c r="D1545" s="85"/>
      <c r="E1545" s="85"/>
      <c r="F1545" s="133"/>
      <c r="G1545" s="49"/>
      <c r="H1545" s="50"/>
      <c r="I1545" s="131"/>
      <c r="J1545" s="131"/>
      <c r="K1545" s="131"/>
      <c r="L1545" s="131"/>
      <c r="M1545" s="131"/>
      <c r="N1545" s="43"/>
      <c r="O1545" s="51"/>
    </row>
    <row r="1546">
      <c r="A1546" s="43"/>
      <c r="B1546" s="59" t="str">
        <f>IFERROR(VLOOKUP(A1546,Internal_lists_bugs!$A$2:$G2033,7,FALSE()),"please select a BUG ID")</f>
        <v>please select a BUG ID</v>
      </c>
      <c r="C1546" s="51" t="str">
        <f>IFERROR(VLOOKUP(A1546,Internal_lists_bugs!$A$2:$I2033,9,FALSE()),"please select a BUG ID")</f>
        <v>please select a BUG ID</v>
      </c>
      <c r="D1546" s="85"/>
      <c r="E1546" s="85"/>
      <c r="F1546" s="133"/>
      <c r="G1546" s="49"/>
      <c r="H1546" s="50"/>
      <c r="I1546" s="131"/>
      <c r="J1546" s="131"/>
      <c r="K1546" s="131"/>
      <c r="L1546" s="131"/>
      <c r="M1546" s="131"/>
      <c r="N1546" s="43"/>
      <c r="O1546" s="51"/>
    </row>
    <row r="1547">
      <c r="A1547" s="43"/>
      <c r="B1547" s="59" t="str">
        <f>IFERROR(VLOOKUP(A1547,Internal_lists_bugs!$A$2:$G2033,7,FALSE()),"please select a BUG ID")</f>
        <v>please select a BUG ID</v>
      </c>
      <c r="C1547" s="51" t="str">
        <f>IFERROR(VLOOKUP(A1547,Internal_lists_bugs!$A$2:$I2033,9,FALSE()),"please select a BUG ID")</f>
        <v>please select a BUG ID</v>
      </c>
      <c r="D1547" s="85"/>
      <c r="E1547" s="85"/>
      <c r="F1547" s="133"/>
      <c r="G1547" s="49"/>
      <c r="H1547" s="50"/>
      <c r="I1547" s="131"/>
      <c r="J1547" s="131"/>
      <c r="K1547" s="131"/>
      <c r="L1547" s="131"/>
      <c r="M1547" s="131"/>
      <c r="N1547" s="43"/>
      <c r="O1547" s="51"/>
    </row>
    <row r="1548">
      <c r="A1548" s="43"/>
      <c r="B1548" s="59" t="str">
        <f>IFERROR(VLOOKUP(A1548,Internal_lists_bugs!$A$2:$G2033,7,FALSE()),"please select a BUG ID")</f>
        <v>please select a BUG ID</v>
      </c>
      <c r="C1548" s="51" t="str">
        <f>IFERROR(VLOOKUP(A1548,Internal_lists_bugs!$A$2:$I2033,9,FALSE()),"please select a BUG ID")</f>
        <v>please select a BUG ID</v>
      </c>
      <c r="D1548" s="85"/>
      <c r="E1548" s="85"/>
      <c r="F1548" s="133"/>
      <c r="G1548" s="49"/>
      <c r="H1548" s="50"/>
      <c r="I1548" s="131"/>
      <c r="J1548" s="131"/>
      <c r="K1548" s="131"/>
      <c r="L1548" s="131"/>
      <c r="M1548" s="131"/>
      <c r="N1548" s="43"/>
      <c r="O1548" s="51"/>
    </row>
    <row r="1549">
      <c r="A1549" s="43"/>
      <c r="B1549" s="59" t="str">
        <f>IFERROR(VLOOKUP(A1549,Internal_lists_bugs!$A$2:$G2033,7,FALSE()),"please select a BUG ID")</f>
        <v>please select a BUG ID</v>
      </c>
      <c r="C1549" s="51" t="str">
        <f>IFERROR(VLOOKUP(A1549,Internal_lists_bugs!$A$2:$I2033,9,FALSE()),"please select a BUG ID")</f>
        <v>please select a BUG ID</v>
      </c>
      <c r="D1549" s="85"/>
      <c r="E1549" s="85"/>
      <c r="F1549" s="133"/>
      <c r="G1549" s="49"/>
      <c r="H1549" s="50"/>
      <c r="I1549" s="131"/>
      <c r="J1549" s="131"/>
      <c r="K1549" s="131"/>
      <c r="L1549" s="131"/>
      <c r="M1549" s="131"/>
      <c r="N1549" s="43"/>
      <c r="O1549" s="51"/>
    </row>
    <row r="1550">
      <c r="A1550" s="43"/>
      <c r="B1550" s="59" t="str">
        <f>IFERROR(VLOOKUP(A1550,Internal_lists_bugs!$A$2:$G2033,7,FALSE()),"please select a BUG ID")</f>
        <v>please select a BUG ID</v>
      </c>
      <c r="C1550" s="51" t="str">
        <f>IFERROR(VLOOKUP(A1550,Internal_lists_bugs!$A$2:$I2033,9,FALSE()),"please select a BUG ID")</f>
        <v>please select a BUG ID</v>
      </c>
      <c r="D1550" s="85"/>
      <c r="E1550" s="85"/>
      <c r="F1550" s="133"/>
      <c r="G1550" s="49"/>
      <c r="H1550" s="50"/>
      <c r="I1550" s="131"/>
      <c r="J1550" s="131"/>
      <c r="K1550" s="131"/>
      <c r="L1550" s="131"/>
      <c r="M1550" s="131"/>
      <c r="N1550" s="43"/>
      <c r="O1550" s="51"/>
    </row>
    <row r="1551">
      <c r="A1551" s="43"/>
      <c r="B1551" s="59" t="str">
        <f>IFERROR(VLOOKUP(A1551,Internal_lists_bugs!$A$2:$G2033,7,FALSE()),"please select a BUG ID")</f>
        <v>please select a BUG ID</v>
      </c>
      <c r="C1551" s="51" t="str">
        <f>IFERROR(VLOOKUP(A1551,Internal_lists_bugs!$A$2:$I2033,9,FALSE()),"please select a BUG ID")</f>
        <v>please select a BUG ID</v>
      </c>
      <c r="D1551" s="85"/>
      <c r="E1551" s="85"/>
      <c r="F1551" s="133"/>
      <c r="G1551" s="49"/>
      <c r="H1551" s="50"/>
      <c r="I1551" s="131"/>
      <c r="J1551" s="131"/>
      <c r="K1551" s="131"/>
      <c r="L1551" s="131"/>
      <c r="M1551" s="131"/>
      <c r="N1551" s="43"/>
      <c r="O1551" s="51"/>
    </row>
    <row r="1552">
      <c r="A1552" s="43"/>
      <c r="B1552" s="59" t="str">
        <f>IFERROR(VLOOKUP(A1552,Internal_lists_bugs!$A$2:$G2033,7,FALSE()),"please select a BUG ID")</f>
        <v>please select a BUG ID</v>
      </c>
      <c r="C1552" s="51" t="str">
        <f>IFERROR(VLOOKUP(A1552,Internal_lists_bugs!$A$2:$I2033,9,FALSE()),"please select a BUG ID")</f>
        <v>please select a BUG ID</v>
      </c>
      <c r="D1552" s="85"/>
      <c r="E1552" s="85"/>
      <c r="F1552" s="133"/>
      <c r="G1552" s="49"/>
      <c r="H1552" s="50"/>
      <c r="I1552" s="131"/>
      <c r="J1552" s="131"/>
      <c r="K1552" s="131"/>
      <c r="L1552" s="131"/>
      <c r="M1552" s="131"/>
      <c r="N1552" s="43"/>
      <c r="O1552" s="51"/>
    </row>
    <row r="1553">
      <c r="A1553" s="43"/>
      <c r="B1553" s="59" t="str">
        <f>IFERROR(VLOOKUP(A1553,Internal_lists_bugs!$A$2:$G2033,7,FALSE()),"please select a BUG ID")</f>
        <v>please select a BUG ID</v>
      </c>
      <c r="C1553" s="51" t="str">
        <f>IFERROR(VLOOKUP(A1553,Internal_lists_bugs!$A$2:$I2033,9,FALSE()),"please select a BUG ID")</f>
        <v>please select a BUG ID</v>
      </c>
      <c r="D1553" s="85"/>
      <c r="E1553" s="85"/>
      <c r="F1553" s="133"/>
      <c r="G1553" s="49"/>
      <c r="H1553" s="50"/>
      <c r="I1553" s="131"/>
      <c r="J1553" s="131"/>
      <c r="K1553" s="131"/>
      <c r="L1553" s="131"/>
      <c r="M1553" s="131"/>
      <c r="N1553" s="43"/>
      <c r="O1553" s="51"/>
    </row>
    <row r="1554">
      <c r="A1554" s="43"/>
      <c r="B1554" s="59" t="str">
        <f>IFERROR(VLOOKUP(A1554,Internal_lists_bugs!$A$2:$G2033,7,FALSE()),"please select a BUG ID")</f>
        <v>please select a BUG ID</v>
      </c>
      <c r="C1554" s="51" t="str">
        <f>IFERROR(VLOOKUP(A1554,Internal_lists_bugs!$A$2:$I2033,9,FALSE()),"please select a BUG ID")</f>
        <v>please select a BUG ID</v>
      </c>
      <c r="D1554" s="85"/>
      <c r="E1554" s="85"/>
      <c r="F1554" s="133"/>
      <c r="G1554" s="49"/>
      <c r="H1554" s="50"/>
      <c r="I1554" s="131"/>
      <c r="J1554" s="131"/>
      <c r="K1554" s="131"/>
      <c r="L1554" s="131"/>
      <c r="M1554" s="131"/>
      <c r="N1554" s="43"/>
      <c r="O1554" s="51"/>
    </row>
    <row r="1555">
      <c r="A1555" s="43"/>
      <c r="B1555" s="59" t="str">
        <f>IFERROR(VLOOKUP(A1555,Internal_lists_bugs!$A$2:$G2033,7,FALSE()),"please select a BUG ID")</f>
        <v>please select a BUG ID</v>
      </c>
      <c r="C1555" s="51" t="str">
        <f>IFERROR(VLOOKUP(A1555,Internal_lists_bugs!$A$2:$I2033,9,FALSE()),"please select a BUG ID")</f>
        <v>please select a BUG ID</v>
      </c>
      <c r="D1555" s="85"/>
      <c r="E1555" s="85"/>
      <c r="F1555" s="133"/>
      <c r="G1555" s="49"/>
      <c r="H1555" s="50"/>
      <c r="I1555" s="131"/>
      <c r="J1555" s="131"/>
      <c r="K1555" s="131"/>
      <c r="L1555" s="131"/>
      <c r="M1555" s="131"/>
      <c r="N1555" s="43"/>
      <c r="O1555" s="51"/>
    </row>
    <row r="1556">
      <c r="A1556" s="43"/>
      <c r="B1556" s="59" t="str">
        <f>IFERROR(VLOOKUP(A1556,Internal_lists_bugs!$A$2:$G2033,7,FALSE()),"please select a BUG ID")</f>
        <v>please select a BUG ID</v>
      </c>
      <c r="C1556" s="51" t="str">
        <f>IFERROR(VLOOKUP(A1556,Internal_lists_bugs!$A$2:$I2033,9,FALSE()),"please select a BUG ID")</f>
        <v>please select a BUG ID</v>
      </c>
      <c r="D1556" s="85"/>
      <c r="E1556" s="85"/>
      <c r="F1556" s="133"/>
      <c r="G1556" s="49"/>
      <c r="H1556" s="50"/>
      <c r="I1556" s="131"/>
      <c r="J1556" s="131"/>
      <c r="K1556" s="131"/>
      <c r="L1556" s="131"/>
      <c r="M1556" s="131"/>
      <c r="N1556" s="43"/>
      <c r="O1556" s="51"/>
    </row>
    <row r="1557">
      <c r="A1557" s="43"/>
      <c r="B1557" s="59" t="str">
        <f>IFERROR(VLOOKUP(A1557,Internal_lists_bugs!$A$2:$G2033,7,FALSE()),"please select a BUG ID")</f>
        <v>please select a BUG ID</v>
      </c>
      <c r="C1557" s="51" t="str">
        <f>IFERROR(VLOOKUP(A1557,Internal_lists_bugs!$A$2:$I2033,9,FALSE()),"please select a BUG ID")</f>
        <v>please select a BUG ID</v>
      </c>
      <c r="D1557" s="85"/>
      <c r="E1557" s="85"/>
      <c r="F1557" s="133"/>
      <c r="G1557" s="49"/>
      <c r="H1557" s="50"/>
      <c r="I1557" s="131"/>
      <c r="J1557" s="131"/>
      <c r="K1557" s="131"/>
      <c r="L1557" s="131"/>
      <c r="M1557" s="131"/>
      <c r="N1557" s="43"/>
      <c r="O1557" s="51"/>
    </row>
    <row r="1558">
      <c r="A1558" s="43"/>
      <c r="B1558" s="59" t="str">
        <f>IFERROR(VLOOKUP(A1558,Internal_lists_bugs!$A$2:$G2033,7,FALSE()),"please select a BUG ID")</f>
        <v>please select a BUG ID</v>
      </c>
      <c r="C1558" s="51" t="str">
        <f>IFERROR(VLOOKUP(A1558,Internal_lists_bugs!$A$2:$I2033,9,FALSE()),"please select a BUG ID")</f>
        <v>please select a BUG ID</v>
      </c>
      <c r="D1558" s="85"/>
      <c r="E1558" s="85"/>
      <c r="F1558" s="133"/>
      <c r="G1558" s="49"/>
      <c r="H1558" s="50"/>
      <c r="I1558" s="131"/>
      <c r="J1558" s="131"/>
      <c r="K1558" s="131"/>
      <c r="L1558" s="131"/>
      <c r="M1558" s="131"/>
      <c r="N1558" s="43"/>
      <c r="O1558" s="51"/>
    </row>
    <row r="1559">
      <c r="A1559" s="43"/>
      <c r="B1559" s="59" t="str">
        <f>IFERROR(VLOOKUP(A1559,Internal_lists_bugs!$A$2:$G2033,7,FALSE()),"please select a BUG ID")</f>
        <v>please select a BUG ID</v>
      </c>
      <c r="C1559" s="51" t="str">
        <f>IFERROR(VLOOKUP(A1559,Internal_lists_bugs!$A$2:$I2033,9,FALSE()),"please select a BUG ID")</f>
        <v>please select a BUG ID</v>
      </c>
      <c r="D1559" s="85"/>
      <c r="E1559" s="85"/>
      <c r="F1559" s="133"/>
      <c r="G1559" s="49"/>
      <c r="H1559" s="50"/>
      <c r="I1559" s="131"/>
      <c r="J1559" s="131"/>
      <c r="K1559" s="131"/>
      <c r="L1559" s="131"/>
      <c r="M1559" s="131"/>
      <c r="N1559" s="43"/>
      <c r="O1559" s="51"/>
    </row>
    <row r="1560">
      <c r="A1560" s="43"/>
      <c r="B1560" s="59" t="str">
        <f>IFERROR(VLOOKUP(A1560,Internal_lists_bugs!$A$2:$G2033,7,FALSE()),"please select a BUG ID")</f>
        <v>please select a BUG ID</v>
      </c>
      <c r="C1560" s="51" t="str">
        <f>IFERROR(VLOOKUP(A1560,Internal_lists_bugs!$A$2:$I2033,9,FALSE()),"please select a BUG ID")</f>
        <v>please select a BUG ID</v>
      </c>
      <c r="D1560" s="85"/>
      <c r="E1560" s="85"/>
      <c r="F1560" s="133"/>
      <c r="G1560" s="49"/>
      <c r="H1560" s="50"/>
      <c r="I1560" s="131"/>
      <c r="J1560" s="131"/>
      <c r="K1560" s="131"/>
      <c r="L1560" s="131"/>
      <c r="M1560" s="131"/>
      <c r="N1560" s="43"/>
      <c r="O1560" s="51"/>
    </row>
    <row r="1561">
      <c r="A1561" s="43"/>
      <c r="B1561" s="59" t="str">
        <f>IFERROR(VLOOKUP(A1561,Internal_lists_bugs!$A$2:$G2033,7,FALSE()),"please select a BUG ID")</f>
        <v>please select a BUG ID</v>
      </c>
      <c r="C1561" s="51" t="str">
        <f>IFERROR(VLOOKUP(A1561,Internal_lists_bugs!$A$2:$I2033,9,FALSE()),"please select a BUG ID")</f>
        <v>please select a BUG ID</v>
      </c>
      <c r="D1561" s="85"/>
      <c r="E1561" s="85"/>
      <c r="F1561" s="133"/>
      <c r="G1561" s="49"/>
      <c r="H1561" s="50"/>
      <c r="I1561" s="131"/>
      <c r="J1561" s="131"/>
      <c r="K1561" s="131"/>
      <c r="L1561" s="131"/>
      <c r="M1561" s="131"/>
      <c r="N1561" s="43"/>
      <c r="O1561" s="51"/>
    </row>
    <row r="1562">
      <c r="A1562" s="43"/>
      <c r="B1562" s="59" t="str">
        <f>IFERROR(VLOOKUP(A1562,Internal_lists_bugs!$A$2:$G2033,7,FALSE()),"please select a BUG ID")</f>
        <v>please select a BUG ID</v>
      </c>
      <c r="C1562" s="51" t="str">
        <f>IFERROR(VLOOKUP(A1562,Internal_lists_bugs!$A$2:$I2033,9,FALSE()),"please select a BUG ID")</f>
        <v>please select a BUG ID</v>
      </c>
      <c r="D1562" s="85"/>
      <c r="E1562" s="85"/>
      <c r="F1562" s="133"/>
      <c r="G1562" s="49"/>
      <c r="H1562" s="50"/>
      <c r="I1562" s="131"/>
      <c r="J1562" s="131"/>
      <c r="K1562" s="131"/>
      <c r="L1562" s="131"/>
      <c r="M1562" s="131"/>
      <c r="N1562" s="43"/>
      <c r="O1562" s="51"/>
    </row>
    <row r="1563">
      <c r="A1563" s="43"/>
      <c r="B1563" s="59" t="str">
        <f>IFERROR(VLOOKUP(A1563,Internal_lists_bugs!$A$2:$G2033,7,FALSE()),"please select a BUG ID")</f>
        <v>please select a BUG ID</v>
      </c>
      <c r="C1563" s="51" t="str">
        <f>IFERROR(VLOOKUP(A1563,Internal_lists_bugs!$A$2:$I2033,9,FALSE()),"please select a BUG ID")</f>
        <v>please select a BUG ID</v>
      </c>
      <c r="D1563" s="85"/>
      <c r="E1563" s="85"/>
      <c r="F1563" s="133"/>
      <c r="G1563" s="49"/>
      <c r="H1563" s="50"/>
      <c r="I1563" s="131"/>
      <c r="J1563" s="131"/>
      <c r="K1563" s="131"/>
      <c r="L1563" s="131"/>
      <c r="M1563" s="131"/>
      <c r="N1563" s="43"/>
      <c r="O1563" s="51"/>
    </row>
    <row r="1564">
      <c r="A1564" s="43"/>
      <c r="B1564" s="59" t="str">
        <f>IFERROR(VLOOKUP(A1564,Internal_lists_bugs!$A$2:$G2033,7,FALSE()),"please select a BUG ID")</f>
        <v>please select a BUG ID</v>
      </c>
      <c r="C1564" s="51" t="str">
        <f>IFERROR(VLOOKUP(A1564,Internal_lists_bugs!$A$2:$I2033,9,FALSE()),"please select a BUG ID")</f>
        <v>please select a BUG ID</v>
      </c>
      <c r="D1564" s="85"/>
      <c r="E1564" s="85"/>
      <c r="F1564" s="133"/>
      <c r="G1564" s="49"/>
      <c r="H1564" s="50"/>
      <c r="I1564" s="131"/>
      <c r="J1564" s="131"/>
      <c r="K1564" s="131"/>
      <c r="L1564" s="131"/>
      <c r="M1564" s="131"/>
      <c r="N1564" s="43"/>
      <c r="O1564" s="51"/>
    </row>
    <row r="1565">
      <c r="A1565" s="43"/>
      <c r="B1565" s="59" t="str">
        <f>IFERROR(VLOOKUP(A1565,Internal_lists_bugs!$A$2:$G2033,7,FALSE()),"please select a BUG ID")</f>
        <v>please select a BUG ID</v>
      </c>
      <c r="C1565" s="51" t="str">
        <f>IFERROR(VLOOKUP(A1565,Internal_lists_bugs!$A$2:$I2033,9,FALSE()),"please select a BUG ID")</f>
        <v>please select a BUG ID</v>
      </c>
      <c r="D1565" s="85"/>
      <c r="E1565" s="85"/>
      <c r="F1565" s="133"/>
      <c r="G1565" s="49"/>
      <c r="H1565" s="50"/>
      <c r="I1565" s="131"/>
      <c r="J1565" s="131"/>
      <c r="K1565" s="131"/>
      <c r="L1565" s="131"/>
      <c r="M1565" s="131"/>
      <c r="N1565" s="43"/>
      <c r="O1565" s="51"/>
    </row>
    <row r="1566">
      <c r="A1566" s="43"/>
      <c r="B1566" s="59" t="str">
        <f>IFERROR(VLOOKUP(A1566,Internal_lists_bugs!$A$2:$G2033,7,FALSE()),"please select a BUG ID")</f>
        <v>please select a BUG ID</v>
      </c>
      <c r="C1566" s="51" t="str">
        <f>IFERROR(VLOOKUP(A1566,Internal_lists_bugs!$A$2:$I2033,9,FALSE()),"please select a BUG ID")</f>
        <v>please select a BUG ID</v>
      </c>
      <c r="D1566" s="85"/>
      <c r="E1566" s="85"/>
      <c r="F1566" s="133"/>
      <c r="G1566" s="49"/>
      <c r="H1566" s="50"/>
      <c r="I1566" s="131"/>
      <c r="J1566" s="131"/>
      <c r="K1566" s="131"/>
      <c r="L1566" s="131"/>
      <c r="M1566" s="131"/>
      <c r="N1566" s="43"/>
      <c r="O1566" s="51"/>
    </row>
    <row r="1567">
      <c r="A1567" s="43"/>
      <c r="B1567" s="59" t="str">
        <f>IFERROR(VLOOKUP(A1567,Internal_lists_bugs!$A$2:$G2033,7,FALSE()),"please select a BUG ID")</f>
        <v>please select a BUG ID</v>
      </c>
      <c r="C1567" s="51" t="str">
        <f>IFERROR(VLOOKUP(A1567,Internal_lists_bugs!$A$2:$I2033,9,FALSE()),"please select a BUG ID")</f>
        <v>please select a BUG ID</v>
      </c>
      <c r="D1567" s="85"/>
      <c r="E1567" s="85"/>
      <c r="F1567" s="133"/>
      <c r="G1567" s="49"/>
      <c r="H1567" s="50"/>
      <c r="I1567" s="131"/>
      <c r="J1567" s="131"/>
      <c r="K1567" s="131"/>
      <c r="L1567" s="131"/>
      <c r="M1567" s="131"/>
      <c r="N1567" s="43"/>
      <c r="O1567" s="51"/>
    </row>
    <row r="1568">
      <c r="A1568" s="43"/>
      <c r="B1568" s="59" t="str">
        <f>IFERROR(VLOOKUP(A1568,Internal_lists_bugs!$A$2:$G2033,7,FALSE()),"please select a BUG ID")</f>
        <v>please select a BUG ID</v>
      </c>
      <c r="C1568" s="51" t="str">
        <f>IFERROR(VLOOKUP(A1568,Internal_lists_bugs!$A$2:$I2033,9,FALSE()),"please select a BUG ID")</f>
        <v>please select a BUG ID</v>
      </c>
      <c r="D1568" s="85"/>
      <c r="E1568" s="85"/>
      <c r="F1568" s="133"/>
      <c r="G1568" s="49"/>
      <c r="H1568" s="50"/>
      <c r="I1568" s="131"/>
      <c r="J1568" s="131"/>
      <c r="K1568" s="131"/>
      <c r="L1568" s="131"/>
      <c r="M1568" s="131"/>
      <c r="N1568" s="43"/>
      <c r="O1568" s="51"/>
    </row>
    <row r="1569">
      <c r="A1569" s="43"/>
      <c r="B1569" s="59" t="str">
        <f>IFERROR(VLOOKUP(A1569,Internal_lists_bugs!$A$2:$G2033,7,FALSE()),"please select a BUG ID")</f>
        <v>please select a BUG ID</v>
      </c>
      <c r="C1569" s="51" t="str">
        <f>IFERROR(VLOOKUP(A1569,Internal_lists_bugs!$A$2:$I2033,9,FALSE()),"please select a BUG ID")</f>
        <v>please select a BUG ID</v>
      </c>
      <c r="D1569" s="85"/>
      <c r="E1569" s="85"/>
      <c r="F1569" s="133"/>
      <c r="G1569" s="49"/>
      <c r="H1569" s="50"/>
      <c r="I1569" s="131"/>
      <c r="J1569" s="131"/>
      <c r="K1569" s="131"/>
      <c r="L1569" s="131"/>
      <c r="M1569" s="131"/>
      <c r="N1569" s="43"/>
      <c r="O1569" s="51"/>
    </row>
    <row r="1570">
      <c r="A1570" s="43"/>
      <c r="B1570" s="59" t="str">
        <f>IFERROR(VLOOKUP(A1570,Internal_lists_bugs!$A$2:$G2033,7,FALSE()),"please select a BUG ID")</f>
        <v>please select a BUG ID</v>
      </c>
      <c r="C1570" s="51" t="str">
        <f>IFERROR(VLOOKUP(A1570,Internal_lists_bugs!$A$2:$I2033,9,FALSE()),"please select a BUG ID")</f>
        <v>please select a BUG ID</v>
      </c>
      <c r="D1570" s="85"/>
      <c r="E1570" s="85"/>
      <c r="F1570" s="133"/>
      <c r="G1570" s="49"/>
      <c r="H1570" s="50"/>
      <c r="I1570" s="131"/>
      <c r="J1570" s="131"/>
      <c r="K1570" s="131"/>
      <c r="L1570" s="131"/>
      <c r="M1570" s="131"/>
      <c r="N1570" s="43"/>
      <c r="O1570" s="51"/>
    </row>
    <row r="1571">
      <c r="A1571" s="43"/>
      <c r="B1571" s="59" t="str">
        <f>IFERROR(VLOOKUP(A1571,Internal_lists_bugs!$A$2:$G2033,7,FALSE()),"please select a BUG ID")</f>
        <v>please select a BUG ID</v>
      </c>
      <c r="C1571" s="51" t="str">
        <f>IFERROR(VLOOKUP(A1571,Internal_lists_bugs!$A$2:$I2033,9,FALSE()),"please select a BUG ID")</f>
        <v>please select a BUG ID</v>
      </c>
      <c r="D1571" s="85"/>
      <c r="E1571" s="85"/>
      <c r="F1571" s="133"/>
      <c r="G1571" s="49"/>
      <c r="H1571" s="50"/>
      <c r="I1571" s="131"/>
      <c r="J1571" s="131"/>
      <c r="K1571" s="131"/>
      <c r="L1571" s="131"/>
      <c r="M1571" s="131"/>
      <c r="N1571" s="43"/>
      <c r="O1571" s="51"/>
    </row>
    <row r="1572">
      <c r="A1572" s="43"/>
      <c r="B1572" s="59" t="str">
        <f>IFERROR(VLOOKUP(A1572,Internal_lists_bugs!$A$2:$G2033,7,FALSE()),"please select a BUG ID")</f>
        <v>please select a BUG ID</v>
      </c>
      <c r="C1572" s="51" t="str">
        <f>IFERROR(VLOOKUP(A1572,Internal_lists_bugs!$A$2:$I2033,9,FALSE()),"please select a BUG ID")</f>
        <v>please select a BUG ID</v>
      </c>
      <c r="D1572" s="85"/>
      <c r="E1572" s="85"/>
      <c r="F1572" s="133"/>
      <c r="G1572" s="49"/>
      <c r="H1572" s="50"/>
      <c r="I1572" s="131"/>
      <c r="J1572" s="131"/>
      <c r="K1572" s="131"/>
      <c r="L1572" s="131"/>
      <c r="M1572" s="131"/>
      <c r="N1572" s="43"/>
      <c r="O1572" s="51"/>
    </row>
    <row r="1573">
      <c r="A1573" s="43"/>
      <c r="B1573" s="59" t="str">
        <f>IFERROR(VLOOKUP(A1573,Internal_lists_bugs!$A$2:$G2033,7,FALSE()),"please select a BUG ID")</f>
        <v>please select a BUG ID</v>
      </c>
      <c r="C1573" s="51" t="str">
        <f>IFERROR(VLOOKUP(A1573,Internal_lists_bugs!$A$2:$I2033,9,FALSE()),"please select a BUG ID")</f>
        <v>please select a BUG ID</v>
      </c>
      <c r="D1573" s="85"/>
      <c r="E1573" s="85"/>
      <c r="F1573" s="133"/>
      <c r="G1573" s="49"/>
      <c r="H1573" s="50"/>
      <c r="I1573" s="131"/>
      <c r="J1573" s="131"/>
      <c r="K1573" s="131"/>
      <c r="L1573" s="131"/>
      <c r="M1573" s="131"/>
      <c r="N1573" s="43"/>
      <c r="O1573" s="51"/>
    </row>
    <row r="1574">
      <c r="A1574" s="43"/>
      <c r="B1574" s="59" t="str">
        <f>IFERROR(VLOOKUP(A1574,Internal_lists_bugs!$A$2:$G2033,7,FALSE()),"please select a BUG ID")</f>
        <v>please select a BUG ID</v>
      </c>
      <c r="C1574" s="51" t="str">
        <f>IFERROR(VLOOKUP(A1574,Internal_lists_bugs!$A$2:$I2033,9,FALSE()),"please select a BUG ID")</f>
        <v>please select a BUG ID</v>
      </c>
      <c r="D1574" s="85"/>
      <c r="E1574" s="85"/>
      <c r="F1574" s="133"/>
      <c r="G1574" s="49"/>
      <c r="H1574" s="50"/>
      <c r="I1574" s="131"/>
      <c r="J1574" s="131"/>
      <c r="K1574" s="131"/>
      <c r="L1574" s="131"/>
      <c r="M1574" s="131"/>
      <c r="N1574" s="43"/>
      <c r="O1574" s="51"/>
    </row>
    <row r="1575">
      <c r="A1575" s="43"/>
      <c r="B1575" s="59" t="str">
        <f>IFERROR(VLOOKUP(A1575,Internal_lists_bugs!$A$2:$G2033,7,FALSE()),"please select a BUG ID")</f>
        <v>please select a BUG ID</v>
      </c>
      <c r="C1575" s="51" t="str">
        <f>IFERROR(VLOOKUP(A1575,Internal_lists_bugs!$A$2:$I2033,9,FALSE()),"please select a BUG ID")</f>
        <v>please select a BUG ID</v>
      </c>
      <c r="D1575" s="85"/>
      <c r="E1575" s="85"/>
      <c r="F1575" s="133"/>
      <c r="G1575" s="49"/>
      <c r="H1575" s="50"/>
      <c r="I1575" s="131"/>
      <c r="J1575" s="131"/>
      <c r="K1575" s="131"/>
      <c r="L1575" s="131"/>
      <c r="M1575" s="131"/>
      <c r="N1575" s="43"/>
      <c r="O1575" s="51"/>
    </row>
    <row r="1576">
      <c r="A1576" s="43"/>
      <c r="B1576" s="59" t="str">
        <f>IFERROR(VLOOKUP(A1576,Internal_lists_bugs!$A$2:$G2033,7,FALSE()),"please select a BUG ID")</f>
        <v>please select a BUG ID</v>
      </c>
      <c r="C1576" s="51" t="str">
        <f>IFERROR(VLOOKUP(A1576,Internal_lists_bugs!$A$2:$I2033,9,FALSE()),"please select a BUG ID")</f>
        <v>please select a BUG ID</v>
      </c>
      <c r="D1576" s="85"/>
      <c r="E1576" s="85"/>
      <c r="F1576" s="133"/>
      <c r="G1576" s="49"/>
      <c r="H1576" s="50"/>
      <c r="I1576" s="131"/>
      <c r="J1576" s="131"/>
      <c r="K1576" s="131"/>
      <c r="L1576" s="131"/>
      <c r="M1576" s="131"/>
      <c r="N1576" s="43"/>
      <c r="O1576" s="51"/>
    </row>
    <row r="1577">
      <c r="A1577" s="43"/>
      <c r="B1577" s="59" t="str">
        <f>IFERROR(VLOOKUP(A1577,Internal_lists_bugs!$A$2:$G2033,7,FALSE()),"please select a BUG ID")</f>
        <v>please select a BUG ID</v>
      </c>
      <c r="C1577" s="51" t="str">
        <f>IFERROR(VLOOKUP(A1577,Internal_lists_bugs!$A$2:$I2033,9,FALSE()),"please select a BUG ID")</f>
        <v>please select a BUG ID</v>
      </c>
      <c r="D1577" s="85"/>
      <c r="E1577" s="85"/>
      <c r="F1577" s="133"/>
      <c r="G1577" s="49"/>
      <c r="H1577" s="50"/>
      <c r="I1577" s="131"/>
      <c r="J1577" s="131"/>
      <c r="K1577" s="131"/>
      <c r="L1577" s="131"/>
      <c r="M1577" s="131"/>
      <c r="N1577" s="43"/>
      <c r="O1577" s="51"/>
    </row>
    <row r="1578">
      <c r="A1578" s="43"/>
      <c r="B1578" s="59" t="str">
        <f>IFERROR(VLOOKUP(A1578,Internal_lists_bugs!$A$2:$G2033,7,FALSE()),"please select a BUG ID")</f>
        <v>please select a BUG ID</v>
      </c>
      <c r="C1578" s="51" t="str">
        <f>IFERROR(VLOOKUP(A1578,Internal_lists_bugs!$A$2:$I2033,9,FALSE()),"please select a BUG ID")</f>
        <v>please select a BUG ID</v>
      </c>
      <c r="D1578" s="85"/>
      <c r="E1578" s="85"/>
      <c r="F1578" s="133"/>
      <c r="G1578" s="49"/>
      <c r="H1578" s="50"/>
      <c r="I1578" s="131"/>
      <c r="J1578" s="131"/>
      <c r="K1578" s="131"/>
      <c r="L1578" s="131"/>
      <c r="M1578" s="131"/>
      <c r="N1578" s="43"/>
      <c r="O1578" s="51"/>
    </row>
    <row r="1579">
      <c r="A1579" s="43"/>
      <c r="B1579" s="59" t="str">
        <f>IFERROR(VLOOKUP(A1579,Internal_lists_bugs!$A$2:$G2033,7,FALSE()),"please select a BUG ID")</f>
        <v>please select a BUG ID</v>
      </c>
      <c r="C1579" s="51" t="str">
        <f>IFERROR(VLOOKUP(A1579,Internal_lists_bugs!$A$2:$I2033,9,FALSE()),"please select a BUG ID")</f>
        <v>please select a BUG ID</v>
      </c>
      <c r="D1579" s="85"/>
      <c r="E1579" s="85"/>
      <c r="F1579" s="133"/>
      <c r="G1579" s="49"/>
      <c r="H1579" s="50"/>
      <c r="I1579" s="131"/>
      <c r="J1579" s="131"/>
      <c r="K1579" s="131"/>
      <c r="L1579" s="131"/>
      <c r="M1579" s="131"/>
      <c r="N1579" s="43"/>
      <c r="O1579" s="51"/>
    </row>
    <row r="1580">
      <c r="A1580" s="43"/>
      <c r="B1580" s="59" t="str">
        <f>IFERROR(VLOOKUP(A1580,Internal_lists_bugs!$A$2:$G2033,7,FALSE()),"please select a BUG ID")</f>
        <v>please select a BUG ID</v>
      </c>
      <c r="C1580" s="51" t="str">
        <f>IFERROR(VLOOKUP(A1580,Internal_lists_bugs!$A$2:$I2033,9,FALSE()),"please select a BUG ID")</f>
        <v>please select a BUG ID</v>
      </c>
      <c r="D1580" s="85"/>
      <c r="E1580" s="85"/>
      <c r="F1580" s="133"/>
      <c r="G1580" s="49"/>
      <c r="H1580" s="50"/>
      <c r="I1580" s="131"/>
      <c r="J1580" s="131"/>
      <c r="K1580" s="131"/>
      <c r="L1580" s="131"/>
      <c r="M1580" s="131"/>
      <c r="N1580" s="43"/>
      <c r="O1580" s="51"/>
    </row>
    <row r="1581">
      <c r="A1581" s="43"/>
      <c r="B1581" s="59" t="str">
        <f>IFERROR(VLOOKUP(A1581,Internal_lists_bugs!$A$2:$G2033,7,FALSE()),"please select a BUG ID")</f>
        <v>please select a BUG ID</v>
      </c>
      <c r="C1581" s="51" t="str">
        <f>IFERROR(VLOOKUP(A1581,Internal_lists_bugs!$A$2:$I2033,9,FALSE()),"please select a BUG ID")</f>
        <v>please select a BUG ID</v>
      </c>
      <c r="D1581" s="85"/>
      <c r="E1581" s="85"/>
      <c r="F1581" s="133"/>
      <c r="G1581" s="49"/>
      <c r="H1581" s="50"/>
      <c r="I1581" s="131"/>
      <c r="J1581" s="131"/>
      <c r="K1581" s="131"/>
      <c r="L1581" s="131"/>
      <c r="M1581" s="131"/>
      <c r="N1581" s="43"/>
      <c r="O1581" s="51"/>
    </row>
    <row r="1582">
      <c r="A1582" s="43"/>
      <c r="B1582" s="59" t="str">
        <f>IFERROR(VLOOKUP(A1582,Internal_lists_bugs!$A$2:$G2033,7,FALSE()),"please select a BUG ID")</f>
        <v>please select a BUG ID</v>
      </c>
      <c r="C1582" s="51" t="str">
        <f>IFERROR(VLOOKUP(A1582,Internal_lists_bugs!$A$2:$I2033,9,FALSE()),"please select a BUG ID")</f>
        <v>please select a BUG ID</v>
      </c>
      <c r="D1582" s="85"/>
      <c r="E1582" s="85"/>
      <c r="F1582" s="133"/>
      <c r="G1582" s="49"/>
      <c r="H1582" s="50"/>
      <c r="I1582" s="131"/>
      <c r="J1582" s="131"/>
      <c r="K1582" s="131"/>
      <c r="L1582" s="131"/>
      <c r="M1582" s="131"/>
      <c r="N1582" s="43"/>
      <c r="O1582" s="51"/>
    </row>
    <row r="1583">
      <c r="A1583" s="43"/>
      <c r="B1583" s="59" t="str">
        <f>IFERROR(VLOOKUP(A1583,Internal_lists_bugs!$A$2:$G2033,7,FALSE()),"please select a BUG ID")</f>
        <v>please select a BUG ID</v>
      </c>
      <c r="C1583" s="51" t="str">
        <f>IFERROR(VLOOKUP(A1583,Internal_lists_bugs!$A$2:$I2033,9,FALSE()),"please select a BUG ID")</f>
        <v>please select a BUG ID</v>
      </c>
      <c r="D1583" s="85"/>
      <c r="E1583" s="85"/>
      <c r="F1583" s="133"/>
      <c r="G1583" s="49"/>
      <c r="H1583" s="50"/>
      <c r="I1583" s="131"/>
      <c r="J1583" s="131"/>
      <c r="K1583" s="131"/>
      <c r="L1583" s="131"/>
      <c r="M1583" s="131"/>
      <c r="N1583" s="43"/>
      <c r="O1583" s="51"/>
    </row>
    <row r="1584">
      <c r="A1584" s="43"/>
      <c r="B1584" s="59" t="str">
        <f>IFERROR(VLOOKUP(A1584,Internal_lists_bugs!$A$2:$G2033,7,FALSE()),"please select a BUG ID")</f>
        <v>please select a BUG ID</v>
      </c>
      <c r="C1584" s="51" t="str">
        <f>IFERROR(VLOOKUP(A1584,Internal_lists_bugs!$A$2:$I2033,9,FALSE()),"please select a BUG ID")</f>
        <v>please select a BUG ID</v>
      </c>
      <c r="D1584" s="85"/>
      <c r="E1584" s="85"/>
      <c r="F1584" s="133"/>
      <c r="G1584" s="49"/>
      <c r="H1584" s="50"/>
      <c r="I1584" s="131"/>
      <c r="J1584" s="131"/>
      <c r="K1584" s="131"/>
      <c r="L1584" s="131"/>
      <c r="M1584" s="131"/>
      <c r="N1584" s="43"/>
      <c r="O1584" s="51"/>
    </row>
    <row r="1585">
      <c r="A1585" s="43"/>
      <c r="B1585" s="59" t="str">
        <f>IFERROR(VLOOKUP(A1585,Internal_lists_bugs!$A$2:$G2033,7,FALSE()),"please select a BUG ID")</f>
        <v>please select a BUG ID</v>
      </c>
      <c r="C1585" s="51" t="str">
        <f>IFERROR(VLOOKUP(A1585,Internal_lists_bugs!$A$2:$I2033,9,FALSE()),"please select a BUG ID")</f>
        <v>please select a BUG ID</v>
      </c>
      <c r="D1585" s="85"/>
      <c r="E1585" s="85"/>
      <c r="F1585" s="133"/>
      <c r="G1585" s="49"/>
      <c r="H1585" s="50"/>
      <c r="I1585" s="131"/>
      <c r="J1585" s="131"/>
      <c r="K1585" s="131"/>
      <c r="L1585" s="131"/>
      <c r="M1585" s="131"/>
      <c r="N1585" s="43"/>
      <c r="O1585" s="51"/>
    </row>
    <row r="1586">
      <c r="A1586" s="43"/>
      <c r="B1586" s="59" t="str">
        <f>IFERROR(VLOOKUP(A1586,Internal_lists_bugs!$A$2:$G2033,7,FALSE()),"please select a BUG ID")</f>
        <v>please select a BUG ID</v>
      </c>
      <c r="C1586" s="51" t="str">
        <f>IFERROR(VLOOKUP(A1586,Internal_lists_bugs!$A$2:$I2033,9,FALSE()),"please select a BUG ID")</f>
        <v>please select a BUG ID</v>
      </c>
      <c r="D1586" s="85"/>
      <c r="E1586" s="85"/>
      <c r="F1586" s="133"/>
      <c r="G1586" s="49"/>
      <c r="H1586" s="50"/>
      <c r="I1586" s="131"/>
      <c r="J1586" s="131"/>
      <c r="K1586" s="131"/>
      <c r="L1586" s="131"/>
      <c r="M1586" s="131"/>
      <c r="N1586" s="43"/>
      <c r="O1586" s="51"/>
    </row>
    <row r="1587">
      <c r="A1587" s="43"/>
      <c r="B1587" s="59" t="str">
        <f>IFERROR(VLOOKUP(A1587,Internal_lists_bugs!$A$2:$G2033,7,FALSE()),"please select a BUG ID")</f>
        <v>please select a BUG ID</v>
      </c>
      <c r="C1587" s="51" t="str">
        <f>IFERROR(VLOOKUP(A1587,Internal_lists_bugs!$A$2:$I2033,9,FALSE()),"please select a BUG ID")</f>
        <v>please select a BUG ID</v>
      </c>
      <c r="D1587" s="85"/>
      <c r="E1587" s="85"/>
      <c r="F1587" s="133"/>
      <c r="G1587" s="49"/>
      <c r="H1587" s="50"/>
      <c r="I1587" s="131"/>
      <c r="J1587" s="131"/>
      <c r="K1587" s="131"/>
      <c r="L1587" s="131"/>
      <c r="M1587" s="131"/>
      <c r="N1587" s="43"/>
      <c r="O1587" s="51"/>
    </row>
    <row r="1588">
      <c r="A1588" s="43"/>
      <c r="B1588" s="59" t="str">
        <f>IFERROR(VLOOKUP(A1588,Internal_lists_bugs!$A$2:$G2033,7,FALSE()),"please select a BUG ID")</f>
        <v>please select a BUG ID</v>
      </c>
      <c r="C1588" s="51" t="str">
        <f>IFERROR(VLOOKUP(A1588,Internal_lists_bugs!$A$2:$I2033,9,FALSE()),"please select a BUG ID")</f>
        <v>please select a BUG ID</v>
      </c>
      <c r="D1588" s="85"/>
      <c r="E1588" s="85"/>
      <c r="F1588" s="133"/>
      <c r="G1588" s="49"/>
      <c r="H1588" s="50"/>
      <c r="I1588" s="131"/>
      <c r="J1588" s="131"/>
      <c r="K1588" s="131"/>
      <c r="L1588" s="131"/>
      <c r="M1588" s="131"/>
      <c r="N1588" s="43"/>
      <c r="O1588" s="51"/>
    </row>
    <row r="1589">
      <c r="A1589" s="43"/>
      <c r="B1589" s="59" t="str">
        <f>IFERROR(VLOOKUP(A1589,Internal_lists_bugs!$A$2:$G2033,7,FALSE()),"please select a BUG ID")</f>
        <v>please select a BUG ID</v>
      </c>
      <c r="C1589" s="51" t="str">
        <f>IFERROR(VLOOKUP(A1589,Internal_lists_bugs!$A$2:$I2033,9,FALSE()),"please select a BUG ID")</f>
        <v>please select a BUG ID</v>
      </c>
      <c r="D1589" s="85"/>
      <c r="E1589" s="85"/>
      <c r="F1589" s="133"/>
      <c r="G1589" s="49"/>
      <c r="H1589" s="50"/>
      <c r="I1589" s="131"/>
      <c r="J1589" s="131"/>
      <c r="K1589" s="131"/>
      <c r="L1589" s="131"/>
      <c r="M1589" s="131"/>
      <c r="N1589" s="43"/>
      <c r="O1589" s="51"/>
    </row>
    <row r="1590">
      <c r="A1590" s="43"/>
      <c r="B1590" s="59" t="str">
        <f>IFERROR(VLOOKUP(A1590,Internal_lists_bugs!$A$2:$G2033,7,FALSE()),"please select a BUG ID")</f>
        <v>please select a BUG ID</v>
      </c>
      <c r="C1590" s="51" t="str">
        <f>IFERROR(VLOOKUP(A1590,Internal_lists_bugs!$A$2:$I2033,9,FALSE()),"please select a BUG ID")</f>
        <v>please select a BUG ID</v>
      </c>
      <c r="D1590" s="85"/>
      <c r="E1590" s="85"/>
      <c r="F1590" s="133"/>
      <c r="G1590" s="49"/>
      <c r="H1590" s="50"/>
      <c r="I1590" s="131"/>
      <c r="J1590" s="131"/>
      <c r="K1590" s="131"/>
      <c r="L1590" s="131"/>
      <c r="M1590" s="131"/>
      <c r="N1590" s="43"/>
      <c r="O1590" s="51"/>
    </row>
    <row r="1591">
      <c r="A1591" s="43"/>
      <c r="B1591" s="59" t="str">
        <f>IFERROR(VLOOKUP(A1591,Internal_lists_bugs!$A$2:$G2033,7,FALSE()),"please select a BUG ID")</f>
        <v>please select a BUG ID</v>
      </c>
      <c r="C1591" s="51" t="str">
        <f>IFERROR(VLOOKUP(A1591,Internal_lists_bugs!$A$2:$I2033,9,FALSE()),"please select a BUG ID")</f>
        <v>please select a BUG ID</v>
      </c>
      <c r="D1591" s="85"/>
      <c r="E1591" s="85"/>
      <c r="F1591" s="133"/>
      <c r="G1591" s="49"/>
      <c r="H1591" s="50"/>
      <c r="I1591" s="131"/>
      <c r="J1591" s="131"/>
      <c r="K1591" s="131"/>
      <c r="L1591" s="131"/>
      <c r="M1591" s="131"/>
      <c r="N1591" s="43"/>
      <c r="O1591" s="51"/>
    </row>
    <row r="1592">
      <c r="A1592" s="43"/>
      <c r="B1592" s="59" t="str">
        <f>IFERROR(VLOOKUP(A1592,Internal_lists_bugs!$A$2:$G2033,7,FALSE()),"please select a BUG ID")</f>
        <v>please select a BUG ID</v>
      </c>
      <c r="C1592" s="51" t="str">
        <f>IFERROR(VLOOKUP(A1592,Internal_lists_bugs!$A$2:$I2033,9,FALSE()),"please select a BUG ID")</f>
        <v>please select a BUG ID</v>
      </c>
      <c r="D1592" s="85"/>
      <c r="E1592" s="85"/>
      <c r="F1592" s="133"/>
      <c r="G1592" s="49"/>
      <c r="H1592" s="50"/>
      <c r="I1592" s="131"/>
      <c r="J1592" s="131"/>
      <c r="K1592" s="131"/>
      <c r="L1592" s="131"/>
      <c r="M1592" s="131"/>
      <c r="N1592" s="43"/>
      <c r="O1592" s="51"/>
    </row>
    <row r="1593">
      <c r="A1593" s="43"/>
      <c r="B1593" s="59" t="str">
        <f>IFERROR(VLOOKUP(A1593,Internal_lists_bugs!$A$2:$G2033,7,FALSE()),"please select a BUG ID")</f>
        <v>please select a BUG ID</v>
      </c>
      <c r="C1593" s="51" t="str">
        <f>IFERROR(VLOOKUP(A1593,Internal_lists_bugs!$A$2:$I2033,9,FALSE()),"please select a BUG ID")</f>
        <v>please select a BUG ID</v>
      </c>
      <c r="D1593" s="85"/>
      <c r="E1593" s="85"/>
      <c r="F1593" s="133"/>
      <c r="G1593" s="49"/>
      <c r="H1593" s="50"/>
      <c r="I1593" s="131"/>
      <c r="J1593" s="131"/>
      <c r="K1593" s="131"/>
      <c r="L1593" s="131"/>
      <c r="M1593" s="131"/>
      <c r="N1593" s="43"/>
      <c r="O1593" s="51"/>
    </row>
    <row r="1594">
      <c r="A1594" s="43"/>
      <c r="B1594" s="59" t="str">
        <f>IFERROR(VLOOKUP(A1594,Internal_lists_bugs!$A$2:$G2033,7,FALSE()),"please select a BUG ID")</f>
        <v>please select a BUG ID</v>
      </c>
      <c r="C1594" s="51" t="str">
        <f>IFERROR(VLOOKUP(A1594,Internal_lists_bugs!$A$2:$I2033,9,FALSE()),"please select a BUG ID")</f>
        <v>please select a BUG ID</v>
      </c>
      <c r="D1594" s="85"/>
      <c r="E1594" s="85"/>
      <c r="F1594" s="133"/>
      <c r="G1594" s="49"/>
      <c r="H1594" s="50"/>
      <c r="I1594" s="131"/>
      <c r="J1594" s="131"/>
      <c r="K1594" s="131"/>
      <c r="L1594" s="131"/>
      <c r="M1594" s="131"/>
      <c r="N1594" s="43"/>
      <c r="O1594" s="51"/>
    </row>
    <row r="1595">
      <c r="A1595" s="43"/>
      <c r="B1595" s="59" t="str">
        <f>IFERROR(VLOOKUP(A1595,Internal_lists_bugs!$A$2:$G2033,7,FALSE()),"please select a BUG ID")</f>
        <v>please select a BUG ID</v>
      </c>
      <c r="C1595" s="51" t="str">
        <f>IFERROR(VLOOKUP(A1595,Internal_lists_bugs!$A$2:$I2033,9,FALSE()),"please select a BUG ID")</f>
        <v>please select a BUG ID</v>
      </c>
      <c r="D1595" s="85"/>
      <c r="E1595" s="85"/>
      <c r="F1595" s="133"/>
      <c r="G1595" s="49"/>
      <c r="H1595" s="50"/>
      <c r="I1595" s="131"/>
      <c r="J1595" s="131"/>
      <c r="K1595" s="131"/>
      <c r="L1595" s="131"/>
      <c r="M1595" s="131"/>
      <c r="N1595" s="43"/>
      <c r="O1595" s="51"/>
    </row>
    <row r="1596">
      <c r="A1596" s="43"/>
      <c r="B1596" s="59" t="str">
        <f>IFERROR(VLOOKUP(A1596,Internal_lists_bugs!$A$2:$G2033,7,FALSE()),"please select a BUG ID")</f>
        <v>please select a BUG ID</v>
      </c>
      <c r="C1596" s="51" t="str">
        <f>IFERROR(VLOOKUP(A1596,Internal_lists_bugs!$A$2:$I2033,9,FALSE()),"please select a BUG ID")</f>
        <v>please select a BUG ID</v>
      </c>
      <c r="D1596" s="85"/>
      <c r="E1596" s="85"/>
      <c r="F1596" s="133"/>
      <c r="G1596" s="49"/>
      <c r="H1596" s="50"/>
      <c r="I1596" s="131"/>
      <c r="J1596" s="131"/>
      <c r="K1596" s="131"/>
      <c r="L1596" s="131"/>
      <c r="M1596" s="131"/>
      <c r="N1596" s="43"/>
      <c r="O1596" s="51"/>
    </row>
    <row r="1597">
      <c r="A1597" s="43"/>
      <c r="B1597" s="59" t="str">
        <f>IFERROR(VLOOKUP(A1597,Internal_lists_bugs!$A$2:$G2033,7,FALSE()),"please select a BUG ID")</f>
        <v>please select a BUG ID</v>
      </c>
      <c r="C1597" s="51" t="str">
        <f>IFERROR(VLOOKUP(A1597,Internal_lists_bugs!$A$2:$I2033,9,FALSE()),"please select a BUG ID")</f>
        <v>please select a BUG ID</v>
      </c>
      <c r="D1597" s="85"/>
      <c r="E1597" s="85"/>
      <c r="F1597" s="133"/>
      <c r="G1597" s="49"/>
      <c r="H1597" s="50"/>
      <c r="I1597" s="131"/>
      <c r="J1597" s="131"/>
      <c r="K1597" s="131"/>
      <c r="L1597" s="131"/>
      <c r="M1597" s="131"/>
      <c r="N1597" s="43"/>
      <c r="O1597" s="51"/>
    </row>
    <row r="1598">
      <c r="A1598" s="43"/>
      <c r="B1598" s="59" t="str">
        <f>IFERROR(VLOOKUP(A1598,Internal_lists_bugs!$A$2:$G2033,7,FALSE()),"please select a BUG ID")</f>
        <v>please select a BUG ID</v>
      </c>
      <c r="C1598" s="51" t="str">
        <f>IFERROR(VLOOKUP(A1598,Internal_lists_bugs!$A$2:$I2033,9,FALSE()),"please select a BUG ID")</f>
        <v>please select a BUG ID</v>
      </c>
      <c r="D1598" s="85"/>
      <c r="E1598" s="85"/>
      <c r="F1598" s="133"/>
      <c r="G1598" s="49"/>
      <c r="H1598" s="50"/>
      <c r="I1598" s="131"/>
      <c r="J1598" s="131"/>
      <c r="K1598" s="131"/>
      <c r="L1598" s="131"/>
      <c r="M1598" s="131"/>
      <c r="N1598" s="43"/>
      <c r="O1598" s="51"/>
    </row>
    <row r="1599">
      <c r="A1599" s="43"/>
      <c r="B1599" s="59" t="str">
        <f>IFERROR(VLOOKUP(A1599,Internal_lists_bugs!$A$2:$G2033,7,FALSE()),"please select a BUG ID")</f>
        <v>please select a BUG ID</v>
      </c>
      <c r="C1599" s="51" t="str">
        <f>IFERROR(VLOOKUP(A1599,Internal_lists_bugs!$A$2:$I2033,9,FALSE()),"please select a BUG ID")</f>
        <v>please select a BUG ID</v>
      </c>
      <c r="D1599" s="85"/>
      <c r="E1599" s="85"/>
      <c r="F1599" s="133"/>
      <c r="G1599" s="49"/>
      <c r="H1599" s="50"/>
      <c r="I1599" s="131"/>
      <c r="J1599" s="131"/>
      <c r="K1599" s="131"/>
      <c r="L1599" s="131"/>
      <c r="M1599" s="131"/>
      <c r="N1599" s="43"/>
      <c r="O1599" s="51"/>
    </row>
    <row r="1600">
      <c r="A1600" s="43"/>
      <c r="B1600" s="59" t="str">
        <f>IFERROR(VLOOKUP(A1600,Internal_lists_bugs!$A$2:$G2033,7,FALSE()),"please select a BUG ID")</f>
        <v>please select a BUG ID</v>
      </c>
      <c r="C1600" s="51" t="str">
        <f>IFERROR(VLOOKUP(A1600,Internal_lists_bugs!$A$2:$I2033,9,FALSE()),"please select a BUG ID")</f>
        <v>please select a BUG ID</v>
      </c>
      <c r="D1600" s="85"/>
      <c r="E1600" s="85"/>
      <c r="F1600" s="133"/>
      <c r="G1600" s="49"/>
      <c r="H1600" s="50"/>
      <c r="I1600" s="131"/>
      <c r="J1600" s="131"/>
      <c r="K1600" s="131"/>
      <c r="L1600" s="131"/>
      <c r="M1600" s="131"/>
      <c r="N1600" s="43"/>
      <c r="O1600" s="51"/>
    </row>
    <row r="1601">
      <c r="A1601" s="43"/>
      <c r="B1601" s="59" t="str">
        <f>IFERROR(VLOOKUP(A1601,Internal_lists_bugs!$A$2:$G2033,7,FALSE()),"please select a BUG ID")</f>
        <v>please select a BUG ID</v>
      </c>
      <c r="C1601" s="51" t="str">
        <f>IFERROR(VLOOKUP(A1601,Internal_lists_bugs!$A$2:$I2033,9,FALSE()),"please select a BUG ID")</f>
        <v>please select a BUG ID</v>
      </c>
      <c r="D1601" s="85"/>
      <c r="E1601" s="85"/>
      <c r="F1601" s="133"/>
      <c r="G1601" s="49"/>
      <c r="H1601" s="50"/>
      <c r="I1601" s="131"/>
      <c r="J1601" s="131"/>
      <c r="K1601" s="131"/>
      <c r="L1601" s="131"/>
      <c r="M1601" s="131"/>
      <c r="N1601" s="43"/>
      <c r="O1601" s="51"/>
    </row>
    <row r="1602">
      <c r="A1602" s="43"/>
      <c r="B1602" s="59" t="str">
        <f>IFERROR(VLOOKUP(A1602,Internal_lists_bugs!$A$2:$G2033,7,FALSE()),"please select a BUG ID")</f>
        <v>please select a BUG ID</v>
      </c>
      <c r="C1602" s="51" t="str">
        <f>IFERROR(VLOOKUP(A1602,Internal_lists_bugs!$A$2:$I2033,9,FALSE()),"please select a BUG ID")</f>
        <v>please select a BUG ID</v>
      </c>
      <c r="D1602" s="85"/>
      <c r="E1602" s="85"/>
      <c r="F1602" s="133"/>
      <c r="G1602" s="49"/>
      <c r="H1602" s="50"/>
      <c r="I1602" s="131"/>
      <c r="J1602" s="131"/>
      <c r="K1602" s="131"/>
      <c r="L1602" s="131"/>
      <c r="M1602" s="131"/>
      <c r="N1602" s="43"/>
      <c r="O1602" s="51"/>
    </row>
    <row r="1603">
      <c r="A1603" s="43"/>
      <c r="B1603" s="59" t="str">
        <f>IFERROR(VLOOKUP(A1603,Internal_lists_bugs!$A$2:$G2033,7,FALSE()),"please select a BUG ID")</f>
        <v>please select a BUG ID</v>
      </c>
      <c r="C1603" s="51" t="str">
        <f>IFERROR(VLOOKUP(A1603,Internal_lists_bugs!$A$2:$I2033,9,FALSE()),"please select a BUG ID")</f>
        <v>please select a BUG ID</v>
      </c>
      <c r="D1603" s="85"/>
      <c r="E1603" s="85"/>
      <c r="F1603" s="133"/>
      <c r="G1603" s="49"/>
      <c r="H1603" s="50"/>
      <c r="I1603" s="131"/>
      <c r="J1603" s="131"/>
      <c r="K1603" s="131"/>
      <c r="L1603" s="131"/>
      <c r="M1603" s="131"/>
      <c r="N1603" s="43"/>
      <c r="O1603" s="51"/>
    </row>
    <row r="1604">
      <c r="A1604" s="43"/>
      <c r="B1604" s="59" t="str">
        <f>IFERROR(VLOOKUP(A1604,Internal_lists_bugs!$A$2:$G2033,7,FALSE()),"please select a BUG ID")</f>
        <v>please select a BUG ID</v>
      </c>
      <c r="C1604" s="51" t="str">
        <f>IFERROR(VLOOKUP(A1604,Internal_lists_bugs!$A$2:$I2033,9,FALSE()),"please select a BUG ID")</f>
        <v>please select a BUG ID</v>
      </c>
      <c r="D1604" s="85"/>
      <c r="E1604" s="85"/>
      <c r="F1604" s="133"/>
      <c r="G1604" s="49"/>
      <c r="H1604" s="50"/>
      <c r="I1604" s="131"/>
      <c r="J1604" s="131"/>
      <c r="K1604" s="131"/>
      <c r="L1604" s="131"/>
      <c r="M1604" s="131"/>
      <c r="N1604" s="43"/>
      <c r="O1604" s="51"/>
    </row>
    <row r="1605">
      <c r="A1605" s="43"/>
      <c r="B1605" s="59" t="str">
        <f>IFERROR(VLOOKUP(A1605,Internal_lists_bugs!$A$2:$G2033,7,FALSE()),"please select a BUG ID")</f>
        <v>please select a BUG ID</v>
      </c>
      <c r="C1605" s="51" t="str">
        <f>IFERROR(VLOOKUP(A1605,Internal_lists_bugs!$A$2:$I2033,9,FALSE()),"please select a BUG ID")</f>
        <v>please select a BUG ID</v>
      </c>
      <c r="D1605" s="85"/>
      <c r="E1605" s="85"/>
      <c r="F1605" s="133"/>
      <c r="G1605" s="49"/>
      <c r="H1605" s="50"/>
      <c r="I1605" s="131"/>
      <c r="J1605" s="131"/>
      <c r="K1605" s="131"/>
      <c r="L1605" s="131"/>
      <c r="M1605" s="131"/>
      <c r="N1605" s="43"/>
      <c r="O1605" s="51"/>
    </row>
    <row r="1606">
      <c r="A1606" s="43"/>
      <c r="B1606" s="59" t="str">
        <f>IFERROR(VLOOKUP(A1606,Internal_lists_bugs!$A$2:$G2033,7,FALSE()),"please select a BUG ID")</f>
        <v>please select a BUG ID</v>
      </c>
      <c r="C1606" s="51" t="str">
        <f>IFERROR(VLOOKUP(A1606,Internal_lists_bugs!$A$2:$I2033,9,FALSE()),"please select a BUG ID")</f>
        <v>please select a BUG ID</v>
      </c>
      <c r="D1606" s="85"/>
      <c r="E1606" s="85"/>
      <c r="F1606" s="133"/>
      <c r="G1606" s="49"/>
      <c r="H1606" s="50"/>
      <c r="I1606" s="131"/>
      <c r="J1606" s="131"/>
      <c r="K1606" s="131"/>
      <c r="L1606" s="131"/>
      <c r="M1606" s="131"/>
      <c r="N1606" s="43"/>
      <c r="O1606" s="51"/>
    </row>
    <row r="1607">
      <c r="A1607" s="43"/>
      <c r="B1607" s="59" t="str">
        <f>IFERROR(VLOOKUP(A1607,Internal_lists_bugs!$A$2:$G2033,7,FALSE()),"please select a BUG ID")</f>
        <v>please select a BUG ID</v>
      </c>
      <c r="C1607" s="51" t="str">
        <f>IFERROR(VLOOKUP(A1607,Internal_lists_bugs!$A$2:$I2033,9,FALSE()),"please select a BUG ID")</f>
        <v>please select a BUG ID</v>
      </c>
      <c r="D1607" s="85"/>
      <c r="E1607" s="85"/>
      <c r="F1607" s="133"/>
      <c r="G1607" s="49"/>
      <c r="H1607" s="50"/>
      <c r="I1607" s="131"/>
      <c r="J1607" s="131"/>
      <c r="K1607" s="131"/>
      <c r="L1607" s="131"/>
      <c r="M1607" s="131"/>
      <c r="N1607" s="43"/>
      <c r="O1607" s="51"/>
    </row>
    <row r="1608">
      <c r="A1608" s="43"/>
      <c r="B1608" s="59" t="str">
        <f>IFERROR(VLOOKUP(A1608,Internal_lists_bugs!$A$2:$G2033,7,FALSE()),"please select a BUG ID")</f>
        <v>please select a BUG ID</v>
      </c>
      <c r="C1608" s="51" t="str">
        <f>IFERROR(VLOOKUP(A1608,Internal_lists_bugs!$A$2:$I2033,9,FALSE()),"please select a BUG ID")</f>
        <v>please select a BUG ID</v>
      </c>
      <c r="D1608" s="85"/>
      <c r="E1608" s="85"/>
      <c r="F1608" s="133"/>
      <c r="G1608" s="49"/>
      <c r="H1608" s="50"/>
      <c r="I1608" s="131"/>
      <c r="J1608" s="131"/>
      <c r="K1608" s="131"/>
      <c r="L1608" s="131"/>
      <c r="M1608" s="131"/>
      <c r="N1608" s="43"/>
      <c r="O1608" s="51"/>
    </row>
    <row r="1609">
      <c r="A1609" s="43"/>
      <c r="B1609" s="59" t="str">
        <f>IFERROR(VLOOKUP(A1609,Internal_lists_bugs!$A$2:$G2033,7,FALSE()),"please select a BUG ID")</f>
        <v>please select a BUG ID</v>
      </c>
      <c r="C1609" s="51" t="str">
        <f>IFERROR(VLOOKUP(A1609,Internal_lists_bugs!$A$2:$I2033,9,FALSE()),"please select a BUG ID")</f>
        <v>please select a BUG ID</v>
      </c>
      <c r="D1609" s="85"/>
      <c r="E1609" s="85"/>
      <c r="F1609" s="133"/>
      <c r="G1609" s="49"/>
      <c r="H1609" s="50"/>
      <c r="I1609" s="131"/>
      <c r="J1609" s="131"/>
      <c r="K1609" s="131"/>
      <c r="L1609" s="131"/>
      <c r="M1609" s="131"/>
      <c r="N1609" s="43"/>
      <c r="O1609" s="51"/>
    </row>
    <row r="1610">
      <c r="A1610" s="43"/>
      <c r="B1610" s="59" t="str">
        <f>IFERROR(VLOOKUP(A1610,Internal_lists_bugs!$A$2:$G2033,7,FALSE()),"please select a BUG ID")</f>
        <v>please select a BUG ID</v>
      </c>
      <c r="C1610" s="51" t="str">
        <f>IFERROR(VLOOKUP(A1610,Internal_lists_bugs!$A$2:$I2033,9,FALSE()),"please select a BUG ID")</f>
        <v>please select a BUG ID</v>
      </c>
      <c r="D1610" s="85"/>
      <c r="E1610" s="85"/>
      <c r="F1610" s="133"/>
      <c r="G1610" s="49"/>
      <c r="H1610" s="50"/>
      <c r="I1610" s="131"/>
      <c r="J1610" s="131"/>
      <c r="K1610" s="131"/>
      <c r="L1610" s="131"/>
      <c r="M1610" s="131"/>
      <c r="N1610" s="43"/>
      <c r="O1610" s="51"/>
    </row>
    <row r="1611">
      <c r="A1611" s="43"/>
      <c r="B1611" s="59" t="str">
        <f>IFERROR(VLOOKUP(A1611,Internal_lists_bugs!$A$2:$G2033,7,FALSE()),"please select a BUG ID")</f>
        <v>please select a BUG ID</v>
      </c>
      <c r="C1611" s="51" t="str">
        <f>IFERROR(VLOOKUP(A1611,Internal_lists_bugs!$A$2:$I2033,9,FALSE()),"please select a BUG ID")</f>
        <v>please select a BUG ID</v>
      </c>
      <c r="D1611" s="85"/>
      <c r="E1611" s="85"/>
      <c r="F1611" s="133"/>
      <c r="G1611" s="49"/>
      <c r="H1611" s="50"/>
      <c r="I1611" s="131"/>
      <c r="J1611" s="131"/>
      <c r="K1611" s="131"/>
      <c r="L1611" s="131"/>
      <c r="M1611" s="131"/>
      <c r="N1611" s="43"/>
      <c r="O1611" s="51"/>
    </row>
    <row r="1612">
      <c r="A1612" s="43"/>
      <c r="B1612" s="59" t="str">
        <f>IFERROR(VLOOKUP(A1612,Internal_lists_bugs!$A$2:$G2033,7,FALSE()),"please select a BUG ID")</f>
        <v>please select a BUG ID</v>
      </c>
      <c r="C1612" s="51" t="str">
        <f>IFERROR(VLOOKUP(A1612,Internal_lists_bugs!$A$2:$I2033,9,FALSE()),"please select a BUG ID")</f>
        <v>please select a BUG ID</v>
      </c>
      <c r="D1612" s="85"/>
      <c r="E1612" s="85"/>
      <c r="F1612" s="133"/>
      <c r="G1612" s="49"/>
      <c r="H1612" s="50"/>
      <c r="I1612" s="131"/>
      <c r="J1612" s="131"/>
      <c r="K1612" s="131"/>
      <c r="L1612" s="131"/>
      <c r="M1612" s="131"/>
      <c r="N1612" s="43"/>
      <c r="O1612" s="51"/>
    </row>
    <row r="1613">
      <c r="A1613" s="43"/>
      <c r="B1613" s="59" t="str">
        <f>IFERROR(VLOOKUP(A1613,Internal_lists_bugs!$A$2:$G2033,7,FALSE()),"please select a BUG ID")</f>
        <v>please select a BUG ID</v>
      </c>
      <c r="C1613" s="51" t="str">
        <f>IFERROR(VLOOKUP(A1613,Internal_lists_bugs!$A$2:$I2033,9,FALSE()),"please select a BUG ID")</f>
        <v>please select a BUG ID</v>
      </c>
      <c r="D1613" s="85"/>
      <c r="E1613" s="85"/>
      <c r="F1613" s="133"/>
      <c r="G1613" s="49"/>
      <c r="H1613" s="50"/>
      <c r="I1613" s="131"/>
      <c r="J1613" s="131"/>
      <c r="K1613" s="131"/>
      <c r="L1613" s="131"/>
      <c r="M1613" s="131"/>
      <c r="N1613" s="43"/>
      <c r="O1613" s="51"/>
    </row>
    <row r="1614">
      <c r="A1614" s="43"/>
      <c r="B1614" s="59" t="str">
        <f>IFERROR(VLOOKUP(A1614,Internal_lists_bugs!$A$2:$G2033,7,FALSE()),"please select a BUG ID")</f>
        <v>please select a BUG ID</v>
      </c>
      <c r="C1614" s="51" t="str">
        <f>IFERROR(VLOOKUP(A1614,Internal_lists_bugs!$A$2:$I2033,9,FALSE()),"please select a BUG ID")</f>
        <v>please select a BUG ID</v>
      </c>
      <c r="D1614" s="85"/>
      <c r="E1614" s="85"/>
      <c r="F1614" s="133"/>
      <c r="G1614" s="49"/>
      <c r="H1614" s="50"/>
      <c r="I1614" s="131"/>
      <c r="J1614" s="131"/>
      <c r="K1614" s="131"/>
      <c r="L1614" s="131"/>
      <c r="M1614" s="131"/>
      <c r="N1614" s="43"/>
      <c r="O1614" s="51"/>
    </row>
    <row r="1615">
      <c r="A1615" s="43"/>
      <c r="B1615" s="59" t="str">
        <f>IFERROR(VLOOKUP(A1615,Internal_lists_bugs!$A$2:$G2033,7,FALSE()),"please select a BUG ID")</f>
        <v>please select a BUG ID</v>
      </c>
      <c r="C1615" s="51" t="str">
        <f>IFERROR(VLOOKUP(A1615,Internal_lists_bugs!$A$2:$I2033,9,FALSE()),"please select a BUG ID")</f>
        <v>please select a BUG ID</v>
      </c>
      <c r="D1615" s="85"/>
      <c r="E1615" s="85"/>
      <c r="F1615" s="133"/>
      <c r="G1615" s="49"/>
      <c r="H1615" s="50"/>
      <c r="I1615" s="131"/>
      <c r="J1615" s="131"/>
      <c r="K1615" s="131"/>
      <c r="L1615" s="131"/>
      <c r="M1615" s="131"/>
      <c r="N1615" s="43"/>
      <c r="O1615" s="51"/>
    </row>
    <row r="1616">
      <c r="A1616" s="43"/>
      <c r="B1616" s="59" t="str">
        <f>IFERROR(VLOOKUP(A1616,Internal_lists_bugs!$A$2:$G2033,7,FALSE()),"please select a BUG ID")</f>
        <v>please select a BUG ID</v>
      </c>
      <c r="C1616" s="51" t="str">
        <f>IFERROR(VLOOKUP(A1616,Internal_lists_bugs!$A$2:$I2033,9,FALSE()),"please select a BUG ID")</f>
        <v>please select a BUG ID</v>
      </c>
      <c r="D1616" s="85"/>
      <c r="E1616" s="85"/>
      <c r="F1616" s="133"/>
      <c r="G1616" s="49"/>
      <c r="H1616" s="50"/>
      <c r="I1616" s="131"/>
      <c r="J1616" s="131"/>
      <c r="K1616" s="131"/>
      <c r="L1616" s="131"/>
      <c r="M1616" s="131"/>
      <c r="N1616" s="43"/>
      <c r="O1616" s="51"/>
    </row>
    <row r="1617">
      <c r="A1617" s="43"/>
      <c r="B1617" s="59" t="str">
        <f>IFERROR(VLOOKUP(A1617,Internal_lists_bugs!$A$2:$G2033,7,FALSE()),"please select a BUG ID")</f>
        <v>please select a BUG ID</v>
      </c>
      <c r="C1617" s="51" t="str">
        <f>IFERROR(VLOOKUP(A1617,Internal_lists_bugs!$A$2:$I2033,9,FALSE()),"please select a BUG ID")</f>
        <v>please select a BUG ID</v>
      </c>
      <c r="D1617" s="85"/>
      <c r="E1617" s="85"/>
      <c r="F1617" s="133"/>
      <c r="G1617" s="49"/>
      <c r="H1617" s="50"/>
      <c r="I1617" s="131"/>
      <c r="J1617" s="131"/>
      <c r="K1617" s="131"/>
      <c r="L1617" s="131"/>
      <c r="M1617" s="131"/>
      <c r="N1617" s="43"/>
      <c r="O1617" s="51"/>
    </row>
    <row r="1618">
      <c r="A1618" s="43"/>
      <c r="B1618" s="59" t="str">
        <f>IFERROR(VLOOKUP(A1618,Internal_lists_bugs!$A$2:$G2033,7,FALSE()),"please select a BUG ID")</f>
        <v>please select a BUG ID</v>
      </c>
      <c r="C1618" s="51" t="str">
        <f>IFERROR(VLOOKUP(A1618,Internal_lists_bugs!$A$2:$I2033,9,FALSE()),"please select a BUG ID")</f>
        <v>please select a BUG ID</v>
      </c>
      <c r="D1618" s="85"/>
      <c r="E1618" s="85"/>
      <c r="F1618" s="133"/>
      <c r="G1618" s="49"/>
      <c r="H1618" s="50"/>
      <c r="I1618" s="131"/>
      <c r="J1618" s="131"/>
      <c r="K1618" s="131"/>
      <c r="L1618" s="131"/>
      <c r="M1618" s="131"/>
      <c r="N1618" s="43"/>
      <c r="O1618" s="51"/>
    </row>
    <row r="1619">
      <c r="A1619" s="43"/>
      <c r="B1619" s="59" t="str">
        <f>IFERROR(VLOOKUP(A1619,Internal_lists_bugs!$A$2:$G2033,7,FALSE()),"please select a BUG ID")</f>
        <v>please select a BUG ID</v>
      </c>
      <c r="C1619" s="51" t="str">
        <f>IFERROR(VLOOKUP(A1619,Internal_lists_bugs!$A$2:$I2033,9,FALSE()),"please select a BUG ID")</f>
        <v>please select a BUG ID</v>
      </c>
      <c r="D1619" s="85"/>
      <c r="E1619" s="85"/>
      <c r="F1619" s="133"/>
      <c r="G1619" s="49"/>
      <c r="H1619" s="50"/>
      <c r="I1619" s="131"/>
      <c r="J1619" s="131"/>
      <c r="K1619" s="131"/>
      <c r="L1619" s="131"/>
      <c r="M1619" s="131"/>
      <c r="N1619" s="43"/>
      <c r="O1619" s="51"/>
    </row>
    <row r="1620">
      <c r="A1620" s="43"/>
      <c r="B1620" s="59" t="str">
        <f>IFERROR(VLOOKUP(A1620,Internal_lists_bugs!$A$2:$G2033,7,FALSE()),"please select a BUG ID")</f>
        <v>please select a BUG ID</v>
      </c>
      <c r="C1620" s="51" t="str">
        <f>IFERROR(VLOOKUP(A1620,Internal_lists_bugs!$A$2:$I2033,9,FALSE()),"please select a BUG ID")</f>
        <v>please select a BUG ID</v>
      </c>
      <c r="D1620" s="85"/>
      <c r="E1620" s="85"/>
      <c r="F1620" s="133"/>
      <c r="G1620" s="49"/>
      <c r="H1620" s="50"/>
      <c r="I1620" s="131"/>
      <c r="J1620" s="131"/>
      <c r="K1620" s="131"/>
      <c r="L1620" s="131"/>
      <c r="M1620" s="131"/>
      <c r="N1620" s="43"/>
      <c r="O1620" s="51"/>
    </row>
    <row r="1621">
      <c r="A1621" s="43"/>
      <c r="B1621" s="59" t="str">
        <f>IFERROR(VLOOKUP(A1621,Internal_lists_bugs!$A$2:$G2033,7,FALSE()),"please select a BUG ID")</f>
        <v>please select a BUG ID</v>
      </c>
      <c r="C1621" s="51" t="str">
        <f>IFERROR(VLOOKUP(A1621,Internal_lists_bugs!$A$2:$I2033,9,FALSE()),"please select a BUG ID")</f>
        <v>please select a BUG ID</v>
      </c>
      <c r="D1621" s="85"/>
      <c r="E1621" s="85"/>
      <c r="F1621" s="133"/>
      <c r="G1621" s="49"/>
      <c r="H1621" s="50"/>
      <c r="I1621" s="131"/>
      <c r="J1621" s="131"/>
      <c r="K1621" s="131"/>
      <c r="L1621" s="131"/>
      <c r="M1621" s="131"/>
      <c r="N1621" s="43"/>
      <c r="O1621" s="51"/>
    </row>
    <row r="1622">
      <c r="A1622" s="43"/>
      <c r="B1622" s="59" t="str">
        <f>IFERROR(VLOOKUP(A1622,Internal_lists_bugs!$A$2:$G2033,7,FALSE()),"please select a BUG ID")</f>
        <v>please select a BUG ID</v>
      </c>
      <c r="C1622" s="51" t="str">
        <f>IFERROR(VLOOKUP(A1622,Internal_lists_bugs!$A$2:$I2033,9,FALSE()),"please select a BUG ID")</f>
        <v>please select a BUG ID</v>
      </c>
      <c r="D1622" s="85"/>
      <c r="E1622" s="85"/>
      <c r="F1622" s="133"/>
      <c r="G1622" s="49"/>
      <c r="H1622" s="50"/>
      <c r="I1622" s="131"/>
      <c r="J1622" s="131"/>
      <c r="K1622" s="131"/>
      <c r="L1622" s="131"/>
      <c r="M1622" s="131"/>
      <c r="N1622" s="43"/>
      <c r="O1622" s="51"/>
    </row>
    <row r="1623">
      <c r="A1623" s="43"/>
      <c r="B1623" s="59" t="str">
        <f>IFERROR(VLOOKUP(A1623,Internal_lists_bugs!$A$2:$G2033,7,FALSE()),"please select a BUG ID")</f>
        <v>please select a BUG ID</v>
      </c>
      <c r="C1623" s="51" t="str">
        <f>IFERROR(VLOOKUP(A1623,Internal_lists_bugs!$A$2:$I2033,9,FALSE()),"please select a BUG ID")</f>
        <v>please select a BUG ID</v>
      </c>
      <c r="D1623" s="85"/>
      <c r="E1623" s="85"/>
      <c r="F1623" s="133"/>
      <c r="G1623" s="49"/>
      <c r="H1623" s="50"/>
      <c r="I1623" s="131"/>
      <c r="J1623" s="131"/>
      <c r="K1623" s="131"/>
      <c r="L1623" s="131"/>
      <c r="M1623" s="131"/>
      <c r="N1623" s="43"/>
      <c r="O1623" s="51"/>
    </row>
    <row r="1624">
      <c r="A1624" s="43"/>
      <c r="B1624" s="59" t="str">
        <f>IFERROR(VLOOKUP(A1624,Internal_lists_bugs!$A$2:$G2033,7,FALSE()),"please select a BUG ID")</f>
        <v>please select a BUG ID</v>
      </c>
      <c r="C1624" s="51" t="str">
        <f>IFERROR(VLOOKUP(A1624,Internal_lists_bugs!$A$2:$I2033,9,FALSE()),"please select a BUG ID")</f>
        <v>please select a BUG ID</v>
      </c>
      <c r="D1624" s="85"/>
      <c r="E1624" s="85"/>
      <c r="F1624" s="133"/>
      <c r="G1624" s="49"/>
      <c r="H1624" s="50"/>
      <c r="I1624" s="131"/>
      <c r="J1624" s="131"/>
      <c r="K1624" s="131"/>
      <c r="L1624" s="131"/>
      <c r="M1624" s="131"/>
      <c r="N1624" s="43"/>
      <c r="O1624" s="51"/>
    </row>
    <row r="1625">
      <c r="A1625" s="43"/>
      <c r="B1625" s="59" t="str">
        <f>IFERROR(VLOOKUP(A1625,Internal_lists_bugs!$A$2:$G2033,7,FALSE()),"please select a BUG ID")</f>
        <v>please select a BUG ID</v>
      </c>
      <c r="C1625" s="51" t="str">
        <f>IFERROR(VLOOKUP(A1625,Internal_lists_bugs!$A$2:$I2033,9,FALSE()),"please select a BUG ID")</f>
        <v>please select a BUG ID</v>
      </c>
      <c r="D1625" s="85"/>
      <c r="E1625" s="85"/>
      <c r="F1625" s="133"/>
      <c r="G1625" s="49"/>
      <c r="H1625" s="50"/>
      <c r="I1625" s="131"/>
      <c r="J1625" s="131"/>
      <c r="K1625" s="131"/>
      <c r="L1625" s="131"/>
      <c r="M1625" s="131"/>
      <c r="N1625" s="43"/>
      <c r="O1625" s="51"/>
    </row>
    <row r="1626">
      <c r="A1626" s="43"/>
      <c r="B1626" s="59" t="str">
        <f>IFERROR(VLOOKUP(A1626,Internal_lists_bugs!$A$2:$G2033,7,FALSE()),"please select a BUG ID")</f>
        <v>please select a BUG ID</v>
      </c>
      <c r="C1626" s="51" t="str">
        <f>IFERROR(VLOOKUP(A1626,Internal_lists_bugs!$A$2:$I2033,9,FALSE()),"please select a BUG ID")</f>
        <v>please select a BUG ID</v>
      </c>
      <c r="D1626" s="85"/>
      <c r="E1626" s="85"/>
      <c r="F1626" s="133"/>
      <c r="G1626" s="49"/>
      <c r="H1626" s="50"/>
      <c r="I1626" s="131"/>
      <c r="J1626" s="131"/>
      <c r="K1626" s="131"/>
      <c r="L1626" s="131"/>
      <c r="M1626" s="131"/>
      <c r="N1626" s="43"/>
      <c r="O1626" s="51"/>
    </row>
    <row r="1627">
      <c r="A1627" s="43"/>
      <c r="B1627" s="59" t="str">
        <f>IFERROR(VLOOKUP(A1627,Internal_lists_bugs!$A$2:$G2033,7,FALSE()),"please select a BUG ID")</f>
        <v>please select a BUG ID</v>
      </c>
      <c r="C1627" s="51" t="str">
        <f>IFERROR(VLOOKUP(A1627,Internal_lists_bugs!$A$2:$I2033,9,FALSE()),"please select a BUG ID")</f>
        <v>please select a BUG ID</v>
      </c>
      <c r="D1627" s="85"/>
      <c r="E1627" s="85"/>
      <c r="F1627" s="133"/>
      <c r="G1627" s="49"/>
      <c r="H1627" s="50"/>
      <c r="I1627" s="131"/>
      <c r="J1627" s="131"/>
      <c r="K1627" s="131"/>
      <c r="L1627" s="131"/>
      <c r="M1627" s="131"/>
      <c r="N1627" s="43"/>
      <c r="O1627" s="51"/>
    </row>
    <row r="1628">
      <c r="A1628" s="43"/>
      <c r="B1628" s="59" t="str">
        <f>IFERROR(VLOOKUP(A1628,Internal_lists_bugs!$A$2:$G2033,7,FALSE()),"please select a BUG ID")</f>
        <v>please select a BUG ID</v>
      </c>
      <c r="C1628" s="51" t="str">
        <f>IFERROR(VLOOKUP(A1628,Internal_lists_bugs!$A$2:$I2033,9,FALSE()),"please select a BUG ID")</f>
        <v>please select a BUG ID</v>
      </c>
      <c r="D1628" s="85"/>
      <c r="E1628" s="85"/>
      <c r="F1628" s="133"/>
      <c r="G1628" s="49"/>
      <c r="H1628" s="50"/>
      <c r="I1628" s="131"/>
      <c r="J1628" s="131"/>
      <c r="K1628" s="131"/>
      <c r="L1628" s="131"/>
      <c r="M1628" s="131"/>
      <c r="N1628" s="43"/>
      <c r="O1628" s="51"/>
    </row>
    <row r="1629">
      <c r="A1629" s="43"/>
      <c r="B1629" s="59" t="str">
        <f>IFERROR(VLOOKUP(A1629,Internal_lists_bugs!$A$2:$G2033,7,FALSE()),"please select a BUG ID")</f>
        <v>please select a BUG ID</v>
      </c>
      <c r="C1629" s="51" t="str">
        <f>IFERROR(VLOOKUP(A1629,Internal_lists_bugs!$A$2:$I2033,9,FALSE()),"please select a BUG ID")</f>
        <v>please select a BUG ID</v>
      </c>
      <c r="D1629" s="85"/>
      <c r="E1629" s="85"/>
      <c r="F1629" s="133"/>
      <c r="G1629" s="49"/>
      <c r="H1629" s="50"/>
      <c r="I1629" s="131"/>
      <c r="J1629" s="131"/>
      <c r="K1629" s="131"/>
      <c r="L1629" s="131"/>
      <c r="M1629" s="131"/>
      <c r="N1629" s="43"/>
      <c r="O1629" s="51"/>
    </row>
    <row r="1630">
      <c r="A1630" s="43"/>
      <c r="B1630" s="59" t="str">
        <f>IFERROR(VLOOKUP(A1630,Internal_lists_bugs!$A$2:$G2033,7,FALSE()),"please select a BUG ID")</f>
        <v>please select a BUG ID</v>
      </c>
      <c r="C1630" s="51" t="str">
        <f>IFERROR(VLOOKUP(A1630,Internal_lists_bugs!$A$2:$I2033,9,FALSE()),"please select a BUG ID")</f>
        <v>please select a BUG ID</v>
      </c>
      <c r="D1630" s="85"/>
      <c r="E1630" s="85"/>
      <c r="F1630" s="133"/>
      <c r="G1630" s="49"/>
      <c r="H1630" s="50"/>
      <c r="I1630" s="131"/>
      <c r="J1630" s="131"/>
      <c r="K1630" s="131"/>
      <c r="L1630" s="131"/>
      <c r="M1630" s="131"/>
      <c r="N1630" s="43"/>
      <c r="O1630" s="51"/>
    </row>
    <row r="1631">
      <c r="A1631" s="43"/>
      <c r="B1631" s="59" t="str">
        <f>IFERROR(VLOOKUP(A1631,Internal_lists_bugs!$A$2:$G2033,7,FALSE()),"please select a BUG ID")</f>
        <v>please select a BUG ID</v>
      </c>
      <c r="C1631" s="51" t="str">
        <f>IFERROR(VLOOKUP(A1631,Internal_lists_bugs!$A$2:$I2033,9,FALSE()),"please select a BUG ID")</f>
        <v>please select a BUG ID</v>
      </c>
      <c r="D1631" s="85"/>
      <c r="E1631" s="85"/>
      <c r="F1631" s="133"/>
      <c r="G1631" s="49"/>
      <c r="H1631" s="50"/>
      <c r="I1631" s="131"/>
      <c r="J1631" s="131"/>
      <c r="K1631" s="131"/>
      <c r="L1631" s="131"/>
      <c r="M1631" s="131"/>
      <c r="N1631" s="43"/>
      <c r="O1631" s="51"/>
    </row>
    <row r="1632">
      <c r="A1632" s="43"/>
      <c r="B1632" s="59" t="str">
        <f>IFERROR(VLOOKUP(A1632,Internal_lists_bugs!$A$2:$G2033,7,FALSE()),"please select a BUG ID")</f>
        <v>please select a BUG ID</v>
      </c>
      <c r="C1632" s="51" t="str">
        <f>IFERROR(VLOOKUP(A1632,Internal_lists_bugs!$A$2:$I2033,9,FALSE()),"please select a BUG ID")</f>
        <v>please select a BUG ID</v>
      </c>
      <c r="D1632" s="85"/>
      <c r="E1632" s="85"/>
      <c r="F1632" s="133"/>
      <c r="G1632" s="49"/>
      <c r="H1632" s="50"/>
      <c r="I1632" s="131"/>
      <c r="J1632" s="131"/>
      <c r="K1632" s="131"/>
      <c r="L1632" s="131"/>
      <c r="M1632" s="131"/>
      <c r="N1632" s="43"/>
      <c r="O1632" s="51"/>
    </row>
    <row r="1633">
      <c r="A1633" s="43"/>
      <c r="B1633" s="59" t="str">
        <f>IFERROR(VLOOKUP(A1633,Internal_lists_bugs!$A$2:$G2033,7,FALSE()),"please select a BUG ID")</f>
        <v>please select a BUG ID</v>
      </c>
      <c r="C1633" s="51" t="str">
        <f>IFERROR(VLOOKUP(A1633,Internal_lists_bugs!$A$2:$I2033,9,FALSE()),"please select a BUG ID")</f>
        <v>please select a BUG ID</v>
      </c>
      <c r="D1633" s="85"/>
      <c r="E1633" s="85"/>
      <c r="F1633" s="133"/>
      <c r="G1633" s="49"/>
      <c r="H1633" s="50"/>
      <c r="I1633" s="131"/>
      <c r="J1633" s="131"/>
      <c r="K1633" s="131"/>
      <c r="L1633" s="131"/>
      <c r="M1633" s="131"/>
      <c r="N1633" s="43"/>
      <c r="O1633" s="51"/>
    </row>
    <row r="1634">
      <c r="A1634" s="43"/>
      <c r="B1634" s="59" t="str">
        <f>IFERROR(VLOOKUP(A1634,Internal_lists_bugs!$A$2:$G2033,7,FALSE()),"please select a BUG ID")</f>
        <v>please select a BUG ID</v>
      </c>
      <c r="C1634" s="51" t="str">
        <f>IFERROR(VLOOKUP(A1634,Internal_lists_bugs!$A$2:$I2033,9,FALSE()),"please select a BUG ID")</f>
        <v>please select a BUG ID</v>
      </c>
      <c r="D1634" s="85"/>
      <c r="E1634" s="85"/>
      <c r="F1634" s="133"/>
      <c r="G1634" s="49"/>
      <c r="H1634" s="50"/>
      <c r="I1634" s="131"/>
      <c r="J1634" s="131"/>
      <c r="K1634" s="131"/>
      <c r="L1634" s="131"/>
      <c r="M1634" s="131"/>
      <c r="N1634" s="43"/>
      <c r="O1634" s="51"/>
    </row>
    <row r="1635">
      <c r="A1635" s="43"/>
      <c r="B1635" s="59" t="str">
        <f>IFERROR(VLOOKUP(A1635,Internal_lists_bugs!$A$2:$G2033,7,FALSE()),"please select a BUG ID")</f>
        <v>please select a BUG ID</v>
      </c>
      <c r="C1635" s="51" t="str">
        <f>IFERROR(VLOOKUP(A1635,Internal_lists_bugs!$A$2:$I2033,9,FALSE()),"please select a BUG ID")</f>
        <v>please select a BUG ID</v>
      </c>
      <c r="D1635" s="85"/>
      <c r="E1635" s="85"/>
      <c r="F1635" s="133"/>
      <c r="G1635" s="49"/>
      <c r="H1635" s="50"/>
      <c r="I1635" s="131"/>
      <c r="J1635" s="131"/>
      <c r="K1635" s="131"/>
      <c r="L1635" s="131"/>
      <c r="M1635" s="131"/>
      <c r="N1635" s="43"/>
      <c r="O1635" s="51"/>
    </row>
    <row r="1636">
      <c r="A1636" s="43"/>
      <c r="B1636" s="59" t="str">
        <f>IFERROR(VLOOKUP(A1636,Internal_lists_bugs!$A$2:$G2033,7,FALSE()),"please select a BUG ID")</f>
        <v>please select a BUG ID</v>
      </c>
      <c r="C1636" s="51" t="str">
        <f>IFERROR(VLOOKUP(A1636,Internal_lists_bugs!$A$2:$I2033,9,FALSE()),"please select a BUG ID")</f>
        <v>please select a BUG ID</v>
      </c>
      <c r="D1636" s="85"/>
      <c r="E1636" s="85"/>
      <c r="F1636" s="133"/>
      <c r="G1636" s="49"/>
      <c r="H1636" s="50"/>
      <c r="I1636" s="131"/>
      <c r="J1636" s="131"/>
      <c r="K1636" s="131"/>
      <c r="L1636" s="131"/>
      <c r="M1636" s="131"/>
      <c r="N1636" s="43"/>
      <c r="O1636" s="51"/>
    </row>
    <row r="1637">
      <c r="A1637" s="43"/>
      <c r="B1637" s="59" t="str">
        <f>IFERROR(VLOOKUP(A1637,Internal_lists_bugs!$A$2:$G2033,7,FALSE()),"please select a BUG ID")</f>
        <v>please select a BUG ID</v>
      </c>
      <c r="C1637" s="51" t="str">
        <f>IFERROR(VLOOKUP(A1637,Internal_lists_bugs!$A$2:$I2033,9,FALSE()),"please select a BUG ID")</f>
        <v>please select a BUG ID</v>
      </c>
      <c r="D1637" s="85"/>
      <c r="E1637" s="85"/>
      <c r="F1637" s="133"/>
      <c r="G1637" s="49"/>
      <c r="H1637" s="50"/>
      <c r="I1637" s="131"/>
      <c r="J1637" s="131"/>
      <c r="K1637" s="131"/>
      <c r="L1637" s="131"/>
      <c r="M1637" s="131"/>
      <c r="N1637" s="43"/>
      <c r="O1637" s="51"/>
    </row>
    <row r="1638">
      <c r="A1638" s="43"/>
      <c r="B1638" s="59" t="str">
        <f>IFERROR(VLOOKUP(A1638,Internal_lists_bugs!$A$2:$G2033,7,FALSE()),"please select a BUG ID")</f>
        <v>please select a BUG ID</v>
      </c>
      <c r="C1638" s="51" t="str">
        <f>IFERROR(VLOOKUP(A1638,Internal_lists_bugs!$A$2:$I2033,9,FALSE()),"please select a BUG ID")</f>
        <v>please select a BUG ID</v>
      </c>
      <c r="D1638" s="85"/>
      <c r="E1638" s="85"/>
      <c r="F1638" s="133"/>
      <c r="G1638" s="49"/>
      <c r="H1638" s="50"/>
      <c r="I1638" s="131"/>
      <c r="J1638" s="131"/>
      <c r="K1638" s="131"/>
      <c r="L1638" s="131"/>
      <c r="M1638" s="131"/>
      <c r="N1638" s="43"/>
      <c r="O1638" s="51"/>
    </row>
    <row r="1639">
      <c r="A1639" s="43"/>
      <c r="B1639" s="59" t="str">
        <f>IFERROR(VLOOKUP(A1639,Internal_lists_bugs!$A$2:$G2033,7,FALSE()),"please select a BUG ID")</f>
        <v>please select a BUG ID</v>
      </c>
      <c r="C1639" s="51" t="str">
        <f>IFERROR(VLOOKUP(A1639,Internal_lists_bugs!$A$2:$I2033,9,FALSE()),"please select a BUG ID")</f>
        <v>please select a BUG ID</v>
      </c>
      <c r="D1639" s="85"/>
      <c r="E1639" s="85"/>
      <c r="F1639" s="133"/>
      <c r="G1639" s="49"/>
      <c r="H1639" s="50"/>
      <c r="I1639" s="131"/>
      <c r="J1639" s="131"/>
      <c r="K1639" s="131"/>
      <c r="L1639" s="131"/>
      <c r="M1639" s="131"/>
      <c r="N1639" s="43"/>
      <c r="O1639" s="51"/>
    </row>
    <row r="1640">
      <c r="A1640" s="43"/>
      <c r="B1640" s="59" t="str">
        <f>IFERROR(VLOOKUP(A1640,Internal_lists_bugs!$A$2:$G2033,7,FALSE()),"please select a BUG ID")</f>
        <v>please select a BUG ID</v>
      </c>
      <c r="C1640" s="51" t="str">
        <f>IFERROR(VLOOKUP(A1640,Internal_lists_bugs!$A$2:$I2033,9,FALSE()),"please select a BUG ID")</f>
        <v>please select a BUG ID</v>
      </c>
      <c r="D1640" s="85"/>
      <c r="E1640" s="85"/>
      <c r="F1640" s="133"/>
      <c r="G1640" s="49"/>
      <c r="H1640" s="50"/>
      <c r="I1640" s="131"/>
      <c r="J1640" s="131"/>
      <c r="K1640" s="131"/>
      <c r="L1640" s="131"/>
      <c r="M1640" s="131"/>
      <c r="N1640" s="43"/>
      <c r="O1640" s="51"/>
    </row>
    <row r="1641">
      <c r="A1641" s="43"/>
      <c r="B1641" s="59" t="str">
        <f>IFERROR(VLOOKUP(A1641,Internal_lists_bugs!$A$2:$G2033,7,FALSE()),"please select a BUG ID")</f>
        <v>please select a BUG ID</v>
      </c>
      <c r="C1641" s="51" t="str">
        <f>IFERROR(VLOOKUP(A1641,Internal_lists_bugs!$A$2:$I2033,9,FALSE()),"please select a BUG ID")</f>
        <v>please select a BUG ID</v>
      </c>
      <c r="D1641" s="85"/>
      <c r="E1641" s="85"/>
      <c r="F1641" s="133"/>
      <c r="G1641" s="49"/>
      <c r="H1641" s="50"/>
      <c r="I1641" s="131"/>
      <c r="J1641" s="131"/>
      <c r="K1641" s="131"/>
      <c r="L1641" s="131"/>
      <c r="M1641" s="131"/>
      <c r="N1641" s="43"/>
      <c r="O1641" s="51"/>
    </row>
    <row r="1642">
      <c r="A1642" s="43"/>
      <c r="B1642" s="59" t="str">
        <f>IFERROR(VLOOKUP(A1642,Internal_lists_bugs!$A$2:$G2033,7,FALSE()),"please select a BUG ID")</f>
        <v>please select a BUG ID</v>
      </c>
      <c r="C1642" s="51" t="str">
        <f>IFERROR(VLOOKUP(A1642,Internal_lists_bugs!$A$2:$I2033,9,FALSE()),"please select a BUG ID")</f>
        <v>please select a BUG ID</v>
      </c>
      <c r="D1642" s="85"/>
      <c r="E1642" s="85"/>
      <c r="F1642" s="133"/>
      <c r="G1642" s="49"/>
      <c r="H1642" s="50"/>
      <c r="I1642" s="131"/>
      <c r="J1642" s="131"/>
      <c r="K1642" s="131"/>
      <c r="L1642" s="131"/>
      <c r="M1642" s="131"/>
      <c r="N1642" s="43"/>
      <c r="O1642" s="51"/>
    </row>
    <row r="1643">
      <c r="A1643" s="43"/>
      <c r="B1643" s="59" t="str">
        <f>IFERROR(VLOOKUP(A1643,Internal_lists_bugs!$A$2:$G2033,7,FALSE()),"please select a BUG ID")</f>
        <v>please select a BUG ID</v>
      </c>
      <c r="C1643" s="51" t="str">
        <f>IFERROR(VLOOKUP(A1643,Internal_lists_bugs!$A$2:$I2033,9,FALSE()),"please select a BUG ID")</f>
        <v>please select a BUG ID</v>
      </c>
      <c r="D1643" s="85"/>
      <c r="E1643" s="85"/>
      <c r="F1643" s="133"/>
      <c r="G1643" s="49"/>
      <c r="H1643" s="50"/>
      <c r="I1643" s="131"/>
      <c r="J1643" s="131"/>
      <c r="K1643" s="131"/>
      <c r="L1643" s="131"/>
      <c r="M1643" s="131"/>
      <c r="N1643" s="43"/>
      <c r="O1643" s="51"/>
    </row>
    <row r="1644">
      <c r="A1644" s="43"/>
      <c r="B1644" s="59" t="str">
        <f>IFERROR(VLOOKUP(A1644,Internal_lists_bugs!$A$2:$G2033,7,FALSE()),"please select a BUG ID")</f>
        <v>please select a BUG ID</v>
      </c>
      <c r="C1644" s="51" t="str">
        <f>IFERROR(VLOOKUP(A1644,Internal_lists_bugs!$A$2:$I2033,9,FALSE()),"please select a BUG ID")</f>
        <v>please select a BUG ID</v>
      </c>
      <c r="D1644" s="85"/>
      <c r="E1644" s="85"/>
      <c r="F1644" s="133"/>
      <c r="G1644" s="49"/>
      <c r="H1644" s="50"/>
      <c r="I1644" s="131"/>
      <c r="J1644" s="131"/>
      <c r="K1644" s="131"/>
      <c r="L1644" s="131"/>
      <c r="M1644" s="131"/>
      <c r="N1644" s="43"/>
      <c r="O1644" s="51"/>
    </row>
    <row r="1645">
      <c r="A1645" s="43"/>
      <c r="B1645" s="59" t="str">
        <f>IFERROR(VLOOKUP(A1645,Internal_lists_bugs!$A$2:$G2033,7,FALSE()),"please select a BUG ID")</f>
        <v>please select a BUG ID</v>
      </c>
      <c r="C1645" s="51" t="str">
        <f>IFERROR(VLOOKUP(A1645,Internal_lists_bugs!$A$2:$I2033,9,FALSE()),"please select a BUG ID")</f>
        <v>please select a BUG ID</v>
      </c>
      <c r="D1645" s="85"/>
      <c r="E1645" s="85"/>
      <c r="F1645" s="133"/>
      <c r="G1645" s="49"/>
      <c r="H1645" s="50"/>
      <c r="I1645" s="131"/>
      <c r="J1645" s="131"/>
      <c r="K1645" s="131"/>
      <c r="L1645" s="131"/>
      <c r="M1645" s="131"/>
      <c r="N1645" s="43"/>
      <c r="O1645" s="51"/>
    </row>
    <row r="1646">
      <c r="A1646" s="43"/>
      <c r="B1646" s="59" t="str">
        <f>IFERROR(VLOOKUP(A1646,Internal_lists_bugs!$A$2:$G2033,7,FALSE()),"please select a BUG ID")</f>
        <v>please select a BUG ID</v>
      </c>
      <c r="C1646" s="51" t="str">
        <f>IFERROR(VLOOKUP(A1646,Internal_lists_bugs!$A$2:$I2033,9,FALSE()),"please select a BUG ID")</f>
        <v>please select a BUG ID</v>
      </c>
      <c r="D1646" s="85"/>
      <c r="E1646" s="85"/>
      <c r="F1646" s="133"/>
      <c r="G1646" s="49"/>
      <c r="H1646" s="50"/>
      <c r="I1646" s="131"/>
      <c r="J1646" s="131"/>
      <c r="K1646" s="131"/>
      <c r="L1646" s="131"/>
      <c r="M1646" s="131"/>
      <c r="N1646" s="43"/>
      <c r="O1646" s="51"/>
    </row>
    <row r="1647">
      <c r="A1647" s="43"/>
      <c r="B1647" s="59" t="str">
        <f>IFERROR(VLOOKUP(A1647,Internal_lists_bugs!$A$2:$G2033,7,FALSE()),"please select a BUG ID")</f>
        <v>please select a BUG ID</v>
      </c>
      <c r="C1647" s="51" t="str">
        <f>IFERROR(VLOOKUP(A1647,Internal_lists_bugs!$A$2:$I2033,9,FALSE()),"please select a BUG ID")</f>
        <v>please select a BUG ID</v>
      </c>
      <c r="D1647" s="85"/>
      <c r="E1647" s="85"/>
      <c r="F1647" s="133"/>
      <c r="G1647" s="49"/>
      <c r="H1647" s="50"/>
      <c r="I1647" s="131"/>
      <c r="J1647" s="131"/>
      <c r="K1647" s="131"/>
      <c r="L1647" s="131"/>
      <c r="M1647" s="131"/>
      <c r="N1647" s="43"/>
      <c r="O1647" s="51"/>
    </row>
    <row r="1648">
      <c r="A1648" s="43"/>
      <c r="B1648" s="59" t="str">
        <f>IFERROR(VLOOKUP(A1648,Internal_lists_bugs!$A$2:$G2033,7,FALSE()),"please select a BUG ID")</f>
        <v>please select a BUG ID</v>
      </c>
      <c r="C1648" s="51" t="str">
        <f>IFERROR(VLOOKUP(A1648,Internal_lists_bugs!$A$2:$I2033,9,FALSE()),"please select a BUG ID")</f>
        <v>please select a BUG ID</v>
      </c>
      <c r="D1648" s="85"/>
      <c r="E1648" s="85"/>
      <c r="F1648" s="133"/>
      <c r="G1648" s="49"/>
      <c r="H1648" s="50"/>
      <c r="I1648" s="131"/>
      <c r="J1648" s="131"/>
      <c r="K1648" s="131"/>
      <c r="L1648" s="131"/>
      <c r="M1648" s="131"/>
      <c r="N1648" s="43"/>
      <c r="O1648" s="51"/>
    </row>
    <row r="1649">
      <c r="A1649" s="43"/>
      <c r="B1649" s="59" t="str">
        <f>IFERROR(VLOOKUP(A1649,Internal_lists_bugs!$A$2:$G2033,7,FALSE()),"please select a BUG ID")</f>
        <v>please select a BUG ID</v>
      </c>
      <c r="C1649" s="51" t="str">
        <f>IFERROR(VLOOKUP(A1649,Internal_lists_bugs!$A$2:$I2033,9,FALSE()),"please select a BUG ID")</f>
        <v>please select a BUG ID</v>
      </c>
      <c r="D1649" s="85"/>
      <c r="E1649" s="85"/>
      <c r="F1649" s="133"/>
      <c r="G1649" s="49"/>
      <c r="H1649" s="50"/>
      <c r="I1649" s="131"/>
      <c r="J1649" s="131"/>
      <c r="K1649" s="131"/>
      <c r="L1649" s="131"/>
      <c r="M1649" s="131"/>
      <c r="N1649" s="43"/>
      <c r="O1649" s="51"/>
    </row>
    <row r="1650">
      <c r="A1650" s="43"/>
      <c r="B1650" s="59" t="str">
        <f>IFERROR(VLOOKUP(A1650,Internal_lists_bugs!$A$2:$G2033,7,FALSE()),"please select a BUG ID")</f>
        <v>please select a BUG ID</v>
      </c>
      <c r="C1650" s="51" t="str">
        <f>IFERROR(VLOOKUP(A1650,Internal_lists_bugs!$A$2:$I2033,9,FALSE()),"please select a BUG ID")</f>
        <v>please select a BUG ID</v>
      </c>
      <c r="D1650" s="85"/>
      <c r="E1650" s="85"/>
      <c r="F1650" s="133"/>
      <c r="G1650" s="49"/>
      <c r="H1650" s="50"/>
      <c r="I1650" s="131"/>
      <c r="J1650" s="131"/>
      <c r="K1650" s="131"/>
      <c r="L1650" s="131"/>
      <c r="M1650" s="131"/>
      <c r="N1650" s="43"/>
      <c r="O1650" s="51"/>
    </row>
    <row r="1651">
      <c r="A1651" s="43"/>
      <c r="B1651" s="59" t="str">
        <f>IFERROR(VLOOKUP(A1651,Internal_lists_bugs!$A$2:$G2033,7,FALSE()),"please select a BUG ID")</f>
        <v>please select a BUG ID</v>
      </c>
      <c r="C1651" s="51" t="str">
        <f>IFERROR(VLOOKUP(A1651,Internal_lists_bugs!$A$2:$I2033,9,FALSE()),"please select a BUG ID")</f>
        <v>please select a BUG ID</v>
      </c>
      <c r="D1651" s="85"/>
      <c r="E1651" s="85"/>
      <c r="F1651" s="133"/>
      <c r="G1651" s="49"/>
      <c r="H1651" s="50"/>
      <c r="I1651" s="131"/>
      <c r="J1651" s="131"/>
      <c r="K1651" s="131"/>
      <c r="L1651" s="131"/>
      <c r="M1651" s="131"/>
      <c r="N1651" s="43"/>
      <c r="O1651" s="51"/>
    </row>
    <row r="1652">
      <c r="A1652" s="43"/>
      <c r="B1652" s="59" t="str">
        <f>IFERROR(VLOOKUP(A1652,Internal_lists_bugs!$A$2:$G2033,7,FALSE()),"please select a BUG ID")</f>
        <v>please select a BUG ID</v>
      </c>
      <c r="C1652" s="51" t="str">
        <f>IFERROR(VLOOKUP(A1652,Internal_lists_bugs!$A$2:$I2033,9,FALSE()),"please select a BUG ID")</f>
        <v>please select a BUG ID</v>
      </c>
      <c r="D1652" s="85"/>
      <c r="E1652" s="85"/>
      <c r="F1652" s="133"/>
      <c r="G1652" s="49"/>
      <c r="H1652" s="50"/>
      <c r="I1652" s="131"/>
      <c r="J1652" s="131"/>
      <c r="K1652" s="131"/>
      <c r="L1652" s="131"/>
      <c r="M1652" s="131"/>
      <c r="N1652" s="43"/>
      <c r="O1652" s="51"/>
    </row>
    <row r="1653">
      <c r="A1653" s="43"/>
      <c r="B1653" s="59" t="str">
        <f>IFERROR(VLOOKUP(A1653,Internal_lists_bugs!$A$2:$G2033,7,FALSE()),"please select a BUG ID")</f>
        <v>please select a BUG ID</v>
      </c>
      <c r="C1653" s="51" t="str">
        <f>IFERROR(VLOOKUP(A1653,Internal_lists_bugs!$A$2:$I2033,9,FALSE()),"please select a BUG ID")</f>
        <v>please select a BUG ID</v>
      </c>
      <c r="D1653" s="85"/>
      <c r="E1653" s="85"/>
      <c r="F1653" s="133"/>
      <c r="G1653" s="49"/>
      <c r="H1653" s="50"/>
      <c r="I1653" s="131"/>
      <c r="J1653" s="131"/>
      <c r="K1653" s="131"/>
      <c r="L1653" s="131"/>
      <c r="M1653" s="131"/>
      <c r="N1653" s="43"/>
      <c r="O1653" s="51"/>
    </row>
    <row r="1654">
      <c r="A1654" s="43"/>
      <c r="B1654" s="59" t="str">
        <f>IFERROR(VLOOKUP(A1654,Internal_lists_bugs!$A$2:$G2033,7,FALSE()),"please select a BUG ID")</f>
        <v>please select a BUG ID</v>
      </c>
      <c r="C1654" s="51" t="str">
        <f>IFERROR(VLOOKUP(A1654,Internal_lists_bugs!$A$2:$I2033,9,FALSE()),"please select a BUG ID")</f>
        <v>please select a BUG ID</v>
      </c>
      <c r="D1654" s="85"/>
      <c r="E1654" s="85"/>
      <c r="F1654" s="133"/>
      <c r="G1654" s="49"/>
      <c r="H1654" s="50"/>
      <c r="I1654" s="131"/>
      <c r="J1654" s="131"/>
      <c r="K1654" s="131"/>
      <c r="L1654" s="131"/>
      <c r="M1654" s="131"/>
      <c r="N1654" s="43"/>
      <c r="O1654" s="51"/>
    </row>
    <row r="1655">
      <c r="A1655" s="43"/>
      <c r="B1655" s="59" t="str">
        <f>IFERROR(VLOOKUP(A1655,Internal_lists_bugs!$A$2:$G2033,7,FALSE()),"please select a BUG ID")</f>
        <v>please select a BUG ID</v>
      </c>
      <c r="C1655" s="51" t="str">
        <f>IFERROR(VLOOKUP(A1655,Internal_lists_bugs!$A$2:$I2033,9,FALSE()),"please select a BUG ID")</f>
        <v>please select a BUG ID</v>
      </c>
      <c r="D1655" s="85"/>
      <c r="E1655" s="85"/>
      <c r="F1655" s="133"/>
      <c r="G1655" s="49"/>
      <c r="H1655" s="50"/>
      <c r="I1655" s="131"/>
      <c r="J1655" s="131"/>
      <c r="K1655" s="131"/>
      <c r="L1655" s="131"/>
      <c r="M1655" s="131"/>
      <c r="N1655" s="43"/>
      <c r="O1655" s="51"/>
    </row>
    <row r="1656">
      <c r="A1656" s="43"/>
      <c r="B1656" s="59" t="str">
        <f>IFERROR(VLOOKUP(A1656,Internal_lists_bugs!$A$2:$G2033,7,FALSE()),"please select a BUG ID")</f>
        <v>please select a BUG ID</v>
      </c>
      <c r="C1656" s="51" t="str">
        <f>IFERROR(VLOOKUP(A1656,Internal_lists_bugs!$A$2:$I2033,9,FALSE()),"please select a BUG ID")</f>
        <v>please select a BUG ID</v>
      </c>
      <c r="D1656" s="85"/>
      <c r="E1656" s="85"/>
      <c r="F1656" s="133"/>
      <c r="G1656" s="49"/>
      <c r="H1656" s="50"/>
      <c r="I1656" s="131"/>
      <c r="J1656" s="131"/>
      <c r="K1656" s="131"/>
      <c r="L1656" s="131"/>
      <c r="M1656" s="131"/>
      <c r="N1656" s="43"/>
      <c r="O1656" s="51"/>
    </row>
    <row r="1657">
      <c r="A1657" s="43"/>
      <c r="B1657" s="59" t="str">
        <f>IFERROR(VLOOKUP(A1657,Internal_lists_bugs!$A$2:$G2033,7,FALSE()),"please select a BUG ID")</f>
        <v>please select a BUG ID</v>
      </c>
      <c r="C1657" s="51" t="str">
        <f>IFERROR(VLOOKUP(A1657,Internal_lists_bugs!$A$2:$I2033,9,FALSE()),"please select a BUG ID")</f>
        <v>please select a BUG ID</v>
      </c>
      <c r="D1657" s="85"/>
      <c r="E1657" s="85"/>
      <c r="F1657" s="133"/>
      <c r="G1657" s="49"/>
      <c r="H1657" s="50"/>
      <c r="I1657" s="131"/>
      <c r="J1657" s="131"/>
      <c r="K1657" s="131"/>
      <c r="L1657" s="131"/>
      <c r="M1657" s="131"/>
      <c r="N1657" s="43"/>
      <c r="O1657" s="51"/>
    </row>
    <row r="1658">
      <c r="A1658" s="43"/>
      <c r="B1658" s="59" t="str">
        <f>IFERROR(VLOOKUP(A1658,Internal_lists_bugs!$A$2:$G2033,7,FALSE()),"please select a BUG ID")</f>
        <v>please select a BUG ID</v>
      </c>
      <c r="C1658" s="51" t="str">
        <f>IFERROR(VLOOKUP(A1658,Internal_lists_bugs!$A$2:$I2033,9,FALSE()),"please select a BUG ID")</f>
        <v>please select a BUG ID</v>
      </c>
      <c r="D1658" s="85"/>
      <c r="E1658" s="85"/>
      <c r="F1658" s="133"/>
      <c r="G1658" s="49"/>
      <c r="H1658" s="50"/>
      <c r="I1658" s="131"/>
      <c r="J1658" s="131"/>
      <c r="K1658" s="131"/>
      <c r="L1658" s="131"/>
      <c r="M1658" s="131"/>
      <c r="N1658" s="43"/>
      <c r="O1658" s="51"/>
    </row>
    <row r="1659">
      <c r="A1659" s="43"/>
      <c r="B1659" s="59" t="str">
        <f>IFERROR(VLOOKUP(A1659,Internal_lists_bugs!$A$2:$G2033,7,FALSE()),"please select a BUG ID")</f>
        <v>please select a BUG ID</v>
      </c>
      <c r="C1659" s="51" t="str">
        <f>IFERROR(VLOOKUP(A1659,Internal_lists_bugs!$A$2:$I2033,9,FALSE()),"please select a BUG ID")</f>
        <v>please select a BUG ID</v>
      </c>
      <c r="D1659" s="85"/>
      <c r="E1659" s="85"/>
      <c r="F1659" s="133"/>
      <c r="G1659" s="49"/>
      <c r="H1659" s="50"/>
      <c r="I1659" s="131"/>
      <c r="J1659" s="131"/>
      <c r="K1659" s="131"/>
      <c r="L1659" s="131"/>
      <c r="M1659" s="131"/>
      <c r="N1659" s="43"/>
      <c r="O1659" s="51"/>
    </row>
    <row r="1660">
      <c r="A1660" s="43"/>
      <c r="B1660" s="59" t="str">
        <f>IFERROR(VLOOKUP(A1660,Internal_lists_bugs!$A$2:$G2033,7,FALSE()),"please select a BUG ID")</f>
        <v>please select a BUG ID</v>
      </c>
      <c r="C1660" s="51" t="str">
        <f>IFERROR(VLOOKUP(A1660,Internal_lists_bugs!$A$2:$I2033,9,FALSE()),"please select a BUG ID")</f>
        <v>please select a BUG ID</v>
      </c>
      <c r="D1660" s="85"/>
      <c r="E1660" s="85"/>
      <c r="F1660" s="133"/>
      <c r="G1660" s="49"/>
      <c r="H1660" s="50"/>
      <c r="I1660" s="131"/>
      <c r="J1660" s="131"/>
      <c r="K1660" s="131"/>
      <c r="L1660" s="131"/>
      <c r="M1660" s="131"/>
      <c r="N1660" s="43"/>
      <c r="O1660" s="51"/>
    </row>
    <row r="1661">
      <c r="A1661" s="43"/>
      <c r="B1661" s="59" t="str">
        <f>IFERROR(VLOOKUP(A1661,Internal_lists_bugs!$A$2:$G2033,7,FALSE()),"please select a BUG ID")</f>
        <v>please select a BUG ID</v>
      </c>
      <c r="C1661" s="51" t="str">
        <f>IFERROR(VLOOKUP(A1661,Internal_lists_bugs!$A$2:$I2033,9,FALSE()),"please select a BUG ID")</f>
        <v>please select a BUG ID</v>
      </c>
      <c r="D1661" s="85"/>
      <c r="E1661" s="85"/>
      <c r="F1661" s="133"/>
      <c r="G1661" s="49"/>
      <c r="H1661" s="50"/>
      <c r="I1661" s="131"/>
      <c r="J1661" s="131"/>
      <c r="K1661" s="131"/>
      <c r="L1661" s="131"/>
      <c r="M1661" s="131"/>
      <c r="N1661" s="43"/>
      <c r="O1661" s="51"/>
    </row>
    <row r="1662">
      <c r="A1662" s="43"/>
      <c r="B1662" s="59" t="str">
        <f>IFERROR(VLOOKUP(A1662,Internal_lists_bugs!$A$2:$G2033,7,FALSE()),"please select a BUG ID")</f>
        <v>please select a BUG ID</v>
      </c>
      <c r="C1662" s="51" t="str">
        <f>IFERROR(VLOOKUP(A1662,Internal_lists_bugs!$A$2:$I2033,9,FALSE()),"please select a BUG ID")</f>
        <v>please select a BUG ID</v>
      </c>
      <c r="D1662" s="85"/>
      <c r="E1662" s="85"/>
      <c r="F1662" s="133"/>
      <c r="G1662" s="49"/>
      <c r="H1662" s="50"/>
      <c r="I1662" s="131"/>
      <c r="J1662" s="131"/>
      <c r="K1662" s="131"/>
      <c r="L1662" s="131"/>
      <c r="M1662" s="131"/>
      <c r="N1662" s="43"/>
      <c r="O1662" s="51"/>
    </row>
    <row r="1663">
      <c r="A1663" s="43"/>
      <c r="B1663" s="59" t="str">
        <f>IFERROR(VLOOKUP(A1663,Internal_lists_bugs!$A$2:$G2033,7,FALSE()),"please select a BUG ID")</f>
        <v>please select a BUG ID</v>
      </c>
      <c r="C1663" s="51" t="str">
        <f>IFERROR(VLOOKUP(A1663,Internal_lists_bugs!$A$2:$I2033,9,FALSE()),"please select a BUG ID")</f>
        <v>please select a BUG ID</v>
      </c>
      <c r="D1663" s="85"/>
      <c r="E1663" s="85"/>
      <c r="F1663" s="133"/>
      <c r="G1663" s="49"/>
      <c r="H1663" s="50"/>
      <c r="I1663" s="131"/>
      <c r="J1663" s="131"/>
      <c r="K1663" s="131"/>
      <c r="L1663" s="131"/>
      <c r="M1663" s="131"/>
      <c r="N1663" s="43"/>
      <c r="O1663" s="51"/>
    </row>
    <row r="1664">
      <c r="A1664" s="43"/>
      <c r="B1664" s="59" t="str">
        <f>IFERROR(VLOOKUP(A1664,Internal_lists_bugs!$A$2:$G2033,7,FALSE()),"please select a BUG ID")</f>
        <v>please select a BUG ID</v>
      </c>
      <c r="C1664" s="51" t="str">
        <f>IFERROR(VLOOKUP(A1664,Internal_lists_bugs!$A$2:$I2033,9,FALSE()),"please select a BUG ID")</f>
        <v>please select a BUG ID</v>
      </c>
      <c r="D1664" s="85"/>
      <c r="E1664" s="85"/>
      <c r="F1664" s="133"/>
      <c r="G1664" s="49"/>
      <c r="H1664" s="50"/>
      <c r="I1664" s="131"/>
      <c r="J1664" s="131"/>
      <c r="K1664" s="131"/>
      <c r="L1664" s="131"/>
      <c r="M1664" s="131"/>
      <c r="N1664" s="43"/>
      <c r="O1664" s="51"/>
    </row>
    <row r="1665">
      <c r="A1665" s="43"/>
      <c r="B1665" s="59" t="str">
        <f>IFERROR(VLOOKUP(A1665,Internal_lists_bugs!$A$2:$G2033,7,FALSE()),"please select a BUG ID")</f>
        <v>please select a BUG ID</v>
      </c>
      <c r="C1665" s="51" t="str">
        <f>IFERROR(VLOOKUP(A1665,Internal_lists_bugs!$A$2:$I2033,9,FALSE()),"please select a BUG ID")</f>
        <v>please select a BUG ID</v>
      </c>
      <c r="D1665" s="85"/>
      <c r="E1665" s="85"/>
      <c r="F1665" s="133"/>
      <c r="G1665" s="49"/>
      <c r="H1665" s="50"/>
      <c r="I1665" s="131"/>
      <c r="J1665" s="131"/>
      <c r="K1665" s="131"/>
      <c r="L1665" s="131"/>
      <c r="M1665" s="131"/>
      <c r="N1665" s="43"/>
      <c r="O1665" s="51"/>
    </row>
    <row r="1666">
      <c r="A1666" s="43"/>
      <c r="B1666" s="59" t="str">
        <f>IFERROR(VLOOKUP(A1666,Internal_lists_bugs!$A$2:$G2033,7,FALSE()),"please select a BUG ID")</f>
        <v>please select a BUG ID</v>
      </c>
      <c r="C1666" s="51" t="str">
        <f>IFERROR(VLOOKUP(A1666,Internal_lists_bugs!$A$2:$I2033,9,FALSE()),"please select a BUG ID")</f>
        <v>please select a BUG ID</v>
      </c>
      <c r="D1666" s="85"/>
      <c r="E1666" s="85"/>
      <c r="F1666" s="133"/>
      <c r="G1666" s="49"/>
      <c r="H1666" s="50"/>
      <c r="I1666" s="131"/>
      <c r="J1666" s="131"/>
      <c r="K1666" s="131"/>
      <c r="L1666" s="131"/>
      <c r="M1666" s="131"/>
      <c r="N1666" s="43"/>
      <c r="O1666" s="51"/>
    </row>
    <row r="1667">
      <c r="A1667" s="43"/>
      <c r="B1667" s="59" t="str">
        <f>IFERROR(VLOOKUP(A1667,Internal_lists_bugs!$A$2:$G2033,7,FALSE()),"please select a BUG ID")</f>
        <v>please select a BUG ID</v>
      </c>
      <c r="C1667" s="51" t="str">
        <f>IFERROR(VLOOKUP(A1667,Internal_lists_bugs!$A$2:$I2033,9,FALSE()),"please select a BUG ID")</f>
        <v>please select a BUG ID</v>
      </c>
      <c r="D1667" s="85"/>
      <c r="E1667" s="85"/>
      <c r="F1667" s="133"/>
      <c r="G1667" s="49"/>
      <c r="H1667" s="50"/>
      <c r="I1667" s="131"/>
      <c r="J1667" s="131"/>
      <c r="K1667" s="131"/>
      <c r="L1667" s="131"/>
      <c r="M1667" s="131"/>
      <c r="N1667" s="43"/>
      <c r="O1667" s="51"/>
    </row>
    <row r="1668">
      <c r="A1668" s="43"/>
      <c r="B1668" s="59" t="str">
        <f>IFERROR(VLOOKUP(A1668,Internal_lists_bugs!$A$2:$G2033,7,FALSE()),"please select a BUG ID")</f>
        <v>please select a BUG ID</v>
      </c>
      <c r="C1668" s="51" t="str">
        <f>IFERROR(VLOOKUP(A1668,Internal_lists_bugs!$A$2:$I2033,9,FALSE()),"please select a BUG ID")</f>
        <v>please select a BUG ID</v>
      </c>
      <c r="D1668" s="85"/>
      <c r="E1668" s="85"/>
      <c r="F1668" s="133"/>
      <c r="G1668" s="49"/>
      <c r="H1668" s="50"/>
      <c r="I1668" s="131"/>
      <c r="J1668" s="131"/>
      <c r="K1668" s="131"/>
      <c r="L1668" s="131"/>
      <c r="M1668" s="131"/>
      <c r="N1668" s="43"/>
      <c r="O1668" s="51"/>
    </row>
    <row r="1669">
      <c r="A1669" s="43"/>
      <c r="B1669" s="59" t="str">
        <f>IFERROR(VLOOKUP(A1669,Internal_lists_bugs!$A$2:$G2033,7,FALSE()),"please select a BUG ID")</f>
        <v>please select a BUG ID</v>
      </c>
      <c r="C1669" s="51" t="str">
        <f>IFERROR(VLOOKUP(A1669,Internal_lists_bugs!$A$2:$I2033,9,FALSE()),"please select a BUG ID")</f>
        <v>please select a BUG ID</v>
      </c>
      <c r="D1669" s="85"/>
      <c r="E1669" s="85"/>
      <c r="F1669" s="133"/>
      <c r="G1669" s="49"/>
      <c r="H1669" s="50"/>
      <c r="I1669" s="131"/>
      <c r="J1669" s="131"/>
      <c r="K1669" s="131"/>
      <c r="L1669" s="131"/>
      <c r="M1669" s="131"/>
      <c r="N1669" s="43"/>
      <c r="O1669" s="51"/>
    </row>
    <row r="1670">
      <c r="A1670" s="43"/>
      <c r="B1670" s="59" t="str">
        <f>IFERROR(VLOOKUP(A1670,Internal_lists_bugs!$A$2:$G2033,7,FALSE()),"please select a BUG ID")</f>
        <v>please select a BUG ID</v>
      </c>
      <c r="C1670" s="51" t="str">
        <f>IFERROR(VLOOKUP(A1670,Internal_lists_bugs!$A$2:$I2033,9,FALSE()),"please select a BUG ID")</f>
        <v>please select a BUG ID</v>
      </c>
      <c r="D1670" s="85"/>
      <c r="E1670" s="85"/>
      <c r="F1670" s="133"/>
      <c r="G1670" s="49"/>
      <c r="H1670" s="50"/>
      <c r="I1670" s="131"/>
      <c r="J1670" s="131"/>
      <c r="K1670" s="131"/>
      <c r="L1670" s="131"/>
      <c r="M1670" s="131"/>
      <c r="N1670" s="43"/>
      <c r="O1670" s="51"/>
    </row>
    <row r="1671">
      <c r="A1671" s="43"/>
      <c r="B1671" s="59" t="str">
        <f>IFERROR(VLOOKUP(A1671,Internal_lists_bugs!$A$2:$G2033,7,FALSE()),"please select a BUG ID")</f>
        <v>please select a BUG ID</v>
      </c>
      <c r="C1671" s="51" t="str">
        <f>IFERROR(VLOOKUP(A1671,Internal_lists_bugs!$A$2:$I2033,9,FALSE()),"please select a BUG ID")</f>
        <v>please select a BUG ID</v>
      </c>
      <c r="D1671" s="85"/>
      <c r="E1671" s="85"/>
      <c r="F1671" s="133"/>
      <c r="G1671" s="49"/>
      <c r="H1671" s="50"/>
      <c r="I1671" s="131"/>
      <c r="J1671" s="131"/>
      <c r="K1671" s="131"/>
      <c r="L1671" s="131"/>
      <c r="M1671" s="131"/>
      <c r="N1671" s="43"/>
      <c r="O1671" s="51"/>
    </row>
    <row r="1672">
      <c r="A1672" s="43"/>
      <c r="B1672" s="59" t="str">
        <f>IFERROR(VLOOKUP(A1672,Internal_lists_bugs!$A$2:$G2033,7,FALSE()),"please select a BUG ID")</f>
        <v>please select a BUG ID</v>
      </c>
      <c r="C1672" s="51" t="str">
        <f>IFERROR(VLOOKUP(A1672,Internal_lists_bugs!$A$2:$I2033,9,FALSE()),"please select a BUG ID")</f>
        <v>please select a BUG ID</v>
      </c>
      <c r="D1672" s="85"/>
      <c r="E1672" s="85"/>
      <c r="F1672" s="133"/>
      <c r="G1672" s="49"/>
      <c r="H1672" s="50"/>
      <c r="I1672" s="131"/>
      <c r="J1672" s="131"/>
      <c r="K1672" s="131"/>
      <c r="L1672" s="131"/>
      <c r="M1672" s="131"/>
      <c r="N1672" s="43"/>
      <c r="O1672" s="51"/>
    </row>
    <row r="1673">
      <c r="A1673" s="43"/>
      <c r="B1673" s="59" t="str">
        <f>IFERROR(VLOOKUP(A1673,Internal_lists_bugs!$A$2:$G2033,7,FALSE()),"please select a BUG ID")</f>
        <v>please select a BUG ID</v>
      </c>
      <c r="C1673" s="51" t="str">
        <f>IFERROR(VLOOKUP(A1673,Internal_lists_bugs!$A$2:$I2033,9,FALSE()),"please select a BUG ID")</f>
        <v>please select a BUG ID</v>
      </c>
      <c r="D1673" s="85"/>
      <c r="E1673" s="85"/>
      <c r="F1673" s="133"/>
      <c r="G1673" s="49"/>
      <c r="H1673" s="50"/>
      <c r="I1673" s="131"/>
      <c r="J1673" s="131"/>
      <c r="K1673" s="131"/>
      <c r="L1673" s="131"/>
      <c r="M1673" s="131"/>
      <c r="N1673" s="43"/>
      <c r="O1673" s="51"/>
    </row>
    <row r="1674">
      <c r="A1674" s="43"/>
      <c r="B1674" s="59" t="str">
        <f>IFERROR(VLOOKUP(A1674,Internal_lists_bugs!$A$2:$G2033,7,FALSE()),"please select a BUG ID")</f>
        <v>please select a BUG ID</v>
      </c>
      <c r="C1674" s="51" t="str">
        <f>IFERROR(VLOOKUP(A1674,Internal_lists_bugs!$A$2:$I2033,9,FALSE()),"please select a BUG ID")</f>
        <v>please select a BUG ID</v>
      </c>
      <c r="D1674" s="85"/>
      <c r="E1674" s="85"/>
      <c r="F1674" s="133"/>
      <c r="G1674" s="49"/>
      <c r="H1674" s="50"/>
      <c r="I1674" s="131"/>
      <c r="J1674" s="131"/>
      <c r="K1674" s="131"/>
      <c r="L1674" s="131"/>
      <c r="M1674" s="131"/>
      <c r="N1674" s="43"/>
      <c r="O1674" s="51"/>
    </row>
    <row r="1675">
      <c r="A1675" s="43"/>
      <c r="B1675" s="59" t="str">
        <f>IFERROR(VLOOKUP(A1675,Internal_lists_bugs!$A$2:$G2033,7,FALSE()),"please select a BUG ID")</f>
        <v>please select a BUG ID</v>
      </c>
      <c r="C1675" s="51" t="str">
        <f>IFERROR(VLOOKUP(A1675,Internal_lists_bugs!$A$2:$I2033,9,FALSE()),"please select a BUG ID")</f>
        <v>please select a BUG ID</v>
      </c>
      <c r="D1675" s="85"/>
      <c r="E1675" s="85"/>
      <c r="F1675" s="133"/>
      <c r="G1675" s="49"/>
      <c r="H1675" s="50"/>
      <c r="I1675" s="131"/>
      <c r="J1675" s="131"/>
      <c r="K1675" s="131"/>
      <c r="L1675" s="131"/>
      <c r="M1675" s="131"/>
      <c r="N1675" s="43"/>
      <c r="O1675" s="51"/>
    </row>
    <row r="1676">
      <c r="A1676" s="43"/>
      <c r="B1676" s="59" t="str">
        <f>IFERROR(VLOOKUP(A1676,Internal_lists_bugs!$A$2:$G2033,7,FALSE()),"please select a BUG ID")</f>
        <v>please select a BUG ID</v>
      </c>
      <c r="C1676" s="51" t="str">
        <f>IFERROR(VLOOKUP(A1676,Internal_lists_bugs!$A$2:$I2033,9,FALSE()),"please select a BUG ID")</f>
        <v>please select a BUG ID</v>
      </c>
      <c r="D1676" s="85"/>
      <c r="E1676" s="85"/>
      <c r="F1676" s="133"/>
      <c r="G1676" s="49"/>
      <c r="H1676" s="50"/>
      <c r="I1676" s="131"/>
      <c r="J1676" s="131"/>
      <c r="K1676" s="131"/>
      <c r="L1676" s="131"/>
      <c r="M1676" s="131"/>
      <c r="N1676" s="43"/>
      <c r="O1676" s="51"/>
    </row>
    <row r="1677">
      <c r="A1677" s="43"/>
      <c r="B1677" s="59" t="str">
        <f>IFERROR(VLOOKUP(A1677,Internal_lists_bugs!$A$2:$G2033,7,FALSE()),"please select a BUG ID")</f>
        <v>please select a BUG ID</v>
      </c>
      <c r="C1677" s="51" t="str">
        <f>IFERROR(VLOOKUP(A1677,Internal_lists_bugs!$A$2:$I2033,9,FALSE()),"please select a BUG ID")</f>
        <v>please select a BUG ID</v>
      </c>
      <c r="D1677" s="85"/>
      <c r="E1677" s="85"/>
      <c r="F1677" s="133"/>
      <c r="G1677" s="49"/>
      <c r="H1677" s="50"/>
      <c r="I1677" s="131"/>
      <c r="J1677" s="131"/>
      <c r="K1677" s="131"/>
      <c r="L1677" s="131"/>
      <c r="M1677" s="131"/>
      <c r="N1677" s="43"/>
      <c r="O1677" s="51"/>
    </row>
    <row r="1678">
      <c r="A1678" s="43"/>
      <c r="B1678" s="59" t="str">
        <f>IFERROR(VLOOKUP(A1678,Internal_lists_bugs!$A$2:$G2033,7,FALSE()),"please select a BUG ID")</f>
        <v>please select a BUG ID</v>
      </c>
      <c r="C1678" s="51" t="str">
        <f>IFERROR(VLOOKUP(A1678,Internal_lists_bugs!$A$2:$I2033,9,FALSE()),"please select a BUG ID")</f>
        <v>please select a BUG ID</v>
      </c>
      <c r="D1678" s="85"/>
      <c r="E1678" s="85"/>
      <c r="F1678" s="133"/>
      <c r="G1678" s="49"/>
      <c r="H1678" s="50"/>
      <c r="I1678" s="131"/>
      <c r="J1678" s="131"/>
      <c r="K1678" s="131"/>
      <c r="L1678" s="131"/>
      <c r="M1678" s="131"/>
      <c r="N1678" s="43"/>
      <c r="O1678" s="51"/>
    </row>
    <row r="1679">
      <c r="A1679" s="43"/>
      <c r="B1679" s="59" t="str">
        <f>IFERROR(VLOOKUP(A1679,Internal_lists_bugs!$A$2:$G2033,7,FALSE()),"please select a BUG ID")</f>
        <v>please select a BUG ID</v>
      </c>
      <c r="C1679" s="51" t="str">
        <f>IFERROR(VLOOKUP(A1679,Internal_lists_bugs!$A$2:$I2033,9,FALSE()),"please select a BUG ID")</f>
        <v>please select a BUG ID</v>
      </c>
      <c r="D1679" s="85"/>
      <c r="E1679" s="85"/>
      <c r="F1679" s="133"/>
      <c r="G1679" s="49"/>
      <c r="H1679" s="50"/>
      <c r="I1679" s="131"/>
      <c r="J1679" s="131"/>
      <c r="K1679" s="131"/>
      <c r="L1679" s="131"/>
      <c r="M1679" s="131"/>
      <c r="N1679" s="43"/>
      <c r="O1679" s="51"/>
    </row>
    <row r="1680">
      <c r="A1680" s="43"/>
      <c r="B1680" s="59" t="str">
        <f>IFERROR(VLOOKUP(A1680,Internal_lists_bugs!$A$2:$G2033,7,FALSE()),"please select a BUG ID")</f>
        <v>please select a BUG ID</v>
      </c>
      <c r="C1680" s="51" t="str">
        <f>IFERROR(VLOOKUP(A1680,Internal_lists_bugs!$A$2:$I2033,9,FALSE()),"please select a BUG ID")</f>
        <v>please select a BUG ID</v>
      </c>
      <c r="D1680" s="85"/>
      <c r="E1680" s="85"/>
      <c r="F1680" s="133"/>
      <c r="G1680" s="49"/>
      <c r="H1680" s="50"/>
      <c r="I1680" s="131"/>
      <c r="J1680" s="131"/>
      <c r="K1680" s="131"/>
      <c r="L1680" s="131"/>
      <c r="M1680" s="131"/>
      <c r="N1680" s="43"/>
      <c r="O1680" s="51"/>
    </row>
    <row r="1681">
      <c r="A1681" s="43"/>
      <c r="B1681" s="59" t="str">
        <f>IFERROR(VLOOKUP(A1681,Internal_lists_bugs!$A$2:$G2033,7,FALSE()),"please select a BUG ID")</f>
        <v>please select a BUG ID</v>
      </c>
      <c r="C1681" s="51" t="str">
        <f>IFERROR(VLOOKUP(A1681,Internal_lists_bugs!$A$2:$I2033,9,FALSE()),"please select a BUG ID")</f>
        <v>please select a BUG ID</v>
      </c>
      <c r="D1681" s="85"/>
      <c r="E1681" s="85"/>
      <c r="F1681" s="133"/>
      <c r="G1681" s="49"/>
      <c r="H1681" s="50"/>
      <c r="I1681" s="131"/>
      <c r="J1681" s="131"/>
      <c r="K1681" s="131"/>
      <c r="L1681" s="131"/>
      <c r="M1681" s="131"/>
      <c r="N1681" s="43"/>
      <c r="O1681" s="51"/>
    </row>
    <row r="1682">
      <c r="A1682" s="43"/>
      <c r="B1682" s="59" t="str">
        <f>IFERROR(VLOOKUP(A1682,Internal_lists_bugs!$A$2:$G2033,7,FALSE()),"please select a BUG ID")</f>
        <v>please select a BUG ID</v>
      </c>
      <c r="C1682" s="51" t="str">
        <f>IFERROR(VLOOKUP(A1682,Internal_lists_bugs!$A$2:$I2033,9,FALSE()),"please select a BUG ID")</f>
        <v>please select a BUG ID</v>
      </c>
      <c r="D1682" s="85"/>
      <c r="E1682" s="85"/>
      <c r="F1682" s="133"/>
      <c r="G1682" s="49"/>
      <c r="H1682" s="50"/>
      <c r="I1682" s="131"/>
      <c r="J1682" s="131"/>
      <c r="K1682" s="131"/>
      <c r="L1682" s="131"/>
      <c r="M1682" s="131"/>
      <c r="N1682" s="43"/>
      <c r="O1682" s="51"/>
    </row>
    <row r="1683">
      <c r="A1683" s="43"/>
      <c r="B1683" s="59" t="str">
        <f>IFERROR(VLOOKUP(A1683,Internal_lists_bugs!$A$2:$G2033,7,FALSE()),"please select a BUG ID")</f>
        <v>please select a BUG ID</v>
      </c>
      <c r="C1683" s="51" t="str">
        <f>IFERROR(VLOOKUP(A1683,Internal_lists_bugs!$A$2:$I2033,9,FALSE()),"please select a BUG ID")</f>
        <v>please select a BUG ID</v>
      </c>
      <c r="D1683" s="85"/>
      <c r="E1683" s="85"/>
      <c r="F1683" s="133"/>
      <c r="G1683" s="49"/>
      <c r="H1683" s="50"/>
      <c r="I1683" s="131"/>
      <c r="J1683" s="131"/>
      <c r="K1683" s="131"/>
      <c r="L1683" s="131"/>
      <c r="M1683" s="131"/>
      <c r="N1683" s="43"/>
      <c r="O1683" s="51"/>
    </row>
    <row r="1684">
      <c r="A1684" s="43"/>
      <c r="B1684" s="59" t="str">
        <f>IFERROR(VLOOKUP(A1684,Internal_lists_bugs!$A$2:$G2033,7,FALSE()),"please select a BUG ID")</f>
        <v>please select a BUG ID</v>
      </c>
      <c r="C1684" s="51" t="str">
        <f>IFERROR(VLOOKUP(A1684,Internal_lists_bugs!$A$2:$I2033,9,FALSE()),"please select a BUG ID")</f>
        <v>please select a BUG ID</v>
      </c>
      <c r="D1684" s="85"/>
      <c r="E1684" s="85"/>
      <c r="F1684" s="133"/>
      <c r="G1684" s="49"/>
      <c r="H1684" s="50"/>
      <c r="I1684" s="131"/>
      <c r="J1684" s="131"/>
      <c r="K1684" s="131"/>
      <c r="L1684" s="131"/>
      <c r="M1684" s="131"/>
      <c r="N1684" s="43"/>
      <c r="O1684" s="51"/>
    </row>
    <row r="1685">
      <c r="A1685" s="43"/>
      <c r="B1685" s="59" t="str">
        <f>IFERROR(VLOOKUP(A1685,Internal_lists_bugs!$A$2:$G2033,7,FALSE()),"please select a BUG ID")</f>
        <v>please select a BUG ID</v>
      </c>
      <c r="C1685" s="51" t="str">
        <f>IFERROR(VLOOKUP(A1685,Internal_lists_bugs!$A$2:$I2033,9,FALSE()),"please select a BUG ID")</f>
        <v>please select a BUG ID</v>
      </c>
      <c r="D1685" s="85"/>
      <c r="E1685" s="85"/>
      <c r="F1685" s="133"/>
      <c r="G1685" s="49"/>
      <c r="H1685" s="50"/>
      <c r="I1685" s="131"/>
      <c r="J1685" s="131"/>
      <c r="K1685" s="131"/>
      <c r="L1685" s="131"/>
      <c r="M1685" s="131"/>
      <c r="N1685" s="43"/>
      <c r="O1685" s="51"/>
    </row>
    <row r="1686">
      <c r="A1686" s="43"/>
      <c r="B1686" s="59" t="str">
        <f>IFERROR(VLOOKUP(A1686,Internal_lists_bugs!$A$2:$G2033,7,FALSE()),"please select a BUG ID")</f>
        <v>please select a BUG ID</v>
      </c>
      <c r="C1686" s="51" t="str">
        <f>IFERROR(VLOOKUP(A1686,Internal_lists_bugs!$A$2:$I2033,9,FALSE()),"please select a BUG ID")</f>
        <v>please select a BUG ID</v>
      </c>
      <c r="D1686" s="85"/>
      <c r="E1686" s="85"/>
      <c r="F1686" s="133"/>
      <c r="G1686" s="49"/>
      <c r="H1686" s="50"/>
      <c r="I1686" s="131"/>
      <c r="J1686" s="131"/>
      <c r="K1686" s="131"/>
      <c r="L1686" s="131"/>
      <c r="M1686" s="131"/>
      <c r="N1686" s="43"/>
      <c r="O1686" s="51"/>
    </row>
    <row r="1687">
      <c r="A1687" s="43"/>
      <c r="B1687" s="59" t="str">
        <f>IFERROR(VLOOKUP(A1687,Internal_lists_bugs!$A$2:$G2033,7,FALSE()),"please select a BUG ID")</f>
        <v>please select a BUG ID</v>
      </c>
      <c r="C1687" s="51" t="str">
        <f>IFERROR(VLOOKUP(A1687,Internal_lists_bugs!$A$2:$I2033,9,FALSE()),"please select a BUG ID")</f>
        <v>please select a BUG ID</v>
      </c>
      <c r="D1687" s="85"/>
      <c r="E1687" s="85"/>
      <c r="F1687" s="133"/>
      <c r="G1687" s="49"/>
      <c r="H1687" s="50"/>
      <c r="I1687" s="131"/>
      <c r="J1687" s="131"/>
      <c r="K1687" s="131"/>
      <c r="L1687" s="131"/>
      <c r="M1687" s="131"/>
      <c r="N1687" s="43"/>
      <c r="O1687" s="51"/>
    </row>
    <row r="1688">
      <c r="A1688" s="43"/>
      <c r="B1688" s="59" t="str">
        <f>IFERROR(VLOOKUP(A1688,Internal_lists_bugs!$A$2:$G2033,7,FALSE()),"please select a BUG ID")</f>
        <v>please select a BUG ID</v>
      </c>
      <c r="C1688" s="51" t="str">
        <f>IFERROR(VLOOKUP(A1688,Internal_lists_bugs!$A$2:$I2033,9,FALSE()),"please select a BUG ID")</f>
        <v>please select a BUG ID</v>
      </c>
      <c r="D1688" s="85"/>
      <c r="E1688" s="85"/>
      <c r="F1688" s="133"/>
      <c r="G1688" s="49"/>
      <c r="H1688" s="50"/>
      <c r="I1688" s="131"/>
      <c r="J1688" s="131"/>
      <c r="K1688" s="131"/>
      <c r="L1688" s="131"/>
      <c r="M1688" s="131"/>
      <c r="N1688" s="43"/>
      <c r="O1688" s="51"/>
    </row>
    <row r="1689">
      <c r="A1689" s="43"/>
      <c r="B1689" s="59" t="str">
        <f>IFERROR(VLOOKUP(A1689,Internal_lists_bugs!$A$2:$G2033,7,FALSE()),"please select a BUG ID")</f>
        <v>please select a BUG ID</v>
      </c>
      <c r="C1689" s="51" t="str">
        <f>IFERROR(VLOOKUP(A1689,Internal_lists_bugs!$A$2:$I2033,9,FALSE()),"please select a BUG ID")</f>
        <v>please select a BUG ID</v>
      </c>
      <c r="D1689" s="85"/>
      <c r="E1689" s="85"/>
      <c r="F1689" s="133"/>
      <c r="G1689" s="49"/>
      <c r="H1689" s="50"/>
      <c r="I1689" s="131"/>
      <c r="J1689" s="131"/>
      <c r="K1689" s="131"/>
      <c r="L1689" s="131"/>
      <c r="M1689" s="131"/>
      <c r="N1689" s="43"/>
      <c r="O1689" s="51"/>
    </row>
    <row r="1690">
      <c r="A1690" s="43"/>
      <c r="B1690" s="59" t="str">
        <f>IFERROR(VLOOKUP(A1690,Internal_lists_bugs!$A$2:$G2033,7,FALSE()),"please select a BUG ID")</f>
        <v>please select a BUG ID</v>
      </c>
      <c r="C1690" s="51" t="str">
        <f>IFERROR(VLOOKUP(A1690,Internal_lists_bugs!$A$2:$I2033,9,FALSE()),"please select a BUG ID")</f>
        <v>please select a BUG ID</v>
      </c>
      <c r="D1690" s="85"/>
      <c r="E1690" s="85"/>
      <c r="F1690" s="133"/>
      <c r="G1690" s="49"/>
      <c r="H1690" s="50"/>
      <c r="I1690" s="131"/>
      <c r="J1690" s="131"/>
      <c r="K1690" s="131"/>
      <c r="L1690" s="131"/>
      <c r="M1690" s="131"/>
      <c r="N1690" s="43"/>
      <c r="O1690" s="51"/>
    </row>
    <row r="1691">
      <c r="A1691" s="43"/>
      <c r="B1691" s="59" t="str">
        <f>IFERROR(VLOOKUP(A1691,Internal_lists_bugs!$A$2:$G2033,7,FALSE()),"please select a BUG ID")</f>
        <v>please select a BUG ID</v>
      </c>
      <c r="C1691" s="51" t="str">
        <f>IFERROR(VLOOKUP(A1691,Internal_lists_bugs!$A$2:$I2033,9,FALSE()),"please select a BUG ID")</f>
        <v>please select a BUG ID</v>
      </c>
      <c r="D1691" s="85"/>
      <c r="E1691" s="85"/>
      <c r="F1691" s="133"/>
      <c r="G1691" s="49"/>
      <c r="H1691" s="50"/>
      <c r="I1691" s="131"/>
      <c r="J1691" s="131"/>
      <c r="K1691" s="131"/>
      <c r="L1691" s="131"/>
      <c r="M1691" s="131"/>
      <c r="N1691" s="43"/>
      <c r="O1691" s="51"/>
    </row>
    <row r="1692">
      <c r="A1692" s="43"/>
      <c r="B1692" s="59" t="str">
        <f>IFERROR(VLOOKUP(A1692,Internal_lists_bugs!$A$2:$G2033,7,FALSE()),"please select a BUG ID")</f>
        <v>please select a BUG ID</v>
      </c>
      <c r="C1692" s="51" t="str">
        <f>IFERROR(VLOOKUP(A1692,Internal_lists_bugs!$A$2:$I2033,9,FALSE()),"please select a BUG ID")</f>
        <v>please select a BUG ID</v>
      </c>
      <c r="D1692" s="85"/>
      <c r="E1692" s="85"/>
      <c r="F1692" s="133"/>
      <c r="G1692" s="49"/>
      <c r="H1692" s="50"/>
      <c r="I1692" s="131"/>
      <c r="J1692" s="131"/>
      <c r="K1692" s="131"/>
      <c r="L1692" s="131"/>
      <c r="M1692" s="131"/>
      <c r="N1692" s="43"/>
      <c r="O1692" s="51"/>
    </row>
    <row r="1693">
      <c r="A1693" s="43"/>
      <c r="B1693" s="59" t="str">
        <f>IFERROR(VLOOKUP(A1693,Internal_lists_bugs!$A$2:$G2033,7,FALSE()),"please select a BUG ID")</f>
        <v>please select a BUG ID</v>
      </c>
      <c r="C1693" s="51" t="str">
        <f>IFERROR(VLOOKUP(A1693,Internal_lists_bugs!$A$2:$I2033,9,FALSE()),"please select a BUG ID")</f>
        <v>please select a BUG ID</v>
      </c>
      <c r="D1693" s="85"/>
      <c r="E1693" s="85"/>
      <c r="F1693" s="133"/>
      <c r="G1693" s="49"/>
      <c r="H1693" s="50"/>
      <c r="I1693" s="131"/>
      <c r="J1693" s="131"/>
      <c r="K1693" s="131"/>
      <c r="L1693" s="131"/>
      <c r="M1693" s="131"/>
      <c r="N1693" s="43"/>
      <c r="O1693" s="51"/>
    </row>
    <row r="1694">
      <c r="A1694" s="43"/>
      <c r="B1694" s="59" t="str">
        <f>IFERROR(VLOOKUP(A1694,Internal_lists_bugs!$A$2:$G2033,7,FALSE()),"please select a BUG ID")</f>
        <v>please select a BUG ID</v>
      </c>
      <c r="C1694" s="51" t="str">
        <f>IFERROR(VLOOKUP(A1694,Internal_lists_bugs!$A$2:$I2033,9,FALSE()),"please select a BUG ID")</f>
        <v>please select a BUG ID</v>
      </c>
      <c r="D1694" s="85"/>
      <c r="E1694" s="85"/>
      <c r="F1694" s="133"/>
      <c r="G1694" s="49"/>
      <c r="H1694" s="50"/>
      <c r="I1694" s="131"/>
      <c r="J1694" s="131"/>
      <c r="K1694" s="131"/>
      <c r="L1694" s="131"/>
      <c r="M1694" s="131"/>
      <c r="N1694" s="43"/>
      <c r="O1694" s="51"/>
    </row>
    <row r="1695">
      <c r="A1695" s="43"/>
      <c r="B1695" s="59" t="str">
        <f>IFERROR(VLOOKUP(A1695,Internal_lists_bugs!$A$2:$G2033,7,FALSE()),"please select a BUG ID")</f>
        <v>please select a BUG ID</v>
      </c>
      <c r="C1695" s="51" t="str">
        <f>IFERROR(VLOOKUP(A1695,Internal_lists_bugs!$A$2:$I2033,9,FALSE()),"please select a BUG ID")</f>
        <v>please select a BUG ID</v>
      </c>
      <c r="D1695" s="85"/>
      <c r="E1695" s="85"/>
      <c r="F1695" s="133"/>
      <c r="G1695" s="49"/>
      <c r="H1695" s="50"/>
      <c r="I1695" s="131"/>
      <c r="J1695" s="131"/>
      <c r="K1695" s="131"/>
      <c r="L1695" s="131"/>
      <c r="M1695" s="131"/>
      <c r="N1695" s="43"/>
      <c r="O1695" s="51"/>
    </row>
    <row r="1696">
      <c r="A1696" s="43"/>
      <c r="B1696" s="59" t="str">
        <f>IFERROR(VLOOKUP(A1696,Internal_lists_bugs!$A$2:$G2033,7,FALSE()),"please select a BUG ID")</f>
        <v>please select a BUG ID</v>
      </c>
      <c r="C1696" s="51" t="str">
        <f>IFERROR(VLOOKUP(A1696,Internal_lists_bugs!$A$2:$I2033,9,FALSE()),"please select a BUG ID")</f>
        <v>please select a BUG ID</v>
      </c>
      <c r="D1696" s="85"/>
      <c r="E1696" s="85"/>
      <c r="F1696" s="133"/>
      <c r="G1696" s="49"/>
      <c r="H1696" s="50"/>
      <c r="I1696" s="131"/>
      <c r="J1696" s="131"/>
      <c r="K1696" s="131"/>
      <c r="L1696" s="131"/>
      <c r="M1696" s="131"/>
      <c r="N1696" s="43"/>
      <c r="O1696" s="51"/>
    </row>
    <row r="1697">
      <c r="A1697" s="43"/>
      <c r="B1697" s="59" t="str">
        <f>IFERROR(VLOOKUP(A1697,Internal_lists_bugs!$A$2:$G2033,7,FALSE()),"please select a BUG ID")</f>
        <v>please select a BUG ID</v>
      </c>
      <c r="C1697" s="51" t="str">
        <f>IFERROR(VLOOKUP(A1697,Internal_lists_bugs!$A$2:$I2033,9,FALSE()),"please select a BUG ID")</f>
        <v>please select a BUG ID</v>
      </c>
      <c r="D1697" s="85"/>
      <c r="E1697" s="85"/>
      <c r="F1697" s="133"/>
      <c r="G1697" s="49"/>
      <c r="H1697" s="50"/>
      <c r="I1697" s="131"/>
      <c r="J1697" s="131"/>
      <c r="K1697" s="131"/>
      <c r="L1697" s="131"/>
      <c r="M1697" s="131"/>
      <c r="N1697" s="43"/>
      <c r="O1697" s="51"/>
    </row>
    <row r="1698">
      <c r="A1698" s="43"/>
      <c r="B1698" s="59" t="str">
        <f>IFERROR(VLOOKUP(A1698,Internal_lists_bugs!$A$2:$G2033,7,FALSE()),"please select a BUG ID")</f>
        <v>please select a BUG ID</v>
      </c>
      <c r="C1698" s="51" t="str">
        <f>IFERROR(VLOOKUP(A1698,Internal_lists_bugs!$A$2:$I2033,9,FALSE()),"please select a BUG ID")</f>
        <v>please select a BUG ID</v>
      </c>
      <c r="D1698" s="85"/>
      <c r="E1698" s="85"/>
      <c r="F1698" s="133"/>
      <c r="G1698" s="49"/>
      <c r="H1698" s="50"/>
      <c r="I1698" s="131"/>
      <c r="J1698" s="131"/>
      <c r="K1698" s="131"/>
      <c r="L1698" s="131"/>
      <c r="M1698" s="131"/>
      <c r="N1698" s="43"/>
      <c r="O1698" s="51"/>
    </row>
    <row r="1699">
      <c r="A1699" s="43"/>
      <c r="B1699" s="59" t="str">
        <f>IFERROR(VLOOKUP(A1699,Internal_lists_bugs!$A$2:$G2033,7,FALSE()),"please select a BUG ID")</f>
        <v>please select a BUG ID</v>
      </c>
      <c r="C1699" s="51" t="str">
        <f>IFERROR(VLOOKUP(A1699,Internal_lists_bugs!$A$2:$I2033,9,FALSE()),"please select a BUG ID")</f>
        <v>please select a BUG ID</v>
      </c>
      <c r="D1699" s="85"/>
      <c r="E1699" s="85"/>
      <c r="F1699" s="133"/>
      <c r="G1699" s="49"/>
      <c r="H1699" s="50"/>
      <c r="I1699" s="131"/>
      <c r="J1699" s="131"/>
      <c r="K1699" s="131"/>
      <c r="L1699" s="131"/>
      <c r="M1699" s="131"/>
      <c r="N1699" s="43"/>
      <c r="O1699" s="51"/>
    </row>
    <row r="1700">
      <c r="A1700" s="43"/>
      <c r="B1700" s="59" t="str">
        <f>IFERROR(VLOOKUP(A1700,Internal_lists_bugs!$A$2:$G2033,7,FALSE()),"please select a BUG ID")</f>
        <v>please select a BUG ID</v>
      </c>
      <c r="C1700" s="51" t="str">
        <f>IFERROR(VLOOKUP(A1700,Internal_lists_bugs!$A$2:$I2033,9,FALSE()),"please select a BUG ID")</f>
        <v>please select a BUG ID</v>
      </c>
      <c r="D1700" s="85"/>
      <c r="E1700" s="85"/>
      <c r="F1700" s="133"/>
      <c r="G1700" s="49"/>
      <c r="H1700" s="50"/>
      <c r="I1700" s="131"/>
      <c r="J1700" s="131"/>
      <c r="K1700" s="131"/>
      <c r="L1700" s="131"/>
      <c r="M1700" s="131"/>
      <c r="N1700" s="43"/>
      <c r="O1700" s="51"/>
    </row>
    <row r="1701">
      <c r="A1701" s="43"/>
      <c r="B1701" s="59" t="str">
        <f>IFERROR(VLOOKUP(A1701,Internal_lists_bugs!$A$2:$G2033,7,FALSE()),"please select a BUG ID")</f>
        <v>please select a BUG ID</v>
      </c>
      <c r="C1701" s="51" t="str">
        <f>IFERROR(VLOOKUP(A1701,Internal_lists_bugs!$A$2:$I2033,9,FALSE()),"please select a BUG ID")</f>
        <v>please select a BUG ID</v>
      </c>
      <c r="D1701" s="85"/>
      <c r="E1701" s="85"/>
      <c r="F1701" s="133"/>
      <c r="G1701" s="49"/>
      <c r="H1701" s="50"/>
      <c r="I1701" s="131"/>
      <c r="J1701" s="131"/>
      <c r="K1701" s="131"/>
      <c r="L1701" s="131"/>
      <c r="M1701" s="131"/>
      <c r="N1701" s="43"/>
      <c r="O1701" s="51"/>
    </row>
    <row r="1702">
      <c r="A1702" s="43"/>
      <c r="B1702" s="59" t="str">
        <f>IFERROR(VLOOKUP(A1702,Internal_lists_bugs!$A$2:$G2033,7,FALSE()),"please select a BUG ID")</f>
        <v>please select a BUG ID</v>
      </c>
      <c r="C1702" s="51" t="str">
        <f>IFERROR(VLOOKUP(A1702,Internal_lists_bugs!$A$2:$I2033,9,FALSE()),"please select a BUG ID")</f>
        <v>please select a BUG ID</v>
      </c>
      <c r="D1702" s="85"/>
      <c r="E1702" s="85"/>
      <c r="F1702" s="133"/>
      <c r="G1702" s="49"/>
      <c r="H1702" s="50"/>
      <c r="I1702" s="131"/>
      <c r="J1702" s="131"/>
      <c r="K1702" s="131"/>
      <c r="L1702" s="131"/>
      <c r="M1702" s="131"/>
      <c r="N1702" s="43"/>
      <c r="O1702" s="51"/>
    </row>
    <row r="1703">
      <c r="A1703" s="43"/>
      <c r="B1703" s="59" t="str">
        <f>IFERROR(VLOOKUP(A1703,Internal_lists_bugs!$A$2:$G2033,7,FALSE()),"please select a BUG ID")</f>
        <v>please select a BUG ID</v>
      </c>
      <c r="C1703" s="51" t="str">
        <f>IFERROR(VLOOKUP(A1703,Internal_lists_bugs!$A$2:$I2033,9,FALSE()),"please select a BUG ID")</f>
        <v>please select a BUG ID</v>
      </c>
      <c r="D1703" s="85"/>
      <c r="E1703" s="85"/>
      <c r="F1703" s="133"/>
      <c r="G1703" s="49"/>
      <c r="H1703" s="50"/>
      <c r="I1703" s="131"/>
      <c r="J1703" s="131"/>
      <c r="K1703" s="131"/>
      <c r="L1703" s="131"/>
      <c r="M1703" s="131"/>
      <c r="N1703" s="43"/>
      <c r="O1703" s="51"/>
    </row>
    <row r="1704">
      <c r="A1704" s="43"/>
      <c r="B1704" s="59" t="str">
        <f>IFERROR(VLOOKUP(A1704,Internal_lists_bugs!$A$2:$G2033,7,FALSE()),"please select a BUG ID")</f>
        <v>please select a BUG ID</v>
      </c>
      <c r="C1704" s="51" t="str">
        <f>IFERROR(VLOOKUP(A1704,Internal_lists_bugs!$A$2:$I2033,9,FALSE()),"please select a BUG ID")</f>
        <v>please select a BUG ID</v>
      </c>
      <c r="D1704" s="85"/>
      <c r="E1704" s="85"/>
      <c r="F1704" s="133"/>
      <c r="G1704" s="49"/>
      <c r="H1704" s="50"/>
      <c r="I1704" s="131"/>
      <c r="J1704" s="131"/>
      <c r="K1704" s="131"/>
      <c r="L1704" s="131"/>
      <c r="M1704" s="131"/>
      <c r="N1704" s="43"/>
      <c r="O1704" s="51"/>
    </row>
    <row r="1705">
      <c r="A1705" s="43"/>
      <c r="B1705" s="59" t="str">
        <f>IFERROR(VLOOKUP(A1705,Internal_lists_bugs!$A$2:$G2033,7,FALSE()),"please select a BUG ID")</f>
        <v>please select a BUG ID</v>
      </c>
      <c r="C1705" s="51" t="str">
        <f>IFERROR(VLOOKUP(A1705,Internal_lists_bugs!$A$2:$I2033,9,FALSE()),"please select a BUG ID")</f>
        <v>please select a BUG ID</v>
      </c>
      <c r="D1705" s="85"/>
      <c r="E1705" s="85"/>
      <c r="F1705" s="133"/>
      <c r="G1705" s="49"/>
      <c r="H1705" s="50"/>
      <c r="I1705" s="131"/>
      <c r="J1705" s="131"/>
      <c r="K1705" s="131"/>
      <c r="L1705" s="131"/>
      <c r="M1705" s="131"/>
      <c r="N1705" s="43"/>
      <c r="O1705" s="51"/>
    </row>
    <row r="1706">
      <c r="A1706" s="43"/>
      <c r="B1706" s="59" t="str">
        <f>IFERROR(VLOOKUP(A1706,Internal_lists_bugs!$A$2:$G2033,7,FALSE()),"please select a BUG ID")</f>
        <v>please select a BUG ID</v>
      </c>
      <c r="C1706" s="51" t="str">
        <f>IFERROR(VLOOKUP(A1706,Internal_lists_bugs!$A$2:$I2033,9,FALSE()),"please select a BUG ID")</f>
        <v>please select a BUG ID</v>
      </c>
      <c r="D1706" s="85"/>
      <c r="E1706" s="85"/>
      <c r="F1706" s="133"/>
      <c r="G1706" s="49"/>
      <c r="H1706" s="50"/>
      <c r="I1706" s="131"/>
      <c r="J1706" s="131"/>
      <c r="K1706" s="131"/>
      <c r="L1706" s="131"/>
      <c r="M1706" s="131"/>
      <c r="N1706" s="43"/>
      <c r="O1706" s="51"/>
    </row>
    <row r="1707">
      <c r="A1707" s="43"/>
      <c r="B1707" s="59" t="str">
        <f>IFERROR(VLOOKUP(A1707,Internal_lists_bugs!$A$2:$G2033,7,FALSE()),"please select a BUG ID")</f>
        <v>please select a BUG ID</v>
      </c>
      <c r="C1707" s="51" t="str">
        <f>IFERROR(VLOOKUP(A1707,Internal_lists_bugs!$A$2:$I2033,9,FALSE()),"please select a BUG ID")</f>
        <v>please select a BUG ID</v>
      </c>
      <c r="D1707" s="85"/>
      <c r="E1707" s="85"/>
      <c r="F1707" s="133"/>
      <c r="G1707" s="49"/>
      <c r="H1707" s="50"/>
      <c r="I1707" s="131"/>
      <c r="J1707" s="131"/>
      <c r="K1707" s="131"/>
      <c r="L1707" s="131"/>
      <c r="M1707" s="131"/>
      <c r="N1707" s="43"/>
      <c r="O1707" s="51"/>
    </row>
    <row r="1708">
      <c r="A1708" s="43"/>
      <c r="B1708" s="59" t="str">
        <f>IFERROR(VLOOKUP(A1708,Internal_lists_bugs!$A$2:$G2033,7,FALSE()),"please select a BUG ID")</f>
        <v>please select a BUG ID</v>
      </c>
      <c r="C1708" s="51" t="str">
        <f>IFERROR(VLOOKUP(A1708,Internal_lists_bugs!$A$2:$I2033,9,FALSE()),"please select a BUG ID")</f>
        <v>please select a BUG ID</v>
      </c>
      <c r="D1708" s="85"/>
      <c r="E1708" s="85"/>
      <c r="F1708" s="133"/>
      <c r="G1708" s="49"/>
      <c r="H1708" s="50"/>
      <c r="I1708" s="131"/>
      <c r="J1708" s="131"/>
      <c r="K1708" s="131"/>
      <c r="L1708" s="131"/>
      <c r="M1708" s="131"/>
      <c r="N1708" s="43"/>
      <c r="O1708" s="51"/>
    </row>
    <row r="1709">
      <c r="A1709" s="43"/>
      <c r="B1709" s="59" t="str">
        <f>IFERROR(VLOOKUP(A1709,Internal_lists_bugs!$A$2:$G2033,7,FALSE()),"please select a BUG ID")</f>
        <v>please select a BUG ID</v>
      </c>
      <c r="C1709" s="51" t="str">
        <f>IFERROR(VLOOKUP(A1709,Internal_lists_bugs!$A$2:$I2033,9,FALSE()),"please select a BUG ID")</f>
        <v>please select a BUG ID</v>
      </c>
      <c r="D1709" s="85"/>
      <c r="E1709" s="85"/>
      <c r="F1709" s="133"/>
      <c r="G1709" s="49"/>
      <c r="H1709" s="50"/>
      <c r="I1709" s="131"/>
      <c r="J1709" s="131"/>
      <c r="K1709" s="131"/>
      <c r="L1709" s="131"/>
      <c r="M1709" s="131"/>
      <c r="N1709" s="43"/>
      <c r="O1709" s="51"/>
    </row>
    <row r="1710">
      <c r="A1710" s="43"/>
      <c r="B1710" s="59" t="str">
        <f>IFERROR(VLOOKUP(A1710,Internal_lists_bugs!$A$2:$G2033,7,FALSE()),"please select a BUG ID")</f>
        <v>please select a BUG ID</v>
      </c>
      <c r="C1710" s="51" t="str">
        <f>IFERROR(VLOOKUP(A1710,Internal_lists_bugs!$A$2:$I2033,9,FALSE()),"please select a BUG ID")</f>
        <v>please select a BUG ID</v>
      </c>
      <c r="D1710" s="85"/>
      <c r="E1710" s="85"/>
      <c r="F1710" s="133"/>
      <c r="G1710" s="49"/>
      <c r="H1710" s="50"/>
      <c r="I1710" s="131"/>
      <c r="J1710" s="131"/>
      <c r="K1710" s="131"/>
      <c r="L1710" s="131"/>
      <c r="M1710" s="131"/>
      <c r="N1710" s="43"/>
      <c r="O1710" s="51"/>
    </row>
    <row r="1711">
      <c r="A1711" s="43"/>
      <c r="B1711" s="59" t="str">
        <f>IFERROR(VLOOKUP(A1711,Internal_lists_bugs!$A$2:$G2033,7,FALSE()),"please select a BUG ID")</f>
        <v>please select a BUG ID</v>
      </c>
      <c r="C1711" s="51" t="str">
        <f>IFERROR(VLOOKUP(A1711,Internal_lists_bugs!$A$2:$I2033,9,FALSE()),"please select a BUG ID")</f>
        <v>please select a BUG ID</v>
      </c>
      <c r="D1711" s="85"/>
      <c r="E1711" s="85"/>
      <c r="F1711" s="133"/>
      <c r="G1711" s="49"/>
      <c r="H1711" s="50"/>
      <c r="I1711" s="131"/>
      <c r="J1711" s="131"/>
      <c r="K1711" s="131"/>
      <c r="L1711" s="131"/>
      <c r="M1711" s="131"/>
      <c r="N1711" s="43"/>
      <c r="O1711" s="51"/>
    </row>
    <row r="1712">
      <c r="A1712" s="43"/>
      <c r="B1712" s="59" t="str">
        <f>IFERROR(VLOOKUP(A1712,Internal_lists_bugs!$A$2:$G2033,7,FALSE()),"please select a BUG ID")</f>
        <v>please select a BUG ID</v>
      </c>
      <c r="C1712" s="51" t="str">
        <f>IFERROR(VLOOKUP(A1712,Internal_lists_bugs!$A$2:$I2033,9,FALSE()),"please select a BUG ID")</f>
        <v>please select a BUG ID</v>
      </c>
      <c r="D1712" s="85"/>
      <c r="E1712" s="85"/>
      <c r="F1712" s="133"/>
      <c r="G1712" s="49"/>
      <c r="H1712" s="50"/>
      <c r="I1712" s="131"/>
      <c r="J1712" s="131"/>
      <c r="K1712" s="131"/>
      <c r="L1712" s="131"/>
      <c r="M1712" s="131"/>
      <c r="N1712" s="43"/>
      <c r="O1712" s="51"/>
    </row>
    <row r="1713">
      <c r="A1713" s="43"/>
      <c r="B1713" s="59" t="str">
        <f>IFERROR(VLOOKUP(A1713,Internal_lists_bugs!$A$2:$G2033,7,FALSE()),"please select a BUG ID")</f>
        <v>please select a BUG ID</v>
      </c>
      <c r="C1713" s="51" t="str">
        <f>IFERROR(VLOOKUP(A1713,Internal_lists_bugs!$A$2:$I2033,9,FALSE()),"please select a BUG ID")</f>
        <v>please select a BUG ID</v>
      </c>
      <c r="D1713" s="85"/>
      <c r="E1713" s="85"/>
      <c r="F1713" s="133"/>
      <c r="G1713" s="49"/>
      <c r="H1713" s="50"/>
      <c r="I1713" s="131"/>
      <c r="J1713" s="131"/>
      <c r="K1713" s="131"/>
      <c r="L1713" s="131"/>
      <c r="M1713" s="131"/>
      <c r="N1713" s="43"/>
      <c r="O1713" s="51"/>
    </row>
    <row r="1714">
      <c r="A1714" s="43"/>
      <c r="B1714" s="59" t="str">
        <f>IFERROR(VLOOKUP(A1714,Internal_lists_bugs!$A$2:$G2033,7,FALSE()),"please select a BUG ID")</f>
        <v>please select a BUG ID</v>
      </c>
      <c r="C1714" s="51" t="str">
        <f>IFERROR(VLOOKUP(A1714,Internal_lists_bugs!$A$2:$I2033,9,FALSE()),"please select a BUG ID")</f>
        <v>please select a BUG ID</v>
      </c>
      <c r="D1714" s="85"/>
      <c r="E1714" s="85"/>
      <c r="F1714" s="133"/>
      <c r="G1714" s="49"/>
      <c r="H1714" s="50"/>
      <c r="I1714" s="131"/>
      <c r="J1714" s="131"/>
      <c r="K1714" s="131"/>
      <c r="L1714" s="131"/>
      <c r="M1714" s="131"/>
      <c r="N1714" s="43"/>
      <c r="O1714" s="51"/>
    </row>
    <row r="1715">
      <c r="A1715" s="43"/>
      <c r="B1715" s="59" t="str">
        <f>IFERROR(VLOOKUP(A1715,Internal_lists_bugs!$A$2:$G2033,7,FALSE()),"please select a BUG ID")</f>
        <v>please select a BUG ID</v>
      </c>
      <c r="C1715" s="51" t="str">
        <f>IFERROR(VLOOKUP(A1715,Internal_lists_bugs!$A$2:$I2033,9,FALSE()),"please select a BUG ID")</f>
        <v>please select a BUG ID</v>
      </c>
      <c r="D1715" s="85"/>
      <c r="E1715" s="85"/>
      <c r="F1715" s="133"/>
      <c r="G1715" s="49"/>
      <c r="H1715" s="50"/>
      <c r="I1715" s="131"/>
      <c r="J1715" s="131"/>
      <c r="K1715" s="131"/>
      <c r="L1715" s="131"/>
      <c r="M1715" s="131"/>
      <c r="N1715" s="43"/>
      <c r="O1715" s="51"/>
    </row>
    <row r="1716">
      <c r="A1716" s="43"/>
      <c r="B1716" s="59" t="str">
        <f>IFERROR(VLOOKUP(A1716,Internal_lists_bugs!$A$2:$G2033,7,FALSE()),"please select a BUG ID")</f>
        <v>please select a BUG ID</v>
      </c>
      <c r="C1716" s="51" t="str">
        <f>IFERROR(VLOOKUP(A1716,Internal_lists_bugs!$A$2:$I2033,9,FALSE()),"please select a BUG ID")</f>
        <v>please select a BUG ID</v>
      </c>
      <c r="D1716" s="85"/>
      <c r="E1716" s="85"/>
      <c r="F1716" s="133"/>
      <c r="G1716" s="49"/>
      <c r="H1716" s="50"/>
      <c r="I1716" s="131"/>
      <c r="J1716" s="131"/>
      <c r="K1716" s="131"/>
      <c r="L1716" s="131"/>
      <c r="M1716" s="131"/>
      <c r="N1716" s="43"/>
      <c r="O1716" s="51"/>
    </row>
    <row r="1717">
      <c r="A1717" s="43"/>
      <c r="B1717" s="59" t="str">
        <f>IFERROR(VLOOKUP(A1717,Internal_lists_bugs!$A$2:$G2033,7,FALSE()),"please select a BUG ID")</f>
        <v>please select a BUG ID</v>
      </c>
      <c r="C1717" s="51" t="str">
        <f>IFERROR(VLOOKUP(A1717,Internal_lists_bugs!$A$2:$I2033,9,FALSE()),"please select a BUG ID")</f>
        <v>please select a BUG ID</v>
      </c>
      <c r="D1717" s="85"/>
      <c r="E1717" s="85"/>
      <c r="F1717" s="133"/>
      <c r="G1717" s="49"/>
      <c r="H1717" s="50"/>
      <c r="I1717" s="131"/>
      <c r="J1717" s="131"/>
      <c r="K1717" s="131"/>
      <c r="L1717" s="131"/>
      <c r="M1717" s="131"/>
      <c r="N1717" s="43"/>
      <c r="O1717" s="51"/>
    </row>
    <row r="1718">
      <c r="A1718" s="43"/>
      <c r="B1718" s="59" t="str">
        <f>IFERROR(VLOOKUP(A1718,Internal_lists_bugs!$A$2:$G2033,7,FALSE()),"please select a BUG ID")</f>
        <v>please select a BUG ID</v>
      </c>
      <c r="C1718" s="51" t="str">
        <f>IFERROR(VLOOKUP(A1718,Internal_lists_bugs!$A$2:$I2033,9,FALSE()),"please select a BUG ID")</f>
        <v>please select a BUG ID</v>
      </c>
      <c r="D1718" s="85"/>
      <c r="E1718" s="85"/>
      <c r="F1718" s="133"/>
      <c r="G1718" s="49"/>
      <c r="H1718" s="50"/>
      <c r="I1718" s="131"/>
      <c r="J1718" s="131"/>
      <c r="K1718" s="131"/>
      <c r="L1718" s="131"/>
      <c r="M1718" s="131"/>
      <c r="N1718" s="43"/>
      <c r="O1718" s="51"/>
    </row>
    <row r="1719">
      <c r="A1719" s="43"/>
      <c r="B1719" s="59" t="str">
        <f>IFERROR(VLOOKUP(A1719,Internal_lists_bugs!$A$2:$G2033,7,FALSE()),"please select a BUG ID")</f>
        <v>please select a BUG ID</v>
      </c>
      <c r="C1719" s="51" t="str">
        <f>IFERROR(VLOOKUP(A1719,Internal_lists_bugs!$A$2:$I2033,9,FALSE()),"please select a BUG ID")</f>
        <v>please select a BUG ID</v>
      </c>
      <c r="D1719" s="85"/>
      <c r="E1719" s="85"/>
      <c r="F1719" s="133"/>
      <c r="G1719" s="49"/>
      <c r="H1719" s="50"/>
      <c r="I1719" s="131"/>
      <c r="J1719" s="131"/>
      <c r="K1719" s="131"/>
      <c r="L1719" s="131"/>
      <c r="M1719" s="131"/>
      <c r="N1719" s="43"/>
      <c r="O1719" s="51"/>
    </row>
    <row r="1720">
      <c r="A1720" s="43"/>
      <c r="B1720" s="59" t="str">
        <f>IFERROR(VLOOKUP(A1720,Internal_lists_bugs!$A$2:$G2033,7,FALSE()),"please select a BUG ID")</f>
        <v>please select a BUG ID</v>
      </c>
      <c r="C1720" s="51" t="str">
        <f>IFERROR(VLOOKUP(A1720,Internal_lists_bugs!$A$2:$I2033,9,FALSE()),"please select a BUG ID")</f>
        <v>please select a BUG ID</v>
      </c>
      <c r="D1720" s="85"/>
      <c r="E1720" s="85"/>
      <c r="F1720" s="133"/>
      <c r="G1720" s="49"/>
      <c r="H1720" s="50"/>
      <c r="I1720" s="131"/>
      <c r="J1720" s="131"/>
      <c r="K1720" s="131"/>
      <c r="L1720" s="131"/>
      <c r="M1720" s="131"/>
      <c r="N1720" s="43"/>
      <c r="O1720" s="51"/>
    </row>
    <row r="1721">
      <c r="A1721" s="43"/>
      <c r="B1721" s="59" t="str">
        <f>IFERROR(VLOOKUP(A1721,Internal_lists_bugs!$A$2:$G2033,7,FALSE()),"please select a BUG ID")</f>
        <v>please select a BUG ID</v>
      </c>
      <c r="C1721" s="51" t="str">
        <f>IFERROR(VLOOKUP(A1721,Internal_lists_bugs!$A$2:$I2033,9,FALSE()),"please select a BUG ID")</f>
        <v>please select a BUG ID</v>
      </c>
      <c r="D1721" s="85"/>
      <c r="E1721" s="85"/>
      <c r="F1721" s="133"/>
      <c r="G1721" s="49"/>
      <c r="H1721" s="50"/>
      <c r="I1721" s="131"/>
      <c r="J1721" s="131"/>
      <c r="K1721" s="131"/>
      <c r="L1721" s="131"/>
      <c r="M1721" s="131"/>
      <c r="N1721" s="43"/>
      <c r="O1721" s="51"/>
    </row>
    <row r="1722">
      <c r="A1722" s="43"/>
      <c r="B1722" s="59" t="str">
        <f>IFERROR(VLOOKUP(A1722,Internal_lists_bugs!$A$2:$G2033,7,FALSE()),"please select a BUG ID")</f>
        <v>please select a BUG ID</v>
      </c>
      <c r="C1722" s="51" t="str">
        <f>IFERROR(VLOOKUP(A1722,Internal_lists_bugs!$A$2:$I2033,9,FALSE()),"please select a BUG ID")</f>
        <v>please select a BUG ID</v>
      </c>
      <c r="D1722" s="85"/>
      <c r="E1722" s="85"/>
      <c r="F1722" s="133"/>
      <c r="G1722" s="49"/>
      <c r="H1722" s="50"/>
      <c r="I1722" s="131"/>
      <c r="J1722" s="131"/>
      <c r="K1722" s="131"/>
      <c r="L1722" s="131"/>
      <c r="M1722" s="131"/>
      <c r="N1722" s="43"/>
      <c r="O1722" s="51"/>
    </row>
    <row r="1723">
      <c r="A1723" s="43"/>
      <c r="B1723" s="59" t="str">
        <f>IFERROR(VLOOKUP(A1723,Internal_lists_bugs!$A$2:$G2033,7,FALSE()),"please select a BUG ID")</f>
        <v>please select a BUG ID</v>
      </c>
      <c r="C1723" s="51" t="str">
        <f>IFERROR(VLOOKUP(A1723,Internal_lists_bugs!$A$2:$I2033,9,FALSE()),"please select a BUG ID")</f>
        <v>please select a BUG ID</v>
      </c>
      <c r="D1723" s="85"/>
      <c r="E1723" s="85"/>
      <c r="F1723" s="133"/>
      <c r="G1723" s="49"/>
      <c r="H1723" s="50"/>
      <c r="I1723" s="131"/>
      <c r="J1723" s="131"/>
      <c r="K1723" s="131"/>
      <c r="L1723" s="131"/>
      <c r="M1723" s="131"/>
      <c r="N1723" s="43"/>
      <c r="O1723" s="51"/>
    </row>
    <row r="1724">
      <c r="A1724" s="43"/>
      <c r="B1724" s="59" t="str">
        <f>IFERROR(VLOOKUP(A1724,Internal_lists_bugs!$A$2:$G2033,7,FALSE()),"please select a BUG ID")</f>
        <v>please select a BUG ID</v>
      </c>
      <c r="C1724" s="51" t="str">
        <f>IFERROR(VLOOKUP(A1724,Internal_lists_bugs!$A$2:$I2033,9,FALSE()),"please select a BUG ID")</f>
        <v>please select a BUG ID</v>
      </c>
      <c r="D1724" s="85"/>
      <c r="E1724" s="85"/>
      <c r="F1724" s="133"/>
      <c r="G1724" s="49"/>
      <c r="H1724" s="50"/>
      <c r="I1724" s="131"/>
      <c r="J1724" s="131"/>
      <c r="K1724" s="131"/>
      <c r="L1724" s="131"/>
      <c r="M1724" s="131"/>
      <c r="N1724" s="43"/>
      <c r="O1724" s="51"/>
    </row>
    <row r="1725">
      <c r="A1725" s="43"/>
      <c r="B1725" s="59" t="str">
        <f>IFERROR(VLOOKUP(A1725,Internal_lists_bugs!$A$2:$G2033,7,FALSE()),"please select a BUG ID")</f>
        <v>please select a BUG ID</v>
      </c>
      <c r="C1725" s="51" t="str">
        <f>IFERROR(VLOOKUP(A1725,Internal_lists_bugs!$A$2:$I2033,9,FALSE()),"please select a BUG ID")</f>
        <v>please select a BUG ID</v>
      </c>
      <c r="D1725" s="85"/>
      <c r="E1725" s="85"/>
      <c r="F1725" s="133"/>
      <c r="G1725" s="49"/>
      <c r="H1725" s="50"/>
      <c r="I1725" s="131"/>
      <c r="J1725" s="131"/>
      <c r="K1725" s="131"/>
      <c r="L1725" s="131"/>
      <c r="M1725" s="131"/>
      <c r="N1725" s="43"/>
      <c r="O1725" s="51"/>
    </row>
    <row r="1726">
      <c r="A1726" s="43"/>
      <c r="B1726" s="59" t="str">
        <f>IFERROR(VLOOKUP(A1726,Internal_lists_bugs!$A$2:$G2033,7,FALSE()),"please select a BUG ID")</f>
        <v>please select a BUG ID</v>
      </c>
      <c r="C1726" s="51" t="str">
        <f>IFERROR(VLOOKUP(A1726,Internal_lists_bugs!$A$2:$I2033,9,FALSE()),"please select a BUG ID")</f>
        <v>please select a BUG ID</v>
      </c>
      <c r="D1726" s="85"/>
      <c r="E1726" s="85"/>
      <c r="F1726" s="133"/>
      <c r="G1726" s="49"/>
      <c r="H1726" s="50"/>
      <c r="I1726" s="131"/>
      <c r="J1726" s="131"/>
      <c r="K1726" s="131"/>
      <c r="L1726" s="131"/>
      <c r="M1726" s="131"/>
      <c r="N1726" s="43"/>
      <c r="O1726" s="51"/>
    </row>
    <row r="1727">
      <c r="A1727" s="43"/>
      <c r="B1727" s="59" t="str">
        <f>IFERROR(VLOOKUP(A1727,Internal_lists_bugs!$A$2:$G2033,7,FALSE()),"please select a BUG ID")</f>
        <v>please select a BUG ID</v>
      </c>
      <c r="C1727" s="51" t="str">
        <f>IFERROR(VLOOKUP(A1727,Internal_lists_bugs!$A$2:$I2033,9,FALSE()),"please select a BUG ID")</f>
        <v>please select a BUG ID</v>
      </c>
      <c r="D1727" s="85"/>
      <c r="E1727" s="85"/>
      <c r="F1727" s="133"/>
      <c r="G1727" s="49"/>
      <c r="H1727" s="50"/>
      <c r="I1727" s="131"/>
      <c r="J1727" s="131"/>
      <c r="K1727" s="131"/>
      <c r="L1727" s="131"/>
      <c r="M1727" s="131"/>
      <c r="N1727" s="43"/>
      <c r="O1727" s="51"/>
    </row>
    <row r="1728">
      <c r="A1728" s="43"/>
      <c r="B1728" s="59" t="str">
        <f>IFERROR(VLOOKUP(A1728,Internal_lists_bugs!$A$2:$G2033,7,FALSE()),"please select a BUG ID")</f>
        <v>please select a BUG ID</v>
      </c>
      <c r="C1728" s="51" t="str">
        <f>IFERROR(VLOOKUP(A1728,Internal_lists_bugs!$A$2:$I2033,9,FALSE()),"please select a BUG ID")</f>
        <v>please select a BUG ID</v>
      </c>
      <c r="D1728" s="85"/>
      <c r="E1728" s="85"/>
      <c r="F1728" s="133"/>
      <c r="G1728" s="49"/>
      <c r="H1728" s="50"/>
      <c r="I1728" s="131"/>
      <c r="J1728" s="131"/>
      <c r="K1728" s="131"/>
      <c r="L1728" s="131"/>
      <c r="M1728" s="131"/>
      <c r="N1728" s="43"/>
      <c r="O1728" s="51"/>
    </row>
    <row r="1729">
      <c r="A1729" s="43"/>
      <c r="B1729" s="59" t="str">
        <f>IFERROR(VLOOKUP(A1729,Internal_lists_bugs!$A$2:$G2033,7,FALSE()),"please select a BUG ID")</f>
        <v>please select a BUG ID</v>
      </c>
      <c r="C1729" s="51" t="str">
        <f>IFERROR(VLOOKUP(A1729,Internal_lists_bugs!$A$2:$I2033,9,FALSE()),"please select a BUG ID")</f>
        <v>please select a BUG ID</v>
      </c>
      <c r="D1729" s="85"/>
      <c r="E1729" s="85"/>
      <c r="F1729" s="133"/>
      <c r="G1729" s="49"/>
      <c r="H1729" s="50"/>
      <c r="I1729" s="131"/>
      <c r="J1729" s="131"/>
      <c r="K1729" s="131"/>
      <c r="L1729" s="131"/>
      <c r="M1729" s="131"/>
      <c r="N1729" s="43"/>
      <c r="O1729" s="51"/>
    </row>
    <row r="1730">
      <c r="A1730" s="43"/>
      <c r="B1730" s="59" t="str">
        <f>IFERROR(VLOOKUP(A1730,Internal_lists_bugs!$A$2:$G2033,7,FALSE()),"please select a BUG ID")</f>
        <v>please select a BUG ID</v>
      </c>
      <c r="C1730" s="51" t="str">
        <f>IFERROR(VLOOKUP(A1730,Internal_lists_bugs!$A$2:$I2033,9,FALSE()),"please select a BUG ID")</f>
        <v>please select a BUG ID</v>
      </c>
      <c r="D1730" s="85"/>
      <c r="E1730" s="85"/>
      <c r="F1730" s="133"/>
      <c r="G1730" s="49"/>
      <c r="H1730" s="50"/>
      <c r="I1730" s="131"/>
      <c r="J1730" s="131"/>
      <c r="K1730" s="131"/>
      <c r="L1730" s="131"/>
      <c r="M1730" s="131"/>
      <c r="N1730" s="43"/>
      <c r="O1730" s="51"/>
    </row>
    <row r="1731">
      <c r="A1731" s="43"/>
      <c r="B1731" s="59" t="str">
        <f>IFERROR(VLOOKUP(A1731,Internal_lists_bugs!$A$2:$G2033,7,FALSE()),"please select a BUG ID")</f>
        <v>please select a BUG ID</v>
      </c>
      <c r="C1731" s="51" t="str">
        <f>IFERROR(VLOOKUP(A1731,Internal_lists_bugs!$A$2:$I2033,9,FALSE()),"please select a BUG ID")</f>
        <v>please select a BUG ID</v>
      </c>
      <c r="D1731" s="85"/>
      <c r="E1731" s="85"/>
      <c r="F1731" s="133"/>
      <c r="G1731" s="49"/>
      <c r="H1731" s="50"/>
      <c r="I1731" s="131"/>
      <c r="J1731" s="131"/>
      <c r="K1731" s="131"/>
      <c r="L1731" s="131"/>
      <c r="M1731" s="131"/>
      <c r="N1731" s="43"/>
      <c r="O1731" s="51"/>
    </row>
    <row r="1732">
      <c r="A1732" s="43"/>
      <c r="B1732" s="59" t="str">
        <f>IFERROR(VLOOKUP(A1732,Internal_lists_bugs!$A$2:$G2033,7,FALSE()),"please select a BUG ID")</f>
        <v>please select a BUG ID</v>
      </c>
      <c r="C1732" s="51" t="str">
        <f>IFERROR(VLOOKUP(A1732,Internal_lists_bugs!$A$2:$I2033,9,FALSE()),"please select a BUG ID")</f>
        <v>please select a BUG ID</v>
      </c>
      <c r="D1732" s="85"/>
      <c r="E1732" s="85"/>
      <c r="F1732" s="133"/>
      <c r="G1732" s="49"/>
      <c r="H1732" s="50"/>
      <c r="I1732" s="131"/>
      <c r="J1732" s="131"/>
      <c r="K1732" s="131"/>
      <c r="L1732" s="131"/>
      <c r="M1732" s="131"/>
      <c r="N1732" s="43"/>
      <c r="O1732" s="51"/>
    </row>
    <row r="1733">
      <c r="A1733" s="43"/>
      <c r="B1733" s="59" t="str">
        <f>IFERROR(VLOOKUP(A1733,Internal_lists_bugs!$A$2:$G2033,7,FALSE()),"please select a BUG ID")</f>
        <v>please select a BUG ID</v>
      </c>
      <c r="C1733" s="51" t="str">
        <f>IFERROR(VLOOKUP(A1733,Internal_lists_bugs!$A$2:$I2033,9,FALSE()),"please select a BUG ID")</f>
        <v>please select a BUG ID</v>
      </c>
      <c r="D1733" s="85"/>
      <c r="E1733" s="85"/>
      <c r="F1733" s="133"/>
      <c r="G1733" s="49"/>
      <c r="H1733" s="50"/>
      <c r="I1733" s="131"/>
      <c r="J1733" s="131"/>
      <c r="K1733" s="131"/>
      <c r="L1733" s="131"/>
      <c r="M1733" s="131"/>
      <c r="N1733" s="43"/>
      <c r="O1733" s="51"/>
    </row>
    <row r="1734">
      <c r="A1734" s="43"/>
      <c r="B1734" s="59" t="str">
        <f>IFERROR(VLOOKUP(A1734,Internal_lists_bugs!$A$2:$G2033,7,FALSE()),"please select a BUG ID")</f>
        <v>please select a BUG ID</v>
      </c>
      <c r="C1734" s="51" t="str">
        <f>IFERROR(VLOOKUP(A1734,Internal_lists_bugs!$A$2:$I2033,9,FALSE()),"please select a BUG ID")</f>
        <v>please select a BUG ID</v>
      </c>
      <c r="D1734" s="85"/>
      <c r="E1734" s="85"/>
      <c r="F1734" s="133"/>
      <c r="G1734" s="49"/>
      <c r="H1734" s="50"/>
      <c r="I1734" s="131"/>
      <c r="J1734" s="131"/>
      <c r="K1734" s="131"/>
      <c r="L1734" s="131"/>
      <c r="M1734" s="131"/>
      <c r="N1734" s="43"/>
      <c r="O1734" s="51"/>
    </row>
    <row r="1735">
      <c r="A1735" s="43"/>
      <c r="B1735" s="59" t="str">
        <f>IFERROR(VLOOKUP(A1735,Internal_lists_bugs!$A$2:$G2033,7,FALSE()),"please select a BUG ID")</f>
        <v>please select a BUG ID</v>
      </c>
      <c r="C1735" s="51" t="str">
        <f>IFERROR(VLOOKUP(A1735,Internal_lists_bugs!$A$2:$I2033,9,FALSE()),"please select a BUG ID")</f>
        <v>please select a BUG ID</v>
      </c>
      <c r="D1735" s="85"/>
      <c r="E1735" s="85"/>
      <c r="F1735" s="133"/>
      <c r="G1735" s="49"/>
      <c r="H1735" s="50"/>
      <c r="I1735" s="131"/>
      <c r="J1735" s="131"/>
      <c r="K1735" s="131"/>
      <c r="L1735" s="131"/>
      <c r="M1735" s="131"/>
      <c r="N1735" s="43"/>
      <c r="O1735" s="51"/>
    </row>
    <row r="1736">
      <c r="A1736" s="43"/>
      <c r="B1736" s="59" t="str">
        <f>IFERROR(VLOOKUP(A1736,Internal_lists_bugs!$A$2:$G2033,7,FALSE()),"please select a BUG ID")</f>
        <v>please select a BUG ID</v>
      </c>
      <c r="C1736" s="51" t="str">
        <f>IFERROR(VLOOKUP(A1736,Internal_lists_bugs!$A$2:$I2033,9,FALSE()),"please select a BUG ID")</f>
        <v>please select a BUG ID</v>
      </c>
      <c r="D1736" s="85"/>
      <c r="E1736" s="85"/>
      <c r="F1736" s="133"/>
      <c r="G1736" s="49"/>
      <c r="H1736" s="50"/>
      <c r="I1736" s="131"/>
      <c r="J1736" s="131"/>
      <c r="K1736" s="131"/>
      <c r="L1736" s="131"/>
      <c r="M1736" s="131"/>
      <c r="N1736" s="43"/>
      <c r="O1736" s="51"/>
    </row>
    <row r="1737">
      <c r="A1737" s="43"/>
      <c r="B1737" s="59" t="str">
        <f>IFERROR(VLOOKUP(A1737,Internal_lists_bugs!$A$2:$G2033,7,FALSE()),"please select a BUG ID")</f>
        <v>please select a BUG ID</v>
      </c>
      <c r="C1737" s="51" t="str">
        <f>IFERROR(VLOOKUP(A1737,Internal_lists_bugs!$A$2:$I2033,9,FALSE()),"please select a BUG ID")</f>
        <v>please select a BUG ID</v>
      </c>
      <c r="D1737" s="85"/>
      <c r="E1737" s="85"/>
      <c r="F1737" s="133"/>
      <c r="G1737" s="49"/>
      <c r="H1737" s="50"/>
      <c r="I1737" s="131"/>
      <c r="J1737" s="131"/>
      <c r="K1737" s="131"/>
      <c r="L1737" s="131"/>
      <c r="M1737" s="131"/>
      <c r="N1737" s="43"/>
      <c r="O1737" s="51"/>
    </row>
    <row r="1738">
      <c r="A1738" s="43"/>
      <c r="B1738" s="59" t="str">
        <f>IFERROR(VLOOKUP(A1738,Internal_lists_bugs!$A$2:$G2033,7,FALSE()),"please select a BUG ID")</f>
        <v>please select a BUG ID</v>
      </c>
      <c r="C1738" s="51" t="str">
        <f>IFERROR(VLOOKUP(A1738,Internal_lists_bugs!$A$2:$I2033,9,FALSE()),"please select a BUG ID")</f>
        <v>please select a BUG ID</v>
      </c>
      <c r="D1738" s="85"/>
      <c r="E1738" s="85"/>
      <c r="F1738" s="133"/>
      <c r="G1738" s="49"/>
      <c r="H1738" s="50"/>
      <c r="I1738" s="131"/>
      <c r="J1738" s="131"/>
      <c r="K1738" s="131"/>
      <c r="L1738" s="131"/>
      <c r="M1738" s="131"/>
      <c r="N1738" s="43"/>
      <c r="O1738" s="51"/>
    </row>
    <row r="1739">
      <c r="A1739" s="43"/>
      <c r="B1739" s="59" t="str">
        <f>IFERROR(VLOOKUP(A1739,Internal_lists_bugs!$A$2:$G2033,7,FALSE()),"please select a BUG ID")</f>
        <v>please select a BUG ID</v>
      </c>
      <c r="C1739" s="51" t="str">
        <f>IFERROR(VLOOKUP(A1739,Internal_lists_bugs!$A$2:$I2033,9,FALSE()),"please select a BUG ID")</f>
        <v>please select a BUG ID</v>
      </c>
      <c r="D1739" s="85"/>
      <c r="E1739" s="85"/>
      <c r="F1739" s="133"/>
      <c r="G1739" s="49"/>
      <c r="H1739" s="50"/>
      <c r="I1739" s="131"/>
      <c r="J1739" s="131"/>
      <c r="K1739" s="131"/>
      <c r="L1739" s="131"/>
      <c r="M1739" s="131"/>
      <c r="N1739" s="43"/>
      <c r="O1739" s="51"/>
    </row>
    <row r="1740">
      <c r="A1740" s="43"/>
      <c r="B1740" s="59" t="str">
        <f>IFERROR(VLOOKUP(A1740,Internal_lists_bugs!$A$2:$G2033,7,FALSE()),"please select a BUG ID")</f>
        <v>please select a BUG ID</v>
      </c>
      <c r="C1740" s="51" t="str">
        <f>IFERROR(VLOOKUP(A1740,Internal_lists_bugs!$A$2:$I2033,9,FALSE()),"please select a BUG ID")</f>
        <v>please select a BUG ID</v>
      </c>
      <c r="D1740" s="85"/>
      <c r="E1740" s="85"/>
      <c r="F1740" s="133"/>
      <c r="G1740" s="49"/>
      <c r="H1740" s="50"/>
      <c r="I1740" s="131"/>
      <c r="J1740" s="131"/>
      <c r="K1740" s="131"/>
      <c r="L1740" s="131"/>
      <c r="M1740" s="131"/>
      <c r="N1740" s="43"/>
      <c r="O1740" s="51"/>
    </row>
    <row r="1741">
      <c r="A1741" s="43"/>
      <c r="B1741" s="59" t="str">
        <f>IFERROR(VLOOKUP(A1741,Internal_lists_bugs!$A$2:$G2033,7,FALSE()),"please select a BUG ID")</f>
        <v>please select a BUG ID</v>
      </c>
      <c r="C1741" s="51" t="str">
        <f>IFERROR(VLOOKUP(A1741,Internal_lists_bugs!$A$2:$I2033,9,FALSE()),"please select a BUG ID")</f>
        <v>please select a BUG ID</v>
      </c>
      <c r="D1741" s="85"/>
      <c r="E1741" s="85"/>
      <c r="F1741" s="133"/>
      <c r="G1741" s="49"/>
      <c r="H1741" s="50"/>
      <c r="I1741" s="131"/>
      <c r="J1741" s="131"/>
      <c r="K1741" s="131"/>
      <c r="L1741" s="131"/>
      <c r="M1741" s="131"/>
      <c r="N1741" s="43"/>
      <c r="O1741" s="51"/>
    </row>
    <row r="1742">
      <c r="A1742" s="43"/>
      <c r="B1742" s="59" t="str">
        <f>IFERROR(VLOOKUP(A1742,Internal_lists_bugs!$A$2:$G2033,7,FALSE()),"please select a BUG ID")</f>
        <v>please select a BUG ID</v>
      </c>
      <c r="C1742" s="51" t="str">
        <f>IFERROR(VLOOKUP(A1742,Internal_lists_bugs!$A$2:$I2033,9,FALSE()),"please select a BUG ID")</f>
        <v>please select a BUG ID</v>
      </c>
      <c r="D1742" s="85"/>
      <c r="E1742" s="85"/>
      <c r="F1742" s="133"/>
      <c r="G1742" s="49"/>
      <c r="H1742" s="50"/>
      <c r="I1742" s="131"/>
      <c r="J1742" s="131"/>
      <c r="K1742" s="131"/>
      <c r="L1742" s="131"/>
      <c r="M1742" s="131"/>
      <c r="N1742" s="43"/>
      <c r="O1742" s="51"/>
    </row>
    <row r="1743">
      <c r="A1743" s="43"/>
      <c r="B1743" s="59" t="str">
        <f>IFERROR(VLOOKUP(A1743,Internal_lists_bugs!$A$2:$G2033,7,FALSE()),"please select a BUG ID")</f>
        <v>please select a BUG ID</v>
      </c>
      <c r="C1743" s="51" t="str">
        <f>IFERROR(VLOOKUP(A1743,Internal_lists_bugs!$A$2:$I2033,9,FALSE()),"please select a BUG ID")</f>
        <v>please select a BUG ID</v>
      </c>
      <c r="D1743" s="85"/>
      <c r="E1743" s="85"/>
      <c r="F1743" s="133"/>
      <c r="G1743" s="49"/>
      <c r="H1743" s="50"/>
      <c r="I1743" s="131"/>
      <c r="J1743" s="131"/>
      <c r="K1743" s="131"/>
      <c r="L1743" s="131"/>
      <c r="M1743" s="131"/>
      <c r="N1743" s="43"/>
      <c r="O1743" s="51"/>
    </row>
    <row r="1744">
      <c r="A1744" s="43"/>
      <c r="B1744" s="59" t="str">
        <f>IFERROR(VLOOKUP(A1744,Internal_lists_bugs!$A$2:$G2033,7,FALSE()),"please select a BUG ID")</f>
        <v>please select a BUG ID</v>
      </c>
      <c r="C1744" s="51" t="str">
        <f>IFERROR(VLOOKUP(A1744,Internal_lists_bugs!$A$2:$I2033,9,FALSE()),"please select a BUG ID")</f>
        <v>please select a BUG ID</v>
      </c>
      <c r="D1744" s="85"/>
      <c r="E1744" s="85"/>
      <c r="F1744" s="133"/>
      <c r="G1744" s="49"/>
      <c r="H1744" s="50"/>
      <c r="I1744" s="131"/>
      <c r="J1744" s="131"/>
      <c r="K1744" s="131"/>
      <c r="L1744" s="131"/>
      <c r="M1744" s="131"/>
      <c r="N1744" s="43"/>
      <c r="O1744" s="51"/>
    </row>
    <row r="1745">
      <c r="A1745" s="43"/>
      <c r="B1745" s="59" t="str">
        <f>IFERROR(VLOOKUP(A1745,Internal_lists_bugs!$A$2:$G2033,7,FALSE()),"please select a BUG ID")</f>
        <v>please select a BUG ID</v>
      </c>
      <c r="C1745" s="51" t="str">
        <f>IFERROR(VLOOKUP(A1745,Internal_lists_bugs!$A$2:$I2033,9,FALSE()),"please select a BUG ID")</f>
        <v>please select a BUG ID</v>
      </c>
      <c r="D1745" s="85"/>
      <c r="E1745" s="85"/>
      <c r="F1745" s="133"/>
      <c r="G1745" s="49"/>
      <c r="H1745" s="50"/>
      <c r="I1745" s="131"/>
      <c r="J1745" s="131"/>
      <c r="K1745" s="131"/>
      <c r="L1745" s="131"/>
      <c r="M1745" s="131"/>
      <c r="N1745" s="43"/>
      <c r="O1745" s="51"/>
    </row>
    <row r="1746">
      <c r="A1746" s="43"/>
      <c r="B1746" s="59" t="str">
        <f>IFERROR(VLOOKUP(A1746,Internal_lists_bugs!$A$2:$G2033,7,FALSE()),"please select a BUG ID")</f>
        <v>please select a BUG ID</v>
      </c>
      <c r="C1746" s="51" t="str">
        <f>IFERROR(VLOOKUP(A1746,Internal_lists_bugs!$A$2:$I2033,9,FALSE()),"please select a BUG ID")</f>
        <v>please select a BUG ID</v>
      </c>
      <c r="D1746" s="85"/>
      <c r="E1746" s="85"/>
      <c r="F1746" s="133"/>
      <c r="G1746" s="49"/>
      <c r="H1746" s="50"/>
      <c r="I1746" s="131"/>
      <c r="J1746" s="131"/>
      <c r="K1746" s="131"/>
      <c r="L1746" s="131"/>
      <c r="M1746" s="131"/>
      <c r="N1746" s="43"/>
      <c r="O1746" s="51"/>
    </row>
    <row r="1747">
      <c r="A1747" s="43"/>
      <c r="B1747" s="59" t="str">
        <f>IFERROR(VLOOKUP(A1747,Internal_lists_bugs!$A$2:$G2033,7,FALSE()),"please select a BUG ID")</f>
        <v>please select a BUG ID</v>
      </c>
      <c r="C1747" s="51" t="str">
        <f>IFERROR(VLOOKUP(A1747,Internal_lists_bugs!$A$2:$I2033,9,FALSE()),"please select a BUG ID")</f>
        <v>please select a BUG ID</v>
      </c>
      <c r="D1747" s="85"/>
      <c r="E1747" s="85"/>
      <c r="F1747" s="133"/>
      <c r="G1747" s="49"/>
      <c r="H1747" s="50"/>
      <c r="I1747" s="131"/>
      <c r="J1747" s="131"/>
      <c r="K1747" s="131"/>
      <c r="L1747" s="131"/>
      <c r="M1747" s="131"/>
      <c r="N1747" s="43"/>
      <c r="O1747" s="51"/>
    </row>
    <row r="1748">
      <c r="A1748" s="43"/>
      <c r="B1748" s="59" t="str">
        <f>IFERROR(VLOOKUP(A1748,Internal_lists_bugs!$A$2:$G2033,7,FALSE()),"please select a BUG ID")</f>
        <v>please select a BUG ID</v>
      </c>
      <c r="C1748" s="51" t="str">
        <f>IFERROR(VLOOKUP(A1748,Internal_lists_bugs!$A$2:$I2033,9,FALSE()),"please select a BUG ID")</f>
        <v>please select a BUG ID</v>
      </c>
      <c r="D1748" s="85"/>
      <c r="E1748" s="85"/>
      <c r="F1748" s="133"/>
      <c r="G1748" s="49"/>
      <c r="H1748" s="50"/>
      <c r="I1748" s="131"/>
      <c r="J1748" s="131"/>
      <c r="K1748" s="131"/>
      <c r="L1748" s="131"/>
      <c r="M1748" s="131"/>
      <c r="N1748" s="43"/>
      <c r="O1748" s="51"/>
    </row>
    <row r="1749">
      <c r="A1749" s="43"/>
      <c r="B1749" s="59" t="str">
        <f>IFERROR(VLOOKUP(A1749,Internal_lists_bugs!$A$2:$G2033,7,FALSE()),"please select a BUG ID")</f>
        <v>please select a BUG ID</v>
      </c>
      <c r="C1749" s="51" t="str">
        <f>IFERROR(VLOOKUP(A1749,Internal_lists_bugs!$A$2:$I2033,9,FALSE()),"please select a BUG ID")</f>
        <v>please select a BUG ID</v>
      </c>
      <c r="D1749" s="85"/>
      <c r="E1749" s="85"/>
      <c r="F1749" s="133"/>
      <c r="G1749" s="49"/>
      <c r="H1749" s="50"/>
      <c r="I1749" s="131"/>
      <c r="J1749" s="131"/>
      <c r="K1749" s="131"/>
      <c r="L1749" s="131"/>
      <c r="M1749" s="131"/>
      <c r="N1749" s="43"/>
      <c r="O1749" s="51"/>
    </row>
    <row r="1750">
      <c r="A1750" s="43"/>
      <c r="B1750" s="59" t="str">
        <f>IFERROR(VLOOKUP(A1750,Internal_lists_bugs!$A$2:$G2033,7,FALSE()),"please select a BUG ID")</f>
        <v>please select a BUG ID</v>
      </c>
      <c r="C1750" s="51" t="str">
        <f>IFERROR(VLOOKUP(A1750,Internal_lists_bugs!$A$2:$I2033,9,FALSE()),"please select a BUG ID")</f>
        <v>please select a BUG ID</v>
      </c>
      <c r="D1750" s="85"/>
      <c r="E1750" s="85"/>
      <c r="F1750" s="133"/>
      <c r="G1750" s="49"/>
      <c r="H1750" s="50"/>
      <c r="I1750" s="131"/>
      <c r="J1750" s="131"/>
      <c r="K1750" s="131"/>
      <c r="L1750" s="131"/>
      <c r="M1750" s="131"/>
      <c r="N1750" s="43"/>
      <c r="O1750" s="51"/>
    </row>
    <row r="1751">
      <c r="A1751" s="43"/>
      <c r="B1751" s="59" t="str">
        <f>IFERROR(VLOOKUP(A1751,Internal_lists_bugs!$A$2:$G2033,7,FALSE()),"please select a BUG ID")</f>
        <v>please select a BUG ID</v>
      </c>
      <c r="C1751" s="51" t="str">
        <f>IFERROR(VLOOKUP(A1751,Internal_lists_bugs!$A$2:$I2033,9,FALSE()),"please select a BUG ID")</f>
        <v>please select a BUG ID</v>
      </c>
      <c r="D1751" s="85"/>
      <c r="E1751" s="85"/>
      <c r="F1751" s="133"/>
      <c r="G1751" s="49"/>
      <c r="H1751" s="50"/>
      <c r="I1751" s="131"/>
      <c r="J1751" s="131"/>
      <c r="K1751" s="131"/>
      <c r="L1751" s="131"/>
      <c r="M1751" s="131"/>
      <c r="N1751" s="43"/>
      <c r="O1751" s="51"/>
    </row>
    <row r="1752">
      <c r="A1752" s="43"/>
      <c r="B1752" s="59" t="str">
        <f>IFERROR(VLOOKUP(A1752,Internal_lists_bugs!$A$2:$G2033,7,FALSE()),"please select a BUG ID")</f>
        <v>please select a BUG ID</v>
      </c>
      <c r="C1752" s="51" t="str">
        <f>IFERROR(VLOOKUP(A1752,Internal_lists_bugs!$A$2:$I2033,9,FALSE()),"please select a BUG ID")</f>
        <v>please select a BUG ID</v>
      </c>
      <c r="D1752" s="85"/>
      <c r="E1752" s="85"/>
      <c r="F1752" s="133"/>
      <c r="G1752" s="49"/>
      <c r="H1752" s="50"/>
      <c r="I1752" s="131"/>
      <c r="J1752" s="131"/>
      <c r="K1752" s="131"/>
      <c r="L1752" s="131"/>
      <c r="M1752" s="131"/>
      <c r="N1752" s="43"/>
      <c r="O1752" s="51"/>
    </row>
    <row r="1753">
      <c r="A1753" s="43"/>
      <c r="B1753" s="59" t="str">
        <f>IFERROR(VLOOKUP(A1753,Internal_lists_bugs!$A$2:$G2033,7,FALSE()),"please select a BUG ID")</f>
        <v>please select a BUG ID</v>
      </c>
      <c r="C1753" s="51" t="str">
        <f>IFERROR(VLOOKUP(A1753,Internal_lists_bugs!$A$2:$I2033,9,FALSE()),"please select a BUG ID")</f>
        <v>please select a BUG ID</v>
      </c>
      <c r="D1753" s="85"/>
      <c r="E1753" s="85"/>
      <c r="F1753" s="133"/>
      <c r="G1753" s="49"/>
      <c r="H1753" s="50"/>
      <c r="I1753" s="131"/>
      <c r="J1753" s="131"/>
      <c r="K1753" s="131"/>
      <c r="L1753" s="131"/>
      <c r="M1753" s="131"/>
      <c r="N1753" s="43"/>
      <c r="O1753" s="51"/>
    </row>
    <row r="1754">
      <c r="A1754" s="43"/>
      <c r="B1754" s="59" t="str">
        <f>IFERROR(VLOOKUP(A1754,Internal_lists_bugs!$A$2:$G2033,7,FALSE()),"please select a BUG ID")</f>
        <v>please select a BUG ID</v>
      </c>
      <c r="C1754" s="51" t="str">
        <f>IFERROR(VLOOKUP(A1754,Internal_lists_bugs!$A$2:$I2033,9,FALSE()),"please select a BUG ID")</f>
        <v>please select a BUG ID</v>
      </c>
      <c r="D1754" s="85"/>
      <c r="E1754" s="85"/>
      <c r="F1754" s="133"/>
      <c r="G1754" s="49"/>
      <c r="H1754" s="50"/>
      <c r="I1754" s="131"/>
      <c r="J1754" s="131"/>
      <c r="K1754" s="131"/>
      <c r="L1754" s="131"/>
      <c r="M1754" s="131"/>
      <c r="N1754" s="43"/>
      <c r="O1754" s="51"/>
    </row>
    <row r="1755">
      <c r="A1755" s="43"/>
      <c r="B1755" s="59" t="str">
        <f>IFERROR(VLOOKUP(A1755,Internal_lists_bugs!$A$2:$G2033,7,FALSE()),"please select a BUG ID")</f>
        <v>please select a BUG ID</v>
      </c>
      <c r="C1755" s="51" t="str">
        <f>IFERROR(VLOOKUP(A1755,Internal_lists_bugs!$A$2:$I2033,9,FALSE()),"please select a BUG ID")</f>
        <v>please select a BUG ID</v>
      </c>
      <c r="D1755" s="85"/>
      <c r="E1755" s="85"/>
      <c r="F1755" s="133"/>
      <c r="G1755" s="49"/>
      <c r="H1755" s="50"/>
      <c r="I1755" s="131"/>
      <c r="J1755" s="131"/>
      <c r="K1755" s="131"/>
      <c r="L1755" s="131"/>
      <c r="M1755" s="131"/>
      <c r="N1755" s="43"/>
      <c r="O1755" s="51"/>
    </row>
    <row r="1756">
      <c r="A1756" s="43"/>
      <c r="B1756" s="59" t="str">
        <f>IFERROR(VLOOKUP(A1756,Internal_lists_bugs!$A$2:$G2033,7,FALSE()),"please select a BUG ID")</f>
        <v>please select a BUG ID</v>
      </c>
      <c r="C1756" s="51" t="str">
        <f>IFERROR(VLOOKUP(A1756,Internal_lists_bugs!$A$2:$I2033,9,FALSE()),"please select a BUG ID")</f>
        <v>please select a BUG ID</v>
      </c>
      <c r="D1756" s="85"/>
      <c r="E1756" s="85"/>
      <c r="F1756" s="133"/>
      <c r="G1756" s="49"/>
      <c r="H1756" s="50"/>
      <c r="I1756" s="131"/>
      <c r="J1756" s="131"/>
      <c r="K1756" s="131"/>
      <c r="L1756" s="131"/>
      <c r="M1756" s="131"/>
      <c r="N1756" s="43"/>
      <c r="O1756" s="51"/>
    </row>
    <row r="1757">
      <c r="A1757" s="43"/>
      <c r="B1757" s="59" t="str">
        <f>IFERROR(VLOOKUP(A1757,Internal_lists_bugs!$A$2:$G2033,7,FALSE()),"please select a BUG ID")</f>
        <v>please select a BUG ID</v>
      </c>
      <c r="C1757" s="51" t="str">
        <f>IFERROR(VLOOKUP(A1757,Internal_lists_bugs!$A$2:$I2033,9,FALSE()),"please select a BUG ID")</f>
        <v>please select a BUG ID</v>
      </c>
      <c r="D1757" s="85"/>
      <c r="E1757" s="85"/>
      <c r="F1757" s="133"/>
      <c r="G1757" s="49"/>
      <c r="H1757" s="50"/>
      <c r="I1757" s="131"/>
      <c r="J1757" s="131"/>
      <c r="K1757" s="131"/>
      <c r="L1757" s="131"/>
      <c r="M1757" s="131"/>
      <c r="N1757" s="43"/>
      <c r="O1757" s="51"/>
    </row>
    <row r="1758">
      <c r="A1758" s="43"/>
      <c r="B1758" s="59" t="str">
        <f>IFERROR(VLOOKUP(A1758,Internal_lists_bugs!$A$2:$G2033,7,FALSE()),"please select a BUG ID")</f>
        <v>please select a BUG ID</v>
      </c>
      <c r="C1758" s="51" t="str">
        <f>IFERROR(VLOOKUP(A1758,Internal_lists_bugs!$A$2:$I2033,9,FALSE()),"please select a BUG ID")</f>
        <v>please select a BUG ID</v>
      </c>
      <c r="D1758" s="85"/>
      <c r="E1758" s="85"/>
      <c r="F1758" s="133"/>
      <c r="G1758" s="49"/>
      <c r="H1758" s="50"/>
      <c r="I1758" s="131"/>
      <c r="J1758" s="131"/>
      <c r="K1758" s="131"/>
      <c r="L1758" s="131"/>
      <c r="M1758" s="131"/>
      <c r="N1758" s="43"/>
      <c r="O1758" s="51"/>
    </row>
    <row r="1759">
      <c r="A1759" s="43"/>
      <c r="B1759" s="59" t="str">
        <f>IFERROR(VLOOKUP(A1759,Internal_lists_bugs!$A$2:$G2033,7,FALSE()),"please select a BUG ID")</f>
        <v>please select a BUG ID</v>
      </c>
      <c r="C1759" s="51" t="str">
        <f>IFERROR(VLOOKUP(A1759,Internal_lists_bugs!$A$2:$I2033,9,FALSE()),"please select a BUG ID")</f>
        <v>please select a BUG ID</v>
      </c>
      <c r="D1759" s="85"/>
      <c r="E1759" s="85"/>
      <c r="F1759" s="133"/>
      <c r="G1759" s="49"/>
      <c r="H1759" s="50"/>
      <c r="I1759" s="131"/>
      <c r="J1759" s="131"/>
      <c r="K1759" s="131"/>
      <c r="L1759" s="131"/>
      <c r="M1759" s="131"/>
      <c r="N1759" s="43"/>
      <c r="O1759" s="51"/>
    </row>
    <row r="1760">
      <c r="A1760" s="43"/>
      <c r="B1760" s="59" t="str">
        <f>IFERROR(VLOOKUP(A1760,Internal_lists_bugs!$A$2:$G2033,7,FALSE()),"please select a BUG ID")</f>
        <v>please select a BUG ID</v>
      </c>
      <c r="C1760" s="51" t="str">
        <f>IFERROR(VLOOKUP(A1760,Internal_lists_bugs!$A$2:$I2033,9,FALSE()),"please select a BUG ID")</f>
        <v>please select a BUG ID</v>
      </c>
      <c r="D1760" s="85"/>
      <c r="E1760" s="85"/>
      <c r="F1760" s="133"/>
      <c r="G1760" s="49"/>
      <c r="H1760" s="50"/>
      <c r="I1760" s="131"/>
      <c r="J1760" s="131"/>
      <c r="K1760" s="131"/>
      <c r="L1760" s="131"/>
      <c r="M1760" s="131"/>
      <c r="N1760" s="43"/>
      <c r="O1760" s="51"/>
    </row>
    <row r="1761">
      <c r="A1761" s="43"/>
      <c r="B1761" s="59" t="str">
        <f>IFERROR(VLOOKUP(A1761,Internal_lists_bugs!$A$2:$G2033,7,FALSE()),"please select a BUG ID")</f>
        <v>please select a BUG ID</v>
      </c>
      <c r="C1761" s="51" t="str">
        <f>IFERROR(VLOOKUP(A1761,Internal_lists_bugs!$A$2:$I2033,9,FALSE()),"please select a BUG ID")</f>
        <v>please select a BUG ID</v>
      </c>
      <c r="D1761" s="85"/>
      <c r="E1761" s="85"/>
      <c r="F1761" s="133"/>
      <c r="G1761" s="49"/>
      <c r="H1761" s="50"/>
      <c r="I1761" s="131"/>
      <c r="J1761" s="131"/>
      <c r="K1761" s="131"/>
      <c r="L1761" s="131"/>
      <c r="M1761" s="131"/>
      <c r="N1761" s="43"/>
      <c r="O1761" s="51"/>
    </row>
    <row r="1762">
      <c r="A1762" s="43"/>
      <c r="B1762" s="59" t="str">
        <f>IFERROR(VLOOKUP(A1762,Internal_lists_bugs!$A$2:$G2033,7,FALSE()),"please select a BUG ID")</f>
        <v>please select a BUG ID</v>
      </c>
      <c r="C1762" s="51" t="str">
        <f>IFERROR(VLOOKUP(A1762,Internal_lists_bugs!$A$2:$I2033,9,FALSE()),"please select a BUG ID")</f>
        <v>please select a BUG ID</v>
      </c>
      <c r="D1762" s="85"/>
      <c r="E1762" s="85"/>
      <c r="F1762" s="133"/>
      <c r="G1762" s="49"/>
      <c r="H1762" s="50"/>
      <c r="I1762" s="131"/>
      <c r="J1762" s="131"/>
      <c r="K1762" s="131"/>
      <c r="L1762" s="131"/>
      <c r="M1762" s="131"/>
      <c r="N1762" s="43"/>
      <c r="O1762" s="51"/>
    </row>
    <row r="1763">
      <c r="A1763" s="43"/>
      <c r="B1763" s="59" t="str">
        <f>IFERROR(VLOOKUP(A1763,Internal_lists_bugs!$A$2:$G2033,7,FALSE()),"please select a BUG ID")</f>
        <v>please select a BUG ID</v>
      </c>
      <c r="C1763" s="51" t="str">
        <f>IFERROR(VLOOKUP(A1763,Internal_lists_bugs!$A$2:$I2033,9,FALSE()),"please select a BUG ID")</f>
        <v>please select a BUG ID</v>
      </c>
      <c r="D1763" s="85"/>
      <c r="E1763" s="85"/>
      <c r="F1763" s="133"/>
      <c r="G1763" s="49"/>
      <c r="H1763" s="50"/>
      <c r="I1763" s="131"/>
      <c r="J1763" s="131"/>
      <c r="K1763" s="131"/>
      <c r="L1763" s="131"/>
      <c r="M1763" s="131"/>
      <c r="N1763" s="43"/>
      <c r="O1763" s="51"/>
    </row>
    <row r="1764">
      <c r="A1764" s="43"/>
      <c r="B1764" s="59" t="str">
        <f>IFERROR(VLOOKUP(A1764,Internal_lists_bugs!$A$2:$G2033,7,FALSE()),"please select a BUG ID")</f>
        <v>please select a BUG ID</v>
      </c>
      <c r="C1764" s="51" t="str">
        <f>IFERROR(VLOOKUP(A1764,Internal_lists_bugs!$A$2:$I2033,9,FALSE()),"please select a BUG ID")</f>
        <v>please select a BUG ID</v>
      </c>
      <c r="D1764" s="85"/>
      <c r="E1764" s="85"/>
      <c r="F1764" s="133"/>
      <c r="G1764" s="49"/>
      <c r="H1764" s="50"/>
      <c r="I1764" s="131"/>
      <c r="J1764" s="131"/>
      <c r="K1764" s="131"/>
      <c r="L1764" s="131"/>
      <c r="M1764" s="131"/>
      <c r="N1764" s="43"/>
      <c r="O1764" s="51"/>
    </row>
    <row r="1765">
      <c r="A1765" s="43"/>
      <c r="B1765" s="59" t="str">
        <f>IFERROR(VLOOKUP(A1765,Internal_lists_bugs!$A$2:$G2033,7,FALSE()),"please select a BUG ID")</f>
        <v>please select a BUG ID</v>
      </c>
      <c r="C1765" s="51" t="str">
        <f>IFERROR(VLOOKUP(A1765,Internal_lists_bugs!$A$2:$I2033,9,FALSE()),"please select a BUG ID")</f>
        <v>please select a BUG ID</v>
      </c>
      <c r="D1765" s="85"/>
      <c r="E1765" s="85"/>
      <c r="F1765" s="133"/>
      <c r="G1765" s="49"/>
      <c r="H1765" s="50"/>
      <c r="I1765" s="131"/>
      <c r="J1765" s="131"/>
      <c r="K1765" s="131"/>
      <c r="L1765" s="131"/>
      <c r="M1765" s="131"/>
      <c r="N1765" s="43"/>
      <c r="O1765" s="51"/>
    </row>
    <row r="1766">
      <c r="A1766" s="43"/>
      <c r="B1766" s="59" t="str">
        <f>IFERROR(VLOOKUP(A1766,Internal_lists_bugs!$A$2:$G2033,7,FALSE()),"please select a BUG ID")</f>
        <v>please select a BUG ID</v>
      </c>
      <c r="C1766" s="51" t="str">
        <f>IFERROR(VLOOKUP(A1766,Internal_lists_bugs!$A$2:$I2033,9,FALSE()),"please select a BUG ID")</f>
        <v>please select a BUG ID</v>
      </c>
      <c r="D1766" s="85"/>
      <c r="E1766" s="85"/>
      <c r="F1766" s="133"/>
      <c r="G1766" s="49"/>
      <c r="H1766" s="50"/>
      <c r="I1766" s="131"/>
      <c r="J1766" s="131"/>
      <c r="K1766" s="131"/>
      <c r="L1766" s="131"/>
      <c r="M1766" s="131"/>
      <c r="N1766" s="43"/>
      <c r="O1766" s="51"/>
    </row>
    <row r="1767">
      <c r="A1767" s="43"/>
      <c r="B1767" s="59" t="str">
        <f>IFERROR(VLOOKUP(A1767,Internal_lists_bugs!$A$2:$G2033,7,FALSE()),"please select a BUG ID")</f>
        <v>please select a BUG ID</v>
      </c>
      <c r="C1767" s="51" t="str">
        <f>IFERROR(VLOOKUP(A1767,Internal_lists_bugs!$A$2:$I2033,9,FALSE()),"please select a BUG ID")</f>
        <v>please select a BUG ID</v>
      </c>
      <c r="D1767" s="85"/>
      <c r="E1767" s="85"/>
      <c r="F1767" s="133"/>
      <c r="G1767" s="49"/>
      <c r="H1767" s="50"/>
      <c r="I1767" s="131"/>
      <c r="J1767" s="131"/>
      <c r="K1767" s="131"/>
      <c r="L1767" s="131"/>
      <c r="M1767" s="131"/>
      <c r="N1767" s="43"/>
      <c r="O1767" s="51"/>
    </row>
    <row r="1768">
      <c r="A1768" s="43"/>
      <c r="B1768" s="59" t="str">
        <f>IFERROR(VLOOKUP(A1768,Internal_lists_bugs!$A$2:$G2033,7,FALSE()),"please select a BUG ID")</f>
        <v>please select a BUG ID</v>
      </c>
      <c r="C1768" s="51" t="str">
        <f>IFERROR(VLOOKUP(A1768,Internal_lists_bugs!$A$2:$I2033,9,FALSE()),"please select a BUG ID")</f>
        <v>please select a BUG ID</v>
      </c>
      <c r="D1768" s="85"/>
      <c r="E1768" s="85"/>
      <c r="F1768" s="133"/>
      <c r="G1768" s="49"/>
      <c r="H1768" s="50"/>
      <c r="I1768" s="131"/>
      <c r="J1768" s="131"/>
      <c r="K1768" s="131"/>
      <c r="L1768" s="131"/>
      <c r="M1768" s="131"/>
      <c r="N1768" s="43"/>
      <c r="O1768" s="51"/>
    </row>
    <row r="1769">
      <c r="A1769" s="43"/>
      <c r="B1769" s="59" t="str">
        <f>IFERROR(VLOOKUP(A1769,Internal_lists_bugs!$A$2:$G2033,7,FALSE()),"please select a BUG ID")</f>
        <v>please select a BUG ID</v>
      </c>
      <c r="C1769" s="51" t="str">
        <f>IFERROR(VLOOKUP(A1769,Internal_lists_bugs!$A$2:$I2033,9,FALSE()),"please select a BUG ID")</f>
        <v>please select a BUG ID</v>
      </c>
      <c r="D1769" s="85"/>
      <c r="E1769" s="85"/>
      <c r="F1769" s="133"/>
      <c r="G1769" s="49"/>
      <c r="H1769" s="50"/>
      <c r="I1769" s="131"/>
      <c r="J1769" s="131"/>
      <c r="K1769" s="131"/>
      <c r="L1769" s="131"/>
      <c r="M1769" s="131"/>
      <c r="N1769" s="43"/>
      <c r="O1769" s="51"/>
    </row>
    <row r="1770">
      <c r="A1770" s="43"/>
      <c r="B1770" s="59" t="str">
        <f>IFERROR(VLOOKUP(A1770,Internal_lists_bugs!$A$2:$G2033,7,FALSE()),"please select a BUG ID")</f>
        <v>please select a BUG ID</v>
      </c>
      <c r="C1770" s="51" t="str">
        <f>IFERROR(VLOOKUP(A1770,Internal_lists_bugs!$A$2:$I2033,9,FALSE()),"please select a BUG ID")</f>
        <v>please select a BUG ID</v>
      </c>
      <c r="D1770" s="85"/>
      <c r="E1770" s="85"/>
      <c r="F1770" s="133"/>
      <c r="G1770" s="49"/>
      <c r="H1770" s="50"/>
      <c r="I1770" s="131"/>
      <c r="J1770" s="131"/>
      <c r="K1770" s="131"/>
      <c r="L1770" s="131"/>
      <c r="M1770" s="131"/>
      <c r="N1770" s="43"/>
      <c r="O1770" s="51"/>
    </row>
    <row r="1771">
      <c r="A1771" s="43"/>
      <c r="B1771" s="59" t="str">
        <f>IFERROR(VLOOKUP(A1771,Internal_lists_bugs!$A$2:$G2033,7,FALSE()),"please select a BUG ID")</f>
        <v>please select a BUG ID</v>
      </c>
      <c r="C1771" s="51" t="str">
        <f>IFERROR(VLOOKUP(A1771,Internal_lists_bugs!$A$2:$I2033,9,FALSE()),"please select a BUG ID")</f>
        <v>please select a BUG ID</v>
      </c>
      <c r="D1771" s="85"/>
      <c r="E1771" s="85"/>
      <c r="F1771" s="133"/>
      <c r="G1771" s="49"/>
      <c r="H1771" s="50"/>
      <c r="I1771" s="131"/>
      <c r="J1771" s="131"/>
      <c r="K1771" s="131"/>
      <c r="L1771" s="131"/>
      <c r="M1771" s="131"/>
      <c r="N1771" s="43"/>
      <c r="O1771" s="51"/>
    </row>
    <row r="1772">
      <c r="A1772" s="43"/>
      <c r="B1772" s="59" t="str">
        <f>IFERROR(VLOOKUP(A1772,Internal_lists_bugs!$A$2:$G2033,7,FALSE()),"please select a BUG ID")</f>
        <v>please select a BUG ID</v>
      </c>
      <c r="C1772" s="51" t="str">
        <f>IFERROR(VLOOKUP(A1772,Internal_lists_bugs!$A$2:$I2033,9,FALSE()),"please select a BUG ID")</f>
        <v>please select a BUG ID</v>
      </c>
      <c r="D1772" s="85"/>
      <c r="E1772" s="85"/>
      <c r="F1772" s="133"/>
      <c r="G1772" s="49"/>
      <c r="H1772" s="50"/>
      <c r="I1772" s="131"/>
      <c r="J1772" s="131"/>
      <c r="K1772" s="131"/>
      <c r="L1772" s="131"/>
      <c r="M1772" s="131"/>
      <c r="N1772" s="43"/>
      <c r="O1772" s="51"/>
    </row>
    <row r="1773">
      <c r="A1773" s="43"/>
      <c r="B1773" s="59" t="str">
        <f>IFERROR(VLOOKUP(A1773,Internal_lists_bugs!$A$2:$G2033,7,FALSE()),"please select a BUG ID")</f>
        <v>please select a BUG ID</v>
      </c>
      <c r="C1773" s="51" t="str">
        <f>IFERROR(VLOOKUP(A1773,Internal_lists_bugs!$A$2:$I2033,9,FALSE()),"please select a BUG ID")</f>
        <v>please select a BUG ID</v>
      </c>
      <c r="D1773" s="85"/>
      <c r="E1773" s="85"/>
      <c r="F1773" s="133"/>
      <c r="G1773" s="49"/>
      <c r="H1773" s="50"/>
      <c r="I1773" s="131"/>
      <c r="J1773" s="131"/>
      <c r="K1773" s="131"/>
      <c r="L1773" s="131"/>
      <c r="M1773" s="131"/>
      <c r="N1773" s="43"/>
      <c r="O1773" s="51"/>
    </row>
    <row r="1774">
      <c r="A1774" s="43"/>
      <c r="B1774" s="59" t="str">
        <f>IFERROR(VLOOKUP(A1774,Internal_lists_bugs!$A$2:$G2033,7,FALSE()),"please select a BUG ID")</f>
        <v>please select a BUG ID</v>
      </c>
      <c r="C1774" s="51" t="str">
        <f>IFERROR(VLOOKUP(A1774,Internal_lists_bugs!$A$2:$I2033,9,FALSE()),"please select a BUG ID")</f>
        <v>please select a BUG ID</v>
      </c>
      <c r="D1774" s="85"/>
      <c r="E1774" s="85"/>
      <c r="F1774" s="133"/>
      <c r="G1774" s="49"/>
      <c r="H1774" s="50"/>
      <c r="I1774" s="131"/>
      <c r="J1774" s="131"/>
      <c r="K1774" s="131"/>
      <c r="L1774" s="131"/>
      <c r="M1774" s="131"/>
      <c r="N1774" s="43"/>
      <c r="O1774" s="51"/>
    </row>
    <row r="1775">
      <c r="A1775" s="43"/>
      <c r="B1775" s="59" t="str">
        <f>IFERROR(VLOOKUP(A1775,Internal_lists_bugs!$A$2:$G2033,7,FALSE()),"please select a BUG ID")</f>
        <v>please select a BUG ID</v>
      </c>
      <c r="C1775" s="51" t="str">
        <f>IFERROR(VLOOKUP(A1775,Internal_lists_bugs!$A$2:$I2033,9,FALSE()),"please select a BUG ID")</f>
        <v>please select a BUG ID</v>
      </c>
      <c r="D1775" s="85"/>
      <c r="E1775" s="85"/>
      <c r="F1775" s="133"/>
      <c r="G1775" s="49"/>
      <c r="H1775" s="50"/>
      <c r="I1775" s="131"/>
      <c r="J1775" s="131"/>
      <c r="K1775" s="131"/>
      <c r="L1775" s="131"/>
      <c r="M1775" s="131"/>
      <c r="N1775" s="43"/>
      <c r="O1775" s="51"/>
    </row>
    <row r="1776">
      <c r="A1776" s="43"/>
      <c r="B1776" s="59" t="str">
        <f>IFERROR(VLOOKUP(A1776,Internal_lists_bugs!$A$2:$G2033,7,FALSE()),"please select a BUG ID")</f>
        <v>please select a BUG ID</v>
      </c>
      <c r="C1776" s="51" t="str">
        <f>IFERROR(VLOOKUP(A1776,Internal_lists_bugs!$A$2:$I2033,9,FALSE()),"please select a BUG ID")</f>
        <v>please select a BUG ID</v>
      </c>
      <c r="D1776" s="85"/>
      <c r="E1776" s="85"/>
      <c r="F1776" s="133"/>
      <c r="G1776" s="49"/>
      <c r="H1776" s="50"/>
      <c r="I1776" s="131"/>
      <c r="J1776" s="131"/>
      <c r="K1776" s="131"/>
      <c r="L1776" s="131"/>
      <c r="M1776" s="131"/>
      <c r="N1776" s="43"/>
      <c r="O1776" s="51"/>
    </row>
    <row r="1777">
      <c r="A1777" s="43"/>
      <c r="B1777" s="59" t="str">
        <f>IFERROR(VLOOKUP(A1777,Internal_lists_bugs!$A$2:$G2033,7,FALSE()),"please select a BUG ID")</f>
        <v>please select a BUG ID</v>
      </c>
      <c r="C1777" s="51" t="str">
        <f>IFERROR(VLOOKUP(A1777,Internal_lists_bugs!$A$2:$I2033,9,FALSE()),"please select a BUG ID")</f>
        <v>please select a BUG ID</v>
      </c>
      <c r="D1777" s="85"/>
      <c r="E1777" s="85"/>
      <c r="F1777" s="133"/>
      <c r="G1777" s="49"/>
      <c r="H1777" s="50"/>
      <c r="I1777" s="131"/>
      <c r="J1777" s="131"/>
      <c r="K1777" s="131"/>
      <c r="L1777" s="131"/>
      <c r="M1777" s="131"/>
      <c r="N1777" s="43"/>
      <c r="O1777" s="51"/>
    </row>
    <row r="1778">
      <c r="A1778" s="43"/>
      <c r="B1778" s="59" t="str">
        <f>IFERROR(VLOOKUP(A1778,Internal_lists_bugs!$A$2:$G2033,7,FALSE()),"please select a BUG ID")</f>
        <v>please select a BUG ID</v>
      </c>
      <c r="C1778" s="51" t="str">
        <f>IFERROR(VLOOKUP(A1778,Internal_lists_bugs!$A$2:$I2033,9,FALSE()),"please select a BUG ID")</f>
        <v>please select a BUG ID</v>
      </c>
      <c r="D1778" s="85"/>
      <c r="E1778" s="85"/>
      <c r="F1778" s="133"/>
      <c r="G1778" s="49"/>
      <c r="H1778" s="50"/>
      <c r="I1778" s="131"/>
      <c r="J1778" s="131"/>
      <c r="K1778" s="131"/>
      <c r="L1778" s="131"/>
      <c r="M1778" s="131"/>
      <c r="N1778" s="43"/>
      <c r="O1778" s="51"/>
    </row>
    <row r="1779">
      <c r="A1779" s="43"/>
      <c r="B1779" s="59" t="str">
        <f>IFERROR(VLOOKUP(A1779,Internal_lists_bugs!$A$2:$G2033,7,FALSE()),"please select a BUG ID")</f>
        <v>please select a BUG ID</v>
      </c>
      <c r="C1779" s="51" t="str">
        <f>IFERROR(VLOOKUP(A1779,Internal_lists_bugs!$A$2:$I2033,9,FALSE()),"please select a BUG ID")</f>
        <v>please select a BUG ID</v>
      </c>
      <c r="D1779" s="85"/>
      <c r="E1779" s="85"/>
      <c r="F1779" s="133"/>
      <c r="G1779" s="49"/>
      <c r="H1779" s="50"/>
      <c r="I1779" s="131"/>
      <c r="J1779" s="131"/>
      <c r="K1779" s="131"/>
      <c r="L1779" s="131"/>
      <c r="M1779" s="131"/>
      <c r="N1779" s="43"/>
      <c r="O1779" s="51"/>
    </row>
    <row r="1780">
      <c r="A1780" s="43"/>
      <c r="B1780" s="59" t="str">
        <f>IFERROR(VLOOKUP(A1780,Internal_lists_bugs!$A$2:$G2033,7,FALSE()),"please select a BUG ID")</f>
        <v>please select a BUG ID</v>
      </c>
      <c r="C1780" s="51" t="str">
        <f>IFERROR(VLOOKUP(A1780,Internal_lists_bugs!$A$2:$I2033,9,FALSE()),"please select a BUG ID")</f>
        <v>please select a BUG ID</v>
      </c>
      <c r="D1780" s="85"/>
      <c r="E1780" s="85"/>
      <c r="F1780" s="133"/>
      <c r="G1780" s="49"/>
      <c r="H1780" s="50"/>
      <c r="I1780" s="131"/>
      <c r="J1780" s="131"/>
      <c r="K1780" s="131"/>
      <c r="L1780" s="131"/>
      <c r="M1780" s="131"/>
      <c r="N1780" s="43"/>
      <c r="O1780" s="51"/>
    </row>
    <row r="1781">
      <c r="A1781" s="43"/>
      <c r="B1781" s="59" t="str">
        <f>IFERROR(VLOOKUP(A1781,Internal_lists_bugs!$A$2:$G2033,7,FALSE()),"please select a BUG ID")</f>
        <v>please select a BUG ID</v>
      </c>
      <c r="C1781" s="51" t="str">
        <f>IFERROR(VLOOKUP(A1781,Internal_lists_bugs!$A$2:$I2033,9,FALSE()),"please select a BUG ID")</f>
        <v>please select a BUG ID</v>
      </c>
      <c r="D1781" s="85"/>
      <c r="E1781" s="85"/>
      <c r="F1781" s="133"/>
      <c r="G1781" s="49"/>
      <c r="H1781" s="50"/>
      <c r="I1781" s="131"/>
      <c r="J1781" s="131"/>
      <c r="K1781" s="131"/>
      <c r="L1781" s="131"/>
      <c r="M1781" s="131"/>
      <c r="N1781" s="43"/>
      <c r="O1781" s="51"/>
    </row>
    <row r="1782">
      <c r="A1782" s="43"/>
      <c r="B1782" s="59" t="str">
        <f>IFERROR(VLOOKUP(A1782,Internal_lists_bugs!$A$2:$G2033,7,FALSE()),"please select a BUG ID")</f>
        <v>please select a BUG ID</v>
      </c>
      <c r="C1782" s="51" t="str">
        <f>IFERROR(VLOOKUP(A1782,Internal_lists_bugs!$A$2:$I2033,9,FALSE()),"please select a BUG ID")</f>
        <v>please select a BUG ID</v>
      </c>
      <c r="D1782" s="85"/>
      <c r="E1782" s="85"/>
      <c r="F1782" s="133"/>
      <c r="G1782" s="49"/>
      <c r="H1782" s="50"/>
      <c r="I1782" s="131"/>
      <c r="J1782" s="131"/>
      <c r="K1782" s="131"/>
      <c r="L1782" s="131"/>
      <c r="M1782" s="131"/>
      <c r="N1782" s="43"/>
      <c r="O1782" s="51"/>
    </row>
    <row r="1783">
      <c r="A1783" s="43"/>
      <c r="B1783" s="59" t="str">
        <f>IFERROR(VLOOKUP(A1783,Internal_lists_bugs!$A$2:$G2033,7,FALSE()),"please select a BUG ID")</f>
        <v>please select a BUG ID</v>
      </c>
      <c r="C1783" s="51" t="str">
        <f>IFERROR(VLOOKUP(A1783,Internal_lists_bugs!$A$2:$I2033,9,FALSE()),"please select a BUG ID")</f>
        <v>please select a BUG ID</v>
      </c>
      <c r="D1783" s="85"/>
      <c r="E1783" s="85"/>
      <c r="F1783" s="133"/>
      <c r="G1783" s="49"/>
      <c r="H1783" s="50"/>
      <c r="I1783" s="131"/>
      <c r="J1783" s="131"/>
      <c r="K1783" s="131"/>
      <c r="L1783" s="131"/>
      <c r="M1783" s="131"/>
      <c r="N1783" s="43"/>
      <c r="O1783" s="51"/>
    </row>
    <row r="1784">
      <c r="A1784" s="43"/>
      <c r="B1784" s="59" t="str">
        <f>IFERROR(VLOOKUP(A1784,Internal_lists_bugs!$A$2:$G2033,7,FALSE()),"please select a BUG ID")</f>
        <v>please select a BUG ID</v>
      </c>
      <c r="C1784" s="51" t="str">
        <f>IFERROR(VLOOKUP(A1784,Internal_lists_bugs!$A$2:$I2033,9,FALSE()),"please select a BUG ID")</f>
        <v>please select a BUG ID</v>
      </c>
      <c r="D1784" s="85"/>
      <c r="E1784" s="85"/>
      <c r="F1784" s="133"/>
      <c r="G1784" s="49"/>
      <c r="H1784" s="50"/>
      <c r="I1784" s="131"/>
      <c r="J1784" s="131"/>
      <c r="K1784" s="131"/>
      <c r="L1784" s="131"/>
      <c r="M1784" s="131"/>
      <c r="N1784" s="43"/>
      <c r="O1784" s="51"/>
    </row>
    <row r="1785">
      <c r="A1785" s="43"/>
      <c r="B1785" s="59" t="str">
        <f>IFERROR(VLOOKUP(A1785,Internal_lists_bugs!$A$2:$G2033,7,FALSE()),"please select a BUG ID")</f>
        <v>please select a BUG ID</v>
      </c>
      <c r="C1785" s="51" t="str">
        <f>IFERROR(VLOOKUP(A1785,Internal_lists_bugs!$A$2:$I2033,9,FALSE()),"please select a BUG ID")</f>
        <v>please select a BUG ID</v>
      </c>
      <c r="D1785" s="85"/>
      <c r="E1785" s="85"/>
      <c r="F1785" s="133"/>
      <c r="G1785" s="49"/>
      <c r="H1785" s="50"/>
      <c r="I1785" s="131"/>
      <c r="J1785" s="131"/>
      <c r="K1785" s="131"/>
      <c r="L1785" s="131"/>
      <c r="M1785" s="131"/>
      <c r="N1785" s="43"/>
      <c r="O1785" s="51"/>
    </row>
    <row r="1786">
      <c r="A1786" s="43"/>
      <c r="B1786" s="59" t="str">
        <f>IFERROR(VLOOKUP(A1786,Internal_lists_bugs!$A$2:$G2033,7,FALSE()),"please select a BUG ID")</f>
        <v>please select a BUG ID</v>
      </c>
      <c r="C1786" s="51" t="str">
        <f>IFERROR(VLOOKUP(A1786,Internal_lists_bugs!$A$2:$I2033,9,FALSE()),"please select a BUG ID")</f>
        <v>please select a BUG ID</v>
      </c>
      <c r="D1786" s="85"/>
      <c r="E1786" s="85"/>
      <c r="F1786" s="133"/>
      <c r="G1786" s="49"/>
      <c r="H1786" s="50"/>
      <c r="I1786" s="131"/>
      <c r="J1786" s="131"/>
      <c r="K1786" s="131"/>
      <c r="L1786" s="131"/>
      <c r="M1786" s="131"/>
      <c r="N1786" s="43"/>
      <c r="O1786" s="51"/>
    </row>
    <row r="1787">
      <c r="A1787" s="43"/>
      <c r="B1787" s="59" t="str">
        <f>IFERROR(VLOOKUP(A1787,Internal_lists_bugs!$A$2:$G2033,7,FALSE()),"please select a BUG ID")</f>
        <v>please select a BUG ID</v>
      </c>
      <c r="C1787" s="51" t="str">
        <f>IFERROR(VLOOKUP(A1787,Internal_lists_bugs!$A$2:$I2033,9,FALSE()),"please select a BUG ID")</f>
        <v>please select a BUG ID</v>
      </c>
      <c r="D1787" s="85"/>
      <c r="E1787" s="85"/>
      <c r="F1787" s="133"/>
      <c r="G1787" s="49"/>
      <c r="H1787" s="50"/>
      <c r="I1787" s="131"/>
      <c r="J1787" s="131"/>
      <c r="K1787" s="131"/>
      <c r="L1787" s="131"/>
      <c r="M1787" s="131"/>
      <c r="N1787" s="43"/>
      <c r="O1787" s="51"/>
    </row>
    <row r="1788">
      <c r="A1788" s="43"/>
      <c r="B1788" s="59" t="str">
        <f>IFERROR(VLOOKUP(A1788,Internal_lists_bugs!$A$2:$G2033,7,FALSE()),"please select a BUG ID")</f>
        <v>please select a BUG ID</v>
      </c>
      <c r="C1788" s="51" t="str">
        <f>IFERROR(VLOOKUP(A1788,Internal_lists_bugs!$A$2:$I2033,9,FALSE()),"please select a BUG ID")</f>
        <v>please select a BUG ID</v>
      </c>
      <c r="D1788" s="85"/>
      <c r="E1788" s="85"/>
      <c r="F1788" s="133"/>
      <c r="G1788" s="49"/>
      <c r="H1788" s="50"/>
      <c r="I1788" s="131"/>
      <c r="J1788" s="131"/>
      <c r="K1788" s="131"/>
      <c r="L1788" s="131"/>
      <c r="M1788" s="131"/>
      <c r="N1788" s="43"/>
      <c r="O1788" s="51"/>
    </row>
    <row r="1789">
      <c r="A1789" s="43"/>
      <c r="B1789" s="59" t="str">
        <f>IFERROR(VLOOKUP(A1789,Internal_lists_bugs!$A$2:$G2033,7,FALSE()),"please select a BUG ID")</f>
        <v>please select a BUG ID</v>
      </c>
      <c r="C1789" s="51" t="str">
        <f>IFERROR(VLOOKUP(A1789,Internal_lists_bugs!$A$2:$I2033,9,FALSE()),"please select a BUG ID")</f>
        <v>please select a BUG ID</v>
      </c>
      <c r="D1789" s="85"/>
      <c r="E1789" s="85"/>
      <c r="F1789" s="133"/>
      <c r="G1789" s="49"/>
      <c r="H1789" s="50"/>
      <c r="I1789" s="131"/>
      <c r="J1789" s="131"/>
      <c r="K1789" s="131"/>
      <c r="L1789" s="131"/>
      <c r="M1789" s="131"/>
      <c r="N1789" s="43"/>
      <c r="O1789" s="51"/>
    </row>
    <row r="1790">
      <c r="A1790" s="43"/>
      <c r="B1790" s="59" t="str">
        <f>IFERROR(VLOOKUP(A1790,Internal_lists_bugs!$A$2:$G2033,7,FALSE()),"please select a BUG ID")</f>
        <v>please select a BUG ID</v>
      </c>
      <c r="C1790" s="51" t="str">
        <f>IFERROR(VLOOKUP(A1790,Internal_lists_bugs!$A$2:$I2033,9,FALSE()),"please select a BUG ID")</f>
        <v>please select a BUG ID</v>
      </c>
      <c r="D1790" s="85"/>
      <c r="E1790" s="85"/>
      <c r="F1790" s="133"/>
      <c r="G1790" s="49"/>
      <c r="H1790" s="50"/>
      <c r="I1790" s="131"/>
      <c r="J1790" s="131"/>
      <c r="K1790" s="131"/>
      <c r="L1790" s="131"/>
      <c r="M1790" s="131"/>
      <c r="N1790" s="43"/>
      <c r="O1790" s="51"/>
    </row>
    <row r="1791">
      <c r="A1791" s="43"/>
      <c r="B1791" s="59" t="str">
        <f>IFERROR(VLOOKUP(A1791,Internal_lists_bugs!$A$2:$G2033,7,FALSE()),"please select a BUG ID")</f>
        <v>please select a BUG ID</v>
      </c>
      <c r="C1791" s="51" t="str">
        <f>IFERROR(VLOOKUP(A1791,Internal_lists_bugs!$A$2:$I2033,9,FALSE()),"please select a BUG ID")</f>
        <v>please select a BUG ID</v>
      </c>
      <c r="D1791" s="85"/>
      <c r="E1791" s="85"/>
      <c r="F1791" s="133"/>
      <c r="G1791" s="49"/>
      <c r="H1791" s="50"/>
      <c r="I1791" s="131"/>
      <c r="J1791" s="131"/>
      <c r="K1791" s="131"/>
      <c r="L1791" s="131"/>
      <c r="M1791" s="131"/>
      <c r="N1791" s="43"/>
      <c r="O1791" s="51"/>
    </row>
    <row r="1792">
      <c r="A1792" s="43"/>
      <c r="B1792" s="59" t="str">
        <f>IFERROR(VLOOKUP(A1792,Internal_lists_bugs!$A$2:$G2033,7,FALSE()),"please select a BUG ID")</f>
        <v>please select a BUG ID</v>
      </c>
      <c r="C1792" s="51" t="str">
        <f>IFERROR(VLOOKUP(A1792,Internal_lists_bugs!$A$2:$I2033,9,FALSE()),"please select a BUG ID")</f>
        <v>please select a BUG ID</v>
      </c>
      <c r="D1792" s="85"/>
      <c r="E1792" s="85"/>
      <c r="F1792" s="133"/>
      <c r="G1792" s="49"/>
      <c r="H1792" s="50"/>
      <c r="I1792" s="131"/>
      <c r="J1792" s="131"/>
      <c r="K1792" s="131"/>
      <c r="L1792" s="131"/>
      <c r="M1792" s="131"/>
      <c r="N1792" s="43"/>
      <c r="O1792" s="51"/>
    </row>
    <row r="1793">
      <c r="A1793" s="43"/>
      <c r="B1793" s="59" t="str">
        <f>IFERROR(VLOOKUP(A1793,Internal_lists_bugs!$A$2:$G2033,7,FALSE()),"please select a BUG ID")</f>
        <v>please select a BUG ID</v>
      </c>
      <c r="C1793" s="51" t="str">
        <f>IFERROR(VLOOKUP(A1793,Internal_lists_bugs!$A$2:$I2033,9,FALSE()),"please select a BUG ID")</f>
        <v>please select a BUG ID</v>
      </c>
      <c r="D1793" s="85"/>
      <c r="E1793" s="85"/>
      <c r="F1793" s="133"/>
      <c r="G1793" s="49"/>
      <c r="H1793" s="50"/>
      <c r="I1793" s="131"/>
      <c r="J1793" s="131"/>
      <c r="K1793" s="131"/>
      <c r="L1793" s="131"/>
      <c r="M1793" s="131"/>
      <c r="N1793" s="43"/>
      <c r="O1793" s="51"/>
    </row>
    <row r="1794">
      <c r="A1794" s="43"/>
      <c r="B1794" s="59" t="str">
        <f>IFERROR(VLOOKUP(A1794,Internal_lists_bugs!$A$2:$G2033,7,FALSE()),"please select a BUG ID")</f>
        <v>please select a BUG ID</v>
      </c>
      <c r="C1794" s="51" t="str">
        <f>IFERROR(VLOOKUP(A1794,Internal_lists_bugs!$A$2:$I2033,9,FALSE()),"please select a BUG ID")</f>
        <v>please select a BUG ID</v>
      </c>
      <c r="D1794" s="85"/>
      <c r="E1794" s="85"/>
      <c r="F1794" s="133"/>
      <c r="G1794" s="49"/>
      <c r="H1794" s="50"/>
      <c r="I1794" s="131"/>
      <c r="J1794" s="131"/>
      <c r="K1794" s="131"/>
      <c r="L1794" s="131"/>
      <c r="M1794" s="131"/>
      <c r="N1794" s="43"/>
      <c r="O1794" s="51"/>
    </row>
    <row r="1795">
      <c r="A1795" s="43"/>
      <c r="B1795" s="59" t="str">
        <f>IFERROR(VLOOKUP(A1795,Internal_lists_bugs!$A$2:$G2033,7,FALSE()),"please select a BUG ID")</f>
        <v>please select a BUG ID</v>
      </c>
      <c r="C1795" s="51" t="str">
        <f>IFERROR(VLOOKUP(A1795,Internal_lists_bugs!$A$2:$I2033,9,FALSE()),"please select a BUG ID")</f>
        <v>please select a BUG ID</v>
      </c>
      <c r="D1795" s="85"/>
      <c r="E1795" s="85"/>
      <c r="F1795" s="133"/>
      <c r="G1795" s="49"/>
      <c r="H1795" s="50"/>
      <c r="I1795" s="131"/>
      <c r="J1795" s="131"/>
      <c r="K1795" s="131"/>
      <c r="L1795" s="131"/>
      <c r="M1795" s="131"/>
      <c r="N1795" s="43"/>
      <c r="O1795" s="51"/>
    </row>
    <row r="1796">
      <c r="A1796" s="43"/>
      <c r="B1796" s="59" t="str">
        <f>IFERROR(VLOOKUP(A1796,Internal_lists_bugs!$A$2:$G2033,7,FALSE()),"please select a BUG ID")</f>
        <v>please select a BUG ID</v>
      </c>
      <c r="C1796" s="51" t="str">
        <f>IFERROR(VLOOKUP(A1796,Internal_lists_bugs!$A$2:$I2033,9,FALSE()),"please select a BUG ID")</f>
        <v>please select a BUG ID</v>
      </c>
      <c r="D1796" s="85"/>
      <c r="E1796" s="85"/>
      <c r="F1796" s="133"/>
      <c r="G1796" s="49"/>
      <c r="H1796" s="50"/>
      <c r="I1796" s="131"/>
      <c r="J1796" s="131"/>
      <c r="K1796" s="131"/>
      <c r="L1796" s="131"/>
      <c r="M1796" s="131"/>
      <c r="N1796" s="43"/>
      <c r="O1796" s="51"/>
    </row>
    <row r="1797">
      <c r="A1797" s="43"/>
      <c r="B1797" s="59" t="str">
        <f>IFERROR(VLOOKUP(A1797,Internal_lists_bugs!$A$2:$G2033,7,FALSE()),"please select a BUG ID")</f>
        <v>please select a BUG ID</v>
      </c>
      <c r="C1797" s="51" t="str">
        <f>IFERROR(VLOOKUP(A1797,Internal_lists_bugs!$A$2:$I2033,9,FALSE()),"please select a BUG ID")</f>
        <v>please select a BUG ID</v>
      </c>
      <c r="D1797" s="85"/>
      <c r="E1797" s="85"/>
      <c r="F1797" s="133"/>
      <c r="G1797" s="49"/>
      <c r="H1797" s="50"/>
      <c r="I1797" s="131"/>
      <c r="J1797" s="131"/>
      <c r="K1797" s="131"/>
      <c r="L1797" s="131"/>
      <c r="M1797" s="131"/>
      <c r="N1797" s="43"/>
      <c r="O1797" s="51"/>
    </row>
    <row r="1798">
      <c r="A1798" s="43"/>
      <c r="B1798" s="59" t="str">
        <f>IFERROR(VLOOKUP(A1798,Internal_lists_bugs!$A$2:$G2033,7,FALSE()),"please select a BUG ID")</f>
        <v>please select a BUG ID</v>
      </c>
      <c r="C1798" s="51" t="str">
        <f>IFERROR(VLOOKUP(A1798,Internal_lists_bugs!$A$2:$I2033,9,FALSE()),"please select a BUG ID")</f>
        <v>please select a BUG ID</v>
      </c>
      <c r="D1798" s="85"/>
      <c r="E1798" s="85"/>
      <c r="F1798" s="133"/>
      <c r="G1798" s="49"/>
      <c r="H1798" s="50"/>
      <c r="I1798" s="131"/>
      <c r="J1798" s="131"/>
      <c r="K1798" s="131"/>
      <c r="L1798" s="131"/>
      <c r="M1798" s="131"/>
      <c r="N1798" s="43"/>
      <c r="O1798" s="51"/>
    </row>
    <row r="1799">
      <c r="A1799" s="43"/>
      <c r="B1799" s="59" t="str">
        <f>IFERROR(VLOOKUP(A1799,Internal_lists_bugs!$A$2:$G2033,7,FALSE()),"please select a BUG ID")</f>
        <v>please select a BUG ID</v>
      </c>
      <c r="C1799" s="51" t="str">
        <f>IFERROR(VLOOKUP(A1799,Internal_lists_bugs!$A$2:$I2033,9,FALSE()),"please select a BUG ID")</f>
        <v>please select a BUG ID</v>
      </c>
      <c r="D1799" s="85"/>
      <c r="E1799" s="85"/>
      <c r="F1799" s="133"/>
      <c r="G1799" s="49"/>
      <c r="H1799" s="50"/>
      <c r="I1799" s="131"/>
      <c r="J1799" s="131"/>
      <c r="K1799" s="131"/>
      <c r="L1799" s="131"/>
      <c r="M1799" s="131"/>
      <c r="N1799" s="43"/>
      <c r="O1799" s="51"/>
    </row>
    <row r="1800">
      <c r="A1800" s="43"/>
      <c r="B1800" s="59" t="str">
        <f>IFERROR(VLOOKUP(A1800,Internal_lists_bugs!$A$2:$G2033,7,FALSE()),"please select a BUG ID")</f>
        <v>please select a BUG ID</v>
      </c>
      <c r="C1800" s="51" t="str">
        <f>IFERROR(VLOOKUP(A1800,Internal_lists_bugs!$A$2:$I2033,9,FALSE()),"please select a BUG ID")</f>
        <v>please select a BUG ID</v>
      </c>
      <c r="D1800" s="85"/>
      <c r="E1800" s="85"/>
      <c r="F1800" s="133"/>
      <c r="G1800" s="49"/>
      <c r="H1800" s="50"/>
      <c r="I1800" s="131"/>
      <c r="J1800" s="131"/>
      <c r="K1800" s="131"/>
      <c r="L1800" s="131"/>
      <c r="M1800" s="131"/>
      <c r="N1800" s="43"/>
      <c r="O1800" s="51"/>
    </row>
    <row r="1801">
      <c r="A1801" s="43"/>
      <c r="B1801" s="59" t="str">
        <f>IFERROR(VLOOKUP(A1801,Internal_lists_bugs!$A$2:$G2033,7,FALSE()),"please select a BUG ID")</f>
        <v>please select a BUG ID</v>
      </c>
      <c r="C1801" s="51" t="str">
        <f>IFERROR(VLOOKUP(A1801,Internal_lists_bugs!$A$2:$I2033,9,FALSE()),"please select a BUG ID")</f>
        <v>please select a BUG ID</v>
      </c>
      <c r="D1801" s="85"/>
      <c r="E1801" s="85"/>
      <c r="F1801" s="133"/>
      <c r="G1801" s="49"/>
      <c r="H1801" s="50"/>
      <c r="I1801" s="131"/>
      <c r="J1801" s="131"/>
      <c r="K1801" s="131"/>
      <c r="L1801" s="131"/>
      <c r="M1801" s="131"/>
      <c r="N1801" s="43"/>
      <c r="O1801" s="51"/>
    </row>
    <row r="1802">
      <c r="A1802" s="43"/>
      <c r="B1802" s="59" t="str">
        <f>IFERROR(VLOOKUP(A1802,Internal_lists_bugs!$A$2:$G2033,7,FALSE()),"please select a BUG ID")</f>
        <v>please select a BUG ID</v>
      </c>
      <c r="C1802" s="51" t="str">
        <f>IFERROR(VLOOKUP(A1802,Internal_lists_bugs!$A$2:$I2033,9,FALSE()),"please select a BUG ID")</f>
        <v>please select a BUG ID</v>
      </c>
      <c r="D1802" s="85"/>
      <c r="E1802" s="85"/>
      <c r="F1802" s="133"/>
      <c r="G1802" s="49"/>
      <c r="H1802" s="50"/>
      <c r="I1802" s="131"/>
      <c r="J1802" s="131"/>
      <c r="K1802" s="131"/>
      <c r="L1802" s="131"/>
      <c r="M1802" s="131"/>
      <c r="N1802" s="43"/>
      <c r="O1802" s="51"/>
    </row>
    <row r="1803">
      <c r="A1803" s="43"/>
      <c r="B1803" s="59" t="str">
        <f>IFERROR(VLOOKUP(A1803,Internal_lists_bugs!$A$2:$G2033,7,FALSE()),"please select a BUG ID")</f>
        <v>please select a BUG ID</v>
      </c>
      <c r="C1803" s="51" t="str">
        <f>IFERROR(VLOOKUP(A1803,Internal_lists_bugs!$A$2:$I2033,9,FALSE()),"please select a BUG ID")</f>
        <v>please select a BUG ID</v>
      </c>
      <c r="D1803" s="85"/>
      <c r="E1803" s="85"/>
      <c r="F1803" s="133"/>
      <c r="G1803" s="49"/>
      <c r="H1803" s="50"/>
      <c r="I1803" s="131"/>
      <c r="J1803" s="131"/>
      <c r="K1803" s="131"/>
      <c r="L1803" s="131"/>
      <c r="M1803" s="131"/>
      <c r="N1803" s="43"/>
      <c r="O1803" s="51"/>
    </row>
    <row r="1804">
      <c r="A1804" s="43"/>
      <c r="B1804" s="59" t="str">
        <f>IFERROR(VLOOKUP(A1804,Internal_lists_bugs!$A$2:$G2033,7,FALSE()),"please select a BUG ID")</f>
        <v>please select a BUG ID</v>
      </c>
      <c r="C1804" s="51" t="str">
        <f>IFERROR(VLOOKUP(A1804,Internal_lists_bugs!$A$2:$I2033,9,FALSE()),"please select a BUG ID")</f>
        <v>please select a BUG ID</v>
      </c>
      <c r="D1804" s="85"/>
      <c r="E1804" s="85"/>
      <c r="F1804" s="133"/>
      <c r="G1804" s="49"/>
      <c r="H1804" s="50"/>
      <c r="I1804" s="131"/>
      <c r="J1804" s="131"/>
      <c r="K1804" s="131"/>
      <c r="L1804" s="131"/>
      <c r="M1804" s="131"/>
      <c r="N1804" s="43"/>
      <c r="O1804" s="51"/>
    </row>
    <row r="1805">
      <c r="A1805" s="43"/>
      <c r="B1805" s="59" t="str">
        <f>IFERROR(VLOOKUP(A1805,Internal_lists_bugs!$A$2:$G2033,7,FALSE()),"please select a BUG ID")</f>
        <v>please select a BUG ID</v>
      </c>
      <c r="C1805" s="51" t="str">
        <f>IFERROR(VLOOKUP(A1805,Internal_lists_bugs!$A$2:$I2033,9,FALSE()),"please select a BUG ID")</f>
        <v>please select a BUG ID</v>
      </c>
      <c r="D1805" s="85"/>
      <c r="E1805" s="85"/>
      <c r="F1805" s="133"/>
      <c r="G1805" s="49"/>
      <c r="H1805" s="50"/>
      <c r="I1805" s="131"/>
      <c r="J1805" s="131"/>
      <c r="K1805" s="131"/>
      <c r="L1805" s="131"/>
      <c r="M1805" s="131"/>
      <c r="N1805" s="43"/>
      <c r="O1805" s="51"/>
    </row>
    <row r="1806">
      <c r="A1806" s="43"/>
      <c r="B1806" s="59" t="str">
        <f>IFERROR(VLOOKUP(A1806,Internal_lists_bugs!$A$2:$G2033,7,FALSE()),"please select a BUG ID")</f>
        <v>please select a BUG ID</v>
      </c>
      <c r="C1806" s="51" t="str">
        <f>IFERROR(VLOOKUP(A1806,Internal_lists_bugs!$A$2:$I2033,9,FALSE()),"please select a BUG ID")</f>
        <v>please select a BUG ID</v>
      </c>
      <c r="D1806" s="85"/>
      <c r="E1806" s="85"/>
      <c r="F1806" s="133"/>
      <c r="G1806" s="49"/>
      <c r="H1806" s="50"/>
      <c r="I1806" s="131"/>
      <c r="J1806" s="131"/>
      <c r="K1806" s="131"/>
      <c r="L1806" s="131"/>
      <c r="M1806" s="131"/>
      <c r="N1806" s="43"/>
      <c r="O1806" s="51"/>
    </row>
    <row r="1807">
      <c r="A1807" s="43"/>
      <c r="B1807" s="59" t="str">
        <f>IFERROR(VLOOKUP(A1807,Internal_lists_bugs!$A$2:$G2033,7,FALSE()),"please select a BUG ID")</f>
        <v>please select a BUG ID</v>
      </c>
      <c r="C1807" s="51" t="str">
        <f>IFERROR(VLOOKUP(A1807,Internal_lists_bugs!$A$2:$I2033,9,FALSE()),"please select a BUG ID")</f>
        <v>please select a BUG ID</v>
      </c>
      <c r="D1807" s="85"/>
      <c r="E1807" s="85"/>
      <c r="F1807" s="133"/>
      <c r="G1807" s="49"/>
      <c r="H1807" s="50"/>
      <c r="I1807" s="131"/>
      <c r="J1807" s="131"/>
      <c r="K1807" s="131"/>
      <c r="L1807" s="131"/>
      <c r="M1807" s="131"/>
      <c r="N1807" s="43"/>
      <c r="O1807" s="51"/>
    </row>
    <row r="1808">
      <c r="A1808" s="43"/>
      <c r="B1808" s="59" t="str">
        <f>IFERROR(VLOOKUP(A1808,Internal_lists_bugs!$A$2:$G2033,7,FALSE()),"please select a BUG ID")</f>
        <v>please select a BUG ID</v>
      </c>
      <c r="C1808" s="51" t="str">
        <f>IFERROR(VLOOKUP(A1808,Internal_lists_bugs!$A$2:$I2033,9,FALSE()),"please select a BUG ID")</f>
        <v>please select a BUG ID</v>
      </c>
      <c r="D1808" s="85"/>
      <c r="E1808" s="85"/>
      <c r="F1808" s="133"/>
      <c r="G1808" s="49"/>
      <c r="H1808" s="50"/>
      <c r="I1808" s="131"/>
      <c r="J1808" s="131"/>
      <c r="K1808" s="131"/>
      <c r="L1808" s="131"/>
      <c r="M1808" s="131"/>
      <c r="N1808" s="43"/>
      <c r="O1808" s="51"/>
    </row>
    <row r="1809">
      <c r="A1809" s="43"/>
      <c r="B1809" s="59" t="str">
        <f>IFERROR(VLOOKUP(A1809,Internal_lists_bugs!$A$2:$G2033,7,FALSE()),"please select a BUG ID")</f>
        <v>please select a BUG ID</v>
      </c>
      <c r="C1809" s="51" t="str">
        <f>IFERROR(VLOOKUP(A1809,Internal_lists_bugs!$A$2:$I2033,9,FALSE()),"please select a BUG ID")</f>
        <v>please select a BUG ID</v>
      </c>
      <c r="D1809" s="85"/>
      <c r="E1809" s="85"/>
      <c r="F1809" s="133"/>
      <c r="G1809" s="49"/>
      <c r="H1809" s="50"/>
      <c r="I1809" s="131"/>
      <c r="J1809" s="131"/>
      <c r="K1809" s="131"/>
      <c r="L1809" s="131"/>
      <c r="M1809" s="131"/>
      <c r="N1809" s="43"/>
      <c r="O1809" s="51"/>
    </row>
    <row r="1810">
      <c r="A1810" s="43"/>
      <c r="B1810" s="59" t="str">
        <f>IFERROR(VLOOKUP(A1810,Internal_lists_bugs!$A$2:$G2033,7,FALSE()),"please select a BUG ID")</f>
        <v>please select a BUG ID</v>
      </c>
      <c r="C1810" s="51" t="str">
        <f>IFERROR(VLOOKUP(A1810,Internal_lists_bugs!$A$2:$I2033,9,FALSE()),"please select a BUG ID")</f>
        <v>please select a BUG ID</v>
      </c>
      <c r="D1810" s="85"/>
      <c r="E1810" s="85"/>
      <c r="F1810" s="133"/>
      <c r="G1810" s="49"/>
      <c r="H1810" s="50"/>
      <c r="I1810" s="131"/>
      <c r="J1810" s="131"/>
      <c r="K1810" s="131"/>
      <c r="L1810" s="131"/>
      <c r="M1810" s="131"/>
      <c r="N1810" s="43"/>
      <c r="O1810" s="51"/>
    </row>
    <row r="1811">
      <c r="A1811" s="43"/>
      <c r="B1811" s="59" t="str">
        <f>IFERROR(VLOOKUP(A1811,Internal_lists_bugs!$A$2:$G2033,7,FALSE()),"please select a BUG ID")</f>
        <v>please select a BUG ID</v>
      </c>
      <c r="C1811" s="51" t="str">
        <f>IFERROR(VLOOKUP(A1811,Internal_lists_bugs!$A$2:$I2033,9,FALSE()),"please select a BUG ID")</f>
        <v>please select a BUG ID</v>
      </c>
      <c r="D1811" s="85"/>
      <c r="E1811" s="85"/>
      <c r="F1811" s="133"/>
      <c r="G1811" s="49"/>
      <c r="H1811" s="50"/>
      <c r="I1811" s="131"/>
      <c r="J1811" s="131"/>
      <c r="K1811" s="131"/>
      <c r="L1811" s="131"/>
      <c r="M1811" s="131"/>
      <c r="N1811" s="43"/>
      <c r="O1811" s="51"/>
    </row>
    <row r="1812">
      <c r="A1812" s="43"/>
      <c r="B1812" s="59" t="str">
        <f>IFERROR(VLOOKUP(A1812,Internal_lists_bugs!$A$2:$G2033,7,FALSE()),"please select a BUG ID")</f>
        <v>please select a BUG ID</v>
      </c>
      <c r="C1812" s="51" t="str">
        <f>IFERROR(VLOOKUP(A1812,Internal_lists_bugs!$A$2:$I2033,9,FALSE()),"please select a BUG ID")</f>
        <v>please select a BUG ID</v>
      </c>
      <c r="D1812" s="85"/>
      <c r="E1812" s="85"/>
      <c r="F1812" s="133"/>
      <c r="G1812" s="49"/>
      <c r="H1812" s="50"/>
      <c r="I1812" s="131"/>
      <c r="J1812" s="131"/>
      <c r="K1812" s="131"/>
      <c r="L1812" s="131"/>
      <c r="M1812" s="131"/>
      <c r="N1812" s="43"/>
      <c r="O1812" s="51"/>
    </row>
    <row r="1813">
      <c r="A1813" s="43"/>
      <c r="B1813" s="59" t="str">
        <f>IFERROR(VLOOKUP(A1813,Internal_lists_bugs!$A$2:$G2033,7,FALSE()),"please select a BUG ID")</f>
        <v>please select a BUG ID</v>
      </c>
      <c r="C1813" s="51" t="str">
        <f>IFERROR(VLOOKUP(A1813,Internal_lists_bugs!$A$2:$I2033,9,FALSE()),"please select a BUG ID")</f>
        <v>please select a BUG ID</v>
      </c>
      <c r="D1813" s="85"/>
      <c r="E1813" s="85"/>
      <c r="F1813" s="133"/>
      <c r="G1813" s="49"/>
      <c r="H1813" s="50"/>
      <c r="I1813" s="131"/>
      <c r="J1813" s="131"/>
      <c r="K1813" s="131"/>
      <c r="L1813" s="131"/>
      <c r="M1813" s="131"/>
      <c r="N1813" s="43"/>
      <c r="O1813" s="51"/>
    </row>
    <row r="1814">
      <c r="A1814" s="43"/>
      <c r="B1814" s="59" t="str">
        <f>IFERROR(VLOOKUP(A1814,Internal_lists_bugs!$A$2:$G2033,7,FALSE()),"please select a BUG ID")</f>
        <v>please select a BUG ID</v>
      </c>
      <c r="C1814" s="51" t="str">
        <f>IFERROR(VLOOKUP(A1814,Internal_lists_bugs!$A$2:$I2033,9,FALSE()),"please select a BUG ID")</f>
        <v>please select a BUG ID</v>
      </c>
      <c r="D1814" s="85"/>
      <c r="E1814" s="85"/>
      <c r="F1814" s="133"/>
      <c r="G1814" s="49"/>
      <c r="H1814" s="50"/>
      <c r="I1814" s="131"/>
      <c r="J1814" s="131"/>
      <c r="K1814" s="131"/>
      <c r="L1814" s="131"/>
      <c r="M1814" s="131"/>
      <c r="N1814" s="43"/>
      <c r="O1814" s="51"/>
    </row>
    <row r="1815">
      <c r="A1815" s="43"/>
      <c r="B1815" s="59" t="str">
        <f>IFERROR(VLOOKUP(A1815,Internal_lists_bugs!$A$2:$G2033,7,FALSE()),"please select a BUG ID")</f>
        <v>please select a BUG ID</v>
      </c>
      <c r="C1815" s="51" t="str">
        <f>IFERROR(VLOOKUP(A1815,Internal_lists_bugs!$A$2:$I2033,9,FALSE()),"please select a BUG ID")</f>
        <v>please select a BUG ID</v>
      </c>
      <c r="D1815" s="85"/>
      <c r="E1815" s="85"/>
      <c r="F1815" s="133"/>
      <c r="G1815" s="49"/>
      <c r="H1815" s="50"/>
      <c r="I1815" s="131"/>
      <c r="J1815" s="131"/>
      <c r="K1815" s="131"/>
      <c r="L1815" s="131"/>
      <c r="M1815" s="131"/>
      <c r="N1815" s="43"/>
      <c r="O1815" s="51"/>
    </row>
    <row r="1816">
      <c r="A1816" s="43"/>
      <c r="B1816" s="59" t="str">
        <f>IFERROR(VLOOKUP(A1816,Internal_lists_bugs!$A$2:$G2033,7,FALSE()),"please select a BUG ID")</f>
        <v>please select a BUG ID</v>
      </c>
      <c r="C1816" s="51" t="str">
        <f>IFERROR(VLOOKUP(A1816,Internal_lists_bugs!$A$2:$I2033,9,FALSE()),"please select a BUG ID")</f>
        <v>please select a BUG ID</v>
      </c>
      <c r="D1816" s="85"/>
      <c r="E1816" s="85"/>
      <c r="F1816" s="133"/>
      <c r="G1816" s="49"/>
      <c r="H1816" s="50"/>
      <c r="I1816" s="131"/>
      <c r="J1816" s="131"/>
      <c r="K1816" s="131"/>
      <c r="L1816" s="131"/>
      <c r="M1816" s="131"/>
      <c r="N1816" s="43"/>
      <c r="O1816" s="51"/>
    </row>
    <row r="1817">
      <c r="A1817" s="43"/>
      <c r="B1817" s="59" t="str">
        <f>IFERROR(VLOOKUP(A1817,Internal_lists_bugs!$A$2:$G2033,7,FALSE()),"please select a BUG ID")</f>
        <v>please select a BUG ID</v>
      </c>
      <c r="C1817" s="51" t="str">
        <f>IFERROR(VLOOKUP(A1817,Internal_lists_bugs!$A$2:$I2033,9,FALSE()),"please select a BUG ID")</f>
        <v>please select a BUG ID</v>
      </c>
      <c r="D1817" s="85"/>
      <c r="E1817" s="85"/>
      <c r="F1817" s="133"/>
      <c r="G1817" s="49"/>
      <c r="H1817" s="50"/>
      <c r="I1817" s="131"/>
      <c r="J1817" s="131"/>
      <c r="K1817" s="131"/>
      <c r="L1817" s="131"/>
      <c r="M1817" s="131"/>
      <c r="N1817" s="43"/>
      <c r="O1817" s="51"/>
    </row>
    <row r="1818">
      <c r="A1818" s="43"/>
      <c r="B1818" s="59" t="str">
        <f>IFERROR(VLOOKUP(A1818,Internal_lists_bugs!$A$2:$G2033,7,FALSE()),"please select a BUG ID")</f>
        <v>please select a BUG ID</v>
      </c>
      <c r="C1818" s="51" t="str">
        <f>IFERROR(VLOOKUP(A1818,Internal_lists_bugs!$A$2:$I2033,9,FALSE()),"please select a BUG ID")</f>
        <v>please select a BUG ID</v>
      </c>
      <c r="D1818" s="85"/>
      <c r="E1818" s="85"/>
      <c r="F1818" s="133"/>
      <c r="G1818" s="49"/>
      <c r="H1818" s="50"/>
      <c r="I1818" s="131"/>
      <c r="J1818" s="131"/>
      <c r="K1818" s="131"/>
      <c r="L1818" s="131"/>
      <c r="M1818" s="131"/>
      <c r="N1818" s="43"/>
      <c r="O1818" s="51"/>
    </row>
    <row r="1819">
      <c r="A1819" s="43"/>
      <c r="B1819" s="59" t="str">
        <f>IFERROR(VLOOKUP(A1819,Internal_lists_bugs!$A$2:$G2033,7,FALSE()),"please select a BUG ID")</f>
        <v>please select a BUG ID</v>
      </c>
      <c r="C1819" s="51" t="str">
        <f>IFERROR(VLOOKUP(A1819,Internal_lists_bugs!$A$2:$I2033,9,FALSE()),"please select a BUG ID")</f>
        <v>please select a BUG ID</v>
      </c>
      <c r="D1819" s="85"/>
      <c r="E1819" s="85"/>
      <c r="F1819" s="133"/>
      <c r="G1819" s="49"/>
      <c r="H1819" s="50"/>
      <c r="I1819" s="131"/>
      <c r="J1819" s="131"/>
      <c r="K1819" s="131"/>
      <c r="L1819" s="131"/>
      <c r="M1819" s="131"/>
      <c r="N1819" s="43"/>
      <c r="O1819" s="51"/>
    </row>
    <row r="1820">
      <c r="A1820" s="43"/>
      <c r="B1820" s="59" t="str">
        <f>IFERROR(VLOOKUP(A1820,Internal_lists_bugs!$A$2:$G2033,7,FALSE()),"please select a BUG ID")</f>
        <v>please select a BUG ID</v>
      </c>
      <c r="C1820" s="51" t="str">
        <f>IFERROR(VLOOKUP(A1820,Internal_lists_bugs!$A$2:$I2033,9,FALSE()),"please select a BUG ID")</f>
        <v>please select a BUG ID</v>
      </c>
      <c r="D1820" s="85"/>
      <c r="E1820" s="85"/>
      <c r="F1820" s="133"/>
      <c r="G1820" s="49"/>
      <c r="H1820" s="50"/>
      <c r="I1820" s="131"/>
      <c r="J1820" s="131"/>
      <c r="K1820" s="131"/>
      <c r="L1820" s="131"/>
      <c r="M1820" s="131"/>
      <c r="N1820" s="43"/>
      <c r="O1820" s="51"/>
    </row>
    <row r="1821">
      <c r="A1821" s="43"/>
      <c r="B1821" s="59" t="str">
        <f>IFERROR(VLOOKUP(A1821,Internal_lists_bugs!$A$2:$G2033,7,FALSE()),"please select a BUG ID")</f>
        <v>please select a BUG ID</v>
      </c>
      <c r="C1821" s="51" t="str">
        <f>IFERROR(VLOOKUP(A1821,Internal_lists_bugs!$A$2:$I2033,9,FALSE()),"please select a BUG ID")</f>
        <v>please select a BUG ID</v>
      </c>
      <c r="D1821" s="85"/>
      <c r="E1821" s="85"/>
      <c r="F1821" s="133"/>
      <c r="G1821" s="49"/>
      <c r="H1821" s="50"/>
      <c r="I1821" s="131"/>
      <c r="J1821" s="131"/>
      <c r="K1821" s="131"/>
      <c r="L1821" s="131"/>
      <c r="M1821" s="131"/>
      <c r="N1821" s="43"/>
      <c r="O1821" s="51"/>
    </row>
    <row r="1822">
      <c r="A1822" s="43"/>
      <c r="B1822" s="59" t="str">
        <f>IFERROR(VLOOKUP(A1822,Internal_lists_bugs!$A$2:$G2033,7,FALSE()),"please select a BUG ID")</f>
        <v>please select a BUG ID</v>
      </c>
      <c r="C1822" s="51" t="str">
        <f>IFERROR(VLOOKUP(A1822,Internal_lists_bugs!$A$2:$I2033,9,FALSE()),"please select a BUG ID")</f>
        <v>please select a BUG ID</v>
      </c>
      <c r="D1822" s="85"/>
      <c r="E1822" s="85"/>
      <c r="F1822" s="133"/>
      <c r="G1822" s="49"/>
      <c r="H1822" s="50"/>
      <c r="I1822" s="131"/>
      <c r="J1822" s="131"/>
      <c r="K1822" s="131"/>
      <c r="L1822" s="131"/>
      <c r="M1822" s="131"/>
      <c r="N1822" s="43"/>
      <c r="O1822" s="51"/>
    </row>
    <row r="1823">
      <c r="A1823" s="43"/>
      <c r="B1823" s="59" t="str">
        <f>IFERROR(VLOOKUP(A1823,Internal_lists_bugs!$A$2:$G2033,7,FALSE()),"please select a BUG ID")</f>
        <v>please select a BUG ID</v>
      </c>
      <c r="C1823" s="51" t="str">
        <f>IFERROR(VLOOKUP(A1823,Internal_lists_bugs!$A$2:$I2033,9,FALSE()),"please select a BUG ID")</f>
        <v>please select a BUG ID</v>
      </c>
      <c r="D1823" s="85"/>
      <c r="E1823" s="85"/>
      <c r="F1823" s="133"/>
      <c r="G1823" s="49"/>
      <c r="H1823" s="50"/>
      <c r="I1823" s="131"/>
      <c r="J1823" s="131"/>
      <c r="K1823" s="131"/>
      <c r="L1823" s="131"/>
      <c r="M1823" s="131"/>
      <c r="N1823" s="43"/>
      <c r="O1823" s="51"/>
    </row>
    <row r="1824">
      <c r="A1824" s="43"/>
      <c r="B1824" s="59" t="str">
        <f>IFERROR(VLOOKUP(A1824,Internal_lists_bugs!$A$2:$G2033,7,FALSE()),"please select a BUG ID")</f>
        <v>please select a BUG ID</v>
      </c>
      <c r="C1824" s="51" t="str">
        <f>IFERROR(VLOOKUP(A1824,Internal_lists_bugs!$A$2:$I2033,9,FALSE()),"please select a BUG ID")</f>
        <v>please select a BUG ID</v>
      </c>
      <c r="D1824" s="85"/>
      <c r="E1824" s="85"/>
      <c r="F1824" s="133"/>
      <c r="G1824" s="49"/>
      <c r="H1824" s="50"/>
      <c r="I1824" s="131"/>
      <c r="J1824" s="131"/>
      <c r="K1824" s="131"/>
      <c r="L1824" s="131"/>
      <c r="M1824" s="131"/>
      <c r="N1824" s="43"/>
      <c r="O1824" s="51"/>
    </row>
    <row r="1825">
      <c r="A1825" s="43"/>
      <c r="B1825" s="59" t="str">
        <f>IFERROR(VLOOKUP(A1825,Internal_lists_bugs!$A$2:$G2033,7,FALSE()),"please select a BUG ID")</f>
        <v>please select a BUG ID</v>
      </c>
      <c r="C1825" s="51" t="str">
        <f>IFERROR(VLOOKUP(A1825,Internal_lists_bugs!$A$2:$I2033,9,FALSE()),"please select a BUG ID")</f>
        <v>please select a BUG ID</v>
      </c>
      <c r="D1825" s="85"/>
      <c r="E1825" s="85"/>
      <c r="F1825" s="133"/>
      <c r="G1825" s="49"/>
      <c r="H1825" s="50"/>
      <c r="I1825" s="131"/>
      <c r="J1825" s="131"/>
      <c r="K1825" s="131"/>
      <c r="L1825" s="131"/>
      <c r="M1825" s="131"/>
      <c r="N1825" s="43"/>
      <c r="O1825" s="51"/>
    </row>
    <row r="1826">
      <c r="A1826" s="43"/>
      <c r="B1826" s="59" t="str">
        <f>IFERROR(VLOOKUP(A1826,Internal_lists_bugs!$A$2:$G2033,7,FALSE()),"please select a BUG ID")</f>
        <v>please select a BUG ID</v>
      </c>
      <c r="C1826" s="51" t="str">
        <f>IFERROR(VLOOKUP(A1826,Internal_lists_bugs!$A$2:$I2033,9,FALSE()),"please select a BUG ID")</f>
        <v>please select a BUG ID</v>
      </c>
      <c r="D1826" s="85"/>
      <c r="E1826" s="85"/>
      <c r="F1826" s="133"/>
      <c r="G1826" s="49"/>
      <c r="H1826" s="50"/>
      <c r="I1826" s="131"/>
      <c r="J1826" s="131"/>
      <c r="K1826" s="131"/>
      <c r="L1826" s="131"/>
      <c r="M1826" s="131"/>
      <c r="N1826" s="43"/>
      <c r="O1826" s="51"/>
    </row>
    <row r="1827">
      <c r="A1827" s="43"/>
      <c r="B1827" s="59" t="str">
        <f>IFERROR(VLOOKUP(A1827,Internal_lists_bugs!$A$2:$G2033,7,FALSE()),"please select a BUG ID")</f>
        <v>please select a BUG ID</v>
      </c>
      <c r="C1827" s="51" t="str">
        <f>IFERROR(VLOOKUP(A1827,Internal_lists_bugs!$A$2:$I2033,9,FALSE()),"please select a BUG ID")</f>
        <v>please select a BUG ID</v>
      </c>
      <c r="D1827" s="85"/>
      <c r="E1827" s="85"/>
      <c r="F1827" s="133"/>
      <c r="G1827" s="49"/>
      <c r="H1827" s="50"/>
      <c r="I1827" s="131"/>
      <c r="J1827" s="131"/>
      <c r="K1827" s="131"/>
      <c r="L1827" s="131"/>
      <c r="M1827" s="131"/>
      <c r="N1827" s="43"/>
      <c r="O1827" s="51"/>
    </row>
    <row r="1828">
      <c r="A1828" s="43"/>
      <c r="B1828" s="59" t="str">
        <f>IFERROR(VLOOKUP(A1828,Internal_lists_bugs!$A$2:$G2033,7,FALSE()),"please select a BUG ID")</f>
        <v>please select a BUG ID</v>
      </c>
      <c r="C1828" s="51" t="str">
        <f>IFERROR(VLOOKUP(A1828,Internal_lists_bugs!$A$2:$I2033,9,FALSE()),"please select a BUG ID")</f>
        <v>please select a BUG ID</v>
      </c>
      <c r="D1828" s="85"/>
      <c r="E1828" s="85"/>
      <c r="F1828" s="133"/>
      <c r="G1828" s="49"/>
      <c r="H1828" s="50"/>
      <c r="I1828" s="131"/>
      <c r="J1828" s="131"/>
      <c r="K1828" s="131"/>
      <c r="L1828" s="131"/>
      <c r="M1828" s="131"/>
      <c r="N1828" s="43"/>
      <c r="O1828" s="51"/>
    </row>
    <row r="1829">
      <c r="A1829" s="43"/>
      <c r="B1829" s="59" t="str">
        <f>IFERROR(VLOOKUP(A1829,Internal_lists_bugs!$A$2:$G2033,7,FALSE()),"please select a BUG ID")</f>
        <v>please select a BUG ID</v>
      </c>
      <c r="C1829" s="51" t="str">
        <f>IFERROR(VLOOKUP(A1829,Internal_lists_bugs!$A$2:$I2033,9,FALSE()),"please select a BUG ID")</f>
        <v>please select a BUG ID</v>
      </c>
      <c r="D1829" s="85"/>
      <c r="E1829" s="85"/>
      <c r="F1829" s="133"/>
      <c r="G1829" s="49"/>
      <c r="H1829" s="50"/>
      <c r="I1829" s="131"/>
      <c r="J1829" s="131"/>
      <c r="K1829" s="131"/>
      <c r="L1829" s="131"/>
      <c r="M1829" s="131"/>
      <c r="N1829" s="43"/>
      <c r="O1829" s="51"/>
    </row>
    <row r="1830">
      <c r="A1830" s="43"/>
      <c r="B1830" s="59" t="str">
        <f>IFERROR(VLOOKUP(A1830,Internal_lists_bugs!$A$2:$G2033,7,FALSE()),"please select a BUG ID")</f>
        <v>please select a BUG ID</v>
      </c>
      <c r="C1830" s="51" t="str">
        <f>IFERROR(VLOOKUP(A1830,Internal_lists_bugs!$A$2:$I2033,9,FALSE()),"please select a BUG ID")</f>
        <v>please select a BUG ID</v>
      </c>
      <c r="D1830" s="85"/>
      <c r="E1830" s="85"/>
      <c r="F1830" s="133"/>
      <c r="G1830" s="49"/>
      <c r="H1830" s="50"/>
      <c r="I1830" s="131"/>
      <c r="J1830" s="131"/>
      <c r="K1830" s="131"/>
      <c r="L1830" s="131"/>
      <c r="M1830" s="131"/>
      <c r="N1830" s="43"/>
      <c r="O1830" s="51"/>
    </row>
    <row r="1831">
      <c r="A1831" s="43"/>
      <c r="B1831" s="59" t="str">
        <f>IFERROR(VLOOKUP(A1831,Internal_lists_bugs!$A$2:$G2033,7,FALSE()),"please select a BUG ID")</f>
        <v>please select a BUG ID</v>
      </c>
      <c r="C1831" s="51" t="str">
        <f>IFERROR(VLOOKUP(A1831,Internal_lists_bugs!$A$2:$I2033,9,FALSE()),"please select a BUG ID")</f>
        <v>please select a BUG ID</v>
      </c>
      <c r="D1831" s="85"/>
      <c r="E1831" s="85"/>
      <c r="F1831" s="133"/>
      <c r="G1831" s="49"/>
      <c r="H1831" s="50"/>
      <c r="I1831" s="131"/>
      <c r="J1831" s="131"/>
      <c r="K1831" s="131"/>
      <c r="L1831" s="131"/>
      <c r="M1831" s="131"/>
      <c r="N1831" s="43"/>
      <c r="O1831" s="51"/>
    </row>
    <row r="1832">
      <c r="A1832" s="43"/>
      <c r="B1832" s="59" t="str">
        <f>IFERROR(VLOOKUP(A1832,Internal_lists_bugs!$A$2:$G2033,7,FALSE()),"please select a BUG ID")</f>
        <v>please select a BUG ID</v>
      </c>
      <c r="C1832" s="51" t="str">
        <f>IFERROR(VLOOKUP(A1832,Internal_lists_bugs!$A$2:$I2033,9,FALSE()),"please select a BUG ID")</f>
        <v>please select a BUG ID</v>
      </c>
      <c r="D1832" s="85"/>
      <c r="E1832" s="85"/>
      <c r="F1832" s="133"/>
      <c r="G1832" s="49"/>
      <c r="H1832" s="50"/>
      <c r="I1832" s="131"/>
      <c r="J1832" s="131"/>
      <c r="K1832" s="131"/>
      <c r="L1832" s="131"/>
      <c r="M1832" s="131"/>
      <c r="N1832" s="43"/>
      <c r="O1832" s="51"/>
    </row>
    <row r="1833">
      <c r="A1833" s="43"/>
      <c r="B1833" s="59" t="str">
        <f>IFERROR(VLOOKUP(A1833,Internal_lists_bugs!$A$2:$G2033,7,FALSE()),"please select a BUG ID")</f>
        <v>please select a BUG ID</v>
      </c>
      <c r="C1833" s="51" t="str">
        <f>IFERROR(VLOOKUP(A1833,Internal_lists_bugs!$A$2:$I2033,9,FALSE()),"please select a BUG ID")</f>
        <v>please select a BUG ID</v>
      </c>
      <c r="D1833" s="85"/>
      <c r="E1833" s="85"/>
      <c r="F1833" s="133"/>
      <c r="G1833" s="49"/>
      <c r="H1833" s="50"/>
      <c r="I1833" s="131"/>
      <c r="J1833" s="131"/>
      <c r="K1833" s="131"/>
      <c r="L1833" s="131"/>
      <c r="M1833" s="131"/>
      <c r="N1833" s="43"/>
      <c r="O1833" s="51"/>
    </row>
    <row r="1834">
      <c r="A1834" s="43"/>
      <c r="B1834" s="59" t="str">
        <f>IFERROR(VLOOKUP(A1834,Internal_lists_bugs!$A$2:$G2033,7,FALSE()),"please select a BUG ID")</f>
        <v>please select a BUG ID</v>
      </c>
      <c r="C1834" s="51" t="str">
        <f>IFERROR(VLOOKUP(A1834,Internal_lists_bugs!$A$2:$I2033,9,FALSE()),"please select a BUG ID")</f>
        <v>please select a BUG ID</v>
      </c>
      <c r="D1834" s="85"/>
      <c r="E1834" s="85"/>
      <c r="F1834" s="133"/>
      <c r="G1834" s="49"/>
      <c r="H1834" s="50"/>
      <c r="I1834" s="131"/>
      <c r="J1834" s="131"/>
      <c r="K1834" s="131"/>
      <c r="L1834" s="131"/>
      <c r="M1834" s="131"/>
      <c r="N1834" s="43"/>
      <c r="O1834" s="51"/>
    </row>
    <row r="1835">
      <c r="A1835" s="43"/>
      <c r="B1835" s="59" t="str">
        <f>IFERROR(VLOOKUP(A1835,Internal_lists_bugs!$A$2:$G2033,7,FALSE()),"please select a BUG ID")</f>
        <v>please select a BUG ID</v>
      </c>
      <c r="C1835" s="51" t="str">
        <f>IFERROR(VLOOKUP(A1835,Internal_lists_bugs!$A$2:$I2033,9,FALSE()),"please select a BUG ID")</f>
        <v>please select a BUG ID</v>
      </c>
      <c r="D1835" s="85"/>
      <c r="E1835" s="85"/>
      <c r="F1835" s="133"/>
      <c r="G1835" s="49"/>
      <c r="H1835" s="50"/>
      <c r="I1835" s="131"/>
      <c r="J1835" s="131"/>
      <c r="K1835" s="131"/>
      <c r="L1835" s="131"/>
      <c r="M1835" s="131"/>
      <c r="N1835" s="43"/>
      <c r="O1835" s="51"/>
    </row>
    <row r="1836">
      <c r="A1836" s="43"/>
      <c r="B1836" s="59" t="str">
        <f>IFERROR(VLOOKUP(A1836,Internal_lists_bugs!$A$2:$G2033,7,FALSE()),"please select a BUG ID")</f>
        <v>please select a BUG ID</v>
      </c>
      <c r="C1836" s="51" t="str">
        <f>IFERROR(VLOOKUP(A1836,Internal_lists_bugs!$A$2:$I2033,9,FALSE()),"please select a BUG ID")</f>
        <v>please select a BUG ID</v>
      </c>
      <c r="D1836" s="85"/>
      <c r="E1836" s="85"/>
      <c r="F1836" s="133"/>
      <c r="G1836" s="49"/>
      <c r="H1836" s="50"/>
      <c r="I1836" s="131"/>
      <c r="J1836" s="131"/>
      <c r="K1836" s="131"/>
      <c r="L1836" s="131"/>
      <c r="M1836" s="131"/>
      <c r="N1836" s="43"/>
      <c r="O1836" s="51"/>
    </row>
    <row r="1837">
      <c r="A1837" s="43"/>
      <c r="B1837" s="59" t="str">
        <f>IFERROR(VLOOKUP(A1837,Internal_lists_bugs!$A$2:$G2033,7,FALSE()),"please select a BUG ID")</f>
        <v>please select a BUG ID</v>
      </c>
      <c r="C1837" s="51" t="str">
        <f>IFERROR(VLOOKUP(A1837,Internal_lists_bugs!$A$2:$I2033,9,FALSE()),"please select a BUG ID")</f>
        <v>please select a BUG ID</v>
      </c>
      <c r="D1837" s="85"/>
      <c r="E1837" s="85"/>
      <c r="F1837" s="133"/>
      <c r="G1837" s="49"/>
      <c r="H1837" s="50"/>
      <c r="I1837" s="131"/>
      <c r="J1837" s="131"/>
      <c r="K1837" s="131"/>
      <c r="L1837" s="131"/>
      <c r="M1837" s="131"/>
      <c r="N1837" s="43"/>
      <c r="O1837" s="51"/>
    </row>
    <row r="1838">
      <c r="A1838" s="43"/>
      <c r="B1838" s="59" t="str">
        <f>IFERROR(VLOOKUP(A1838,Internal_lists_bugs!$A$2:$G2033,7,FALSE()),"please select a BUG ID")</f>
        <v>please select a BUG ID</v>
      </c>
      <c r="C1838" s="51" t="str">
        <f>IFERROR(VLOOKUP(A1838,Internal_lists_bugs!$A$2:$I2033,9,FALSE()),"please select a BUG ID")</f>
        <v>please select a BUG ID</v>
      </c>
      <c r="D1838" s="85"/>
      <c r="E1838" s="85"/>
      <c r="F1838" s="133"/>
      <c r="G1838" s="49"/>
      <c r="H1838" s="50"/>
      <c r="I1838" s="131"/>
      <c r="J1838" s="131"/>
      <c r="K1838" s="131"/>
      <c r="L1838" s="131"/>
      <c r="M1838" s="131"/>
      <c r="N1838" s="43"/>
      <c r="O1838" s="51"/>
    </row>
    <row r="1839">
      <c r="A1839" s="43"/>
      <c r="B1839" s="59" t="str">
        <f>IFERROR(VLOOKUP(A1839,Internal_lists_bugs!$A$2:$G2033,7,FALSE()),"please select a BUG ID")</f>
        <v>please select a BUG ID</v>
      </c>
      <c r="C1839" s="51" t="str">
        <f>IFERROR(VLOOKUP(A1839,Internal_lists_bugs!$A$2:$I2033,9,FALSE()),"please select a BUG ID")</f>
        <v>please select a BUG ID</v>
      </c>
      <c r="D1839" s="85"/>
      <c r="E1839" s="85"/>
      <c r="F1839" s="133"/>
      <c r="G1839" s="49"/>
      <c r="H1839" s="50"/>
      <c r="I1839" s="131"/>
      <c r="J1839" s="131"/>
      <c r="K1839" s="131"/>
      <c r="L1839" s="131"/>
      <c r="M1839" s="131"/>
      <c r="N1839" s="43"/>
      <c r="O1839" s="51"/>
    </row>
    <row r="1840">
      <c r="A1840" s="43"/>
      <c r="B1840" s="59" t="str">
        <f>IFERROR(VLOOKUP(A1840,Internal_lists_bugs!$A$2:$G2033,7,FALSE()),"please select a BUG ID")</f>
        <v>please select a BUG ID</v>
      </c>
      <c r="C1840" s="51" t="str">
        <f>IFERROR(VLOOKUP(A1840,Internal_lists_bugs!$A$2:$I2033,9,FALSE()),"please select a BUG ID")</f>
        <v>please select a BUG ID</v>
      </c>
      <c r="D1840" s="85"/>
      <c r="E1840" s="85"/>
      <c r="F1840" s="133"/>
      <c r="G1840" s="49"/>
      <c r="H1840" s="50"/>
      <c r="I1840" s="131"/>
      <c r="J1840" s="131"/>
      <c r="K1840" s="131"/>
      <c r="L1840" s="131"/>
      <c r="M1840" s="131"/>
      <c r="N1840" s="43"/>
      <c r="O1840" s="51"/>
    </row>
    <row r="1841">
      <c r="A1841" s="43"/>
      <c r="B1841" s="59" t="str">
        <f>IFERROR(VLOOKUP(A1841,Internal_lists_bugs!$A$2:$G2033,7,FALSE()),"please select a BUG ID")</f>
        <v>please select a BUG ID</v>
      </c>
      <c r="C1841" s="51" t="str">
        <f>IFERROR(VLOOKUP(A1841,Internal_lists_bugs!$A$2:$I2033,9,FALSE()),"please select a BUG ID")</f>
        <v>please select a BUG ID</v>
      </c>
      <c r="D1841" s="85"/>
      <c r="E1841" s="85"/>
      <c r="F1841" s="133"/>
      <c r="G1841" s="49"/>
      <c r="H1841" s="50"/>
      <c r="I1841" s="131"/>
      <c r="J1841" s="131"/>
      <c r="K1841" s="131"/>
      <c r="L1841" s="131"/>
      <c r="M1841" s="131"/>
      <c r="N1841" s="43"/>
      <c r="O1841" s="51"/>
    </row>
    <row r="1842">
      <c r="A1842" s="43"/>
      <c r="B1842" s="59" t="str">
        <f>IFERROR(VLOOKUP(A1842,Internal_lists_bugs!$A$2:$G2033,7,FALSE()),"please select a BUG ID")</f>
        <v>please select a BUG ID</v>
      </c>
      <c r="C1842" s="51" t="str">
        <f>IFERROR(VLOOKUP(A1842,Internal_lists_bugs!$A$2:$I2033,9,FALSE()),"please select a BUG ID")</f>
        <v>please select a BUG ID</v>
      </c>
      <c r="D1842" s="85"/>
      <c r="E1842" s="85"/>
      <c r="F1842" s="133"/>
      <c r="G1842" s="49"/>
      <c r="H1842" s="50"/>
      <c r="I1842" s="131"/>
      <c r="J1842" s="131"/>
      <c r="K1842" s="131"/>
      <c r="L1842" s="131"/>
      <c r="M1842" s="131"/>
      <c r="N1842" s="43"/>
      <c r="O1842" s="51"/>
    </row>
    <row r="1843">
      <c r="A1843" s="43"/>
      <c r="B1843" s="59" t="str">
        <f>IFERROR(VLOOKUP(A1843,Internal_lists_bugs!$A$2:$G2033,7,FALSE()),"please select a BUG ID")</f>
        <v>please select a BUG ID</v>
      </c>
      <c r="C1843" s="51" t="str">
        <f>IFERROR(VLOOKUP(A1843,Internal_lists_bugs!$A$2:$I2033,9,FALSE()),"please select a BUG ID")</f>
        <v>please select a BUG ID</v>
      </c>
      <c r="D1843" s="85"/>
      <c r="E1843" s="85"/>
      <c r="F1843" s="133"/>
      <c r="G1843" s="49"/>
      <c r="H1843" s="50"/>
      <c r="I1843" s="131"/>
      <c r="J1843" s="131"/>
      <c r="K1843" s="131"/>
      <c r="L1843" s="131"/>
      <c r="M1843" s="131"/>
      <c r="N1843" s="43"/>
      <c r="O1843" s="51"/>
    </row>
    <row r="1844">
      <c r="A1844" s="43"/>
      <c r="B1844" s="59" t="str">
        <f>IFERROR(VLOOKUP(A1844,Internal_lists_bugs!$A$2:$G2033,7,FALSE()),"please select a BUG ID")</f>
        <v>please select a BUG ID</v>
      </c>
      <c r="C1844" s="51" t="str">
        <f>IFERROR(VLOOKUP(A1844,Internal_lists_bugs!$A$2:$I2033,9,FALSE()),"please select a BUG ID")</f>
        <v>please select a BUG ID</v>
      </c>
      <c r="D1844" s="85"/>
      <c r="E1844" s="85"/>
      <c r="F1844" s="133"/>
      <c r="G1844" s="49"/>
      <c r="H1844" s="50"/>
      <c r="I1844" s="131"/>
      <c r="J1844" s="131"/>
      <c r="K1844" s="131"/>
      <c r="L1844" s="131"/>
      <c r="M1844" s="131"/>
      <c r="N1844" s="43"/>
      <c r="O1844" s="51"/>
    </row>
    <row r="1845">
      <c r="A1845" s="43"/>
      <c r="B1845" s="59" t="str">
        <f>IFERROR(VLOOKUP(A1845,Internal_lists_bugs!$A$2:$G2033,7,FALSE()),"please select a BUG ID")</f>
        <v>please select a BUG ID</v>
      </c>
      <c r="C1845" s="51" t="str">
        <f>IFERROR(VLOOKUP(A1845,Internal_lists_bugs!$A$2:$I2033,9,FALSE()),"please select a BUG ID")</f>
        <v>please select a BUG ID</v>
      </c>
      <c r="D1845" s="85"/>
      <c r="E1845" s="85"/>
      <c r="F1845" s="133"/>
      <c r="G1845" s="49"/>
      <c r="H1845" s="50"/>
      <c r="I1845" s="131"/>
      <c r="J1845" s="131"/>
      <c r="K1845" s="131"/>
      <c r="L1845" s="131"/>
      <c r="M1845" s="131"/>
      <c r="N1845" s="43"/>
      <c r="O1845" s="51"/>
    </row>
    <row r="1846">
      <c r="A1846" s="43"/>
      <c r="B1846" s="59" t="str">
        <f>IFERROR(VLOOKUP(A1846,Internal_lists_bugs!$A$2:$G2033,7,FALSE()),"please select a BUG ID")</f>
        <v>please select a BUG ID</v>
      </c>
      <c r="C1846" s="51" t="str">
        <f>IFERROR(VLOOKUP(A1846,Internal_lists_bugs!$A$2:$I2033,9,FALSE()),"please select a BUG ID")</f>
        <v>please select a BUG ID</v>
      </c>
      <c r="D1846" s="85"/>
      <c r="E1846" s="85"/>
      <c r="F1846" s="133"/>
      <c r="G1846" s="49"/>
      <c r="H1846" s="50"/>
      <c r="I1846" s="131"/>
      <c r="J1846" s="131"/>
      <c r="K1846" s="131"/>
      <c r="L1846" s="131"/>
      <c r="M1846" s="131"/>
      <c r="N1846" s="43"/>
      <c r="O1846" s="51"/>
    </row>
    <row r="1847">
      <c r="A1847" s="43"/>
      <c r="B1847" s="59" t="str">
        <f>IFERROR(VLOOKUP(A1847,Internal_lists_bugs!$A$2:$G2033,7,FALSE()),"please select a BUG ID")</f>
        <v>please select a BUG ID</v>
      </c>
      <c r="C1847" s="51" t="str">
        <f>IFERROR(VLOOKUP(A1847,Internal_lists_bugs!$A$2:$I2033,9,FALSE()),"please select a BUG ID")</f>
        <v>please select a BUG ID</v>
      </c>
      <c r="D1847" s="85"/>
      <c r="E1847" s="85"/>
      <c r="F1847" s="133"/>
      <c r="G1847" s="49"/>
      <c r="H1847" s="50"/>
      <c r="I1847" s="131"/>
      <c r="J1847" s="131"/>
      <c r="K1847" s="131"/>
      <c r="L1847" s="131"/>
      <c r="M1847" s="131"/>
      <c r="N1847" s="43"/>
      <c r="O1847" s="51"/>
    </row>
    <row r="1848">
      <c r="A1848" s="43"/>
      <c r="B1848" s="59" t="str">
        <f>IFERROR(VLOOKUP(A1848,Internal_lists_bugs!$A$2:$G2033,7,FALSE()),"please select a BUG ID")</f>
        <v>please select a BUG ID</v>
      </c>
      <c r="C1848" s="51" t="str">
        <f>IFERROR(VLOOKUP(A1848,Internal_lists_bugs!$A$2:$I2033,9,FALSE()),"please select a BUG ID")</f>
        <v>please select a BUG ID</v>
      </c>
      <c r="D1848" s="85"/>
      <c r="E1848" s="85"/>
      <c r="F1848" s="133"/>
      <c r="G1848" s="49"/>
      <c r="H1848" s="50"/>
      <c r="I1848" s="131"/>
      <c r="J1848" s="131"/>
      <c r="K1848" s="131"/>
      <c r="L1848" s="131"/>
      <c r="M1848" s="131"/>
      <c r="N1848" s="43"/>
      <c r="O1848" s="51"/>
    </row>
    <row r="1849">
      <c r="A1849" s="43"/>
      <c r="B1849" s="59" t="str">
        <f>IFERROR(VLOOKUP(A1849,Internal_lists_bugs!$A$2:$G2033,7,FALSE()),"please select a BUG ID")</f>
        <v>please select a BUG ID</v>
      </c>
      <c r="C1849" s="51" t="str">
        <f>IFERROR(VLOOKUP(A1849,Internal_lists_bugs!$A$2:$I2033,9,FALSE()),"please select a BUG ID")</f>
        <v>please select a BUG ID</v>
      </c>
      <c r="D1849" s="85"/>
      <c r="E1849" s="85"/>
      <c r="F1849" s="133"/>
      <c r="G1849" s="49"/>
      <c r="H1849" s="50"/>
      <c r="I1849" s="131"/>
      <c r="J1849" s="131"/>
      <c r="K1849" s="131"/>
      <c r="L1849" s="131"/>
      <c r="M1849" s="131"/>
      <c r="N1849" s="43"/>
      <c r="O1849" s="51"/>
    </row>
    <row r="1850">
      <c r="A1850" s="43"/>
      <c r="B1850" s="59" t="str">
        <f>IFERROR(VLOOKUP(A1850,Internal_lists_bugs!$A$2:$G2033,7,FALSE()),"please select a BUG ID")</f>
        <v>please select a BUG ID</v>
      </c>
      <c r="C1850" s="51" t="str">
        <f>IFERROR(VLOOKUP(A1850,Internal_lists_bugs!$A$2:$I2033,9,FALSE()),"please select a BUG ID")</f>
        <v>please select a BUG ID</v>
      </c>
      <c r="D1850" s="85"/>
      <c r="E1850" s="85"/>
      <c r="F1850" s="133"/>
      <c r="G1850" s="49"/>
      <c r="H1850" s="50"/>
      <c r="I1850" s="131"/>
      <c r="J1850" s="131"/>
      <c r="K1850" s="131"/>
      <c r="L1850" s="131"/>
      <c r="M1850" s="131"/>
      <c r="N1850" s="43"/>
      <c r="O1850" s="51"/>
    </row>
    <row r="1851">
      <c r="A1851" s="43"/>
      <c r="B1851" s="59" t="str">
        <f>IFERROR(VLOOKUP(A1851,Internal_lists_bugs!$A$2:$G2033,7,FALSE()),"please select a BUG ID")</f>
        <v>please select a BUG ID</v>
      </c>
      <c r="C1851" s="51" t="str">
        <f>IFERROR(VLOOKUP(A1851,Internal_lists_bugs!$A$2:$I2033,9,FALSE()),"please select a BUG ID")</f>
        <v>please select a BUG ID</v>
      </c>
      <c r="D1851" s="85"/>
      <c r="E1851" s="85"/>
      <c r="F1851" s="133"/>
      <c r="G1851" s="49"/>
      <c r="H1851" s="50"/>
      <c r="I1851" s="131"/>
      <c r="J1851" s="131"/>
      <c r="K1851" s="131"/>
      <c r="L1851" s="131"/>
      <c r="M1851" s="131"/>
      <c r="N1851" s="43"/>
      <c r="O1851" s="51"/>
    </row>
    <row r="1852">
      <c r="A1852" s="43"/>
      <c r="B1852" s="59" t="str">
        <f>IFERROR(VLOOKUP(A1852,Internal_lists_bugs!$A$2:$G2033,7,FALSE()),"please select a BUG ID")</f>
        <v>please select a BUG ID</v>
      </c>
      <c r="C1852" s="51" t="str">
        <f>IFERROR(VLOOKUP(A1852,Internal_lists_bugs!$A$2:$I2033,9,FALSE()),"please select a BUG ID")</f>
        <v>please select a BUG ID</v>
      </c>
      <c r="D1852" s="85"/>
      <c r="E1852" s="85"/>
      <c r="F1852" s="133"/>
      <c r="G1852" s="49"/>
      <c r="H1852" s="50"/>
      <c r="I1852" s="131"/>
      <c r="J1852" s="131"/>
      <c r="K1852" s="131"/>
      <c r="L1852" s="131"/>
      <c r="M1852" s="131"/>
      <c r="N1852" s="43"/>
      <c r="O1852" s="51"/>
    </row>
    <row r="1853">
      <c r="A1853" s="43"/>
      <c r="B1853" s="59" t="str">
        <f>IFERROR(VLOOKUP(A1853,Internal_lists_bugs!$A$2:$G2033,7,FALSE()),"please select a BUG ID")</f>
        <v>please select a BUG ID</v>
      </c>
      <c r="C1853" s="51" t="str">
        <f>IFERROR(VLOOKUP(A1853,Internal_lists_bugs!$A$2:$I2033,9,FALSE()),"please select a BUG ID")</f>
        <v>please select a BUG ID</v>
      </c>
      <c r="D1853" s="85"/>
      <c r="E1853" s="85"/>
      <c r="F1853" s="133"/>
      <c r="G1853" s="49"/>
      <c r="H1853" s="50"/>
      <c r="I1853" s="131"/>
      <c r="J1853" s="131"/>
      <c r="K1853" s="131"/>
      <c r="L1853" s="131"/>
      <c r="M1853" s="131"/>
      <c r="N1853" s="43"/>
      <c r="O1853" s="51"/>
    </row>
    <row r="1854">
      <c r="A1854" s="43"/>
      <c r="B1854" s="59" t="str">
        <f>IFERROR(VLOOKUP(A1854,Internal_lists_bugs!$A$2:$G2033,7,FALSE()),"please select a BUG ID")</f>
        <v>please select a BUG ID</v>
      </c>
      <c r="C1854" s="51" t="str">
        <f>IFERROR(VLOOKUP(A1854,Internal_lists_bugs!$A$2:$I2033,9,FALSE()),"please select a BUG ID")</f>
        <v>please select a BUG ID</v>
      </c>
      <c r="D1854" s="85"/>
      <c r="E1854" s="85"/>
      <c r="F1854" s="133"/>
      <c r="G1854" s="49"/>
      <c r="H1854" s="50"/>
      <c r="I1854" s="131"/>
      <c r="J1854" s="131"/>
      <c r="K1854" s="131"/>
      <c r="L1854" s="131"/>
      <c r="M1854" s="131"/>
      <c r="N1854" s="43"/>
      <c r="O1854" s="51"/>
    </row>
    <row r="1855">
      <c r="A1855" s="43"/>
      <c r="B1855" s="59" t="str">
        <f>IFERROR(VLOOKUP(A1855,Internal_lists_bugs!$A$2:$G2033,7,FALSE()),"please select a BUG ID")</f>
        <v>please select a BUG ID</v>
      </c>
      <c r="C1855" s="51" t="str">
        <f>IFERROR(VLOOKUP(A1855,Internal_lists_bugs!$A$2:$I2033,9,FALSE()),"please select a BUG ID")</f>
        <v>please select a BUG ID</v>
      </c>
      <c r="D1855" s="85"/>
      <c r="E1855" s="85"/>
      <c r="F1855" s="133"/>
      <c r="G1855" s="49"/>
      <c r="H1855" s="50"/>
      <c r="I1855" s="131"/>
      <c r="J1855" s="131"/>
      <c r="K1855" s="131"/>
      <c r="L1855" s="131"/>
      <c r="M1855" s="131"/>
      <c r="N1855" s="43"/>
      <c r="O1855" s="51"/>
    </row>
    <row r="1856">
      <c r="A1856" s="43"/>
      <c r="B1856" s="59" t="str">
        <f>IFERROR(VLOOKUP(A1856,Internal_lists_bugs!$A$2:$G2033,7,FALSE()),"please select a BUG ID")</f>
        <v>please select a BUG ID</v>
      </c>
      <c r="C1856" s="51" t="str">
        <f>IFERROR(VLOOKUP(A1856,Internal_lists_bugs!$A$2:$I2033,9,FALSE()),"please select a BUG ID")</f>
        <v>please select a BUG ID</v>
      </c>
      <c r="D1856" s="85"/>
      <c r="E1856" s="85"/>
      <c r="F1856" s="133"/>
      <c r="G1856" s="49"/>
      <c r="H1856" s="50"/>
      <c r="I1856" s="131"/>
      <c r="J1856" s="131"/>
      <c r="K1856" s="131"/>
      <c r="L1856" s="131"/>
      <c r="M1856" s="131"/>
      <c r="N1856" s="43"/>
      <c r="O1856" s="51"/>
    </row>
    <row r="1857">
      <c r="A1857" s="43"/>
      <c r="B1857" s="59" t="str">
        <f>IFERROR(VLOOKUP(A1857,Internal_lists_bugs!$A$2:$G2033,7,FALSE()),"please select a BUG ID")</f>
        <v>please select a BUG ID</v>
      </c>
      <c r="C1857" s="51" t="str">
        <f>IFERROR(VLOOKUP(A1857,Internal_lists_bugs!$A$2:$I2033,9,FALSE()),"please select a BUG ID")</f>
        <v>please select a BUG ID</v>
      </c>
      <c r="D1857" s="85"/>
      <c r="E1857" s="85"/>
      <c r="F1857" s="133"/>
      <c r="G1857" s="49"/>
      <c r="H1857" s="50"/>
      <c r="I1857" s="131"/>
      <c r="J1857" s="131"/>
      <c r="K1857" s="131"/>
      <c r="L1857" s="131"/>
      <c r="M1857" s="131"/>
      <c r="N1857" s="43"/>
      <c r="O1857" s="51"/>
    </row>
    <row r="1858">
      <c r="A1858" s="43"/>
      <c r="B1858" s="59" t="str">
        <f>IFERROR(VLOOKUP(A1858,Internal_lists_bugs!$A$2:$G2033,7,FALSE()),"please select a BUG ID")</f>
        <v>please select a BUG ID</v>
      </c>
      <c r="C1858" s="51" t="str">
        <f>IFERROR(VLOOKUP(A1858,Internal_lists_bugs!$A$2:$I2033,9,FALSE()),"please select a BUG ID")</f>
        <v>please select a BUG ID</v>
      </c>
      <c r="D1858" s="85"/>
      <c r="E1858" s="85"/>
      <c r="F1858" s="133"/>
      <c r="G1858" s="49"/>
      <c r="H1858" s="50"/>
      <c r="I1858" s="131"/>
      <c r="J1858" s="131"/>
      <c r="K1858" s="131"/>
      <c r="L1858" s="131"/>
      <c r="M1858" s="131"/>
      <c r="N1858" s="43"/>
      <c r="O1858" s="51"/>
    </row>
    <row r="1859">
      <c r="A1859" s="43"/>
      <c r="B1859" s="59" t="str">
        <f>IFERROR(VLOOKUP(A1859,Internal_lists_bugs!$A$2:$G2033,7,FALSE()),"please select a BUG ID")</f>
        <v>please select a BUG ID</v>
      </c>
      <c r="C1859" s="51" t="str">
        <f>IFERROR(VLOOKUP(A1859,Internal_lists_bugs!$A$2:$I2033,9,FALSE()),"please select a BUG ID")</f>
        <v>please select a BUG ID</v>
      </c>
      <c r="D1859" s="85"/>
      <c r="E1859" s="85"/>
      <c r="F1859" s="133"/>
      <c r="G1859" s="49"/>
      <c r="H1859" s="50"/>
      <c r="I1859" s="131"/>
      <c r="J1859" s="131"/>
      <c r="K1859" s="131"/>
      <c r="L1859" s="131"/>
      <c r="M1859" s="131"/>
      <c r="N1859" s="43"/>
      <c r="O1859" s="51"/>
    </row>
    <row r="1860">
      <c r="A1860" s="43"/>
      <c r="B1860" s="59" t="str">
        <f>IFERROR(VLOOKUP(A1860,Internal_lists_bugs!$A$2:$G2033,7,FALSE()),"please select a BUG ID")</f>
        <v>please select a BUG ID</v>
      </c>
      <c r="C1860" s="51" t="str">
        <f>IFERROR(VLOOKUP(A1860,Internal_lists_bugs!$A$2:$I2033,9,FALSE()),"please select a BUG ID")</f>
        <v>please select a BUG ID</v>
      </c>
      <c r="D1860" s="85"/>
      <c r="E1860" s="85"/>
      <c r="F1860" s="133"/>
      <c r="G1860" s="49"/>
      <c r="H1860" s="50"/>
      <c r="I1860" s="131"/>
      <c r="J1860" s="131"/>
      <c r="K1860" s="131"/>
      <c r="L1860" s="131"/>
      <c r="M1860" s="131"/>
      <c r="N1860" s="43"/>
      <c r="O1860" s="51"/>
    </row>
    <row r="1861">
      <c r="A1861" s="43"/>
      <c r="B1861" s="59" t="str">
        <f>IFERROR(VLOOKUP(A1861,Internal_lists_bugs!$A$2:$G2033,7,FALSE()),"please select a BUG ID")</f>
        <v>please select a BUG ID</v>
      </c>
      <c r="C1861" s="51" t="str">
        <f>IFERROR(VLOOKUP(A1861,Internal_lists_bugs!$A$2:$I2033,9,FALSE()),"please select a BUG ID")</f>
        <v>please select a BUG ID</v>
      </c>
      <c r="D1861" s="85"/>
      <c r="E1861" s="85"/>
      <c r="F1861" s="133"/>
      <c r="G1861" s="49"/>
      <c r="H1861" s="50"/>
      <c r="I1861" s="131"/>
      <c r="J1861" s="131"/>
      <c r="K1861" s="131"/>
      <c r="L1861" s="131"/>
      <c r="M1861" s="131"/>
      <c r="N1861" s="43"/>
      <c r="O1861" s="51"/>
    </row>
    <row r="1862">
      <c r="A1862" s="43"/>
      <c r="B1862" s="59" t="str">
        <f>IFERROR(VLOOKUP(A1862,Internal_lists_bugs!$A$2:$G2033,7,FALSE()),"please select a BUG ID")</f>
        <v>please select a BUG ID</v>
      </c>
      <c r="C1862" s="51" t="str">
        <f>IFERROR(VLOOKUP(A1862,Internal_lists_bugs!$A$2:$I2033,9,FALSE()),"please select a BUG ID")</f>
        <v>please select a BUG ID</v>
      </c>
      <c r="D1862" s="85"/>
      <c r="E1862" s="85"/>
      <c r="F1862" s="133"/>
      <c r="G1862" s="49"/>
      <c r="H1862" s="50"/>
      <c r="I1862" s="131"/>
      <c r="J1862" s="131"/>
      <c r="K1862" s="131"/>
      <c r="L1862" s="131"/>
      <c r="M1862" s="131"/>
      <c r="N1862" s="43"/>
      <c r="O1862" s="51"/>
    </row>
    <row r="1863">
      <c r="A1863" s="43"/>
      <c r="B1863" s="59" t="str">
        <f>IFERROR(VLOOKUP(A1863,Internal_lists_bugs!$A$2:$G2033,7,FALSE()),"please select a BUG ID")</f>
        <v>please select a BUG ID</v>
      </c>
      <c r="C1863" s="51" t="str">
        <f>IFERROR(VLOOKUP(A1863,Internal_lists_bugs!$A$2:$I2033,9,FALSE()),"please select a BUG ID")</f>
        <v>please select a BUG ID</v>
      </c>
      <c r="D1863" s="85"/>
      <c r="E1863" s="85"/>
      <c r="F1863" s="133"/>
      <c r="G1863" s="49"/>
      <c r="H1863" s="50"/>
      <c r="I1863" s="131"/>
      <c r="J1863" s="131"/>
      <c r="K1863" s="131"/>
      <c r="L1863" s="131"/>
      <c r="M1863" s="131"/>
      <c r="N1863" s="43"/>
      <c r="O1863" s="51"/>
    </row>
    <row r="1864">
      <c r="A1864" s="43"/>
      <c r="B1864" s="59" t="str">
        <f>IFERROR(VLOOKUP(A1864,Internal_lists_bugs!$A$2:$G2033,7,FALSE()),"please select a BUG ID")</f>
        <v>please select a BUG ID</v>
      </c>
      <c r="C1864" s="51" t="str">
        <f>IFERROR(VLOOKUP(A1864,Internal_lists_bugs!$A$2:$I2033,9,FALSE()),"please select a BUG ID")</f>
        <v>please select a BUG ID</v>
      </c>
      <c r="D1864" s="85"/>
      <c r="E1864" s="85"/>
      <c r="F1864" s="133"/>
      <c r="G1864" s="49"/>
      <c r="H1864" s="50"/>
      <c r="I1864" s="131"/>
      <c r="J1864" s="131"/>
      <c r="K1864" s="131"/>
      <c r="L1864" s="131"/>
      <c r="M1864" s="131"/>
      <c r="N1864" s="43"/>
      <c r="O1864" s="51"/>
    </row>
    <row r="1865">
      <c r="A1865" s="43"/>
      <c r="B1865" s="59" t="str">
        <f>IFERROR(VLOOKUP(A1865,Internal_lists_bugs!$A$2:$G2033,7,FALSE()),"please select a BUG ID")</f>
        <v>please select a BUG ID</v>
      </c>
      <c r="C1865" s="51" t="str">
        <f>IFERROR(VLOOKUP(A1865,Internal_lists_bugs!$A$2:$I2033,9,FALSE()),"please select a BUG ID")</f>
        <v>please select a BUG ID</v>
      </c>
      <c r="D1865" s="85"/>
      <c r="E1865" s="85"/>
      <c r="F1865" s="133"/>
      <c r="G1865" s="49"/>
      <c r="H1865" s="50"/>
      <c r="I1865" s="131"/>
      <c r="J1865" s="131"/>
      <c r="K1865" s="131"/>
      <c r="L1865" s="131"/>
      <c r="M1865" s="131"/>
      <c r="N1865" s="43"/>
      <c r="O1865" s="51"/>
    </row>
    <row r="1866">
      <c r="A1866" s="43"/>
      <c r="B1866" s="59" t="str">
        <f>IFERROR(VLOOKUP(A1866,Internal_lists_bugs!$A$2:$G2033,7,FALSE()),"please select a BUG ID")</f>
        <v>please select a BUG ID</v>
      </c>
      <c r="C1866" s="51" t="str">
        <f>IFERROR(VLOOKUP(A1866,Internal_lists_bugs!$A$2:$I2033,9,FALSE()),"please select a BUG ID")</f>
        <v>please select a BUG ID</v>
      </c>
      <c r="D1866" s="85"/>
      <c r="E1866" s="85"/>
      <c r="F1866" s="133"/>
      <c r="G1866" s="49"/>
      <c r="H1866" s="50"/>
      <c r="I1866" s="131"/>
      <c r="J1866" s="131"/>
      <c r="K1866" s="131"/>
      <c r="L1866" s="131"/>
      <c r="M1866" s="131"/>
      <c r="N1866" s="43"/>
      <c r="O1866" s="51"/>
    </row>
    <row r="1867">
      <c r="A1867" s="43"/>
      <c r="B1867" s="59" t="str">
        <f>IFERROR(VLOOKUP(A1867,Internal_lists_bugs!$A$2:$G2033,7,FALSE()),"please select a BUG ID")</f>
        <v>please select a BUG ID</v>
      </c>
      <c r="C1867" s="51" t="str">
        <f>IFERROR(VLOOKUP(A1867,Internal_lists_bugs!$A$2:$I2033,9,FALSE()),"please select a BUG ID")</f>
        <v>please select a BUG ID</v>
      </c>
      <c r="D1867" s="85"/>
      <c r="E1867" s="85"/>
      <c r="F1867" s="133"/>
      <c r="G1867" s="49"/>
      <c r="H1867" s="50"/>
      <c r="I1867" s="131"/>
      <c r="J1867" s="131"/>
      <c r="K1867" s="131"/>
      <c r="L1867" s="131"/>
      <c r="M1867" s="131"/>
      <c r="N1867" s="43"/>
      <c r="O1867" s="51"/>
    </row>
    <row r="1868">
      <c r="A1868" s="43"/>
      <c r="B1868" s="59" t="str">
        <f>IFERROR(VLOOKUP(A1868,Internal_lists_bugs!$A$2:$G2033,7,FALSE()),"please select a BUG ID")</f>
        <v>please select a BUG ID</v>
      </c>
      <c r="C1868" s="51" t="str">
        <f>IFERROR(VLOOKUP(A1868,Internal_lists_bugs!$A$2:$I2033,9,FALSE()),"please select a BUG ID")</f>
        <v>please select a BUG ID</v>
      </c>
      <c r="D1868" s="85"/>
      <c r="E1868" s="85"/>
      <c r="F1868" s="133"/>
      <c r="G1868" s="49"/>
      <c r="H1868" s="50"/>
      <c r="I1868" s="131"/>
      <c r="J1868" s="131"/>
      <c r="K1868" s="131"/>
      <c r="L1868" s="131"/>
      <c r="M1868" s="131"/>
      <c r="N1868" s="43"/>
      <c r="O1868" s="51"/>
    </row>
    <row r="1869">
      <c r="A1869" s="43"/>
      <c r="B1869" s="59" t="str">
        <f>IFERROR(VLOOKUP(A1869,Internal_lists_bugs!$A$2:$G2033,7,FALSE()),"please select a BUG ID")</f>
        <v>please select a BUG ID</v>
      </c>
      <c r="C1869" s="51" t="str">
        <f>IFERROR(VLOOKUP(A1869,Internal_lists_bugs!$A$2:$I2033,9,FALSE()),"please select a BUG ID")</f>
        <v>please select a BUG ID</v>
      </c>
      <c r="D1869" s="85"/>
      <c r="E1869" s="85"/>
      <c r="F1869" s="133"/>
      <c r="G1869" s="49"/>
      <c r="H1869" s="50"/>
      <c r="I1869" s="131"/>
      <c r="J1869" s="131"/>
      <c r="K1869" s="131"/>
      <c r="L1869" s="131"/>
      <c r="M1869" s="131"/>
      <c r="N1869" s="43"/>
      <c r="O1869" s="51"/>
    </row>
    <row r="1870">
      <c r="A1870" s="43"/>
      <c r="B1870" s="59" t="str">
        <f>IFERROR(VLOOKUP(A1870,Internal_lists_bugs!$A$2:$G2033,7,FALSE()),"please select a BUG ID")</f>
        <v>please select a BUG ID</v>
      </c>
      <c r="C1870" s="51" t="str">
        <f>IFERROR(VLOOKUP(A1870,Internal_lists_bugs!$A$2:$I2033,9,FALSE()),"please select a BUG ID")</f>
        <v>please select a BUG ID</v>
      </c>
      <c r="D1870" s="85"/>
      <c r="E1870" s="85"/>
      <c r="F1870" s="133"/>
      <c r="G1870" s="49"/>
      <c r="H1870" s="50"/>
      <c r="I1870" s="131"/>
      <c r="J1870" s="131"/>
      <c r="K1870" s="131"/>
      <c r="L1870" s="131"/>
      <c r="M1870" s="131"/>
      <c r="N1870" s="43"/>
      <c r="O1870" s="51"/>
    </row>
    <row r="1871">
      <c r="A1871" s="43"/>
      <c r="B1871" s="59" t="str">
        <f>IFERROR(VLOOKUP(A1871,Internal_lists_bugs!$A$2:$G2033,7,FALSE()),"please select a BUG ID")</f>
        <v>please select a BUG ID</v>
      </c>
      <c r="C1871" s="51" t="str">
        <f>IFERROR(VLOOKUP(A1871,Internal_lists_bugs!$A$2:$I2033,9,FALSE()),"please select a BUG ID")</f>
        <v>please select a BUG ID</v>
      </c>
      <c r="D1871" s="85"/>
      <c r="E1871" s="85"/>
      <c r="F1871" s="133"/>
      <c r="G1871" s="49"/>
      <c r="H1871" s="50"/>
      <c r="I1871" s="131"/>
      <c r="J1871" s="131"/>
      <c r="K1871" s="131"/>
      <c r="L1871" s="131"/>
      <c r="M1871" s="131"/>
      <c r="N1871" s="43"/>
      <c r="O1871" s="51"/>
    </row>
    <row r="1872">
      <c r="A1872" s="43"/>
      <c r="B1872" s="59" t="str">
        <f>IFERROR(VLOOKUP(A1872,Internal_lists_bugs!$A$2:$G2033,7,FALSE()),"please select a BUG ID")</f>
        <v>please select a BUG ID</v>
      </c>
      <c r="C1872" s="51" t="str">
        <f>IFERROR(VLOOKUP(A1872,Internal_lists_bugs!$A$2:$I2033,9,FALSE()),"please select a BUG ID")</f>
        <v>please select a BUG ID</v>
      </c>
      <c r="D1872" s="85"/>
      <c r="E1872" s="85"/>
      <c r="F1872" s="133"/>
      <c r="G1872" s="49"/>
      <c r="H1872" s="50"/>
      <c r="I1872" s="131"/>
      <c r="J1872" s="131"/>
      <c r="K1872" s="131"/>
      <c r="L1872" s="131"/>
      <c r="M1872" s="131"/>
      <c r="N1872" s="43"/>
      <c r="O1872" s="51"/>
    </row>
    <row r="1873">
      <c r="A1873" s="43"/>
      <c r="B1873" s="59" t="str">
        <f>IFERROR(VLOOKUP(A1873,Internal_lists_bugs!$A$2:$G2033,7,FALSE()),"please select a BUG ID")</f>
        <v>please select a BUG ID</v>
      </c>
      <c r="C1873" s="51" t="str">
        <f>IFERROR(VLOOKUP(A1873,Internal_lists_bugs!$A$2:$I2033,9,FALSE()),"please select a BUG ID")</f>
        <v>please select a BUG ID</v>
      </c>
      <c r="D1873" s="85"/>
      <c r="E1873" s="85"/>
      <c r="F1873" s="133"/>
      <c r="G1873" s="49"/>
      <c r="H1873" s="50"/>
      <c r="I1873" s="131"/>
      <c r="J1873" s="131"/>
      <c r="K1873" s="131"/>
      <c r="L1873" s="131"/>
      <c r="M1873" s="131"/>
      <c r="N1873" s="43"/>
      <c r="O1873" s="51"/>
    </row>
    <row r="1874">
      <c r="A1874" s="43"/>
      <c r="B1874" s="59" t="str">
        <f>IFERROR(VLOOKUP(A1874,Internal_lists_bugs!$A$2:$G2033,7,FALSE()),"please select a BUG ID")</f>
        <v>please select a BUG ID</v>
      </c>
      <c r="C1874" s="51" t="str">
        <f>IFERROR(VLOOKUP(A1874,Internal_lists_bugs!$A$2:$I2033,9,FALSE()),"please select a BUG ID")</f>
        <v>please select a BUG ID</v>
      </c>
      <c r="D1874" s="85"/>
      <c r="E1874" s="85"/>
      <c r="F1874" s="133"/>
      <c r="G1874" s="49"/>
      <c r="H1874" s="50"/>
      <c r="I1874" s="131"/>
      <c r="J1874" s="131"/>
      <c r="K1874" s="131"/>
      <c r="L1874" s="131"/>
      <c r="M1874" s="131"/>
      <c r="N1874" s="43"/>
      <c r="O1874" s="51"/>
    </row>
    <row r="1875">
      <c r="A1875" s="43"/>
      <c r="B1875" s="59" t="str">
        <f>IFERROR(VLOOKUP(A1875,Internal_lists_bugs!$A$2:$G2033,7,FALSE()),"please select a BUG ID")</f>
        <v>please select a BUG ID</v>
      </c>
      <c r="C1875" s="51" t="str">
        <f>IFERROR(VLOOKUP(A1875,Internal_lists_bugs!$A$2:$I2033,9,FALSE()),"please select a BUG ID")</f>
        <v>please select a BUG ID</v>
      </c>
      <c r="D1875" s="85"/>
      <c r="E1875" s="85"/>
      <c r="F1875" s="133"/>
      <c r="G1875" s="49"/>
      <c r="H1875" s="50"/>
      <c r="I1875" s="131"/>
      <c r="J1875" s="131"/>
      <c r="K1875" s="131"/>
      <c r="L1875" s="131"/>
      <c r="M1875" s="131"/>
      <c r="N1875" s="43"/>
      <c r="O1875" s="51"/>
    </row>
    <row r="1876">
      <c r="A1876" s="43"/>
      <c r="B1876" s="59" t="str">
        <f>IFERROR(VLOOKUP(A1876,Internal_lists_bugs!$A$2:$G2033,7,FALSE()),"please select a BUG ID")</f>
        <v>please select a BUG ID</v>
      </c>
      <c r="C1876" s="51" t="str">
        <f>IFERROR(VLOOKUP(A1876,Internal_lists_bugs!$A$2:$I2033,9,FALSE()),"please select a BUG ID")</f>
        <v>please select a BUG ID</v>
      </c>
      <c r="D1876" s="85"/>
      <c r="E1876" s="85"/>
      <c r="F1876" s="133"/>
      <c r="G1876" s="49"/>
      <c r="H1876" s="50"/>
      <c r="I1876" s="131"/>
      <c r="J1876" s="131"/>
      <c r="K1876" s="131"/>
      <c r="L1876" s="131"/>
      <c r="M1876" s="131"/>
      <c r="N1876" s="43"/>
      <c r="O1876" s="51"/>
    </row>
    <row r="1877">
      <c r="A1877" s="43"/>
      <c r="B1877" s="59" t="str">
        <f>IFERROR(VLOOKUP(A1877,Internal_lists_bugs!$A$2:$G2033,7,FALSE()),"please select a BUG ID")</f>
        <v>please select a BUG ID</v>
      </c>
      <c r="C1877" s="51" t="str">
        <f>IFERROR(VLOOKUP(A1877,Internal_lists_bugs!$A$2:$I2033,9,FALSE()),"please select a BUG ID")</f>
        <v>please select a BUG ID</v>
      </c>
      <c r="D1877" s="85"/>
      <c r="E1877" s="85"/>
      <c r="F1877" s="133"/>
      <c r="G1877" s="49"/>
      <c r="H1877" s="50"/>
      <c r="I1877" s="131"/>
      <c r="J1877" s="131"/>
      <c r="K1877" s="131"/>
      <c r="L1877" s="131"/>
      <c r="M1877" s="131"/>
      <c r="N1877" s="43"/>
      <c r="O1877" s="51"/>
    </row>
    <row r="1878">
      <c r="A1878" s="43"/>
      <c r="B1878" s="59" t="str">
        <f>IFERROR(VLOOKUP(A1878,Internal_lists_bugs!$A$2:$G2033,7,FALSE()),"please select a BUG ID")</f>
        <v>please select a BUG ID</v>
      </c>
      <c r="C1878" s="51" t="str">
        <f>IFERROR(VLOOKUP(A1878,Internal_lists_bugs!$A$2:$I2033,9,FALSE()),"please select a BUG ID")</f>
        <v>please select a BUG ID</v>
      </c>
      <c r="D1878" s="85"/>
      <c r="E1878" s="85"/>
      <c r="F1878" s="133"/>
      <c r="G1878" s="49"/>
      <c r="H1878" s="50"/>
      <c r="I1878" s="131"/>
      <c r="J1878" s="131"/>
      <c r="K1878" s="131"/>
      <c r="L1878" s="131"/>
      <c r="M1878" s="131"/>
      <c r="N1878" s="43"/>
      <c r="O1878" s="51"/>
    </row>
    <row r="1879">
      <c r="A1879" s="43"/>
      <c r="B1879" s="59" t="str">
        <f>IFERROR(VLOOKUP(A1879,Internal_lists_bugs!$A$2:$G2033,7,FALSE()),"please select a BUG ID")</f>
        <v>please select a BUG ID</v>
      </c>
      <c r="C1879" s="51" t="str">
        <f>IFERROR(VLOOKUP(A1879,Internal_lists_bugs!$A$2:$I2033,9,FALSE()),"please select a BUG ID")</f>
        <v>please select a BUG ID</v>
      </c>
      <c r="D1879" s="85"/>
      <c r="E1879" s="85"/>
      <c r="F1879" s="133"/>
      <c r="G1879" s="49"/>
      <c r="H1879" s="50"/>
      <c r="I1879" s="131"/>
      <c r="J1879" s="131"/>
      <c r="K1879" s="131"/>
      <c r="L1879" s="131"/>
      <c r="M1879" s="131"/>
      <c r="N1879" s="43"/>
      <c r="O1879" s="51"/>
    </row>
    <row r="1880">
      <c r="A1880" s="43"/>
      <c r="B1880" s="59" t="str">
        <f>IFERROR(VLOOKUP(A1880,Internal_lists_bugs!$A$2:$G2033,7,FALSE()),"please select a BUG ID")</f>
        <v>please select a BUG ID</v>
      </c>
      <c r="C1880" s="51" t="str">
        <f>IFERROR(VLOOKUP(A1880,Internal_lists_bugs!$A$2:$I2033,9,FALSE()),"please select a BUG ID")</f>
        <v>please select a BUG ID</v>
      </c>
      <c r="D1880" s="85"/>
      <c r="E1880" s="85"/>
      <c r="F1880" s="133"/>
      <c r="G1880" s="49"/>
      <c r="H1880" s="50"/>
      <c r="I1880" s="131"/>
      <c r="J1880" s="131"/>
      <c r="K1880" s="131"/>
      <c r="L1880" s="131"/>
      <c r="M1880" s="131"/>
      <c r="N1880" s="43"/>
      <c r="O1880" s="51"/>
    </row>
    <row r="1881">
      <c r="A1881" s="43"/>
      <c r="B1881" s="59" t="str">
        <f>IFERROR(VLOOKUP(A1881,Internal_lists_bugs!$A$2:$G2033,7,FALSE()),"please select a BUG ID")</f>
        <v>please select a BUG ID</v>
      </c>
      <c r="C1881" s="51" t="str">
        <f>IFERROR(VLOOKUP(A1881,Internal_lists_bugs!$A$2:$I2033,9,FALSE()),"please select a BUG ID")</f>
        <v>please select a BUG ID</v>
      </c>
      <c r="D1881" s="85"/>
      <c r="E1881" s="85"/>
      <c r="F1881" s="133"/>
      <c r="G1881" s="49"/>
      <c r="H1881" s="50"/>
      <c r="I1881" s="131"/>
      <c r="J1881" s="131"/>
      <c r="K1881" s="131"/>
      <c r="L1881" s="131"/>
      <c r="M1881" s="131"/>
      <c r="N1881" s="43"/>
      <c r="O1881" s="51"/>
    </row>
    <row r="1882">
      <c r="A1882" s="43"/>
      <c r="B1882" s="59" t="str">
        <f>IFERROR(VLOOKUP(A1882,Internal_lists_bugs!$A$2:$G2033,7,FALSE()),"please select a BUG ID")</f>
        <v>please select a BUG ID</v>
      </c>
      <c r="C1882" s="51" t="str">
        <f>IFERROR(VLOOKUP(A1882,Internal_lists_bugs!$A$2:$I2033,9,FALSE()),"please select a BUG ID")</f>
        <v>please select a BUG ID</v>
      </c>
      <c r="D1882" s="85"/>
      <c r="E1882" s="85"/>
      <c r="F1882" s="133"/>
      <c r="G1882" s="49"/>
      <c r="H1882" s="50"/>
      <c r="I1882" s="131"/>
      <c r="J1882" s="131"/>
      <c r="K1882" s="131"/>
      <c r="L1882" s="131"/>
      <c r="M1882" s="131"/>
      <c r="N1882" s="43"/>
      <c r="O1882" s="51"/>
    </row>
    <row r="1883">
      <c r="A1883" s="43"/>
      <c r="B1883" s="59" t="str">
        <f>IFERROR(VLOOKUP(A1883,Internal_lists_bugs!$A$2:$G2033,7,FALSE()),"please select a BUG ID")</f>
        <v>please select a BUG ID</v>
      </c>
      <c r="C1883" s="51" t="str">
        <f>IFERROR(VLOOKUP(A1883,Internal_lists_bugs!$A$2:$I2033,9,FALSE()),"please select a BUG ID")</f>
        <v>please select a BUG ID</v>
      </c>
      <c r="D1883" s="85"/>
      <c r="E1883" s="85"/>
      <c r="F1883" s="133"/>
      <c r="G1883" s="49"/>
      <c r="H1883" s="50"/>
      <c r="I1883" s="131"/>
      <c r="J1883" s="131"/>
      <c r="K1883" s="131"/>
      <c r="L1883" s="131"/>
      <c r="M1883" s="131"/>
      <c r="N1883" s="43"/>
      <c r="O1883" s="51"/>
    </row>
    <row r="1884">
      <c r="A1884" s="43"/>
      <c r="B1884" s="59" t="str">
        <f>IFERROR(VLOOKUP(A1884,Internal_lists_bugs!$A$2:$G2033,7,FALSE()),"please select a BUG ID")</f>
        <v>please select a BUG ID</v>
      </c>
      <c r="C1884" s="51" t="str">
        <f>IFERROR(VLOOKUP(A1884,Internal_lists_bugs!$A$2:$I2033,9,FALSE()),"please select a BUG ID")</f>
        <v>please select a BUG ID</v>
      </c>
      <c r="D1884" s="85"/>
      <c r="E1884" s="85"/>
      <c r="F1884" s="133"/>
      <c r="G1884" s="49"/>
      <c r="H1884" s="50"/>
      <c r="I1884" s="131"/>
      <c r="J1884" s="131"/>
      <c r="K1884" s="131"/>
      <c r="L1884" s="131"/>
      <c r="M1884" s="131"/>
      <c r="N1884" s="43"/>
      <c r="O1884" s="51"/>
    </row>
    <row r="1885">
      <c r="A1885" s="43"/>
      <c r="B1885" s="59" t="str">
        <f>IFERROR(VLOOKUP(A1885,Internal_lists_bugs!$A$2:$G2033,7,FALSE()),"please select a BUG ID")</f>
        <v>please select a BUG ID</v>
      </c>
      <c r="C1885" s="51" t="str">
        <f>IFERROR(VLOOKUP(A1885,Internal_lists_bugs!$A$2:$I2033,9,FALSE()),"please select a BUG ID")</f>
        <v>please select a BUG ID</v>
      </c>
      <c r="D1885" s="85"/>
      <c r="E1885" s="85"/>
      <c r="F1885" s="133"/>
      <c r="G1885" s="49"/>
      <c r="H1885" s="50"/>
      <c r="I1885" s="131"/>
      <c r="J1885" s="131"/>
      <c r="K1885" s="131"/>
      <c r="L1885" s="131"/>
      <c r="M1885" s="131"/>
      <c r="N1885" s="43"/>
      <c r="O1885" s="51"/>
    </row>
    <row r="1886">
      <c r="A1886" s="43"/>
      <c r="B1886" s="59" t="str">
        <f>IFERROR(VLOOKUP(A1886,Internal_lists_bugs!$A$2:$G2033,7,FALSE()),"please select a BUG ID")</f>
        <v>please select a BUG ID</v>
      </c>
      <c r="C1886" s="51" t="str">
        <f>IFERROR(VLOOKUP(A1886,Internal_lists_bugs!$A$2:$I2033,9,FALSE()),"please select a BUG ID")</f>
        <v>please select a BUG ID</v>
      </c>
      <c r="D1886" s="85"/>
      <c r="E1886" s="85"/>
      <c r="F1886" s="133"/>
      <c r="G1886" s="49"/>
      <c r="H1886" s="50"/>
      <c r="I1886" s="131"/>
      <c r="J1886" s="131"/>
      <c r="K1886" s="131"/>
      <c r="L1886" s="131"/>
      <c r="M1886" s="131"/>
      <c r="N1886" s="43"/>
      <c r="O1886" s="51"/>
    </row>
    <row r="1887">
      <c r="A1887" s="43"/>
      <c r="B1887" s="59" t="str">
        <f>IFERROR(VLOOKUP(A1887,Internal_lists_bugs!$A$2:$G2033,7,FALSE()),"please select a BUG ID")</f>
        <v>please select a BUG ID</v>
      </c>
      <c r="C1887" s="51" t="str">
        <f>IFERROR(VLOOKUP(A1887,Internal_lists_bugs!$A$2:$I2033,9,FALSE()),"please select a BUG ID")</f>
        <v>please select a BUG ID</v>
      </c>
      <c r="D1887" s="85"/>
      <c r="E1887" s="85"/>
      <c r="F1887" s="133"/>
      <c r="G1887" s="49"/>
      <c r="H1887" s="50"/>
      <c r="I1887" s="131"/>
      <c r="J1887" s="131"/>
      <c r="K1887" s="131"/>
      <c r="L1887" s="131"/>
      <c r="M1887" s="131"/>
      <c r="N1887" s="43"/>
      <c r="O1887" s="51"/>
    </row>
    <row r="1888">
      <c r="A1888" s="43"/>
      <c r="B1888" s="59" t="str">
        <f>IFERROR(VLOOKUP(A1888,Internal_lists_bugs!$A$2:$G2033,7,FALSE()),"please select a BUG ID")</f>
        <v>please select a BUG ID</v>
      </c>
      <c r="C1888" s="51" t="str">
        <f>IFERROR(VLOOKUP(A1888,Internal_lists_bugs!$A$2:$I2033,9,FALSE()),"please select a BUG ID")</f>
        <v>please select a BUG ID</v>
      </c>
      <c r="D1888" s="85"/>
      <c r="E1888" s="85"/>
      <c r="F1888" s="133"/>
      <c r="G1888" s="49"/>
      <c r="H1888" s="50"/>
      <c r="I1888" s="131"/>
      <c r="J1888" s="131"/>
      <c r="K1888" s="131"/>
      <c r="L1888" s="131"/>
      <c r="M1888" s="131"/>
      <c r="N1888" s="43"/>
      <c r="O1888" s="51"/>
    </row>
    <row r="1889">
      <c r="A1889" s="43"/>
      <c r="B1889" s="59" t="str">
        <f>IFERROR(VLOOKUP(A1889,Internal_lists_bugs!$A$2:$G2033,7,FALSE()),"please select a BUG ID")</f>
        <v>please select a BUG ID</v>
      </c>
      <c r="C1889" s="51" t="str">
        <f>IFERROR(VLOOKUP(A1889,Internal_lists_bugs!$A$2:$I2033,9,FALSE()),"please select a BUG ID")</f>
        <v>please select a BUG ID</v>
      </c>
      <c r="D1889" s="85"/>
      <c r="E1889" s="85"/>
      <c r="F1889" s="133"/>
      <c r="G1889" s="49"/>
      <c r="H1889" s="50"/>
      <c r="I1889" s="131"/>
      <c r="J1889" s="131"/>
      <c r="K1889" s="131"/>
      <c r="L1889" s="131"/>
      <c r="M1889" s="131"/>
      <c r="N1889" s="43"/>
      <c r="O1889" s="51"/>
    </row>
    <row r="1890">
      <c r="A1890" s="43"/>
      <c r="B1890" s="59" t="str">
        <f>IFERROR(VLOOKUP(A1890,Internal_lists_bugs!$A$2:$G2033,7,FALSE()),"please select a BUG ID")</f>
        <v>please select a BUG ID</v>
      </c>
      <c r="C1890" s="51" t="str">
        <f>IFERROR(VLOOKUP(A1890,Internal_lists_bugs!$A$2:$I2033,9,FALSE()),"please select a BUG ID")</f>
        <v>please select a BUG ID</v>
      </c>
      <c r="D1890" s="85"/>
      <c r="E1890" s="85"/>
      <c r="F1890" s="133"/>
      <c r="G1890" s="49"/>
      <c r="H1890" s="50"/>
      <c r="I1890" s="131"/>
      <c r="J1890" s="131"/>
      <c r="K1890" s="131"/>
      <c r="L1890" s="131"/>
      <c r="M1890" s="131"/>
      <c r="N1890" s="43"/>
      <c r="O1890" s="51"/>
    </row>
    <row r="1891">
      <c r="A1891" s="43"/>
      <c r="B1891" s="59" t="str">
        <f>IFERROR(VLOOKUP(A1891,Internal_lists_bugs!$A$2:$G2033,7,FALSE()),"please select a BUG ID")</f>
        <v>please select a BUG ID</v>
      </c>
      <c r="C1891" s="51" t="str">
        <f>IFERROR(VLOOKUP(A1891,Internal_lists_bugs!$A$2:$I2033,9,FALSE()),"please select a BUG ID")</f>
        <v>please select a BUG ID</v>
      </c>
      <c r="D1891" s="85"/>
      <c r="E1891" s="85"/>
      <c r="F1891" s="133"/>
      <c r="G1891" s="49"/>
      <c r="H1891" s="50"/>
      <c r="I1891" s="131"/>
      <c r="J1891" s="131"/>
      <c r="K1891" s="131"/>
      <c r="L1891" s="131"/>
      <c r="M1891" s="131"/>
      <c r="N1891" s="43"/>
      <c r="O1891" s="51"/>
    </row>
    <row r="1892">
      <c r="A1892" s="43"/>
      <c r="B1892" s="59" t="str">
        <f>IFERROR(VLOOKUP(A1892,Internal_lists_bugs!$A$2:$G2033,7,FALSE()),"please select a BUG ID")</f>
        <v>please select a BUG ID</v>
      </c>
      <c r="C1892" s="51" t="str">
        <f>IFERROR(VLOOKUP(A1892,Internal_lists_bugs!$A$2:$I2033,9,FALSE()),"please select a BUG ID")</f>
        <v>please select a BUG ID</v>
      </c>
      <c r="D1892" s="85"/>
      <c r="E1892" s="85"/>
      <c r="F1892" s="133"/>
      <c r="G1892" s="49"/>
      <c r="H1892" s="50"/>
      <c r="I1892" s="131"/>
      <c r="J1892" s="131"/>
      <c r="K1892" s="131"/>
      <c r="L1892" s="131"/>
      <c r="M1892" s="131"/>
      <c r="N1892" s="43"/>
      <c r="O1892" s="51"/>
    </row>
    <row r="1893">
      <c r="A1893" s="43"/>
      <c r="B1893" s="59" t="str">
        <f>IFERROR(VLOOKUP(A1893,Internal_lists_bugs!$A$2:$G2033,7,FALSE()),"please select a BUG ID")</f>
        <v>please select a BUG ID</v>
      </c>
      <c r="C1893" s="51" t="str">
        <f>IFERROR(VLOOKUP(A1893,Internal_lists_bugs!$A$2:$I2033,9,FALSE()),"please select a BUG ID")</f>
        <v>please select a BUG ID</v>
      </c>
      <c r="D1893" s="85"/>
      <c r="E1893" s="85"/>
      <c r="F1893" s="133"/>
      <c r="G1893" s="49"/>
      <c r="H1893" s="50"/>
      <c r="I1893" s="131"/>
      <c r="J1893" s="131"/>
      <c r="K1893" s="131"/>
      <c r="L1893" s="131"/>
      <c r="M1893" s="131"/>
      <c r="N1893" s="43"/>
      <c r="O1893" s="51"/>
    </row>
    <row r="1894">
      <c r="A1894" s="43"/>
      <c r="B1894" s="59" t="str">
        <f>IFERROR(VLOOKUP(A1894,Internal_lists_bugs!$A$2:$G2033,7,FALSE()),"please select a BUG ID")</f>
        <v>please select a BUG ID</v>
      </c>
      <c r="C1894" s="51" t="str">
        <f>IFERROR(VLOOKUP(A1894,Internal_lists_bugs!$A$2:$I2033,9,FALSE()),"please select a BUG ID")</f>
        <v>please select a BUG ID</v>
      </c>
      <c r="D1894" s="85"/>
      <c r="E1894" s="85"/>
      <c r="F1894" s="133"/>
      <c r="G1894" s="49"/>
      <c r="H1894" s="50"/>
      <c r="I1894" s="131"/>
      <c r="J1894" s="131"/>
      <c r="K1894" s="131"/>
      <c r="L1894" s="131"/>
      <c r="M1894" s="131"/>
      <c r="N1894" s="43"/>
      <c r="O1894" s="51"/>
    </row>
    <row r="1895">
      <c r="A1895" s="43"/>
      <c r="B1895" s="59" t="str">
        <f>IFERROR(VLOOKUP(A1895,Internal_lists_bugs!$A$2:$G2033,7,FALSE()),"please select a BUG ID")</f>
        <v>please select a BUG ID</v>
      </c>
      <c r="C1895" s="51" t="str">
        <f>IFERROR(VLOOKUP(A1895,Internal_lists_bugs!$A$2:$I2033,9,FALSE()),"please select a BUG ID")</f>
        <v>please select a BUG ID</v>
      </c>
      <c r="D1895" s="85"/>
      <c r="E1895" s="85"/>
      <c r="F1895" s="133"/>
      <c r="G1895" s="49"/>
      <c r="H1895" s="50"/>
      <c r="I1895" s="131"/>
      <c r="J1895" s="131"/>
      <c r="K1895" s="131"/>
      <c r="L1895" s="131"/>
      <c r="M1895" s="131"/>
      <c r="N1895" s="43"/>
      <c r="O1895" s="51"/>
    </row>
    <row r="1896">
      <c r="A1896" s="43"/>
      <c r="B1896" s="59" t="str">
        <f>IFERROR(VLOOKUP(A1896,Internal_lists_bugs!$A$2:$G2033,7,FALSE()),"please select a BUG ID")</f>
        <v>please select a BUG ID</v>
      </c>
      <c r="C1896" s="51" t="str">
        <f>IFERROR(VLOOKUP(A1896,Internal_lists_bugs!$A$2:$I2033,9,FALSE()),"please select a BUG ID")</f>
        <v>please select a BUG ID</v>
      </c>
      <c r="D1896" s="85"/>
      <c r="E1896" s="85"/>
      <c r="F1896" s="133"/>
      <c r="G1896" s="49"/>
      <c r="H1896" s="50"/>
      <c r="I1896" s="131"/>
      <c r="J1896" s="131"/>
      <c r="K1896" s="131"/>
      <c r="L1896" s="131"/>
      <c r="M1896" s="131"/>
      <c r="N1896" s="43"/>
      <c r="O1896" s="51"/>
    </row>
    <row r="1897">
      <c r="A1897" s="43"/>
      <c r="B1897" s="59" t="str">
        <f>IFERROR(VLOOKUP(A1897,Internal_lists_bugs!$A$2:$G2033,7,FALSE()),"please select a BUG ID")</f>
        <v>please select a BUG ID</v>
      </c>
      <c r="C1897" s="51" t="str">
        <f>IFERROR(VLOOKUP(A1897,Internal_lists_bugs!$A$2:$I2033,9,FALSE()),"please select a BUG ID")</f>
        <v>please select a BUG ID</v>
      </c>
      <c r="D1897" s="85"/>
      <c r="E1897" s="85"/>
      <c r="F1897" s="133"/>
      <c r="G1897" s="49"/>
      <c r="H1897" s="50"/>
      <c r="I1897" s="131"/>
      <c r="J1897" s="131"/>
      <c r="K1897" s="131"/>
      <c r="L1897" s="131"/>
      <c r="M1897" s="131"/>
      <c r="N1897" s="43"/>
      <c r="O1897" s="51"/>
    </row>
    <row r="1898">
      <c r="A1898" s="43"/>
      <c r="B1898" s="59" t="str">
        <f>IFERROR(VLOOKUP(A1898,Internal_lists_bugs!$A$2:$G2033,7,FALSE()),"please select a BUG ID")</f>
        <v>please select a BUG ID</v>
      </c>
      <c r="C1898" s="51" t="str">
        <f>IFERROR(VLOOKUP(A1898,Internal_lists_bugs!$A$2:$I2033,9,FALSE()),"please select a BUG ID")</f>
        <v>please select a BUG ID</v>
      </c>
      <c r="D1898" s="85"/>
      <c r="E1898" s="85"/>
      <c r="F1898" s="133"/>
      <c r="G1898" s="49"/>
      <c r="H1898" s="50"/>
      <c r="I1898" s="131"/>
      <c r="J1898" s="131"/>
      <c r="K1898" s="131"/>
      <c r="L1898" s="131"/>
      <c r="M1898" s="131"/>
      <c r="N1898" s="43"/>
      <c r="O1898" s="51"/>
    </row>
    <row r="1899">
      <c r="A1899" s="43"/>
      <c r="B1899" s="59" t="str">
        <f>IFERROR(VLOOKUP(A1899,Internal_lists_bugs!$A$2:$G2033,7,FALSE()),"please select a BUG ID")</f>
        <v>please select a BUG ID</v>
      </c>
      <c r="C1899" s="51" t="str">
        <f>IFERROR(VLOOKUP(A1899,Internal_lists_bugs!$A$2:$I2033,9,FALSE()),"please select a BUG ID")</f>
        <v>please select a BUG ID</v>
      </c>
      <c r="D1899" s="85"/>
      <c r="E1899" s="85"/>
      <c r="F1899" s="133"/>
      <c r="G1899" s="49"/>
      <c r="H1899" s="50"/>
      <c r="I1899" s="131"/>
      <c r="J1899" s="131"/>
      <c r="K1899" s="131"/>
      <c r="L1899" s="131"/>
      <c r="M1899" s="131"/>
      <c r="N1899" s="43"/>
      <c r="O1899" s="51"/>
    </row>
    <row r="1900">
      <c r="A1900" s="43"/>
      <c r="B1900" s="59" t="str">
        <f>IFERROR(VLOOKUP(A1900,Internal_lists_bugs!$A$2:$G2033,7,FALSE()),"please select a BUG ID")</f>
        <v>please select a BUG ID</v>
      </c>
      <c r="C1900" s="51" t="str">
        <f>IFERROR(VLOOKUP(A1900,Internal_lists_bugs!$A$2:$I2033,9,FALSE()),"please select a BUG ID")</f>
        <v>please select a BUG ID</v>
      </c>
      <c r="D1900" s="85"/>
      <c r="E1900" s="85"/>
      <c r="F1900" s="133"/>
      <c r="G1900" s="49"/>
      <c r="H1900" s="50"/>
      <c r="I1900" s="131"/>
      <c r="J1900" s="131"/>
      <c r="K1900" s="131"/>
      <c r="L1900" s="131"/>
      <c r="M1900" s="131"/>
      <c r="N1900" s="43"/>
      <c r="O1900" s="51"/>
    </row>
    <row r="1901">
      <c r="A1901" s="43"/>
      <c r="B1901" s="59" t="str">
        <f>IFERROR(VLOOKUP(A1901,Internal_lists_bugs!$A$2:$G2033,7,FALSE()),"please select a BUG ID")</f>
        <v>please select a BUG ID</v>
      </c>
      <c r="C1901" s="51" t="str">
        <f>IFERROR(VLOOKUP(A1901,Internal_lists_bugs!$A$2:$I2033,9,FALSE()),"please select a BUG ID")</f>
        <v>please select a BUG ID</v>
      </c>
      <c r="D1901" s="85"/>
      <c r="E1901" s="85"/>
      <c r="F1901" s="133"/>
      <c r="G1901" s="49"/>
      <c r="H1901" s="50"/>
      <c r="I1901" s="131"/>
      <c r="J1901" s="131"/>
      <c r="K1901" s="131"/>
      <c r="L1901" s="131"/>
      <c r="M1901" s="131"/>
      <c r="N1901" s="43"/>
      <c r="O1901" s="51"/>
    </row>
    <row r="1902">
      <c r="A1902" s="43"/>
      <c r="B1902" s="59" t="str">
        <f>IFERROR(VLOOKUP(A1902,Internal_lists_bugs!$A$2:$G2033,7,FALSE()),"please select a BUG ID")</f>
        <v>please select a BUG ID</v>
      </c>
      <c r="C1902" s="51" t="str">
        <f>IFERROR(VLOOKUP(A1902,Internal_lists_bugs!$A$2:$I2033,9,FALSE()),"please select a BUG ID")</f>
        <v>please select a BUG ID</v>
      </c>
      <c r="D1902" s="85"/>
      <c r="E1902" s="85"/>
      <c r="F1902" s="133"/>
      <c r="G1902" s="49"/>
      <c r="H1902" s="50"/>
      <c r="I1902" s="131"/>
      <c r="J1902" s="131"/>
      <c r="K1902" s="131"/>
      <c r="L1902" s="131"/>
      <c r="M1902" s="131"/>
      <c r="N1902" s="43"/>
      <c r="O1902" s="51"/>
    </row>
    <row r="1903">
      <c r="A1903" s="43"/>
      <c r="B1903" s="59" t="str">
        <f>IFERROR(VLOOKUP(A1903,Internal_lists_bugs!$A$2:$G2033,7,FALSE()),"please select a BUG ID")</f>
        <v>please select a BUG ID</v>
      </c>
      <c r="C1903" s="51" t="str">
        <f>IFERROR(VLOOKUP(A1903,Internal_lists_bugs!$A$2:$I2033,9,FALSE()),"please select a BUG ID")</f>
        <v>please select a BUG ID</v>
      </c>
      <c r="D1903" s="85"/>
      <c r="E1903" s="85"/>
      <c r="F1903" s="133"/>
      <c r="G1903" s="49"/>
      <c r="H1903" s="50"/>
      <c r="I1903" s="131"/>
      <c r="J1903" s="131"/>
      <c r="K1903" s="131"/>
      <c r="L1903" s="131"/>
      <c r="M1903" s="131"/>
      <c r="N1903" s="43"/>
      <c r="O1903" s="51"/>
    </row>
    <row r="1904">
      <c r="A1904" s="43"/>
      <c r="B1904" s="59" t="str">
        <f>IFERROR(VLOOKUP(A1904,Internal_lists_bugs!$A$2:$G2033,7,FALSE()),"please select a BUG ID")</f>
        <v>please select a BUG ID</v>
      </c>
      <c r="C1904" s="51" t="str">
        <f>IFERROR(VLOOKUP(A1904,Internal_lists_bugs!$A$2:$I2033,9,FALSE()),"please select a BUG ID")</f>
        <v>please select a BUG ID</v>
      </c>
      <c r="D1904" s="85"/>
      <c r="E1904" s="85"/>
      <c r="F1904" s="133"/>
      <c r="G1904" s="49"/>
      <c r="H1904" s="50"/>
      <c r="I1904" s="131"/>
      <c r="J1904" s="131"/>
      <c r="K1904" s="131"/>
      <c r="L1904" s="131"/>
      <c r="M1904" s="131"/>
      <c r="N1904" s="43"/>
      <c r="O1904" s="51"/>
    </row>
    <row r="1905">
      <c r="A1905" s="43"/>
      <c r="B1905" s="59" t="str">
        <f>IFERROR(VLOOKUP(A1905,Internal_lists_bugs!$A$2:$G2033,7,FALSE()),"please select a BUG ID")</f>
        <v>please select a BUG ID</v>
      </c>
      <c r="C1905" s="51" t="str">
        <f>IFERROR(VLOOKUP(A1905,Internal_lists_bugs!$A$2:$I2033,9,FALSE()),"please select a BUG ID")</f>
        <v>please select a BUG ID</v>
      </c>
      <c r="D1905" s="85"/>
      <c r="E1905" s="85"/>
      <c r="F1905" s="133"/>
      <c r="G1905" s="49"/>
      <c r="H1905" s="50"/>
      <c r="I1905" s="131"/>
      <c r="J1905" s="131"/>
      <c r="K1905" s="131"/>
      <c r="L1905" s="131"/>
      <c r="M1905" s="131"/>
      <c r="N1905" s="43"/>
      <c r="O1905" s="51"/>
    </row>
    <row r="1906">
      <c r="A1906" s="43"/>
      <c r="B1906" s="59" t="str">
        <f>IFERROR(VLOOKUP(A1906,Internal_lists_bugs!$A$2:$G2033,7,FALSE()),"please select a BUG ID")</f>
        <v>please select a BUG ID</v>
      </c>
      <c r="C1906" s="51" t="str">
        <f>IFERROR(VLOOKUP(A1906,Internal_lists_bugs!$A$2:$I2033,9,FALSE()),"please select a BUG ID")</f>
        <v>please select a BUG ID</v>
      </c>
      <c r="D1906" s="85"/>
      <c r="E1906" s="85"/>
      <c r="F1906" s="133"/>
      <c r="G1906" s="49"/>
      <c r="H1906" s="50"/>
      <c r="I1906" s="131"/>
      <c r="J1906" s="131"/>
      <c r="K1906" s="131"/>
      <c r="L1906" s="131"/>
      <c r="M1906" s="131"/>
      <c r="N1906" s="43"/>
      <c r="O1906" s="51"/>
    </row>
    <row r="1907">
      <c r="A1907" s="43"/>
      <c r="B1907" s="59" t="str">
        <f>IFERROR(VLOOKUP(A1907,Internal_lists_bugs!$A$2:$G2033,7,FALSE()),"please select a BUG ID")</f>
        <v>please select a BUG ID</v>
      </c>
      <c r="C1907" s="51" t="str">
        <f>IFERROR(VLOOKUP(A1907,Internal_lists_bugs!$A$2:$I2033,9,FALSE()),"please select a BUG ID")</f>
        <v>please select a BUG ID</v>
      </c>
      <c r="D1907" s="85"/>
      <c r="E1907" s="85"/>
      <c r="F1907" s="133"/>
      <c r="G1907" s="49"/>
      <c r="H1907" s="50"/>
      <c r="I1907" s="131"/>
      <c r="J1907" s="131"/>
      <c r="K1907" s="131"/>
      <c r="L1907" s="131"/>
      <c r="M1907" s="131"/>
      <c r="N1907" s="43"/>
      <c r="O1907" s="51"/>
    </row>
    <row r="1908">
      <c r="A1908" s="43"/>
      <c r="B1908" s="59" t="str">
        <f>IFERROR(VLOOKUP(A1908,Internal_lists_bugs!$A$2:$G2033,7,FALSE()),"please select a BUG ID")</f>
        <v>please select a BUG ID</v>
      </c>
      <c r="C1908" s="51" t="str">
        <f>IFERROR(VLOOKUP(A1908,Internal_lists_bugs!$A$2:$I2033,9,FALSE()),"please select a BUG ID")</f>
        <v>please select a BUG ID</v>
      </c>
      <c r="D1908" s="85"/>
      <c r="E1908" s="85"/>
      <c r="F1908" s="133"/>
      <c r="G1908" s="49"/>
      <c r="H1908" s="50"/>
      <c r="I1908" s="131"/>
      <c r="J1908" s="131"/>
      <c r="K1908" s="131"/>
      <c r="L1908" s="131"/>
      <c r="M1908" s="131"/>
      <c r="N1908" s="43"/>
      <c r="O1908" s="51"/>
    </row>
    <row r="1909">
      <c r="A1909" s="43"/>
      <c r="B1909" s="59" t="str">
        <f>IFERROR(VLOOKUP(A1909,Internal_lists_bugs!$A$2:$G2033,7,FALSE()),"please select a BUG ID")</f>
        <v>please select a BUG ID</v>
      </c>
      <c r="C1909" s="51" t="str">
        <f>IFERROR(VLOOKUP(A1909,Internal_lists_bugs!$A$2:$I2033,9,FALSE()),"please select a BUG ID")</f>
        <v>please select a BUG ID</v>
      </c>
      <c r="D1909" s="85"/>
      <c r="E1909" s="85"/>
      <c r="F1909" s="133"/>
      <c r="G1909" s="49"/>
      <c r="H1909" s="50"/>
      <c r="I1909" s="131"/>
      <c r="J1909" s="131"/>
      <c r="K1909" s="131"/>
      <c r="L1909" s="131"/>
      <c r="M1909" s="131"/>
      <c r="N1909" s="43"/>
      <c r="O1909" s="51"/>
    </row>
    <row r="1910">
      <c r="A1910" s="43"/>
      <c r="B1910" s="59" t="str">
        <f>IFERROR(VLOOKUP(A1910,Internal_lists_bugs!$A$2:$G2033,7,FALSE()),"please select a BUG ID")</f>
        <v>please select a BUG ID</v>
      </c>
      <c r="C1910" s="51" t="str">
        <f>IFERROR(VLOOKUP(A1910,Internal_lists_bugs!$A$2:$I2033,9,FALSE()),"please select a BUG ID")</f>
        <v>please select a BUG ID</v>
      </c>
      <c r="D1910" s="85"/>
      <c r="E1910" s="85"/>
      <c r="F1910" s="133"/>
      <c r="G1910" s="49"/>
      <c r="H1910" s="50"/>
      <c r="I1910" s="131"/>
      <c r="J1910" s="131"/>
      <c r="K1910" s="131"/>
      <c r="L1910" s="131"/>
      <c r="M1910" s="131"/>
      <c r="N1910" s="43"/>
      <c r="O1910" s="51"/>
    </row>
    <row r="1911">
      <c r="A1911" s="43"/>
      <c r="B1911" s="59" t="str">
        <f>IFERROR(VLOOKUP(A1911,Internal_lists_bugs!$A$2:$G2033,7,FALSE()),"please select a BUG ID")</f>
        <v>please select a BUG ID</v>
      </c>
      <c r="C1911" s="51" t="str">
        <f>IFERROR(VLOOKUP(A1911,Internal_lists_bugs!$A$2:$I2033,9,FALSE()),"please select a BUG ID")</f>
        <v>please select a BUG ID</v>
      </c>
      <c r="D1911" s="85"/>
      <c r="E1911" s="85"/>
      <c r="F1911" s="133"/>
      <c r="G1911" s="49"/>
      <c r="H1911" s="50"/>
      <c r="I1911" s="131"/>
      <c r="J1911" s="131"/>
      <c r="K1911" s="131"/>
      <c r="L1911" s="131"/>
      <c r="M1911" s="131"/>
      <c r="N1911" s="43"/>
      <c r="O1911" s="51"/>
    </row>
    <row r="1912">
      <c r="A1912" s="43"/>
      <c r="B1912" s="59" t="str">
        <f>IFERROR(VLOOKUP(A1912,Internal_lists_bugs!$A$2:$G2033,7,FALSE()),"please select a BUG ID")</f>
        <v>please select a BUG ID</v>
      </c>
      <c r="C1912" s="51" t="str">
        <f>IFERROR(VLOOKUP(A1912,Internal_lists_bugs!$A$2:$I2033,9,FALSE()),"please select a BUG ID")</f>
        <v>please select a BUG ID</v>
      </c>
      <c r="D1912" s="85"/>
      <c r="E1912" s="85"/>
      <c r="F1912" s="133"/>
      <c r="G1912" s="49"/>
      <c r="H1912" s="50"/>
      <c r="I1912" s="131"/>
      <c r="J1912" s="131"/>
      <c r="K1912" s="131"/>
      <c r="L1912" s="131"/>
      <c r="M1912" s="131"/>
      <c r="N1912" s="43"/>
      <c r="O1912" s="51"/>
    </row>
    <row r="1913">
      <c r="A1913" s="43"/>
      <c r="B1913" s="59" t="str">
        <f>IFERROR(VLOOKUP(A1913,Internal_lists_bugs!$A$2:$G2033,7,FALSE()),"please select a BUG ID")</f>
        <v>please select a BUG ID</v>
      </c>
      <c r="C1913" s="51" t="str">
        <f>IFERROR(VLOOKUP(A1913,Internal_lists_bugs!$A$2:$I2033,9,FALSE()),"please select a BUG ID")</f>
        <v>please select a BUG ID</v>
      </c>
      <c r="D1913" s="85"/>
      <c r="E1913" s="85"/>
      <c r="F1913" s="133"/>
      <c r="G1913" s="49"/>
      <c r="H1913" s="50"/>
      <c r="I1913" s="131"/>
      <c r="J1913" s="131"/>
      <c r="K1913" s="131"/>
      <c r="L1913" s="131"/>
      <c r="M1913" s="131"/>
      <c r="N1913" s="43"/>
      <c r="O1913" s="51"/>
    </row>
    <row r="1914">
      <c r="A1914" s="43"/>
      <c r="B1914" s="59" t="str">
        <f>IFERROR(VLOOKUP(A1914,Internal_lists_bugs!$A$2:$G2033,7,FALSE()),"please select a BUG ID")</f>
        <v>please select a BUG ID</v>
      </c>
      <c r="C1914" s="51" t="str">
        <f>IFERROR(VLOOKUP(A1914,Internal_lists_bugs!$A$2:$I2033,9,FALSE()),"please select a BUG ID")</f>
        <v>please select a BUG ID</v>
      </c>
      <c r="D1914" s="85"/>
      <c r="E1914" s="85"/>
      <c r="F1914" s="133"/>
      <c r="G1914" s="49"/>
      <c r="H1914" s="50"/>
      <c r="I1914" s="131"/>
      <c r="J1914" s="131"/>
      <c r="K1914" s="131"/>
      <c r="L1914" s="131"/>
      <c r="M1914" s="131"/>
      <c r="N1914" s="43"/>
      <c r="O1914" s="51"/>
    </row>
    <row r="1915">
      <c r="A1915" s="43"/>
      <c r="B1915" s="59" t="str">
        <f>IFERROR(VLOOKUP(A1915,Internal_lists_bugs!$A$2:$G2033,7,FALSE()),"please select a BUG ID")</f>
        <v>please select a BUG ID</v>
      </c>
      <c r="C1915" s="51" t="str">
        <f>IFERROR(VLOOKUP(A1915,Internal_lists_bugs!$A$2:$I2033,9,FALSE()),"please select a BUG ID")</f>
        <v>please select a BUG ID</v>
      </c>
      <c r="D1915" s="85"/>
      <c r="E1915" s="85"/>
      <c r="F1915" s="133"/>
      <c r="G1915" s="49"/>
      <c r="H1915" s="50"/>
      <c r="I1915" s="131"/>
      <c r="J1915" s="131"/>
      <c r="K1915" s="131"/>
      <c r="L1915" s="131"/>
      <c r="M1915" s="131"/>
      <c r="N1915" s="43"/>
      <c r="O1915" s="51"/>
    </row>
    <row r="1916">
      <c r="A1916" s="43"/>
      <c r="B1916" s="59" t="str">
        <f>IFERROR(VLOOKUP(A1916,Internal_lists_bugs!$A$2:$G2033,7,FALSE()),"please select a BUG ID")</f>
        <v>please select a BUG ID</v>
      </c>
      <c r="C1916" s="51" t="str">
        <f>IFERROR(VLOOKUP(A1916,Internal_lists_bugs!$A$2:$I2033,9,FALSE()),"please select a BUG ID")</f>
        <v>please select a BUG ID</v>
      </c>
      <c r="D1916" s="85"/>
      <c r="E1916" s="85"/>
      <c r="F1916" s="133"/>
      <c r="G1916" s="49"/>
      <c r="H1916" s="50"/>
      <c r="I1916" s="131"/>
      <c r="J1916" s="131"/>
      <c r="K1916" s="131"/>
      <c r="L1916" s="131"/>
      <c r="M1916" s="131"/>
      <c r="N1916" s="43"/>
      <c r="O1916" s="51"/>
    </row>
    <row r="1917">
      <c r="A1917" s="43"/>
      <c r="B1917" s="59" t="str">
        <f>IFERROR(VLOOKUP(A1917,Internal_lists_bugs!$A$2:$G2033,7,FALSE()),"please select a BUG ID")</f>
        <v>please select a BUG ID</v>
      </c>
      <c r="C1917" s="51" t="str">
        <f>IFERROR(VLOOKUP(A1917,Internal_lists_bugs!$A$2:$I2033,9,FALSE()),"please select a BUG ID")</f>
        <v>please select a BUG ID</v>
      </c>
      <c r="D1917" s="85"/>
      <c r="E1917" s="85"/>
      <c r="F1917" s="133"/>
      <c r="G1917" s="49"/>
      <c r="H1917" s="50"/>
      <c r="I1917" s="131"/>
      <c r="J1917" s="131"/>
      <c r="K1917" s="131"/>
      <c r="L1917" s="131"/>
      <c r="M1917" s="131"/>
      <c r="N1917" s="43"/>
      <c r="O1917" s="51"/>
    </row>
    <row r="1918">
      <c r="A1918" s="43"/>
      <c r="B1918" s="59" t="str">
        <f>IFERROR(VLOOKUP(A1918,Internal_lists_bugs!$A$2:$G2033,7,FALSE()),"please select a BUG ID")</f>
        <v>please select a BUG ID</v>
      </c>
      <c r="C1918" s="51" t="str">
        <f>IFERROR(VLOOKUP(A1918,Internal_lists_bugs!$A$2:$I2033,9,FALSE()),"please select a BUG ID")</f>
        <v>please select a BUG ID</v>
      </c>
      <c r="D1918" s="85"/>
      <c r="E1918" s="85"/>
      <c r="F1918" s="133"/>
      <c r="G1918" s="49"/>
      <c r="H1918" s="50"/>
      <c r="I1918" s="131"/>
      <c r="J1918" s="131"/>
      <c r="K1918" s="131"/>
      <c r="L1918" s="131"/>
      <c r="M1918" s="131"/>
      <c r="N1918" s="43"/>
      <c r="O1918" s="51"/>
    </row>
    <row r="1919">
      <c r="A1919" s="43"/>
      <c r="B1919" s="59" t="str">
        <f>IFERROR(VLOOKUP(A1919,Internal_lists_bugs!$A$2:$G2033,7,FALSE()),"please select a BUG ID")</f>
        <v>please select a BUG ID</v>
      </c>
      <c r="C1919" s="51" t="str">
        <f>IFERROR(VLOOKUP(A1919,Internal_lists_bugs!$A$2:$I2033,9,FALSE()),"please select a BUG ID")</f>
        <v>please select a BUG ID</v>
      </c>
      <c r="D1919" s="85"/>
      <c r="E1919" s="85"/>
      <c r="F1919" s="133"/>
      <c r="G1919" s="49"/>
      <c r="H1919" s="50"/>
      <c r="I1919" s="131"/>
      <c r="J1919" s="131"/>
      <c r="K1919" s="131"/>
      <c r="L1919" s="131"/>
      <c r="M1919" s="131"/>
      <c r="N1919" s="43"/>
      <c r="O1919" s="51"/>
    </row>
    <row r="1920">
      <c r="A1920" s="43"/>
      <c r="B1920" s="59" t="str">
        <f>IFERROR(VLOOKUP(A1920,Internal_lists_bugs!$A$2:$G2033,7,FALSE()),"please select a BUG ID")</f>
        <v>please select a BUG ID</v>
      </c>
      <c r="C1920" s="51" t="str">
        <f>IFERROR(VLOOKUP(A1920,Internal_lists_bugs!$A$2:$I2033,9,FALSE()),"please select a BUG ID")</f>
        <v>please select a BUG ID</v>
      </c>
      <c r="D1920" s="85"/>
      <c r="E1920" s="85"/>
      <c r="F1920" s="133"/>
      <c r="G1920" s="49"/>
      <c r="H1920" s="50"/>
      <c r="I1920" s="131"/>
      <c r="J1920" s="131"/>
      <c r="K1920" s="131"/>
      <c r="L1920" s="131"/>
      <c r="M1920" s="131"/>
      <c r="N1920" s="43"/>
      <c r="O1920" s="51"/>
    </row>
    <row r="1921">
      <c r="A1921" s="43"/>
      <c r="B1921" s="59" t="str">
        <f>IFERROR(VLOOKUP(A1921,Internal_lists_bugs!$A$2:$G2033,7,FALSE()),"please select a BUG ID")</f>
        <v>please select a BUG ID</v>
      </c>
      <c r="C1921" s="51" t="str">
        <f>IFERROR(VLOOKUP(A1921,Internal_lists_bugs!$A$2:$I2033,9,FALSE()),"please select a BUG ID")</f>
        <v>please select a BUG ID</v>
      </c>
      <c r="D1921" s="85"/>
      <c r="E1921" s="85"/>
      <c r="F1921" s="133"/>
      <c r="G1921" s="49"/>
      <c r="H1921" s="50"/>
      <c r="I1921" s="131"/>
      <c r="J1921" s="131"/>
      <c r="K1921" s="131"/>
      <c r="L1921" s="131"/>
      <c r="M1921" s="131"/>
      <c r="N1921" s="43"/>
      <c r="O1921" s="51"/>
    </row>
    <row r="1922">
      <c r="A1922" s="43"/>
      <c r="B1922" s="59" t="str">
        <f>IFERROR(VLOOKUP(A1922,Internal_lists_bugs!$A$2:$G2033,7,FALSE()),"please select a BUG ID")</f>
        <v>please select a BUG ID</v>
      </c>
      <c r="C1922" s="51" t="str">
        <f>IFERROR(VLOOKUP(A1922,Internal_lists_bugs!$A$2:$I2033,9,FALSE()),"please select a BUG ID")</f>
        <v>please select a BUG ID</v>
      </c>
      <c r="D1922" s="85"/>
      <c r="E1922" s="85"/>
      <c r="F1922" s="133"/>
      <c r="G1922" s="49"/>
      <c r="H1922" s="50"/>
      <c r="I1922" s="131"/>
      <c r="J1922" s="131"/>
      <c r="K1922" s="131"/>
      <c r="L1922" s="131"/>
      <c r="M1922" s="131"/>
      <c r="N1922" s="43"/>
      <c r="O1922" s="51"/>
    </row>
    <row r="1923">
      <c r="A1923" s="43"/>
      <c r="B1923" s="59" t="str">
        <f>IFERROR(VLOOKUP(A1923,Internal_lists_bugs!$A$2:$G2033,7,FALSE()),"please select a BUG ID")</f>
        <v>please select a BUG ID</v>
      </c>
      <c r="C1923" s="51" t="str">
        <f>IFERROR(VLOOKUP(A1923,Internal_lists_bugs!$A$2:$I2033,9,FALSE()),"please select a BUG ID")</f>
        <v>please select a BUG ID</v>
      </c>
      <c r="D1923" s="85"/>
      <c r="E1923" s="85"/>
      <c r="F1923" s="133"/>
      <c r="G1923" s="49"/>
      <c r="H1923" s="50"/>
      <c r="I1923" s="131"/>
      <c r="J1923" s="131"/>
      <c r="K1923" s="131"/>
      <c r="L1923" s="131"/>
      <c r="M1923" s="131"/>
      <c r="N1923" s="43"/>
      <c r="O1923" s="51"/>
    </row>
    <row r="1924">
      <c r="A1924" s="43"/>
      <c r="B1924" s="59" t="str">
        <f>IFERROR(VLOOKUP(A1924,Internal_lists_bugs!$A$2:$G2033,7,FALSE()),"please select a BUG ID")</f>
        <v>please select a BUG ID</v>
      </c>
      <c r="C1924" s="51" t="str">
        <f>IFERROR(VLOOKUP(A1924,Internal_lists_bugs!$A$2:$I2033,9,FALSE()),"please select a BUG ID")</f>
        <v>please select a BUG ID</v>
      </c>
      <c r="D1924" s="85"/>
      <c r="E1924" s="85"/>
      <c r="F1924" s="133"/>
      <c r="G1924" s="49"/>
      <c r="H1924" s="50"/>
      <c r="I1924" s="131"/>
      <c r="J1924" s="131"/>
      <c r="K1924" s="131"/>
      <c r="L1924" s="131"/>
      <c r="M1924" s="131"/>
      <c r="N1924" s="43"/>
      <c r="O1924" s="51"/>
    </row>
    <row r="1925">
      <c r="A1925" s="43"/>
      <c r="B1925" s="59" t="str">
        <f>IFERROR(VLOOKUP(A1925,Internal_lists_bugs!$A$2:$G2033,7,FALSE()),"please select a BUG ID")</f>
        <v>please select a BUG ID</v>
      </c>
      <c r="C1925" s="51" t="str">
        <f>IFERROR(VLOOKUP(A1925,Internal_lists_bugs!$A$2:$I2033,9,FALSE()),"please select a BUG ID")</f>
        <v>please select a BUG ID</v>
      </c>
      <c r="D1925" s="85"/>
      <c r="E1925" s="85"/>
      <c r="F1925" s="133"/>
      <c r="G1925" s="49"/>
      <c r="H1925" s="50"/>
      <c r="I1925" s="131"/>
      <c r="J1925" s="131"/>
      <c r="K1925" s="131"/>
      <c r="L1925" s="131"/>
      <c r="M1925" s="131"/>
      <c r="N1925" s="43"/>
      <c r="O1925" s="51"/>
    </row>
    <row r="1926">
      <c r="A1926" s="43"/>
      <c r="B1926" s="59" t="str">
        <f>IFERROR(VLOOKUP(A1926,Internal_lists_bugs!$A$2:$G2033,7,FALSE()),"please select a BUG ID")</f>
        <v>please select a BUG ID</v>
      </c>
      <c r="C1926" s="51" t="str">
        <f>IFERROR(VLOOKUP(A1926,Internal_lists_bugs!$A$2:$I2033,9,FALSE()),"please select a BUG ID")</f>
        <v>please select a BUG ID</v>
      </c>
      <c r="D1926" s="85"/>
      <c r="E1926" s="85"/>
      <c r="F1926" s="133"/>
      <c r="G1926" s="49"/>
      <c r="H1926" s="50"/>
      <c r="I1926" s="131"/>
      <c r="J1926" s="131"/>
      <c r="K1926" s="131"/>
      <c r="L1926" s="131"/>
      <c r="M1926" s="131"/>
      <c r="N1926" s="43"/>
      <c r="O1926" s="51"/>
    </row>
    <row r="1927">
      <c r="A1927" s="43"/>
      <c r="B1927" s="59" t="str">
        <f>IFERROR(VLOOKUP(A1927,Internal_lists_bugs!$A$2:$G2033,7,FALSE()),"please select a BUG ID")</f>
        <v>please select a BUG ID</v>
      </c>
      <c r="C1927" s="51" t="str">
        <f>IFERROR(VLOOKUP(A1927,Internal_lists_bugs!$A$2:$I2033,9,FALSE()),"please select a BUG ID")</f>
        <v>please select a BUG ID</v>
      </c>
      <c r="D1927" s="85"/>
      <c r="E1927" s="85"/>
      <c r="F1927" s="133"/>
      <c r="G1927" s="49"/>
      <c r="H1927" s="50"/>
      <c r="I1927" s="131"/>
      <c r="J1927" s="131"/>
      <c r="K1927" s="131"/>
      <c r="L1927" s="131"/>
      <c r="M1927" s="131"/>
      <c r="N1927" s="43"/>
      <c r="O1927" s="51"/>
    </row>
    <row r="1928">
      <c r="A1928" s="43"/>
      <c r="B1928" s="59" t="str">
        <f>IFERROR(VLOOKUP(A1928,Internal_lists_bugs!$A$2:$G2033,7,FALSE()),"please select a BUG ID")</f>
        <v>please select a BUG ID</v>
      </c>
      <c r="C1928" s="51" t="str">
        <f>IFERROR(VLOOKUP(A1928,Internal_lists_bugs!$A$2:$I2033,9,FALSE()),"please select a BUG ID")</f>
        <v>please select a BUG ID</v>
      </c>
      <c r="D1928" s="85"/>
      <c r="E1928" s="85"/>
      <c r="F1928" s="133"/>
      <c r="G1928" s="49"/>
      <c r="H1928" s="50"/>
      <c r="I1928" s="131"/>
      <c r="J1928" s="131"/>
      <c r="K1928" s="131"/>
      <c r="L1928" s="131"/>
      <c r="M1928" s="131"/>
      <c r="N1928" s="43"/>
      <c r="O1928" s="51"/>
    </row>
    <row r="1929">
      <c r="A1929" s="43"/>
      <c r="B1929" s="59" t="str">
        <f>IFERROR(VLOOKUP(A1929,Internal_lists_bugs!$A$2:$G2033,7,FALSE()),"please select a BUG ID")</f>
        <v>please select a BUG ID</v>
      </c>
      <c r="C1929" s="51" t="str">
        <f>IFERROR(VLOOKUP(A1929,Internal_lists_bugs!$A$2:$I2033,9,FALSE()),"please select a BUG ID")</f>
        <v>please select a BUG ID</v>
      </c>
      <c r="D1929" s="85"/>
      <c r="E1929" s="85"/>
      <c r="F1929" s="133"/>
      <c r="G1929" s="49"/>
      <c r="H1929" s="50"/>
      <c r="I1929" s="131"/>
      <c r="J1929" s="131"/>
      <c r="K1929" s="131"/>
      <c r="L1929" s="131"/>
      <c r="M1929" s="131"/>
      <c r="N1929" s="43"/>
      <c r="O1929" s="51"/>
    </row>
    <row r="1930">
      <c r="A1930" s="43"/>
      <c r="B1930" s="59" t="str">
        <f>IFERROR(VLOOKUP(A1930,Internal_lists_bugs!$A$2:$G2033,7,FALSE()),"please select a BUG ID")</f>
        <v>please select a BUG ID</v>
      </c>
      <c r="C1930" s="51" t="str">
        <f>IFERROR(VLOOKUP(A1930,Internal_lists_bugs!$A$2:$I2033,9,FALSE()),"please select a BUG ID")</f>
        <v>please select a BUG ID</v>
      </c>
      <c r="D1930" s="85"/>
      <c r="E1930" s="85"/>
      <c r="F1930" s="133"/>
      <c r="G1930" s="49"/>
      <c r="H1930" s="50"/>
      <c r="I1930" s="131"/>
      <c r="J1930" s="131"/>
      <c r="K1930" s="131"/>
      <c r="L1930" s="131"/>
      <c r="M1930" s="131"/>
      <c r="N1930" s="43"/>
      <c r="O1930" s="51"/>
    </row>
    <row r="1931">
      <c r="A1931" s="43"/>
      <c r="B1931" s="59" t="str">
        <f>IFERROR(VLOOKUP(A1931,Internal_lists_bugs!$A$2:$G2033,7,FALSE()),"please select a BUG ID")</f>
        <v>please select a BUG ID</v>
      </c>
      <c r="C1931" s="51" t="str">
        <f>IFERROR(VLOOKUP(A1931,Internal_lists_bugs!$A$2:$I2033,9,FALSE()),"please select a BUG ID")</f>
        <v>please select a BUG ID</v>
      </c>
      <c r="D1931" s="85"/>
      <c r="E1931" s="85"/>
      <c r="F1931" s="133"/>
      <c r="G1931" s="49"/>
      <c r="H1931" s="50"/>
      <c r="I1931" s="131"/>
      <c r="J1931" s="131"/>
      <c r="K1931" s="131"/>
      <c r="L1931" s="131"/>
      <c r="M1931" s="131"/>
      <c r="N1931" s="43"/>
      <c r="O1931" s="51"/>
    </row>
    <row r="1932">
      <c r="A1932" s="43"/>
      <c r="B1932" s="59" t="str">
        <f>IFERROR(VLOOKUP(A1932,Internal_lists_bugs!$A$2:$G2033,7,FALSE()),"please select a BUG ID")</f>
        <v>please select a BUG ID</v>
      </c>
      <c r="C1932" s="51" t="str">
        <f>IFERROR(VLOOKUP(A1932,Internal_lists_bugs!$A$2:$I2033,9,FALSE()),"please select a BUG ID")</f>
        <v>please select a BUG ID</v>
      </c>
      <c r="D1932" s="85"/>
      <c r="E1932" s="85"/>
      <c r="F1932" s="133"/>
      <c r="G1932" s="49"/>
      <c r="H1932" s="50"/>
      <c r="I1932" s="131"/>
      <c r="J1932" s="131"/>
      <c r="K1932" s="131"/>
      <c r="L1932" s="131"/>
      <c r="M1932" s="131"/>
      <c r="N1932" s="43"/>
      <c r="O1932" s="51"/>
    </row>
    <row r="1933">
      <c r="A1933" s="43"/>
      <c r="B1933" s="59" t="str">
        <f>IFERROR(VLOOKUP(A1933,Internal_lists_bugs!$A$2:$G2033,7,FALSE()),"please select a BUG ID")</f>
        <v>please select a BUG ID</v>
      </c>
      <c r="C1933" s="51" t="str">
        <f>IFERROR(VLOOKUP(A1933,Internal_lists_bugs!$A$2:$I2033,9,FALSE()),"please select a BUG ID")</f>
        <v>please select a BUG ID</v>
      </c>
      <c r="D1933" s="85"/>
      <c r="E1933" s="85"/>
      <c r="F1933" s="133"/>
      <c r="G1933" s="49"/>
      <c r="H1933" s="50"/>
      <c r="I1933" s="131"/>
      <c r="J1933" s="131"/>
      <c r="K1933" s="131"/>
      <c r="L1933" s="131"/>
      <c r="M1933" s="131"/>
      <c r="N1933" s="43"/>
      <c r="O1933" s="51"/>
    </row>
    <row r="1934">
      <c r="A1934" s="43"/>
      <c r="B1934" s="59" t="str">
        <f>IFERROR(VLOOKUP(A1934,Internal_lists_bugs!$A$2:$G2033,7,FALSE()),"please select a BUG ID")</f>
        <v>please select a BUG ID</v>
      </c>
      <c r="C1934" s="51" t="str">
        <f>IFERROR(VLOOKUP(A1934,Internal_lists_bugs!$A$2:$I2033,9,FALSE()),"please select a BUG ID")</f>
        <v>please select a BUG ID</v>
      </c>
      <c r="D1934" s="85"/>
      <c r="E1934" s="85"/>
      <c r="F1934" s="133"/>
      <c r="G1934" s="49"/>
      <c r="H1934" s="50"/>
      <c r="I1934" s="131"/>
      <c r="J1934" s="131"/>
      <c r="K1934" s="131"/>
      <c r="L1934" s="131"/>
      <c r="M1934" s="131"/>
      <c r="N1934" s="43"/>
      <c r="O1934" s="51"/>
    </row>
    <row r="1935">
      <c r="A1935" s="43"/>
      <c r="B1935" s="59" t="str">
        <f>IFERROR(VLOOKUP(A1935,Internal_lists_bugs!$A$2:$G2033,7,FALSE()),"please select a BUG ID")</f>
        <v>please select a BUG ID</v>
      </c>
      <c r="C1935" s="51" t="str">
        <f>IFERROR(VLOOKUP(A1935,Internal_lists_bugs!$A$2:$I2033,9,FALSE()),"please select a BUG ID")</f>
        <v>please select a BUG ID</v>
      </c>
      <c r="D1935" s="85"/>
      <c r="E1935" s="85"/>
      <c r="F1935" s="133"/>
      <c r="G1935" s="49"/>
      <c r="H1935" s="50"/>
      <c r="I1935" s="131"/>
      <c r="J1935" s="131"/>
      <c r="K1935" s="131"/>
      <c r="L1935" s="131"/>
      <c r="M1935" s="131"/>
      <c r="N1935" s="43"/>
      <c r="O1935" s="51"/>
    </row>
    <row r="1936">
      <c r="A1936" s="43"/>
      <c r="B1936" s="59" t="str">
        <f>IFERROR(VLOOKUP(A1936,Internal_lists_bugs!$A$2:$G2033,7,FALSE()),"please select a BUG ID")</f>
        <v>please select a BUG ID</v>
      </c>
      <c r="C1936" s="51" t="str">
        <f>IFERROR(VLOOKUP(A1936,Internal_lists_bugs!$A$2:$I2033,9,FALSE()),"please select a BUG ID")</f>
        <v>please select a BUG ID</v>
      </c>
      <c r="D1936" s="85"/>
      <c r="E1936" s="85"/>
      <c r="F1936" s="133"/>
      <c r="G1936" s="49"/>
      <c r="H1936" s="50"/>
      <c r="I1936" s="131"/>
      <c r="J1936" s="131"/>
      <c r="K1936" s="131"/>
      <c r="L1936" s="131"/>
      <c r="M1936" s="131"/>
      <c r="N1936" s="43"/>
      <c r="O1936" s="51"/>
    </row>
    <row r="1937">
      <c r="A1937" s="43"/>
      <c r="B1937" s="59" t="str">
        <f>IFERROR(VLOOKUP(A1937,Internal_lists_bugs!$A$2:$G2033,7,FALSE()),"please select a BUG ID")</f>
        <v>please select a BUG ID</v>
      </c>
      <c r="C1937" s="51" t="str">
        <f>IFERROR(VLOOKUP(A1937,Internal_lists_bugs!$A$2:$I2033,9,FALSE()),"please select a BUG ID")</f>
        <v>please select a BUG ID</v>
      </c>
      <c r="D1937" s="85"/>
      <c r="E1937" s="85"/>
      <c r="F1937" s="133"/>
      <c r="G1937" s="49"/>
      <c r="H1937" s="50"/>
      <c r="I1937" s="131"/>
      <c r="J1937" s="131"/>
      <c r="K1937" s="131"/>
      <c r="L1937" s="131"/>
      <c r="M1937" s="131"/>
      <c r="N1937" s="43"/>
      <c r="O1937" s="51"/>
    </row>
    <row r="1938">
      <c r="A1938" s="43"/>
      <c r="B1938" s="59" t="str">
        <f>IFERROR(VLOOKUP(A1938,Internal_lists_bugs!$A$2:$G2033,7,FALSE()),"please select a BUG ID")</f>
        <v>please select a BUG ID</v>
      </c>
      <c r="C1938" s="51" t="str">
        <f>IFERROR(VLOOKUP(A1938,Internal_lists_bugs!$A$2:$I2033,9,FALSE()),"please select a BUG ID")</f>
        <v>please select a BUG ID</v>
      </c>
      <c r="D1938" s="85"/>
      <c r="E1938" s="85"/>
      <c r="F1938" s="133"/>
      <c r="G1938" s="49"/>
      <c r="H1938" s="50"/>
      <c r="I1938" s="131"/>
      <c r="J1938" s="131"/>
      <c r="K1938" s="131"/>
      <c r="L1938" s="131"/>
      <c r="M1938" s="131"/>
      <c r="N1938" s="43"/>
      <c r="O1938" s="51"/>
    </row>
    <row r="1939">
      <c r="A1939" s="43"/>
      <c r="B1939" s="59" t="str">
        <f>IFERROR(VLOOKUP(A1939,Internal_lists_bugs!$A$2:$G2033,7,FALSE()),"please select a BUG ID")</f>
        <v>please select a BUG ID</v>
      </c>
      <c r="C1939" s="51" t="str">
        <f>IFERROR(VLOOKUP(A1939,Internal_lists_bugs!$A$2:$I2033,9,FALSE()),"please select a BUG ID")</f>
        <v>please select a BUG ID</v>
      </c>
      <c r="D1939" s="85"/>
      <c r="E1939" s="85"/>
      <c r="F1939" s="133"/>
      <c r="G1939" s="49"/>
      <c r="H1939" s="50"/>
      <c r="I1939" s="131"/>
      <c r="J1939" s="131"/>
      <c r="K1939" s="131"/>
      <c r="L1939" s="131"/>
      <c r="M1939" s="131"/>
      <c r="N1939" s="43"/>
      <c r="O1939" s="51"/>
    </row>
    <row r="1940">
      <c r="A1940" s="43"/>
      <c r="B1940" s="59" t="str">
        <f>IFERROR(VLOOKUP(A1940,Internal_lists_bugs!$A$2:$G2033,7,FALSE()),"please select a BUG ID")</f>
        <v>please select a BUG ID</v>
      </c>
      <c r="C1940" s="51" t="str">
        <f>IFERROR(VLOOKUP(A1940,Internal_lists_bugs!$A$2:$I2033,9,FALSE()),"please select a BUG ID")</f>
        <v>please select a BUG ID</v>
      </c>
      <c r="D1940" s="85"/>
      <c r="E1940" s="85"/>
      <c r="F1940" s="133"/>
      <c r="G1940" s="49"/>
      <c r="H1940" s="50"/>
      <c r="I1940" s="131"/>
      <c r="J1940" s="131"/>
      <c r="K1940" s="131"/>
      <c r="L1940" s="131"/>
      <c r="M1940" s="131"/>
      <c r="N1940" s="43"/>
      <c r="O1940" s="51"/>
    </row>
    <row r="1941">
      <c r="A1941" s="43"/>
      <c r="B1941" s="59" t="str">
        <f>IFERROR(VLOOKUP(A1941,Internal_lists_bugs!$A$2:$G2033,7,FALSE()),"please select a BUG ID")</f>
        <v>please select a BUG ID</v>
      </c>
      <c r="C1941" s="51" t="str">
        <f>IFERROR(VLOOKUP(A1941,Internal_lists_bugs!$A$2:$I2033,9,FALSE()),"please select a BUG ID")</f>
        <v>please select a BUG ID</v>
      </c>
      <c r="D1941" s="85"/>
      <c r="E1941" s="85"/>
      <c r="F1941" s="133"/>
      <c r="G1941" s="49"/>
      <c r="H1941" s="50"/>
      <c r="I1941" s="131"/>
      <c r="J1941" s="131"/>
      <c r="K1941" s="131"/>
      <c r="L1941" s="131"/>
      <c r="M1941" s="131"/>
      <c r="N1941" s="43"/>
      <c r="O1941" s="51"/>
    </row>
    <row r="1942">
      <c r="A1942" s="43"/>
      <c r="B1942" s="59" t="str">
        <f>IFERROR(VLOOKUP(A1942,Internal_lists_bugs!$A$2:$G2033,7,FALSE()),"please select a BUG ID")</f>
        <v>please select a BUG ID</v>
      </c>
      <c r="C1942" s="51" t="str">
        <f>IFERROR(VLOOKUP(A1942,Internal_lists_bugs!$A$2:$I2033,9,FALSE()),"please select a BUG ID")</f>
        <v>please select a BUG ID</v>
      </c>
      <c r="D1942" s="85"/>
      <c r="E1942" s="85"/>
      <c r="F1942" s="133"/>
      <c r="G1942" s="49"/>
      <c r="H1942" s="50"/>
      <c r="I1942" s="131"/>
      <c r="J1942" s="131"/>
      <c r="K1942" s="131"/>
      <c r="L1942" s="131"/>
      <c r="M1942" s="131"/>
      <c r="N1942" s="43"/>
      <c r="O1942" s="51"/>
    </row>
    <row r="1943">
      <c r="A1943" s="43"/>
      <c r="B1943" s="59" t="str">
        <f>IFERROR(VLOOKUP(A1943,Internal_lists_bugs!$A$2:$G2033,7,FALSE()),"please select a BUG ID")</f>
        <v>please select a BUG ID</v>
      </c>
      <c r="C1943" s="51" t="str">
        <f>IFERROR(VLOOKUP(A1943,Internal_lists_bugs!$A$2:$I2033,9,FALSE()),"please select a BUG ID")</f>
        <v>please select a BUG ID</v>
      </c>
      <c r="D1943" s="85"/>
      <c r="E1943" s="85"/>
      <c r="F1943" s="133"/>
      <c r="G1943" s="49"/>
      <c r="H1943" s="50"/>
      <c r="I1943" s="131"/>
      <c r="J1943" s="131"/>
      <c r="K1943" s="131"/>
      <c r="L1943" s="131"/>
      <c r="M1943" s="131"/>
      <c r="N1943" s="43"/>
      <c r="O1943" s="51"/>
    </row>
    <row r="1944">
      <c r="A1944" s="43"/>
      <c r="B1944" s="59" t="str">
        <f>IFERROR(VLOOKUP(A1944,Internal_lists_bugs!$A$2:$G2033,7,FALSE()),"please select a BUG ID")</f>
        <v>please select a BUG ID</v>
      </c>
      <c r="C1944" s="51" t="str">
        <f>IFERROR(VLOOKUP(A1944,Internal_lists_bugs!$A$2:$I2033,9,FALSE()),"please select a BUG ID")</f>
        <v>please select a BUG ID</v>
      </c>
      <c r="D1944" s="85"/>
      <c r="E1944" s="85"/>
      <c r="F1944" s="133"/>
      <c r="G1944" s="49"/>
      <c r="H1944" s="50"/>
      <c r="I1944" s="131"/>
      <c r="J1944" s="131"/>
      <c r="K1944" s="131"/>
      <c r="L1944" s="131"/>
      <c r="M1944" s="131"/>
      <c r="N1944" s="43"/>
      <c r="O1944" s="51"/>
    </row>
    <row r="1945">
      <c r="A1945" s="43"/>
      <c r="B1945" s="59" t="str">
        <f>IFERROR(VLOOKUP(A1945,Internal_lists_bugs!$A$2:$G2033,7,FALSE()),"please select a BUG ID")</f>
        <v>please select a BUG ID</v>
      </c>
      <c r="C1945" s="51" t="str">
        <f>IFERROR(VLOOKUP(A1945,Internal_lists_bugs!$A$2:$I2033,9,FALSE()),"please select a BUG ID")</f>
        <v>please select a BUG ID</v>
      </c>
      <c r="D1945" s="85"/>
      <c r="E1945" s="85"/>
      <c r="F1945" s="133"/>
      <c r="G1945" s="49"/>
      <c r="H1945" s="50"/>
      <c r="I1945" s="131"/>
      <c r="J1945" s="131"/>
      <c r="K1945" s="131"/>
      <c r="L1945" s="131"/>
      <c r="M1945" s="131"/>
      <c r="N1945" s="43"/>
      <c r="O1945" s="51"/>
    </row>
    <row r="1946">
      <c r="A1946" s="43"/>
      <c r="B1946" s="59" t="str">
        <f>IFERROR(VLOOKUP(A1946,Internal_lists_bugs!$A$2:$G2033,7,FALSE()),"please select a BUG ID")</f>
        <v>please select a BUG ID</v>
      </c>
      <c r="C1946" s="51" t="str">
        <f>IFERROR(VLOOKUP(A1946,Internal_lists_bugs!$A$2:$I2033,9,FALSE()),"please select a BUG ID")</f>
        <v>please select a BUG ID</v>
      </c>
      <c r="D1946" s="85"/>
      <c r="E1946" s="85"/>
      <c r="F1946" s="133"/>
      <c r="G1946" s="49"/>
      <c r="H1946" s="50"/>
      <c r="I1946" s="131"/>
      <c r="J1946" s="131"/>
      <c r="K1946" s="131"/>
      <c r="L1946" s="131"/>
      <c r="M1946" s="131"/>
      <c r="N1946" s="43"/>
      <c r="O1946" s="51"/>
    </row>
    <row r="1947">
      <c r="A1947" s="43"/>
      <c r="B1947" s="59" t="str">
        <f>IFERROR(VLOOKUP(A1947,Internal_lists_bugs!$A$2:$G2033,7,FALSE()),"please select a BUG ID")</f>
        <v>please select a BUG ID</v>
      </c>
      <c r="C1947" s="51" t="str">
        <f>IFERROR(VLOOKUP(A1947,Internal_lists_bugs!$A$2:$I2033,9,FALSE()),"please select a BUG ID")</f>
        <v>please select a BUG ID</v>
      </c>
      <c r="D1947" s="85"/>
      <c r="E1947" s="85"/>
      <c r="F1947" s="133"/>
      <c r="G1947" s="49"/>
      <c r="H1947" s="50"/>
      <c r="I1947" s="131"/>
      <c r="J1947" s="131"/>
      <c r="K1947" s="131"/>
      <c r="L1947" s="131"/>
      <c r="M1947" s="131"/>
      <c r="N1947" s="43"/>
      <c r="O1947" s="51"/>
    </row>
    <row r="1948">
      <c r="A1948" s="43"/>
      <c r="B1948" s="59" t="str">
        <f>IFERROR(VLOOKUP(A1948,Internal_lists_bugs!$A$2:$G2033,7,FALSE()),"please select a BUG ID")</f>
        <v>please select a BUG ID</v>
      </c>
      <c r="C1948" s="51" t="str">
        <f>IFERROR(VLOOKUP(A1948,Internal_lists_bugs!$A$2:$I2033,9,FALSE()),"please select a BUG ID")</f>
        <v>please select a BUG ID</v>
      </c>
      <c r="D1948" s="85"/>
      <c r="E1948" s="85"/>
      <c r="F1948" s="133"/>
      <c r="G1948" s="49"/>
      <c r="H1948" s="50"/>
      <c r="I1948" s="131"/>
      <c r="J1948" s="131"/>
      <c r="K1948" s="131"/>
      <c r="L1948" s="131"/>
      <c r="M1948" s="131"/>
      <c r="N1948" s="43"/>
      <c r="O1948" s="51"/>
    </row>
    <row r="1949">
      <c r="A1949" s="43"/>
      <c r="B1949" s="59" t="str">
        <f>IFERROR(VLOOKUP(A1949,Internal_lists_bugs!$A$2:$G2033,7,FALSE()),"please select a BUG ID")</f>
        <v>please select a BUG ID</v>
      </c>
      <c r="C1949" s="51" t="str">
        <f>IFERROR(VLOOKUP(A1949,Internal_lists_bugs!$A$2:$I2033,9,FALSE()),"please select a BUG ID")</f>
        <v>please select a BUG ID</v>
      </c>
      <c r="D1949" s="85"/>
      <c r="E1949" s="85"/>
      <c r="F1949" s="133"/>
      <c r="G1949" s="49"/>
      <c r="H1949" s="50"/>
      <c r="I1949" s="131"/>
      <c r="J1949" s="131"/>
      <c r="K1949" s="131"/>
      <c r="L1949" s="131"/>
      <c r="M1949" s="131"/>
      <c r="N1949" s="43"/>
      <c r="O1949" s="51"/>
    </row>
    <row r="1950">
      <c r="A1950" s="43"/>
      <c r="B1950" s="59" t="str">
        <f>IFERROR(VLOOKUP(A1950,Internal_lists_bugs!$A$2:$G2033,7,FALSE()),"please select a BUG ID")</f>
        <v>please select a BUG ID</v>
      </c>
      <c r="C1950" s="51" t="str">
        <f>IFERROR(VLOOKUP(A1950,Internal_lists_bugs!$A$2:$I2033,9,FALSE()),"please select a BUG ID")</f>
        <v>please select a BUG ID</v>
      </c>
      <c r="D1950" s="85"/>
      <c r="E1950" s="85"/>
      <c r="F1950" s="133"/>
      <c r="G1950" s="49"/>
      <c r="H1950" s="50"/>
      <c r="I1950" s="131"/>
      <c r="J1950" s="131"/>
      <c r="K1950" s="131"/>
      <c r="L1950" s="131"/>
      <c r="M1950" s="131"/>
      <c r="N1950" s="43"/>
      <c r="O1950" s="51"/>
    </row>
    <row r="1951">
      <c r="A1951" s="43"/>
      <c r="B1951" s="59" t="str">
        <f>IFERROR(VLOOKUP(A1951,Internal_lists_bugs!$A$2:$G2033,7,FALSE()),"please select a BUG ID")</f>
        <v>please select a BUG ID</v>
      </c>
      <c r="C1951" s="51" t="str">
        <f>IFERROR(VLOOKUP(A1951,Internal_lists_bugs!$A$2:$I2033,9,FALSE()),"please select a BUG ID")</f>
        <v>please select a BUG ID</v>
      </c>
      <c r="D1951" s="85"/>
      <c r="E1951" s="85"/>
      <c r="F1951" s="133"/>
      <c r="G1951" s="49"/>
      <c r="H1951" s="50"/>
      <c r="I1951" s="131"/>
      <c r="J1951" s="131"/>
      <c r="K1951" s="131"/>
      <c r="L1951" s="131"/>
      <c r="M1951" s="131"/>
      <c r="N1951" s="43"/>
      <c r="O1951" s="51"/>
    </row>
    <row r="1952">
      <c r="A1952" s="43"/>
      <c r="B1952" s="59" t="str">
        <f>IFERROR(VLOOKUP(A1952,Internal_lists_bugs!$A$2:$G2033,7,FALSE()),"please select a BUG ID")</f>
        <v>please select a BUG ID</v>
      </c>
      <c r="C1952" s="51" t="str">
        <f>IFERROR(VLOOKUP(A1952,Internal_lists_bugs!$A$2:$I2033,9,FALSE()),"please select a BUG ID")</f>
        <v>please select a BUG ID</v>
      </c>
      <c r="D1952" s="85"/>
      <c r="E1952" s="85"/>
      <c r="F1952" s="133"/>
      <c r="G1952" s="49"/>
      <c r="H1952" s="50"/>
      <c r="I1952" s="131"/>
      <c r="J1952" s="131"/>
      <c r="K1952" s="131"/>
      <c r="L1952" s="131"/>
      <c r="M1952" s="131"/>
      <c r="N1952" s="43"/>
      <c r="O1952" s="51"/>
    </row>
    <row r="1953">
      <c r="A1953" s="43"/>
      <c r="B1953" s="59" t="str">
        <f>IFERROR(VLOOKUP(A1953,Internal_lists_bugs!$A$2:$G2033,7,FALSE()),"please select a BUG ID")</f>
        <v>please select a BUG ID</v>
      </c>
      <c r="C1953" s="51" t="str">
        <f>IFERROR(VLOOKUP(A1953,Internal_lists_bugs!$A$2:$I2033,9,FALSE()),"please select a BUG ID")</f>
        <v>please select a BUG ID</v>
      </c>
      <c r="D1953" s="85"/>
      <c r="E1953" s="85"/>
      <c r="F1953" s="133"/>
      <c r="G1953" s="49"/>
      <c r="H1953" s="50"/>
      <c r="I1953" s="131"/>
      <c r="J1953" s="131"/>
      <c r="K1953" s="131"/>
      <c r="L1953" s="131"/>
      <c r="M1953" s="131"/>
      <c r="N1953" s="43"/>
      <c r="O1953" s="51"/>
    </row>
    <row r="1954">
      <c r="A1954" s="43"/>
      <c r="B1954" s="59" t="str">
        <f>IFERROR(VLOOKUP(A1954,Internal_lists_bugs!$A$2:$G2033,7,FALSE()),"please select a BUG ID")</f>
        <v>please select a BUG ID</v>
      </c>
      <c r="C1954" s="51" t="str">
        <f>IFERROR(VLOOKUP(A1954,Internal_lists_bugs!$A$2:$I2033,9,FALSE()),"please select a BUG ID")</f>
        <v>please select a BUG ID</v>
      </c>
      <c r="D1954" s="85"/>
      <c r="E1954" s="85"/>
      <c r="F1954" s="133"/>
      <c r="G1954" s="49"/>
      <c r="H1954" s="50"/>
      <c r="I1954" s="131"/>
      <c r="J1954" s="131"/>
      <c r="K1954" s="131"/>
      <c r="L1954" s="131"/>
      <c r="M1954" s="131"/>
      <c r="N1954" s="43"/>
      <c r="O1954" s="51"/>
    </row>
    <row r="1955">
      <c r="A1955" s="43"/>
      <c r="B1955" s="59" t="str">
        <f>IFERROR(VLOOKUP(A1955,Internal_lists_bugs!$A$2:$G2033,7,FALSE()),"please select a BUG ID")</f>
        <v>please select a BUG ID</v>
      </c>
      <c r="C1955" s="51" t="str">
        <f>IFERROR(VLOOKUP(A1955,Internal_lists_bugs!$A$2:$I2033,9,FALSE()),"please select a BUG ID")</f>
        <v>please select a BUG ID</v>
      </c>
      <c r="D1955" s="85"/>
      <c r="E1955" s="85"/>
      <c r="F1955" s="133"/>
      <c r="G1955" s="49"/>
      <c r="H1955" s="50"/>
      <c r="I1955" s="131"/>
      <c r="J1955" s="131"/>
      <c r="K1955" s="131"/>
      <c r="L1955" s="131"/>
      <c r="M1955" s="131"/>
      <c r="N1955" s="43"/>
      <c r="O1955" s="51"/>
    </row>
    <row r="1956">
      <c r="A1956" s="43"/>
      <c r="B1956" s="59" t="str">
        <f>IFERROR(VLOOKUP(A1956,Internal_lists_bugs!$A$2:$G2033,7,FALSE()),"please select a BUG ID")</f>
        <v>please select a BUG ID</v>
      </c>
      <c r="C1956" s="51" t="str">
        <f>IFERROR(VLOOKUP(A1956,Internal_lists_bugs!$A$2:$I2033,9,FALSE()),"please select a BUG ID")</f>
        <v>please select a BUG ID</v>
      </c>
      <c r="D1956" s="85"/>
      <c r="E1956" s="85"/>
      <c r="F1956" s="133"/>
      <c r="G1956" s="49"/>
      <c r="H1956" s="50"/>
      <c r="I1956" s="131"/>
      <c r="J1956" s="131"/>
      <c r="K1956" s="131"/>
      <c r="L1956" s="131"/>
      <c r="M1956" s="131"/>
      <c r="N1956" s="43"/>
      <c r="O1956" s="51"/>
    </row>
    <row r="1957">
      <c r="A1957" s="43"/>
      <c r="B1957" s="59" t="str">
        <f>IFERROR(VLOOKUP(A1957,Internal_lists_bugs!$A$2:$G2033,7,FALSE()),"please select a BUG ID")</f>
        <v>please select a BUG ID</v>
      </c>
      <c r="C1957" s="51" t="str">
        <f>IFERROR(VLOOKUP(A1957,Internal_lists_bugs!$A$2:$I2033,9,FALSE()),"please select a BUG ID")</f>
        <v>please select a BUG ID</v>
      </c>
      <c r="D1957" s="85"/>
      <c r="E1957" s="85"/>
      <c r="F1957" s="133"/>
      <c r="G1957" s="49"/>
      <c r="H1957" s="50"/>
      <c r="I1957" s="131"/>
      <c r="J1957" s="131"/>
      <c r="K1957" s="131"/>
      <c r="L1957" s="131"/>
      <c r="M1957" s="131"/>
      <c r="N1957" s="43"/>
      <c r="O1957" s="51"/>
    </row>
    <row r="1958">
      <c r="A1958" s="43"/>
      <c r="B1958" s="59" t="str">
        <f>IFERROR(VLOOKUP(A1958,Internal_lists_bugs!$A$2:$G2033,7,FALSE()),"please select a BUG ID")</f>
        <v>please select a BUG ID</v>
      </c>
      <c r="C1958" s="51" t="str">
        <f>IFERROR(VLOOKUP(A1958,Internal_lists_bugs!$A$2:$I2033,9,FALSE()),"please select a BUG ID")</f>
        <v>please select a BUG ID</v>
      </c>
      <c r="D1958" s="85"/>
      <c r="E1958" s="85"/>
      <c r="F1958" s="133"/>
      <c r="G1958" s="49"/>
      <c r="H1958" s="50"/>
      <c r="I1958" s="131"/>
      <c r="J1958" s="131"/>
      <c r="K1958" s="131"/>
      <c r="L1958" s="131"/>
      <c r="M1958" s="131"/>
      <c r="N1958" s="43"/>
      <c r="O1958" s="51"/>
    </row>
    <row r="1959">
      <c r="A1959" s="43"/>
      <c r="B1959" s="59" t="str">
        <f>IFERROR(VLOOKUP(A1959,Internal_lists_bugs!$A$2:$G2033,7,FALSE()),"please select a BUG ID")</f>
        <v>please select a BUG ID</v>
      </c>
      <c r="C1959" s="51" t="str">
        <f>IFERROR(VLOOKUP(A1959,Internal_lists_bugs!$A$2:$I2033,9,FALSE()),"please select a BUG ID")</f>
        <v>please select a BUG ID</v>
      </c>
      <c r="D1959" s="85"/>
      <c r="E1959" s="85"/>
      <c r="F1959" s="133"/>
      <c r="G1959" s="49"/>
      <c r="H1959" s="50"/>
      <c r="I1959" s="131"/>
      <c r="J1959" s="131"/>
      <c r="K1959" s="131"/>
      <c r="L1959" s="131"/>
      <c r="M1959" s="131"/>
      <c r="N1959" s="43"/>
      <c r="O1959" s="51"/>
    </row>
    <row r="1960">
      <c r="A1960" s="43"/>
      <c r="B1960" s="59" t="str">
        <f>IFERROR(VLOOKUP(A1960,Internal_lists_bugs!$A$2:$G2033,7,FALSE()),"please select a BUG ID")</f>
        <v>please select a BUG ID</v>
      </c>
      <c r="C1960" s="51" t="str">
        <f>IFERROR(VLOOKUP(A1960,Internal_lists_bugs!$A$2:$I2033,9,FALSE()),"please select a BUG ID")</f>
        <v>please select a BUG ID</v>
      </c>
      <c r="D1960" s="85"/>
      <c r="E1960" s="85"/>
      <c r="F1960" s="133"/>
      <c r="G1960" s="49"/>
      <c r="H1960" s="50"/>
      <c r="I1960" s="131"/>
      <c r="J1960" s="131"/>
      <c r="K1960" s="131"/>
      <c r="L1960" s="131"/>
      <c r="M1960" s="131"/>
      <c r="N1960" s="43"/>
      <c r="O1960" s="51"/>
    </row>
    <row r="1961">
      <c r="A1961" s="43"/>
      <c r="B1961" s="59" t="str">
        <f>IFERROR(VLOOKUP(A1961,Internal_lists_bugs!$A$2:$G2033,7,FALSE()),"please select a BUG ID")</f>
        <v>please select a BUG ID</v>
      </c>
      <c r="C1961" s="51" t="str">
        <f>IFERROR(VLOOKUP(A1961,Internal_lists_bugs!$A$2:$I2033,9,FALSE()),"please select a BUG ID")</f>
        <v>please select a BUG ID</v>
      </c>
      <c r="D1961" s="85"/>
      <c r="E1961" s="85"/>
      <c r="F1961" s="133"/>
      <c r="G1961" s="49"/>
      <c r="H1961" s="50"/>
      <c r="I1961" s="131"/>
      <c r="J1961" s="131"/>
      <c r="K1961" s="131"/>
      <c r="L1961" s="131"/>
      <c r="M1961" s="131"/>
      <c r="N1961" s="43"/>
      <c r="O1961" s="51"/>
    </row>
    <row r="1962">
      <c r="A1962" s="43"/>
      <c r="B1962" s="59" t="str">
        <f>IFERROR(VLOOKUP(A1962,Internal_lists_bugs!$A$2:$G2033,7,FALSE()),"please select a BUG ID")</f>
        <v>please select a BUG ID</v>
      </c>
      <c r="C1962" s="51" t="str">
        <f>IFERROR(VLOOKUP(A1962,Internal_lists_bugs!$A$2:$I2033,9,FALSE()),"please select a BUG ID")</f>
        <v>please select a BUG ID</v>
      </c>
      <c r="D1962" s="85"/>
      <c r="E1962" s="85"/>
      <c r="F1962" s="133"/>
      <c r="G1962" s="49"/>
      <c r="H1962" s="50"/>
      <c r="I1962" s="131"/>
      <c r="J1962" s="131"/>
      <c r="K1962" s="131"/>
      <c r="L1962" s="131"/>
      <c r="M1962" s="131"/>
      <c r="N1962" s="43"/>
      <c r="O1962" s="51"/>
    </row>
    <row r="1963">
      <c r="A1963" s="43"/>
      <c r="B1963" s="59" t="str">
        <f>IFERROR(VLOOKUP(A1963,Internal_lists_bugs!$A$2:$G2033,7,FALSE()),"please select a BUG ID")</f>
        <v>please select a BUG ID</v>
      </c>
      <c r="C1963" s="51" t="str">
        <f>IFERROR(VLOOKUP(A1963,Internal_lists_bugs!$A$2:$I2033,9,FALSE()),"please select a BUG ID")</f>
        <v>please select a BUG ID</v>
      </c>
      <c r="D1963" s="85"/>
      <c r="E1963" s="85"/>
      <c r="F1963" s="133"/>
      <c r="G1963" s="49"/>
      <c r="H1963" s="50"/>
      <c r="I1963" s="131"/>
      <c r="J1963" s="131"/>
      <c r="K1963" s="131"/>
      <c r="L1963" s="131"/>
      <c r="M1963" s="131"/>
      <c r="N1963" s="43"/>
      <c r="O1963" s="51"/>
    </row>
    <row r="1964">
      <c r="A1964" s="43"/>
      <c r="B1964" s="59" t="str">
        <f>IFERROR(VLOOKUP(A1964,Internal_lists_bugs!$A$2:$G2033,7,FALSE()),"please select a BUG ID")</f>
        <v>please select a BUG ID</v>
      </c>
      <c r="C1964" s="51" t="str">
        <f>IFERROR(VLOOKUP(A1964,Internal_lists_bugs!$A$2:$I2033,9,FALSE()),"please select a BUG ID")</f>
        <v>please select a BUG ID</v>
      </c>
      <c r="D1964" s="85"/>
      <c r="E1964" s="85"/>
      <c r="F1964" s="133"/>
      <c r="G1964" s="49"/>
      <c r="H1964" s="50"/>
      <c r="I1964" s="131"/>
      <c r="J1964" s="131"/>
      <c r="K1964" s="131"/>
      <c r="L1964" s="131"/>
      <c r="M1964" s="131"/>
      <c r="N1964" s="43"/>
      <c r="O1964" s="51"/>
    </row>
    <row r="1965">
      <c r="A1965" s="43"/>
      <c r="B1965" s="59" t="str">
        <f>IFERROR(VLOOKUP(A1965,Internal_lists_bugs!$A$2:$G2033,7,FALSE()),"please select a BUG ID")</f>
        <v>please select a BUG ID</v>
      </c>
      <c r="C1965" s="51" t="str">
        <f>IFERROR(VLOOKUP(A1965,Internal_lists_bugs!$A$2:$I2033,9,FALSE()),"please select a BUG ID")</f>
        <v>please select a BUG ID</v>
      </c>
      <c r="D1965" s="85"/>
      <c r="E1965" s="85"/>
      <c r="F1965" s="133"/>
      <c r="G1965" s="49"/>
      <c r="H1965" s="50"/>
      <c r="I1965" s="131"/>
      <c r="J1965" s="131"/>
      <c r="K1965" s="131"/>
      <c r="L1965" s="131"/>
      <c r="M1965" s="131"/>
      <c r="N1965" s="43"/>
      <c r="O1965" s="51"/>
    </row>
    <row r="1966">
      <c r="A1966" s="43"/>
      <c r="B1966" s="59" t="str">
        <f>IFERROR(VLOOKUP(A1966,Internal_lists_bugs!$A$2:$G2033,7,FALSE()),"please select a BUG ID")</f>
        <v>please select a BUG ID</v>
      </c>
      <c r="C1966" s="51" t="str">
        <f>IFERROR(VLOOKUP(A1966,Internal_lists_bugs!$A$2:$I2033,9,FALSE()),"please select a BUG ID")</f>
        <v>please select a BUG ID</v>
      </c>
      <c r="D1966" s="85"/>
      <c r="E1966" s="85"/>
      <c r="F1966" s="133"/>
      <c r="G1966" s="49"/>
      <c r="H1966" s="50"/>
      <c r="I1966" s="131"/>
      <c r="J1966" s="131"/>
      <c r="K1966" s="131"/>
      <c r="L1966" s="131"/>
      <c r="M1966" s="131"/>
      <c r="N1966" s="43"/>
      <c r="O1966" s="51"/>
    </row>
    <row r="1967">
      <c r="A1967" s="43"/>
      <c r="B1967" s="59" t="str">
        <f>IFERROR(VLOOKUP(A1967,Internal_lists_bugs!$A$2:$G2033,7,FALSE()),"please select a BUG ID")</f>
        <v>please select a BUG ID</v>
      </c>
      <c r="C1967" s="51" t="str">
        <f>IFERROR(VLOOKUP(A1967,Internal_lists_bugs!$A$2:$I2033,9,FALSE()),"please select a BUG ID")</f>
        <v>please select a BUG ID</v>
      </c>
      <c r="D1967" s="85"/>
      <c r="E1967" s="85"/>
      <c r="F1967" s="133"/>
      <c r="G1967" s="49"/>
      <c r="H1967" s="50"/>
      <c r="I1967" s="131"/>
      <c r="J1967" s="131"/>
      <c r="K1967" s="131"/>
      <c r="L1967" s="131"/>
      <c r="M1967" s="131"/>
      <c r="N1967" s="43"/>
      <c r="O1967" s="51"/>
    </row>
    <row r="1968">
      <c r="A1968" s="43"/>
      <c r="B1968" s="59" t="str">
        <f>IFERROR(VLOOKUP(A1968,Internal_lists_bugs!$A$2:$G2033,7,FALSE()),"please select a BUG ID")</f>
        <v>please select a BUG ID</v>
      </c>
      <c r="C1968" s="51" t="str">
        <f>IFERROR(VLOOKUP(A1968,Internal_lists_bugs!$A$2:$I2033,9,FALSE()),"please select a BUG ID")</f>
        <v>please select a BUG ID</v>
      </c>
      <c r="D1968" s="85"/>
      <c r="E1968" s="85"/>
      <c r="F1968" s="133"/>
      <c r="G1968" s="49"/>
      <c r="H1968" s="50"/>
      <c r="I1968" s="131"/>
      <c r="J1968" s="131"/>
      <c r="K1968" s="131"/>
      <c r="L1968" s="131"/>
      <c r="M1968" s="131"/>
      <c r="N1968" s="43"/>
      <c r="O1968" s="51"/>
    </row>
    <row r="1969">
      <c r="A1969" s="43"/>
      <c r="B1969" s="59" t="str">
        <f>IFERROR(VLOOKUP(A1969,Internal_lists_bugs!$A$2:$G2033,7,FALSE()),"please select a BUG ID")</f>
        <v>please select a BUG ID</v>
      </c>
      <c r="C1969" s="51" t="str">
        <f>IFERROR(VLOOKUP(A1969,Internal_lists_bugs!$A$2:$I2033,9,FALSE()),"please select a BUG ID")</f>
        <v>please select a BUG ID</v>
      </c>
      <c r="D1969" s="85"/>
      <c r="E1969" s="85"/>
      <c r="F1969" s="133"/>
      <c r="G1969" s="49"/>
      <c r="H1969" s="50"/>
      <c r="I1969" s="131"/>
      <c r="J1969" s="131"/>
      <c r="K1969" s="131"/>
      <c r="L1969" s="131"/>
      <c r="M1969" s="131"/>
      <c r="N1969" s="43"/>
      <c r="O1969" s="51"/>
    </row>
    <row r="1970">
      <c r="A1970" s="43"/>
      <c r="B1970" s="59" t="str">
        <f>IFERROR(VLOOKUP(A1970,Internal_lists_bugs!$A$2:$G2033,7,FALSE()),"please select a BUG ID")</f>
        <v>please select a BUG ID</v>
      </c>
      <c r="C1970" s="51" t="str">
        <f>IFERROR(VLOOKUP(A1970,Internal_lists_bugs!$A$2:$I2033,9,FALSE()),"please select a BUG ID")</f>
        <v>please select a BUG ID</v>
      </c>
      <c r="D1970" s="85"/>
      <c r="E1970" s="85"/>
      <c r="F1970" s="133"/>
      <c r="G1970" s="49"/>
      <c r="H1970" s="50"/>
      <c r="I1970" s="131"/>
      <c r="J1970" s="131"/>
      <c r="K1970" s="131"/>
      <c r="L1970" s="131"/>
      <c r="M1970" s="131"/>
      <c r="N1970" s="43"/>
      <c r="O1970" s="51"/>
    </row>
    <row r="1971">
      <c r="A1971" s="43"/>
      <c r="B1971" s="59" t="str">
        <f>IFERROR(VLOOKUP(A1971,Internal_lists_bugs!$A$2:$G2033,7,FALSE()),"please select a BUG ID")</f>
        <v>please select a BUG ID</v>
      </c>
      <c r="C1971" s="51" t="str">
        <f>IFERROR(VLOOKUP(A1971,Internal_lists_bugs!$A$2:$I2033,9,FALSE()),"please select a BUG ID")</f>
        <v>please select a BUG ID</v>
      </c>
      <c r="D1971" s="85"/>
      <c r="E1971" s="85"/>
      <c r="F1971" s="133"/>
      <c r="G1971" s="49"/>
      <c r="H1971" s="50"/>
      <c r="I1971" s="131"/>
      <c r="J1971" s="131"/>
      <c r="K1971" s="131"/>
      <c r="L1971" s="131"/>
      <c r="M1971" s="131"/>
      <c r="N1971" s="43"/>
      <c r="O1971" s="51"/>
    </row>
    <row r="1972">
      <c r="A1972" s="43"/>
      <c r="B1972" s="59" t="str">
        <f>IFERROR(VLOOKUP(A1972,Internal_lists_bugs!$A$2:$G2033,7,FALSE()),"please select a BUG ID")</f>
        <v>please select a BUG ID</v>
      </c>
      <c r="C1972" s="51" t="str">
        <f>IFERROR(VLOOKUP(A1972,Internal_lists_bugs!$A$2:$I2033,9,FALSE()),"please select a BUG ID")</f>
        <v>please select a BUG ID</v>
      </c>
      <c r="D1972" s="85"/>
      <c r="E1972" s="85"/>
      <c r="F1972" s="133"/>
      <c r="G1972" s="49"/>
      <c r="H1972" s="50"/>
      <c r="I1972" s="131"/>
      <c r="J1972" s="131"/>
      <c r="K1972" s="131"/>
      <c r="L1972" s="131"/>
      <c r="M1972" s="131"/>
      <c r="N1972" s="43"/>
      <c r="O1972" s="51"/>
    </row>
    <row r="1973">
      <c r="A1973" s="43"/>
      <c r="B1973" s="59" t="str">
        <f>IFERROR(VLOOKUP(A1973,Internal_lists_bugs!$A$2:$G2033,7,FALSE()),"please select a BUG ID")</f>
        <v>please select a BUG ID</v>
      </c>
      <c r="C1973" s="51" t="str">
        <f>IFERROR(VLOOKUP(A1973,Internal_lists_bugs!$A$2:$I2033,9,FALSE()),"please select a BUG ID")</f>
        <v>please select a BUG ID</v>
      </c>
      <c r="D1973" s="85"/>
      <c r="E1973" s="85"/>
      <c r="F1973" s="133"/>
      <c r="G1973" s="49"/>
      <c r="H1973" s="50"/>
      <c r="I1973" s="131"/>
      <c r="J1973" s="131"/>
      <c r="K1973" s="131"/>
      <c r="L1973" s="131"/>
      <c r="M1973" s="131"/>
      <c r="N1973" s="43"/>
      <c r="O1973" s="51"/>
    </row>
    <row r="1974">
      <c r="A1974" s="43"/>
      <c r="B1974" s="59" t="str">
        <f>IFERROR(VLOOKUP(A1974,Internal_lists_bugs!$A$2:$G2033,7,FALSE()),"please select a BUG ID")</f>
        <v>please select a BUG ID</v>
      </c>
      <c r="C1974" s="51" t="str">
        <f>IFERROR(VLOOKUP(A1974,Internal_lists_bugs!$A$2:$I2033,9,FALSE()),"please select a BUG ID")</f>
        <v>please select a BUG ID</v>
      </c>
      <c r="D1974" s="85"/>
      <c r="E1974" s="85"/>
      <c r="F1974" s="133"/>
      <c r="G1974" s="49"/>
      <c r="H1974" s="50"/>
      <c r="I1974" s="131"/>
      <c r="J1974" s="131"/>
      <c r="K1974" s="131"/>
      <c r="L1974" s="131"/>
      <c r="M1974" s="131"/>
      <c r="N1974" s="43"/>
      <c r="O1974" s="51"/>
    </row>
    <row r="1975">
      <c r="A1975" s="43"/>
      <c r="B1975" s="59" t="str">
        <f>IFERROR(VLOOKUP(A1975,Internal_lists_bugs!$A$2:$G2033,7,FALSE()),"please select a BUG ID")</f>
        <v>please select a BUG ID</v>
      </c>
      <c r="C1975" s="51" t="str">
        <f>IFERROR(VLOOKUP(A1975,Internal_lists_bugs!$A$2:$I2033,9,FALSE()),"please select a BUG ID")</f>
        <v>please select a BUG ID</v>
      </c>
      <c r="D1975" s="85"/>
      <c r="E1975" s="85"/>
      <c r="F1975" s="133"/>
      <c r="G1975" s="49"/>
      <c r="H1975" s="50"/>
      <c r="I1975" s="131"/>
      <c r="J1975" s="131"/>
      <c r="K1975" s="131"/>
      <c r="L1975" s="131"/>
      <c r="M1975" s="131"/>
      <c r="N1975" s="43"/>
      <c r="O1975" s="51"/>
    </row>
    <row r="1976">
      <c r="A1976" s="43"/>
      <c r="B1976" s="59" t="str">
        <f>IFERROR(VLOOKUP(A1976,Internal_lists_bugs!$A$2:$G2033,7,FALSE()),"please select a BUG ID")</f>
        <v>please select a BUG ID</v>
      </c>
      <c r="C1976" s="51" t="str">
        <f>IFERROR(VLOOKUP(A1976,Internal_lists_bugs!$A$2:$I2033,9,FALSE()),"please select a BUG ID")</f>
        <v>please select a BUG ID</v>
      </c>
      <c r="D1976" s="85"/>
      <c r="E1976" s="85"/>
      <c r="F1976" s="133"/>
      <c r="G1976" s="49"/>
      <c r="H1976" s="50"/>
      <c r="I1976" s="131"/>
      <c r="J1976" s="131"/>
      <c r="K1976" s="131"/>
      <c r="L1976" s="131"/>
      <c r="M1976" s="131"/>
      <c r="N1976" s="43"/>
      <c r="O1976" s="51"/>
    </row>
    <row r="1977">
      <c r="A1977" s="43"/>
      <c r="B1977" s="59" t="str">
        <f>IFERROR(VLOOKUP(A1977,Internal_lists_bugs!$A$2:$G2033,7,FALSE()),"please select a BUG ID")</f>
        <v>please select a BUG ID</v>
      </c>
      <c r="C1977" s="51" t="str">
        <f>IFERROR(VLOOKUP(A1977,Internal_lists_bugs!$A$2:$I2033,9,FALSE()),"please select a BUG ID")</f>
        <v>please select a BUG ID</v>
      </c>
      <c r="D1977" s="85"/>
      <c r="E1977" s="85"/>
      <c r="F1977" s="133"/>
      <c r="G1977" s="49"/>
      <c r="H1977" s="50"/>
      <c r="I1977" s="131"/>
      <c r="J1977" s="131"/>
      <c r="K1977" s="131"/>
      <c r="L1977" s="131"/>
      <c r="M1977" s="131"/>
      <c r="N1977" s="43"/>
      <c r="O1977" s="51"/>
    </row>
    <row r="1978">
      <c r="A1978" s="43"/>
      <c r="B1978" s="59" t="str">
        <f>IFERROR(VLOOKUP(A1978,Internal_lists_bugs!$A$2:$G2033,7,FALSE()),"please select a BUG ID")</f>
        <v>please select a BUG ID</v>
      </c>
      <c r="C1978" s="51" t="str">
        <f>IFERROR(VLOOKUP(A1978,Internal_lists_bugs!$A$2:$I2033,9,FALSE()),"please select a BUG ID")</f>
        <v>please select a BUG ID</v>
      </c>
      <c r="D1978" s="85"/>
      <c r="E1978" s="85"/>
      <c r="F1978" s="133"/>
      <c r="G1978" s="49"/>
      <c r="H1978" s="50"/>
      <c r="I1978" s="131"/>
      <c r="J1978" s="131"/>
      <c r="K1978" s="131"/>
      <c r="L1978" s="131"/>
      <c r="M1978" s="131"/>
      <c r="N1978" s="43"/>
      <c r="O1978" s="51"/>
    </row>
    <row r="1979">
      <c r="A1979" s="43"/>
      <c r="B1979" s="59" t="str">
        <f>IFERROR(VLOOKUP(A1979,Internal_lists_bugs!$A$2:$G2033,7,FALSE()),"please select a BUG ID")</f>
        <v>please select a BUG ID</v>
      </c>
      <c r="C1979" s="51" t="str">
        <f>IFERROR(VLOOKUP(A1979,Internal_lists_bugs!$A$2:$I2033,9,FALSE()),"please select a BUG ID")</f>
        <v>please select a BUG ID</v>
      </c>
      <c r="D1979" s="85"/>
      <c r="E1979" s="85"/>
      <c r="F1979" s="133"/>
      <c r="G1979" s="49"/>
      <c r="H1979" s="50"/>
      <c r="I1979" s="131"/>
      <c r="J1979" s="131"/>
      <c r="K1979" s="131"/>
      <c r="L1979" s="131"/>
      <c r="M1979" s="131"/>
      <c r="N1979" s="43"/>
      <c r="O1979" s="51"/>
    </row>
    <row r="1980">
      <c r="A1980" s="43"/>
      <c r="B1980" s="59" t="str">
        <f>IFERROR(VLOOKUP(A1980,Internal_lists_bugs!$A$2:$G2033,7,FALSE()),"please select a BUG ID")</f>
        <v>please select a BUG ID</v>
      </c>
      <c r="C1980" s="51" t="str">
        <f>IFERROR(VLOOKUP(A1980,Internal_lists_bugs!$A$2:$I2033,9,FALSE()),"please select a BUG ID")</f>
        <v>please select a BUG ID</v>
      </c>
      <c r="D1980" s="85"/>
      <c r="E1980" s="85"/>
      <c r="F1980" s="133"/>
      <c r="G1980" s="49"/>
      <c r="H1980" s="50"/>
      <c r="I1980" s="131"/>
      <c r="J1980" s="131"/>
      <c r="K1980" s="131"/>
      <c r="L1980" s="131"/>
      <c r="M1980" s="131"/>
      <c r="N1980" s="43"/>
      <c r="O1980" s="51"/>
    </row>
    <row r="1981">
      <c r="A1981" s="43"/>
      <c r="B1981" s="59" t="str">
        <f>IFERROR(VLOOKUP(A1981,Internal_lists_bugs!$A$2:$G2033,7,FALSE()),"please select a BUG ID")</f>
        <v>please select a BUG ID</v>
      </c>
      <c r="C1981" s="51" t="str">
        <f>IFERROR(VLOOKUP(A1981,Internal_lists_bugs!$A$2:$I2033,9,FALSE()),"please select a BUG ID")</f>
        <v>please select a BUG ID</v>
      </c>
      <c r="D1981" s="85"/>
      <c r="E1981" s="85"/>
      <c r="F1981" s="133"/>
      <c r="G1981" s="49"/>
      <c r="H1981" s="50"/>
      <c r="I1981" s="131"/>
      <c r="J1981" s="131"/>
      <c r="K1981" s="131"/>
      <c r="L1981" s="131"/>
      <c r="M1981" s="131"/>
      <c r="N1981" s="43"/>
      <c r="O1981" s="51"/>
    </row>
    <row r="1982">
      <c r="A1982" s="43"/>
      <c r="B1982" s="59" t="str">
        <f>IFERROR(VLOOKUP(A1982,Internal_lists_bugs!$A$2:$G2033,7,FALSE()),"please select a BUG ID")</f>
        <v>please select a BUG ID</v>
      </c>
      <c r="C1982" s="51" t="str">
        <f>IFERROR(VLOOKUP(A1982,Internal_lists_bugs!$A$2:$I2033,9,FALSE()),"please select a BUG ID")</f>
        <v>please select a BUG ID</v>
      </c>
      <c r="D1982" s="85"/>
      <c r="E1982" s="85"/>
      <c r="F1982" s="133"/>
      <c r="G1982" s="49"/>
      <c r="H1982" s="50"/>
      <c r="I1982" s="131"/>
      <c r="J1982" s="131"/>
      <c r="K1982" s="131"/>
      <c r="L1982" s="131"/>
      <c r="M1982" s="131"/>
      <c r="N1982" s="43"/>
      <c r="O1982" s="51"/>
    </row>
    <row r="1983">
      <c r="A1983" s="43"/>
      <c r="B1983" s="59" t="str">
        <f>IFERROR(VLOOKUP(A1983,Internal_lists_bugs!$A$2:$G2033,7,FALSE()),"please select a BUG ID")</f>
        <v>please select a BUG ID</v>
      </c>
      <c r="C1983" s="51" t="str">
        <f>IFERROR(VLOOKUP(A1983,Internal_lists_bugs!$A$2:$I2033,9,FALSE()),"please select a BUG ID")</f>
        <v>please select a BUG ID</v>
      </c>
      <c r="D1983" s="85"/>
      <c r="E1983" s="85"/>
      <c r="F1983" s="133"/>
      <c r="G1983" s="49"/>
      <c r="H1983" s="50"/>
      <c r="I1983" s="131"/>
      <c r="J1983" s="131"/>
      <c r="K1983" s="131"/>
      <c r="L1983" s="131"/>
      <c r="M1983" s="131"/>
      <c r="N1983" s="43"/>
      <c r="O1983" s="51"/>
    </row>
    <row r="1984">
      <c r="A1984" s="43"/>
      <c r="B1984" s="59" t="str">
        <f>IFERROR(VLOOKUP(A1984,Internal_lists_bugs!$A$2:$G2033,7,FALSE()),"please select a BUG ID")</f>
        <v>please select a BUG ID</v>
      </c>
      <c r="C1984" s="51" t="str">
        <f>IFERROR(VLOOKUP(A1984,Internal_lists_bugs!$A$2:$I2033,9,FALSE()),"please select a BUG ID")</f>
        <v>please select a BUG ID</v>
      </c>
      <c r="D1984" s="85"/>
      <c r="E1984" s="85"/>
      <c r="F1984" s="133"/>
      <c r="G1984" s="49"/>
      <c r="H1984" s="50"/>
      <c r="I1984" s="131"/>
      <c r="J1984" s="131"/>
      <c r="K1984" s="131"/>
      <c r="L1984" s="131"/>
      <c r="M1984" s="131"/>
      <c r="N1984" s="43"/>
      <c r="O1984" s="51"/>
    </row>
    <row r="1985">
      <c r="A1985" s="43"/>
      <c r="B1985" s="59" t="str">
        <f>IFERROR(VLOOKUP(A1985,Internal_lists_bugs!$A$2:$G2033,7,FALSE()),"please select a BUG ID")</f>
        <v>please select a BUG ID</v>
      </c>
      <c r="C1985" s="51" t="str">
        <f>IFERROR(VLOOKUP(A1985,Internal_lists_bugs!$A$2:$I2033,9,FALSE()),"please select a BUG ID")</f>
        <v>please select a BUG ID</v>
      </c>
      <c r="D1985" s="85"/>
      <c r="E1985" s="85"/>
      <c r="F1985" s="133"/>
      <c r="G1985" s="49"/>
      <c r="H1985" s="50"/>
      <c r="I1985" s="131"/>
      <c r="J1985" s="131"/>
      <c r="K1985" s="131"/>
      <c r="L1985" s="131"/>
      <c r="M1985" s="131"/>
      <c r="N1985" s="43"/>
      <c r="O1985" s="51"/>
    </row>
    <row r="1986">
      <c r="A1986" s="43"/>
      <c r="B1986" s="59" t="str">
        <f>IFERROR(VLOOKUP(A1986,Internal_lists_bugs!$A$2:$G2033,7,FALSE()),"please select a BUG ID")</f>
        <v>please select a BUG ID</v>
      </c>
      <c r="C1986" s="51" t="str">
        <f>IFERROR(VLOOKUP(A1986,Internal_lists_bugs!$A$2:$I2033,9,FALSE()),"please select a BUG ID")</f>
        <v>please select a BUG ID</v>
      </c>
      <c r="D1986" s="85"/>
      <c r="E1986" s="85"/>
      <c r="F1986" s="133"/>
      <c r="G1986" s="49"/>
      <c r="H1986" s="50"/>
      <c r="I1986" s="131"/>
      <c r="J1986" s="131"/>
      <c r="K1986" s="131"/>
      <c r="L1986" s="131"/>
      <c r="M1986" s="131"/>
      <c r="N1986" s="43"/>
      <c r="O1986" s="51"/>
    </row>
    <row r="1987">
      <c r="A1987" s="43"/>
      <c r="B1987" s="59" t="str">
        <f>IFERROR(VLOOKUP(A1987,Internal_lists_bugs!$A$2:$G2033,7,FALSE()),"please select a BUG ID")</f>
        <v>please select a BUG ID</v>
      </c>
      <c r="C1987" s="51" t="str">
        <f>IFERROR(VLOOKUP(A1987,Internal_lists_bugs!$A$2:$I2033,9,FALSE()),"please select a BUG ID")</f>
        <v>please select a BUG ID</v>
      </c>
      <c r="D1987" s="85"/>
      <c r="E1987" s="85"/>
      <c r="F1987" s="133"/>
      <c r="G1987" s="49"/>
      <c r="H1987" s="50"/>
      <c r="I1987" s="131"/>
      <c r="J1987" s="131"/>
      <c r="K1987" s="131"/>
      <c r="L1987" s="131"/>
      <c r="M1987" s="131"/>
      <c r="N1987" s="43"/>
      <c r="O1987" s="51"/>
    </row>
    <row r="1988">
      <c r="A1988" s="43"/>
      <c r="B1988" s="59" t="str">
        <f>IFERROR(VLOOKUP(A1988,Internal_lists_bugs!$A$2:$G2033,7,FALSE()),"please select a BUG ID")</f>
        <v>please select a BUG ID</v>
      </c>
      <c r="C1988" s="51" t="str">
        <f>IFERROR(VLOOKUP(A1988,Internal_lists_bugs!$A$2:$I2033,9,FALSE()),"please select a BUG ID")</f>
        <v>please select a BUG ID</v>
      </c>
      <c r="D1988" s="85"/>
      <c r="E1988" s="85"/>
      <c r="F1988" s="133"/>
      <c r="G1988" s="49"/>
      <c r="H1988" s="50"/>
      <c r="I1988" s="131"/>
      <c r="J1988" s="131"/>
      <c r="K1988" s="131"/>
      <c r="L1988" s="131"/>
      <c r="M1988" s="131"/>
      <c r="N1988" s="43"/>
      <c r="O1988" s="51"/>
    </row>
    <row r="1989">
      <c r="A1989" s="43"/>
      <c r="B1989" s="59" t="str">
        <f>IFERROR(VLOOKUP(A1989,Internal_lists_bugs!$A$2:$G2033,7,FALSE()),"please select a BUG ID")</f>
        <v>please select a BUG ID</v>
      </c>
      <c r="C1989" s="51" t="str">
        <f>IFERROR(VLOOKUP(A1989,Internal_lists_bugs!$A$2:$I2033,9,FALSE()),"please select a BUG ID")</f>
        <v>please select a BUG ID</v>
      </c>
      <c r="D1989" s="85"/>
      <c r="E1989" s="85"/>
      <c r="F1989" s="133"/>
      <c r="G1989" s="49"/>
      <c r="H1989" s="50"/>
      <c r="I1989" s="131"/>
      <c r="J1989" s="131"/>
      <c r="K1989" s="131"/>
      <c r="L1989" s="131"/>
      <c r="M1989" s="131"/>
      <c r="N1989" s="43"/>
      <c r="O1989" s="51"/>
    </row>
    <row r="1990">
      <c r="A1990" s="43"/>
      <c r="B1990" s="59" t="str">
        <f>IFERROR(VLOOKUP(A1990,Internal_lists_bugs!$A$2:$G2033,7,FALSE()),"please select a BUG ID")</f>
        <v>please select a BUG ID</v>
      </c>
      <c r="C1990" s="51" t="str">
        <f>IFERROR(VLOOKUP(A1990,Internal_lists_bugs!$A$2:$I2033,9,FALSE()),"please select a BUG ID")</f>
        <v>please select a BUG ID</v>
      </c>
      <c r="D1990" s="85"/>
      <c r="E1990" s="85"/>
      <c r="F1990" s="133"/>
      <c r="G1990" s="49"/>
      <c r="H1990" s="50"/>
      <c r="I1990" s="131"/>
      <c r="J1990" s="131"/>
      <c r="K1990" s="131"/>
      <c r="L1990" s="131"/>
      <c r="M1990" s="131"/>
      <c r="N1990" s="43"/>
      <c r="O1990" s="51"/>
    </row>
    <row r="1991">
      <c r="A1991" s="43"/>
      <c r="B1991" s="59" t="str">
        <f>IFERROR(VLOOKUP(A1991,Internal_lists_bugs!$A$2:$G2033,7,FALSE()),"please select a BUG ID")</f>
        <v>please select a BUG ID</v>
      </c>
      <c r="C1991" s="51" t="str">
        <f>IFERROR(VLOOKUP(A1991,Internal_lists_bugs!$A$2:$I2033,9,FALSE()),"please select a BUG ID")</f>
        <v>please select a BUG ID</v>
      </c>
      <c r="D1991" s="85"/>
      <c r="E1991" s="85"/>
      <c r="F1991" s="133"/>
      <c r="G1991" s="49"/>
      <c r="H1991" s="50"/>
      <c r="I1991" s="131"/>
      <c r="J1991" s="131"/>
      <c r="K1991" s="131"/>
      <c r="L1991" s="131"/>
      <c r="M1991" s="131"/>
      <c r="N1991" s="43"/>
      <c r="O1991" s="51"/>
    </row>
    <row r="1992">
      <c r="A1992" s="43"/>
      <c r="B1992" s="59" t="str">
        <f>IFERROR(VLOOKUP(A1992,Internal_lists_bugs!$A$2:$G2033,7,FALSE()),"please select a BUG ID")</f>
        <v>please select a BUG ID</v>
      </c>
      <c r="C1992" s="51" t="str">
        <f>IFERROR(VLOOKUP(A1992,Internal_lists_bugs!$A$2:$I2033,9,FALSE()),"please select a BUG ID")</f>
        <v>please select a BUG ID</v>
      </c>
      <c r="D1992" s="85"/>
      <c r="E1992" s="85"/>
      <c r="F1992" s="133"/>
      <c r="G1992" s="49"/>
      <c r="H1992" s="50"/>
      <c r="I1992" s="131"/>
      <c r="J1992" s="131"/>
      <c r="K1992" s="131"/>
      <c r="L1992" s="131"/>
      <c r="M1992" s="131"/>
      <c r="N1992" s="43"/>
      <c r="O1992" s="51"/>
    </row>
    <row r="1993">
      <c r="A1993" s="43"/>
      <c r="B1993" s="59" t="str">
        <f>IFERROR(VLOOKUP(A1993,Internal_lists_bugs!$A$2:$G2033,7,FALSE()),"please select a BUG ID")</f>
        <v>please select a BUG ID</v>
      </c>
      <c r="C1993" s="51" t="str">
        <f>IFERROR(VLOOKUP(A1993,Internal_lists_bugs!$A$2:$I2033,9,FALSE()),"please select a BUG ID")</f>
        <v>please select a BUG ID</v>
      </c>
      <c r="D1993" s="85"/>
      <c r="E1993" s="85"/>
      <c r="F1993" s="133"/>
      <c r="G1993" s="49"/>
      <c r="H1993" s="50"/>
      <c r="I1993" s="131"/>
      <c r="J1993" s="131"/>
      <c r="K1993" s="131"/>
      <c r="L1993" s="131"/>
      <c r="M1993" s="131"/>
      <c r="N1993" s="43"/>
      <c r="O1993" s="51"/>
    </row>
    <row r="1994">
      <c r="A1994" s="43"/>
      <c r="B1994" s="59" t="str">
        <f>IFERROR(VLOOKUP(A1994,Internal_lists_bugs!$A$2:$G2033,7,FALSE()),"please select a BUG ID")</f>
        <v>please select a BUG ID</v>
      </c>
      <c r="C1994" s="51" t="str">
        <f>IFERROR(VLOOKUP(A1994,Internal_lists_bugs!$A$2:$I2033,9,FALSE()),"please select a BUG ID")</f>
        <v>please select a BUG ID</v>
      </c>
      <c r="D1994" s="85"/>
      <c r="E1994" s="85"/>
      <c r="F1994" s="133"/>
      <c r="G1994" s="49"/>
      <c r="H1994" s="50"/>
      <c r="I1994" s="131"/>
      <c r="J1994" s="131"/>
      <c r="K1994" s="131"/>
      <c r="L1994" s="131"/>
      <c r="M1994" s="131"/>
      <c r="N1994" s="43"/>
      <c r="O1994" s="51"/>
    </row>
    <row r="1995">
      <c r="A1995" s="43"/>
      <c r="B1995" s="59" t="str">
        <f>IFERROR(VLOOKUP(A1995,Internal_lists_bugs!$A$2:$G2033,7,FALSE()),"please select a BUG ID")</f>
        <v>please select a BUG ID</v>
      </c>
      <c r="C1995" s="51" t="str">
        <f>IFERROR(VLOOKUP(A1995,Internal_lists_bugs!$A$2:$I2033,9,FALSE()),"please select a BUG ID")</f>
        <v>please select a BUG ID</v>
      </c>
      <c r="D1995" s="85"/>
      <c r="E1995" s="85"/>
      <c r="F1995" s="133"/>
      <c r="G1995" s="49"/>
      <c r="H1995" s="50"/>
      <c r="I1995" s="131"/>
      <c r="J1995" s="131"/>
      <c r="K1995" s="131"/>
      <c r="L1995" s="131"/>
      <c r="M1995" s="131"/>
      <c r="N1995" s="43"/>
      <c r="O1995" s="51"/>
    </row>
    <row r="1996">
      <c r="A1996" s="43"/>
      <c r="B1996" s="59" t="str">
        <f>IFERROR(VLOOKUP(A1996,Internal_lists_bugs!$A$2:$G2033,7,FALSE()),"please select a BUG ID")</f>
        <v>please select a BUG ID</v>
      </c>
      <c r="C1996" s="51" t="str">
        <f>IFERROR(VLOOKUP(A1996,Internal_lists_bugs!$A$2:$I2033,9,FALSE()),"please select a BUG ID")</f>
        <v>please select a BUG ID</v>
      </c>
      <c r="D1996" s="85"/>
      <c r="E1996" s="85"/>
      <c r="F1996" s="133"/>
      <c r="G1996" s="49"/>
      <c r="H1996" s="50"/>
      <c r="I1996" s="131"/>
      <c r="J1996" s="131"/>
      <c r="K1996" s="131"/>
      <c r="L1996" s="131"/>
      <c r="M1996" s="131"/>
      <c r="N1996" s="43"/>
      <c r="O1996" s="51"/>
    </row>
    <row r="1997">
      <c r="A1997" s="43"/>
      <c r="B1997" s="59" t="str">
        <f>IFERROR(VLOOKUP(A1997,Internal_lists_bugs!$A$2:$G2033,7,FALSE()),"please select a BUG ID")</f>
        <v>please select a BUG ID</v>
      </c>
      <c r="C1997" s="51" t="str">
        <f>IFERROR(VLOOKUP(A1997,Internal_lists_bugs!$A$2:$I2033,9,FALSE()),"please select a BUG ID")</f>
        <v>please select a BUG ID</v>
      </c>
      <c r="D1997" s="85"/>
      <c r="E1997" s="85"/>
      <c r="F1997" s="133"/>
      <c r="G1997" s="49"/>
      <c r="H1997" s="50"/>
      <c r="I1997" s="131"/>
      <c r="J1997" s="131"/>
      <c r="K1997" s="131"/>
      <c r="L1997" s="131"/>
      <c r="M1997" s="131"/>
      <c r="N1997" s="43"/>
      <c r="O1997" s="51"/>
    </row>
    <row r="1998">
      <c r="A1998" s="43"/>
      <c r="B1998" s="59" t="str">
        <f>IFERROR(VLOOKUP(A1998,Internal_lists_bugs!$A$2:$G2033,7,FALSE()),"please select a BUG ID")</f>
        <v>please select a BUG ID</v>
      </c>
      <c r="C1998" s="51" t="str">
        <f>IFERROR(VLOOKUP(A1998,Internal_lists_bugs!$A$2:$I2033,9,FALSE()),"please select a BUG ID")</f>
        <v>please select a BUG ID</v>
      </c>
      <c r="D1998" s="85"/>
      <c r="E1998" s="85"/>
      <c r="F1998" s="133"/>
      <c r="G1998" s="49"/>
      <c r="H1998" s="50"/>
      <c r="I1998" s="131"/>
      <c r="J1998" s="131"/>
      <c r="K1998" s="131"/>
      <c r="L1998" s="131"/>
      <c r="M1998" s="131"/>
      <c r="N1998" s="43"/>
      <c r="O1998" s="51"/>
    </row>
    <row r="1999">
      <c r="A1999" s="43"/>
      <c r="B1999" s="59" t="str">
        <f>IFERROR(VLOOKUP(A1999,Internal_lists_bugs!$A$2:$G2033,7,FALSE()),"please select a BUG ID")</f>
        <v>please select a BUG ID</v>
      </c>
      <c r="C1999" s="51" t="str">
        <f>IFERROR(VLOOKUP(A1999,Internal_lists_bugs!$A$2:$I2033,9,FALSE()),"please select a BUG ID")</f>
        <v>please select a BUG ID</v>
      </c>
      <c r="D1999" s="85"/>
      <c r="E1999" s="85"/>
      <c r="F1999" s="133"/>
      <c r="G1999" s="49"/>
      <c r="H1999" s="50"/>
      <c r="I1999" s="131"/>
      <c r="J1999" s="131"/>
      <c r="K1999" s="131"/>
      <c r="L1999" s="131"/>
      <c r="M1999" s="131"/>
      <c r="N1999" s="43"/>
      <c r="O1999" s="51"/>
    </row>
    <row r="2000">
      <c r="A2000" s="43"/>
      <c r="B2000" s="59" t="str">
        <f>IFERROR(VLOOKUP(A2000,Internal_lists_bugs!$A$2:$G2033,7,FALSE()),"please select a BUG ID")</f>
        <v>please select a BUG ID</v>
      </c>
      <c r="C2000" s="51" t="str">
        <f>IFERROR(VLOOKUP(A2000,Internal_lists_bugs!$A$2:$I2033,9,FALSE()),"please select a BUG ID")</f>
        <v>please select a BUG ID</v>
      </c>
      <c r="D2000" s="85"/>
      <c r="E2000" s="85"/>
      <c r="F2000" s="133"/>
      <c r="G2000" s="49"/>
      <c r="H2000" s="50"/>
      <c r="I2000" s="131"/>
      <c r="J2000" s="131"/>
      <c r="K2000" s="131"/>
      <c r="L2000" s="131"/>
      <c r="M2000" s="131"/>
      <c r="N2000" s="43"/>
      <c r="O2000" s="51"/>
    </row>
    <row r="2001">
      <c r="A2001" s="43"/>
      <c r="B2001" s="59" t="str">
        <f>IFERROR(VLOOKUP(A2001,Internal_lists_bugs!$A$2:$G2033,7,FALSE()),"please select a BUG ID")</f>
        <v>please select a BUG ID</v>
      </c>
      <c r="C2001" s="51" t="str">
        <f>IFERROR(VLOOKUP(A2001,Internal_lists_bugs!$A$2:$I2033,9,FALSE()),"please select a BUG ID")</f>
        <v>please select a BUG ID</v>
      </c>
      <c r="D2001" s="85"/>
      <c r="E2001" s="85"/>
      <c r="F2001" s="133"/>
      <c r="G2001" s="49"/>
      <c r="H2001" s="50"/>
      <c r="I2001" s="131"/>
      <c r="J2001" s="131"/>
      <c r="K2001" s="131"/>
      <c r="L2001" s="131"/>
      <c r="M2001" s="131"/>
      <c r="N2001" s="43"/>
      <c r="O2001" s="51"/>
    </row>
    <row r="2002">
      <c r="A2002" s="43"/>
      <c r="B2002" s="59" t="str">
        <f>IFERROR(VLOOKUP(A2002,Internal_lists_bugs!$A$2:$G2033,7,FALSE()),"please select a BUG ID")</f>
        <v>please select a BUG ID</v>
      </c>
      <c r="C2002" s="51" t="str">
        <f>IFERROR(VLOOKUP(A2002,Internal_lists_bugs!$A$2:$I2033,9,FALSE()),"please select a BUG ID")</f>
        <v>please select a BUG ID</v>
      </c>
      <c r="D2002" s="85"/>
      <c r="E2002" s="85"/>
      <c r="F2002" s="133"/>
      <c r="G2002" s="49"/>
      <c r="H2002" s="50"/>
      <c r="I2002" s="131"/>
      <c r="J2002" s="131"/>
      <c r="K2002" s="131"/>
      <c r="L2002" s="131"/>
      <c r="M2002" s="131"/>
      <c r="N2002" s="43"/>
      <c r="O2002" s="51"/>
    </row>
    <row r="2003">
      <c r="A2003" s="43"/>
      <c r="B2003" s="59" t="str">
        <f>IFERROR(VLOOKUP(A2003,Internal_lists_bugs!$A$2:$G2033,7,FALSE()),"please select a BUG ID")</f>
        <v>please select a BUG ID</v>
      </c>
      <c r="C2003" s="51" t="str">
        <f>IFERROR(VLOOKUP(A2003,Internal_lists_bugs!$A$2:$I2033,9,FALSE()),"please select a BUG ID")</f>
        <v>please select a BUG ID</v>
      </c>
      <c r="D2003" s="85"/>
      <c r="E2003" s="85"/>
      <c r="F2003" s="133"/>
      <c r="G2003" s="49"/>
      <c r="H2003" s="50"/>
      <c r="I2003" s="131"/>
      <c r="J2003" s="131"/>
      <c r="K2003" s="131"/>
      <c r="L2003" s="131"/>
      <c r="M2003" s="131"/>
      <c r="N2003" s="43"/>
      <c r="O2003" s="51"/>
    </row>
    <row r="2004">
      <c r="A2004" s="43"/>
      <c r="B2004" s="59" t="str">
        <f>IFERROR(VLOOKUP(A2004,Internal_lists_bugs!$A$2:$G2033,7,FALSE()),"please select a BUG ID")</f>
        <v>please select a BUG ID</v>
      </c>
      <c r="C2004" s="51" t="str">
        <f>IFERROR(VLOOKUP(A2004,Internal_lists_bugs!$A$2:$I2033,9,FALSE()),"please select a BUG ID")</f>
        <v>please select a BUG ID</v>
      </c>
      <c r="D2004" s="85"/>
      <c r="E2004" s="85"/>
      <c r="F2004" s="133"/>
      <c r="G2004" s="49"/>
      <c r="H2004" s="50"/>
      <c r="I2004" s="131"/>
      <c r="J2004" s="131"/>
      <c r="K2004" s="131"/>
      <c r="L2004" s="131"/>
      <c r="M2004" s="131"/>
      <c r="N2004" s="43"/>
      <c r="O2004" s="51"/>
    </row>
    <row r="2005">
      <c r="A2005" s="43"/>
      <c r="B2005" s="59" t="str">
        <f>IFERROR(VLOOKUP(A2005,Internal_lists_bugs!$A$2:$G2033,7,FALSE()),"please select a BUG ID")</f>
        <v>please select a BUG ID</v>
      </c>
      <c r="C2005" s="51" t="str">
        <f>IFERROR(VLOOKUP(A2005,Internal_lists_bugs!$A$2:$I2033,9,FALSE()),"please select a BUG ID")</f>
        <v>please select a BUG ID</v>
      </c>
      <c r="D2005" s="85"/>
      <c r="E2005" s="85"/>
      <c r="F2005" s="133"/>
      <c r="G2005" s="49"/>
      <c r="H2005" s="50"/>
      <c r="I2005" s="131"/>
      <c r="J2005" s="131"/>
      <c r="K2005" s="131"/>
      <c r="L2005" s="131"/>
      <c r="M2005" s="131"/>
      <c r="N2005" s="43"/>
      <c r="O2005" s="51"/>
    </row>
    <row r="2006">
      <c r="A2006" s="43"/>
      <c r="B2006" s="59" t="str">
        <f>IFERROR(VLOOKUP(A2006,Internal_lists_bugs!$A$2:$G2033,7,FALSE()),"please select a BUG ID")</f>
        <v>please select a BUG ID</v>
      </c>
      <c r="C2006" s="51" t="str">
        <f>IFERROR(VLOOKUP(A2006,Internal_lists_bugs!$A$2:$I2033,9,FALSE()),"please select a BUG ID")</f>
        <v>please select a BUG ID</v>
      </c>
      <c r="D2006" s="85"/>
      <c r="E2006" s="85"/>
      <c r="F2006" s="133"/>
      <c r="G2006" s="49"/>
      <c r="H2006" s="50"/>
      <c r="I2006" s="131"/>
      <c r="J2006" s="131"/>
      <c r="K2006" s="131"/>
      <c r="L2006" s="131"/>
      <c r="M2006" s="131"/>
      <c r="N2006" s="43"/>
      <c r="O2006" s="51"/>
    </row>
    <row r="2007">
      <c r="A2007" s="43"/>
      <c r="B2007" s="59" t="str">
        <f>IFERROR(VLOOKUP(A2007,Internal_lists_bugs!$A$2:$G2033,7,FALSE()),"please select a BUG ID")</f>
        <v>please select a BUG ID</v>
      </c>
      <c r="C2007" s="51" t="str">
        <f>IFERROR(VLOOKUP(A2007,Internal_lists_bugs!$A$2:$I2033,9,FALSE()),"please select a BUG ID")</f>
        <v>please select a BUG ID</v>
      </c>
      <c r="D2007" s="85"/>
      <c r="E2007" s="85"/>
      <c r="F2007" s="133"/>
      <c r="G2007" s="49"/>
      <c r="H2007" s="50"/>
      <c r="I2007" s="131"/>
      <c r="J2007" s="131"/>
      <c r="K2007" s="131"/>
      <c r="L2007" s="131"/>
      <c r="M2007" s="131"/>
      <c r="N2007" s="43"/>
      <c r="O2007" s="51"/>
    </row>
    <row r="2008">
      <c r="A2008" s="43"/>
      <c r="B2008" s="59" t="str">
        <f>IFERROR(VLOOKUP(A2008,Internal_lists_bugs!$A$2:$G2033,7,FALSE()),"please select a BUG ID")</f>
        <v>please select a BUG ID</v>
      </c>
      <c r="C2008" s="51" t="str">
        <f>IFERROR(VLOOKUP(A2008,Internal_lists_bugs!$A$2:$I2033,9,FALSE()),"please select a BUG ID")</f>
        <v>please select a BUG ID</v>
      </c>
      <c r="D2008" s="85"/>
      <c r="E2008" s="85"/>
      <c r="F2008" s="133"/>
      <c r="G2008" s="49"/>
      <c r="H2008" s="50"/>
      <c r="I2008" s="131"/>
      <c r="J2008" s="131"/>
      <c r="K2008" s="131"/>
      <c r="L2008" s="131"/>
      <c r="M2008" s="131"/>
      <c r="N2008" s="43"/>
      <c r="O2008" s="51"/>
    </row>
    <row r="2009">
      <c r="A2009" s="43"/>
      <c r="B2009" s="59" t="str">
        <f>IFERROR(VLOOKUP(A2009,Internal_lists_bugs!$A$2:$G2033,7,FALSE()),"please select a BUG ID")</f>
        <v>please select a BUG ID</v>
      </c>
      <c r="C2009" s="51" t="str">
        <f>IFERROR(VLOOKUP(A2009,Internal_lists_bugs!$A$2:$I2033,9,FALSE()),"please select a BUG ID")</f>
        <v>please select a BUG ID</v>
      </c>
      <c r="D2009" s="85"/>
      <c r="E2009" s="85"/>
      <c r="F2009" s="133"/>
      <c r="G2009" s="49"/>
      <c r="H2009" s="50"/>
      <c r="I2009" s="131"/>
      <c r="J2009" s="131"/>
      <c r="K2009" s="131"/>
      <c r="L2009" s="131"/>
      <c r="M2009" s="131"/>
      <c r="N2009" s="43"/>
      <c r="O2009" s="51"/>
    </row>
    <row r="2010">
      <c r="A2010" s="43"/>
      <c r="B2010" s="59" t="str">
        <f>IFERROR(VLOOKUP(A2010,Internal_lists_bugs!$A$2:$G2033,7,FALSE()),"please select a BUG ID")</f>
        <v>please select a BUG ID</v>
      </c>
      <c r="C2010" s="51" t="str">
        <f>IFERROR(VLOOKUP(A2010,Internal_lists_bugs!$A$2:$I2033,9,FALSE()),"please select a BUG ID")</f>
        <v>please select a BUG ID</v>
      </c>
      <c r="D2010" s="85"/>
      <c r="E2010" s="85"/>
      <c r="F2010" s="133"/>
      <c r="G2010" s="49"/>
      <c r="H2010" s="50"/>
      <c r="I2010" s="131"/>
      <c r="J2010" s="131"/>
      <c r="K2010" s="131"/>
      <c r="L2010" s="131"/>
      <c r="M2010" s="131"/>
      <c r="N2010" s="43"/>
      <c r="O2010" s="51"/>
    </row>
    <row r="2011">
      <c r="A2011" s="43"/>
      <c r="B2011" s="59" t="str">
        <f>IFERROR(VLOOKUP(A2011,Internal_lists_bugs!$A$2:$G2033,7,FALSE()),"please select a BUG ID")</f>
        <v>please select a BUG ID</v>
      </c>
      <c r="C2011" s="51" t="str">
        <f>IFERROR(VLOOKUP(A2011,Internal_lists_bugs!$A$2:$I2033,9,FALSE()),"please select a BUG ID")</f>
        <v>please select a BUG ID</v>
      </c>
      <c r="D2011" s="85"/>
      <c r="E2011" s="85"/>
      <c r="F2011" s="133"/>
      <c r="G2011" s="49"/>
      <c r="H2011" s="50"/>
      <c r="I2011" s="131"/>
      <c r="J2011" s="131"/>
      <c r="K2011" s="131"/>
      <c r="L2011" s="131"/>
      <c r="M2011" s="131"/>
      <c r="N2011" s="43"/>
      <c r="O2011" s="51"/>
    </row>
    <row r="2012">
      <c r="A2012" s="43"/>
      <c r="B2012" s="59" t="str">
        <f>IFERROR(VLOOKUP(A2012,Internal_lists_bugs!$A$2:$G2033,7,FALSE()),"please select a BUG ID")</f>
        <v>please select a BUG ID</v>
      </c>
      <c r="C2012" s="51" t="str">
        <f>IFERROR(VLOOKUP(A2012,Internal_lists_bugs!$A$2:$I2033,9,FALSE()),"please select a BUG ID")</f>
        <v>please select a BUG ID</v>
      </c>
      <c r="D2012" s="85"/>
      <c r="E2012" s="85"/>
      <c r="F2012" s="133"/>
      <c r="G2012" s="49"/>
      <c r="H2012" s="50"/>
      <c r="I2012" s="131"/>
      <c r="J2012" s="131"/>
      <c r="K2012" s="131"/>
      <c r="L2012" s="131"/>
      <c r="M2012" s="131"/>
      <c r="N2012" s="43"/>
      <c r="O2012" s="51"/>
    </row>
    <row r="2013">
      <c r="A2013" s="43"/>
      <c r="B2013" s="59" t="str">
        <f>IFERROR(VLOOKUP(A2013,Internal_lists_bugs!$A$2:$G2033,7,FALSE()),"please select a BUG ID")</f>
        <v>please select a BUG ID</v>
      </c>
      <c r="C2013" s="51" t="str">
        <f>IFERROR(VLOOKUP(A2013,Internal_lists_bugs!$A$2:$I2033,9,FALSE()),"please select a BUG ID")</f>
        <v>please select a BUG ID</v>
      </c>
      <c r="D2013" s="85"/>
      <c r="E2013" s="85"/>
      <c r="F2013" s="133"/>
      <c r="G2013" s="49"/>
      <c r="H2013" s="50"/>
      <c r="I2013" s="131"/>
      <c r="J2013" s="131"/>
      <c r="K2013" s="131"/>
      <c r="L2013" s="131"/>
      <c r="M2013" s="131"/>
      <c r="N2013" s="43"/>
      <c r="O2013" s="51"/>
    </row>
    <row r="2014">
      <c r="A2014" s="43"/>
      <c r="B2014" s="59" t="str">
        <f>IFERROR(VLOOKUP(A2014,Internal_lists_bugs!$A$2:$G2033,7,FALSE()),"please select a BUG ID")</f>
        <v>please select a BUG ID</v>
      </c>
      <c r="C2014" s="51" t="str">
        <f>IFERROR(VLOOKUP(A2014,Internal_lists_bugs!$A$2:$I2033,9,FALSE()),"please select a BUG ID")</f>
        <v>please select a BUG ID</v>
      </c>
      <c r="D2014" s="85"/>
      <c r="E2014" s="85"/>
      <c r="F2014" s="133"/>
      <c r="G2014" s="49"/>
      <c r="H2014" s="50"/>
      <c r="I2014" s="131"/>
      <c r="J2014" s="131"/>
      <c r="K2014" s="131"/>
      <c r="L2014" s="131"/>
      <c r="M2014" s="131"/>
      <c r="N2014" s="43"/>
      <c r="O2014" s="51"/>
    </row>
    <row r="2015">
      <c r="A2015" s="43"/>
      <c r="B2015" s="59" t="str">
        <f>IFERROR(VLOOKUP(A2015,Internal_lists_bugs!$A$2:$G2033,7,FALSE()),"please select a BUG ID")</f>
        <v>please select a BUG ID</v>
      </c>
      <c r="C2015" s="51" t="str">
        <f>IFERROR(VLOOKUP(A2015,Internal_lists_bugs!$A$2:$I2033,9,FALSE()),"please select a BUG ID")</f>
        <v>please select a BUG ID</v>
      </c>
      <c r="D2015" s="85"/>
      <c r="E2015" s="85"/>
      <c r="F2015" s="133"/>
      <c r="G2015" s="49"/>
      <c r="H2015" s="50"/>
      <c r="I2015" s="131"/>
      <c r="J2015" s="131"/>
      <c r="K2015" s="131"/>
      <c r="L2015" s="131"/>
      <c r="M2015" s="131"/>
      <c r="N2015" s="43"/>
      <c r="O2015" s="51"/>
    </row>
    <row r="2016">
      <c r="A2016" s="43"/>
      <c r="B2016" s="59" t="str">
        <f>IFERROR(VLOOKUP(A2016,Internal_lists_bugs!$A$2:$G2033,7,FALSE()),"please select a BUG ID")</f>
        <v>please select a BUG ID</v>
      </c>
      <c r="C2016" s="51" t="str">
        <f>IFERROR(VLOOKUP(A2016,Internal_lists_bugs!$A$2:$I2033,9,FALSE()),"please select a BUG ID")</f>
        <v>please select a BUG ID</v>
      </c>
      <c r="D2016" s="85"/>
      <c r="E2016" s="85"/>
      <c r="F2016" s="133"/>
      <c r="G2016" s="49"/>
      <c r="H2016" s="50"/>
      <c r="I2016" s="131"/>
      <c r="J2016" s="131"/>
      <c r="K2016" s="131"/>
      <c r="L2016" s="131"/>
      <c r="M2016" s="131"/>
      <c r="N2016" s="43"/>
      <c r="O2016" s="51"/>
    </row>
    <row r="2017">
      <c r="A2017" s="43"/>
      <c r="B2017" s="59" t="str">
        <f>IFERROR(VLOOKUP(A2017,Internal_lists_bugs!$A$2:$G2033,7,FALSE()),"please select a BUG ID")</f>
        <v>please select a BUG ID</v>
      </c>
      <c r="C2017" s="51" t="str">
        <f>IFERROR(VLOOKUP(A2017,Internal_lists_bugs!$A$2:$I2033,9,FALSE()),"please select a BUG ID")</f>
        <v>please select a BUG ID</v>
      </c>
      <c r="D2017" s="85"/>
      <c r="E2017" s="85"/>
      <c r="F2017" s="133"/>
      <c r="G2017" s="49"/>
      <c r="H2017" s="50"/>
      <c r="I2017" s="131"/>
      <c r="J2017" s="131"/>
      <c r="K2017" s="131"/>
      <c r="L2017" s="131"/>
      <c r="M2017" s="131"/>
      <c r="N2017" s="43"/>
      <c r="O2017" s="51"/>
    </row>
    <row r="2018">
      <c r="A2018" s="43"/>
      <c r="B2018" s="59" t="str">
        <f>IFERROR(VLOOKUP(A2018,Internal_lists_bugs!$A$2:$G2033,7,FALSE()),"please select a BUG ID")</f>
        <v>please select a BUG ID</v>
      </c>
      <c r="C2018" s="51" t="str">
        <f>IFERROR(VLOOKUP(A2018,Internal_lists_bugs!$A$2:$I2033,9,FALSE()),"please select a BUG ID")</f>
        <v>please select a BUG ID</v>
      </c>
      <c r="D2018" s="85"/>
      <c r="E2018" s="85"/>
      <c r="F2018" s="133"/>
      <c r="G2018" s="49"/>
      <c r="H2018" s="50"/>
      <c r="I2018" s="131"/>
      <c r="J2018" s="131"/>
      <c r="K2018" s="131"/>
      <c r="L2018" s="131"/>
      <c r="M2018" s="131"/>
      <c r="N2018" s="43"/>
      <c r="O2018" s="51"/>
    </row>
    <row r="2019">
      <c r="A2019" s="43"/>
      <c r="B2019" s="59" t="str">
        <f>IFERROR(VLOOKUP(A2019,Internal_lists_bugs!$A$2:$G2033,7,FALSE()),"please select a BUG ID")</f>
        <v>please select a BUG ID</v>
      </c>
      <c r="C2019" s="51" t="str">
        <f>IFERROR(VLOOKUP(A2019,Internal_lists_bugs!$A$2:$I2033,9,FALSE()),"please select a BUG ID")</f>
        <v>please select a BUG ID</v>
      </c>
      <c r="D2019" s="85"/>
      <c r="E2019" s="85"/>
      <c r="F2019" s="133"/>
      <c r="G2019" s="49"/>
      <c r="H2019" s="50"/>
      <c r="I2019" s="131"/>
      <c r="J2019" s="131"/>
      <c r="K2019" s="131"/>
      <c r="L2019" s="131"/>
      <c r="M2019" s="131"/>
      <c r="N2019" s="43"/>
      <c r="O2019" s="51"/>
    </row>
    <row r="2020">
      <c r="A2020" s="43"/>
      <c r="B2020" s="59" t="str">
        <f>IFERROR(VLOOKUP(A2020,Internal_lists_bugs!$A$2:$G2033,7,FALSE()),"please select a BUG ID")</f>
        <v>please select a BUG ID</v>
      </c>
      <c r="C2020" s="51" t="str">
        <f>IFERROR(VLOOKUP(A2020,Internal_lists_bugs!$A$2:$I2033,9,FALSE()),"please select a BUG ID")</f>
        <v>please select a BUG ID</v>
      </c>
      <c r="D2020" s="85"/>
      <c r="E2020" s="85"/>
      <c r="F2020" s="133"/>
      <c r="G2020" s="49"/>
      <c r="H2020" s="50"/>
      <c r="I2020" s="131"/>
      <c r="J2020" s="131"/>
      <c r="K2020" s="131"/>
      <c r="L2020" s="131"/>
      <c r="M2020" s="131"/>
      <c r="N2020" s="43"/>
      <c r="O2020" s="51"/>
    </row>
    <row r="2021">
      <c r="A2021" s="43"/>
      <c r="B2021" s="59" t="str">
        <f>IFERROR(VLOOKUP(A2021,Internal_lists_bugs!$A$2:$G2033,7,FALSE()),"please select a BUG ID")</f>
        <v>please select a BUG ID</v>
      </c>
      <c r="C2021" s="51" t="str">
        <f>IFERROR(VLOOKUP(A2021,Internal_lists_bugs!$A$2:$I2033,9,FALSE()),"please select a BUG ID")</f>
        <v>please select a BUG ID</v>
      </c>
      <c r="D2021" s="85"/>
      <c r="E2021" s="85"/>
      <c r="F2021" s="133"/>
      <c r="G2021" s="49"/>
      <c r="H2021" s="50"/>
      <c r="I2021" s="131"/>
      <c r="J2021" s="131"/>
      <c r="K2021" s="131"/>
      <c r="L2021" s="131"/>
      <c r="M2021" s="131"/>
      <c r="N2021" s="43"/>
      <c r="O2021" s="51"/>
    </row>
    <row r="2022">
      <c r="A2022" s="43"/>
      <c r="B2022" s="59" t="str">
        <f>IFERROR(VLOOKUP(A2022,Internal_lists_bugs!$A$2:$G2033,7,FALSE()),"please select a BUG ID")</f>
        <v>please select a BUG ID</v>
      </c>
      <c r="C2022" s="51" t="str">
        <f>IFERROR(VLOOKUP(A2022,Internal_lists_bugs!$A$2:$I2033,9,FALSE()),"please select a BUG ID")</f>
        <v>please select a BUG ID</v>
      </c>
      <c r="D2022" s="85"/>
      <c r="E2022" s="85"/>
      <c r="F2022" s="133"/>
      <c r="G2022" s="49"/>
      <c r="H2022" s="50"/>
      <c r="I2022" s="131"/>
      <c r="J2022" s="131"/>
      <c r="K2022" s="131"/>
      <c r="L2022" s="131"/>
      <c r="M2022" s="131"/>
      <c r="N2022" s="43"/>
      <c r="O2022" s="51"/>
    </row>
    <row r="2023">
      <c r="A2023" s="43"/>
      <c r="B2023" s="59" t="str">
        <f>IFERROR(VLOOKUP(A2023,Internal_lists_bugs!$A$2:$G2033,7,FALSE()),"please select a BUG ID")</f>
        <v>please select a BUG ID</v>
      </c>
      <c r="C2023" s="51" t="str">
        <f>IFERROR(VLOOKUP(A2023,Internal_lists_bugs!$A$2:$I2033,9,FALSE()),"please select a BUG ID")</f>
        <v>please select a BUG ID</v>
      </c>
      <c r="D2023" s="85"/>
      <c r="E2023" s="85"/>
      <c r="F2023" s="133"/>
      <c r="G2023" s="49"/>
      <c r="H2023" s="50"/>
      <c r="I2023" s="131"/>
      <c r="J2023" s="131"/>
      <c r="K2023" s="131"/>
      <c r="L2023" s="131"/>
      <c r="M2023" s="131"/>
      <c r="N2023" s="43"/>
      <c r="O2023" s="51"/>
    </row>
    <row r="2024">
      <c r="A2024" s="43"/>
      <c r="B2024" s="59" t="str">
        <f>IFERROR(VLOOKUP(A2024,Internal_lists_bugs!$A$2:$G2033,7,FALSE()),"please select a BUG ID")</f>
        <v>please select a BUG ID</v>
      </c>
      <c r="C2024" s="51" t="str">
        <f>IFERROR(VLOOKUP(A2024,Internal_lists_bugs!$A$2:$I2033,9,FALSE()),"please select a BUG ID")</f>
        <v>please select a BUG ID</v>
      </c>
      <c r="D2024" s="85"/>
      <c r="E2024" s="85"/>
      <c r="F2024" s="133"/>
      <c r="G2024" s="49"/>
      <c r="H2024" s="50"/>
      <c r="I2024" s="131"/>
      <c r="J2024" s="131"/>
      <c r="K2024" s="131"/>
      <c r="L2024" s="131"/>
      <c r="M2024" s="131"/>
      <c r="N2024" s="43"/>
      <c r="O2024" s="51"/>
    </row>
    <row r="2025">
      <c r="A2025" s="43"/>
      <c r="B2025" s="59" t="str">
        <f>IFERROR(VLOOKUP(A2025,Internal_lists_bugs!$A$2:$G2033,7,FALSE()),"please select a BUG ID")</f>
        <v>please select a BUG ID</v>
      </c>
      <c r="C2025" s="51" t="str">
        <f>IFERROR(VLOOKUP(A2025,Internal_lists_bugs!$A$2:$I2033,9,FALSE()),"please select a BUG ID")</f>
        <v>please select a BUG ID</v>
      </c>
      <c r="D2025" s="85"/>
      <c r="E2025" s="85"/>
      <c r="F2025" s="133"/>
      <c r="G2025" s="49"/>
      <c r="H2025" s="50"/>
      <c r="I2025" s="131"/>
      <c r="J2025" s="131"/>
      <c r="K2025" s="131"/>
      <c r="L2025" s="131"/>
      <c r="M2025" s="131"/>
      <c r="N2025" s="43"/>
      <c r="O2025" s="51"/>
    </row>
    <row r="2026">
      <c r="A2026" s="43"/>
      <c r="B2026" s="59" t="str">
        <f>IFERROR(VLOOKUP(A2026,Internal_lists_bugs!$A$2:$G2033,7,FALSE()),"please select a BUG ID")</f>
        <v>please select a BUG ID</v>
      </c>
      <c r="C2026" s="51" t="str">
        <f>IFERROR(VLOOKUP(A2026,Internal_lists_bugs!$A$2:$I2033,9,FALSE()),"please select a BUG ID")</f>
        <v>please select a BUG ID</v>
      </c>
      <c r="D2026" s="85"/>
      <c r="E2026" s="85"/>
      <c r="F2026" s="133"/>
      <c r="G2026" s="49"/>
      <c r="H2026" s="50"/>
      <c r="I2026" s="131"/>
      <c r="J2026" s="131"/>
      <c r="K2026" s="131"/>
      <c r="L2026" s="131"/>
      <c r="M2026" s="131"/>
      <c r="N2026" s="43"/>
      <c r="O2026" s="51"/>
    </row>
    <row r="2027">
      <c r="A2027" s="43"/>
      <c r="B2027" s="59" t="str">
        <f>IFERROR(VLOOKUP(A2027,Internal_lists_bugs!$A$2:$G2033,7,FALSE()),"please select a BUG ID")</f>
        <v>please select a BUG ID</v>
      </c>
      <c r="C2027" s="51" t="str">
        <f>IFERROR(VLOOKUP(A2027,Internal_lists_bugs!$A$2:$I2033,9,FALSE()),"please select a BUG ID")</f>
        <v>please select a BUG ID</v>
      </c>
      <c r="D2027" s="85"/>
      <c r="E2027" s="85"/>
      <c r="F2027" s="133"/>
      <c r="G2027" s="49"/>
      <c r="H2027" s="50"/>
      <c r="I2027" s="131"/>
      <c r="J2027" s="131"/>
      <c r="K2027" s="131"/>
      <c r="L2027" s="131"/>
      <c r="M2027" s="131"/>
      <c r="N2027" s="43"/>
      <c r="O2027" s="51"/>
    </row>
    <row r="2028">
      <c r="A2028" s="43"/>
      <c r="B2028" s="59" t="str">
        <f>IFERROR(VLOOKUP(A2028,Internal_lists_bugs!$A$2:$G2033,7,FALSE()),"please select a BUG ID")</f>
        <v>please select a BUG ID</v>
      </c>
      <c r="C2028" s="51" t="str">
        <f>IFERROR(VLOOKUP(A2028,Internal_lists_bugs!$A$2:$I2033,9,FALSE()),"please select a BUG ID")</f>
        <v>please select a BUG ID</v>
      </c>
      <c r="D2028" s="85"/>
      <c r="E2028" s="85"/>
      <c r="F2028" s="133"/>
      <c r="G2028" s="49"/>
      <c r="H2028" s="50"/>
      <c r="I2028" s="131"/>
      <c r="J2028" s="131"/>
      <c r="K2028" s="131"/>
      <c r="L2028" s="131"/>
      <c r="M2028" s="131"/>
      <c r="N2028" s="43"/>
      <c r="O2028" s="51"/>
    </row>
    <row r="2029">
      <c r="A2029" s="43"/>
      <c r="B2029" s="59" t="str">
        <f>IFERROR(VLOOKUP(A2029,Internal_lists_bugs!$A$2:$G2033,7,FALSE()),"please select a BUG ID")</f>
        <v>please select a BUG ID</v>
      </c>
      <c r="C2029" s="51" t="str">
        <f>IFERROR(VLOOKUP(A2029,Internal_lists_bugs!$A$2:$I2033,9,FALSE()),"please select a BUG ID")</f>
        <v>please select a BUG ID</v>
      </c>
      <c r="D2029" s="85"/>
      <c r="E2029" s="85"/>
      <c r="F2029" s="133"/>
      <c r="G2029" s="49"/>
      <c r="H2029" s="50"/>
      <c r="I2029" s="131"/>
      <c r="J2029" s="131"/>
      <c r="K2029" s="131"/>
      <c r="L2029" s="131"/>
      <c r="M2029" s="131"/>
      <c r="N2029" s="43"/>
      <c r="O2029" s="51"/>
    </row>
    <row r="2030">
      <c r="A2030" s="43"/>
      <c r="B2030" s="59" t="str">
        <f>IFERROR(VLOOKUP(A2030,Internal_lists_bugs!$A$2:$G2033,7,FALSE()),"please select a BUG ID")</f>
        <v>please select a BUG ID</v>
      </c>
      <c r="C2030" s="51" t="str">
        <f>IFERROR(VLOOKUP(A2030,Internal_lists_bugs!$A$2:$I2033,9,FALSE()),"please select a BUG ID")</f>
        <v>please select a BUG ID</v>
      </c>
      <c r="D2030" s="85"/>
      <c r="E2030" s="85"/>
      <c r="F2030" s="133"/>
      <c r="G2030" s="49"/>
      <c r="H2030" s="50"/>
      <c r="I2030" s="131"/>
      <c r="J2030" s="131"/>
      <c r="K2030" s="131"/>
      <c r="L2030" s="131"/>
      <c r="M2030" s="131"/>
      <c r="N2030" s="43"/>
      <c r="O2030" s="51"/>
    </row>
    <row r="2031">
      <c r="A2031" s="43"/>
      <c r="B2031" s="59" t="str">
        <f>IFERROR(VLOOKUP(A2031,Internal_lists_bugs!$A$2:$G2033,7,FALSE()),"please select a BUG ID")</f>
        <v>please select a BUG ID</v>
      </c>
      <c r="C2031" s="51" t="str">
        <f>IFERROR(VLOOKUP(A2031,Internal_lists_bugs!$A$2:$I2033,9,FALSE()),"please select a BUG ID")</f>
        <v>please select a BUG ID</v>
      </c>
      <c r="D2031" s="85"/>
      <c r="E2031" s="85"/>
      <c r="F2031" s="133"/>
      <c r="G2031" s="49"/>
      <c r="H2031" s="50"/>
      <c r="I2031" s="131"/>
      <c r="J2031" s="131"/>
      <c r="K2031" s="131"/>
      <c r="L2031" s="131"/>
      <c r="M2031" s="131"/>
      <c r="N2031" s="43"/>
      <c r="O2031" s="51"/>
    </row>
    <row r="2032">
      <c r="A2032" s="43"/>
      <c r="B2032" s="59" t="str">
        <f>IFERROR(VLOOKUP(A2032,Internal_lists_bugs!$A$2:$G2033,7,FALSE()),"please select a BUG ID")</f>
        <v>please select a BUG ID</v>
      </c>
      <c r="C2032" s="51" t="str">
        <f>IFERROR(VLOOKUP(A2032,Internal_lists_bugs!$A$2:$I2033,9,FALSE()),"please select a BUG ID")</f>
        <v>please select a BUG ID</v>
      </c>
      <c r="D2032" s="85"/>
      <c r="E2032" s="85"/>
      <c r="F2032" s="133"/>
      <c r="G2032" s="49"/>
      <c r="H2032" s="50"/>
      <c r="I2032" s="131"/>
      <c r="J2032" s="131"/>
      <c r="K2032" s="131"/>
      <c r="L2032" s="131"/>
      <c r="M2032" s="131"/>
      <c r="N2032" s="43"/>
      <c r="O2032" s="51"/>
    </row>
    <row r="2033">
      <c r="A2033" s="43"/>
      <c r="B2033" s="59" t="str">
        <f>IFERROR(VLOOKUP(A2033,Internal_lists_bugs!$A$2:$G2033,7,FALSE()),"please select a BUG ID")</f>
        <v>please select a BUG ID</v>
      </c>
      <c r="C2033" s="51" t="str">
        <f>IFERROR(VLOOKUP(A2033,Internal_lists_bugs!$A$2:$I2033,9,FALSE()),"please select a BUG ID")</f>
        <v>please select a BUG ID</v>
      </c>
      <c r="D2033" s="85"/>
      <c r="E2033" s="85"/>
      <c r="F2033" s="148"/>
      <c r="G2033" s="149"/>
      <c r="H2033" s="150"/>
      <c r="I2033" s="131"/>
      <c r="J2033" s="131"/>
      <c r="K2033" s="131"/>
      <c r="L2033" s="131"/>
      <c r="M2033" s="131"/>
      <c r="N2033" s="43"/>
      <c r="O2033" s="51"/>
    </row>
  </sheetData>
  <mergeCells count="4">
    <mergeCell ref="D1:E1"/>
    <mergeCell ref="G1:H1"/>
    <mergeCell ref="I1:J1"/>
    <mergeCell ref="K1:L1"/>
  </mergeCells>
  <dataValidations>
    <dataValidation type="list" allowBlank="1" sqref="D3:D2033">
      <formula1>Internal_lists_variables!$O$2:$O2033</formula1>
    </dataValidation>
    <dataValidation type="list" allowBlank="1" sqref="N3:N2033">
      <formula1>"Main,Secondary branch"</formula1>
    </dataValidation>
    <dataValidation type="list" allowBlank="1" showErrorMessage="1" sqref="F3:F2033">
      <formula1>"YES,NO,NA"</formula1>
    </dataValidation>
    <dataValidation type="list" allowBlank="1" sqref="G3:G2033">
      <formula1>Internal_lists_variables!$P$2:$P2033</formula1>
    </dataValidation>
    <dataValidation type="list" allowBlank="1" showInputMessage="1" showErrorMessage="1" prompt="Project BugID" sqref="A3:A38">
      <formula1>Internal_lists_bugs!$A$2:$A2033</formula1>
    </dataValidation>
    <dataValidation type="list" allowBlank="1" showInputMessage="1" prompt="Click and enter a value from range" sqref="A39:A2033">
      <formula1>Internal_lists_bugs!$A$2:$A2033</formula1>
    </dataValidation>
  </dataValidations>
  <hyperlinks>
    <hyperlink r:id="rId2" ref="A1"/>
    <hyperlink r:id="rId3" location="gid=405816964" ref="B1"/>
    <hyperlink r:id="rId4" ref="H114"/>
    <hyperlink r:id="rId5" location="/c/64999/" ref="H115"/>
  </hyperlinks>
  <drawing r:id="rId6"/>
  <legacy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13"/>
  </cols>
  <sheetData>
    <row r="1">
      <c r="A1" s="52" t="str">
        <f>IFERROR(__xludf.DUMMYFUNCTION("IMPORTRANGE(""https://docs.google.com/spreadsheets/d/1Y9FDM6PWfeg9VaMejzWN3Md3FLlGVyeSUr8AibeJN5I/edit#gid=405816964"",""all_information_CG!A1:AB73"")"),"ID_project")</f>
        <v>ID_project</v>
      </c>
      <c r="B1" s="52" t="str">
        <f>IFERROR(__xludf.DUMMYFUNCTION("""COMPUTED_VALUE"""),"#ID")</f>
        <v>#ID</v>
      </c>
      <c r="C1" s="151" t="str">
        <f>IFERROR(__xludf.DUMMYFUNCTION("""COMPUTED_VALUE"""),"URL_BUG")</f>
        <v>URL_BUG</v>
      </c>
      <c r="D1" s="52" t="str">
        <f>IFERROR(__xludf.DUMMYFUNCTION("""COMPUTED_VALUE"""),"#BFC")</f>
        <v>#BFC</v>
      </c>
      <c r="E1" s="52" t="str">
        <f>IFERROR(__xludf.DUMMYFUNCTION("""COMPUTED_VALUE"""),"URL_BFC_COMMIT")</f>
        <v>URL_BFC_COMMIT</v>
      </c>
      <c r="F1" s="52" t="str">
        <f>IFERROR(__xludf.DUMMYFUNCTION("""COMPUTED_VALUE"""),"BIC revision_hash")</f>
        <v>BIC revision_hash</v>
      </c>
      <c r="G1" s="52" t="str">
        <f>IFERROR(__xludf.DUMMYFUNCTION("""COMPUTED_VALUE"""),"URL_COMMIT")</f>
        <v>URL_COMMIT</v>
      </c>
      <c r="H1" s="52" t="str">
        <f>IFERROR(__xludf.DUMMYFUNCTION("""COMPUTED_VALUE"""),"Code_Review")</f>
        <v>Code_Review</v>
      </c>
      <c r="I1" s="52" t="str">
        <f>IFERROR(__xludf.DUMMYFUNCTION("""COMPUTED_VALUE"""),"URL_REVIEW")</f>
        <v>URL_REVIEW</v>
      </c>
      <c r="J1" s="52" t="str">
        <f>IFERROR(__xludf.DUMMYFUNCTION("""COMPUTED_VALUE"""),"Introducing_issue_1")</f>
        <v>Introducing_issue_1</v>
      </c>
      <c r="K1" s="52" t="str">
        <f>IFERROR(__xludf.DUMMYFUNCTION("""COMPUTED_VALUE"""),"URL_II_1")</f>
        <v>URL_II_1</v>
      </c>
      <c r="L1" s="52" t="str">
        <f>IFERROR(__xludf.DUMMYFUNCTION("""COMPUTED_VALUE"""),"Introducing_issue_2")</f>
        <v>Introducing_issue_2</v>
      </c>
      <c r="M1" s="52" t="str">
        <f>IFERROR(__xludf.DUMMYFUNCTION("""COMPUTED_VALUE"""),"URL_II_2")</f>
        <v>URL_II_2</v>
      </c>
      <c r="N1" s="52" t="str">
        <f>IFERROR(__xludf.DUMMYFUNCTION("""COMPUTED_VALUE"""),"Introducing_issue_3")</f>
        <v>Introducing_issue_3</v>
      </c>
      <c r="O1" s="52" t="str">
        <f>IFERROR(__xludf.DUMMYFUNCTION("""COMPUTED_VALUE"""),"URL_IT 3")</f>
        <v>URL_IT 3</v>
      </c>
      <c r="P1" s="52" t="str">
        <f>IFERROR(__xludf.DUMMYFUNCTION("""COMPUTED_VALUE"""),"Introducing issues id_list")</f>
        <v>Introducing issues id_list</v>
      </c>
      <c r="Q1" s="52" t="str">
        <f>IFERROR(__xludf.DUMMYFUNCTION("""COMPUTED_VALUE"""),"Introducing issues URLs_list")</f>
        <v>Introducing issues URLs_list</v>
      </c>
      <c r="R1" s="52" t="str">
        <f>IFERROR(__xludf.DUMMYFUNCTION("""COMPUTED_VALUE"""),"Has duplicates")</f>
        <v>Has duplicates</v>
      </c>
      <c r="S1" s="52"/>
      <c r="T1" s="52" t="str">
        <f>IFERROR(__xludf.DUMMYFUNCTION("""COMPUTED_VALUE"""),"Others ")</f>
        <v>Others </v>
      </c>
      <c r="U1" s="52" t="str">
        <f>IFERROR(__xludf.DUMMYFUNCTION("""COMPUTED_VALUE"""),"Duplicated_ids")</f>
        <v>Duplicated_ids</v>
      </c>
      <c r="V1" s="52" t="str">
        <f>IFERROR(__xludf.DUMMYFUNCTION("""COMPUTED_VALUE"""),"Duplicated Urls")</f>
        <v>Duplicated Urls</v>
      </c>
      <c r="W1" s="43" t="str">
        <f>IFERROR(__xludf.DUMMYFUNCTION("""COMPUTED_VALUE"""),"Project")</f>
        <v>Project</v>
      </c>
      <c r="X1" s="43" t="str">
        <f>IFERROR(__xludf.DUMMYFUNCTION("""COMPUTED_VALUE"""),"Mailing List")</f>
        <v>Mailing List</v>
      </c>
      <c r="Y1" s="43" t="str">
        <f>IFERROR(__xludf.DUMMYFUNCTION("""COMPUTED_VALUE"""),"Involved Files")</f>
        <v>Involved Files</v>
      </c>
      <c r="Z1" s="43" t="str">
        <f>IFERROR(__xludf.DUMMYFUNCTION("""COMPUTED_VALUE"""),"Files")</f>
        <v>Files</v>
      </c>
      <c r="AA1" s="43"/>
      <c r="AB1" s="43" t="str">
        <f>IFERROR(__xludf.DUMMYFUNCTION("""COMPUTED_VALUE"""),"Notes")</f>
        <v>Notes</v>
      </c>
      <c r="AC1" s="16" t="s">
        <v>1168</v>
      </c>
    </row>
    <row r="2">
      <c r="A2" s="52" t="str">
        <f>IFERROR(__xludf.DUMMYFUNCTION("""COMPUTED_VALUE"""),"Elastic Search 1134")</f>
        <v>Elastic Search 1134</v>
      </c>
      <c r="B2" s="52">
        <f>IFERROR(__xludf.DUMMYFUNCTION("""COMPUTED_VALUE"""),1134.0)</f>
        <v>1134</v>
      </c>
      <c r="C2" s="52"/>
      <c r="D2" s="52"/>
      <c r="E2" s="52"/>
      <c r="F2" s="52" t="str">
        <f>IFERROR(__xludf.DUMMYFUNCTION("""COMPUTED_VALUE"""),"10660d390d760cde78fb115107c04e1cf104a4da")</f>
        <v>10660d390d760cde78fb115107c04e1cf104a4da</v>
      </c>
      <c r="G2" s="152" t="str">
        <f>IFERROR(__xludf.DUMMYFUNCTION("""COMPUTED_VALUE"""),"https://github.com/elastic/elasticsearch/commit/10660d390d760cde78fb115107c04e1cf104a4da")</f>
        <v>https://github.com/elastic/elasticsearch/commit/10660d390d760cde78fb115107c04e1cf104a4da</v>
      </c>
      <c r="H2" s="52"/>
      <c r="I2" s="52"/>
      <c r="J2" s="52"/>
      <c r="K2" s="52"/>
      <c r="L2" s="52"/>
      <c r="M2" s="52"/>
      <c r="N2" s="52"/>
      <c r="O2" s="52"/>
      <c r="P2" s="52"/>
      <c r="Q2" s="52"/>
      <c r="R2" s="52"/>
      <c r="S2" s="52"/>
      <c r="T2" s="52"/>
      <c r="U2" s="52"/>
      <c r="V2" s="52"/>
      <c r="W2" s="43"/>
      <c r="X2" s="43" t="str">
        <f>IFERROR(__xludf.DUMMYFUNCTION("""COMPUTED_VALUE"""),"Not identified. However, it can be googled with the bug ID")</f>
        <v>Not identified. However, it can be googled with the bug ID</v>
      </c>
      <c r="Y2" s="43"/>
      <c r="Z2" s="43"/>
      <c r="AA2" s="43"/>
      <c r="AB2" s="43"/>
      <c r="AC2" s="43" t="str">
        <f t="shared" ref="AC2:AC73" si="1">A2</f>
        <v>Elastic Search 1134</v>
      </c>
    </row>
    <row r="3">
      <c r="A3" s="52" t="str">
        <f>IFERROR(__xludf.DUMMYFUNCTION("""COMPUTED_VALUE"""),"Elastic Search 1154")</f>
        <v>Elastic Search 1154</v>
      </c>
      <c r="B3" s="52">
        <f>IFERROR(__xludf.DUMMYFUNCTION("""COMPUTED_VALUE"""),1154.0)</f>
        <v>1154</v>
      </c>
      <c r="C3" s="52"/>
      <c r="D3" s="52"/>
      <c r="E3" s="52"/>
      <c r="F3" s="52" t="str">
        <f>IFERROR(__xludf.DUMMYFUNCTION("""COMPUTED_VALUE"""),"7a38e384c9ff783f17e9db92a730bdf654dbda6b")</f>
        <v>7a38e384c9ff783f17e9db92a730bdf654dbda6b</v>
      </c>
      <c r="G3" s="152" t="str">
        <f>IFERROR(__xludf.DUMMYFUNCTION("""COMPUTED_VALUE"""),"https://github.com/elastic/elasticsearch/commit/7a38e384c9ff783f17e9db92a730bdf654dbda6b")</f>
        <v>https://github.com/elastic/elasticsearch/commit/7a38e384c9ff783f17e9db92a730bdf654dbda6b</v>
      </c>
      <c r="H3" s="52"/>
      <c r="I3" s="52"/>
      <c r="J3" s="52"/>
      <c r="K3" s="52"/>
      <c r="L3" s="52"/>
      <c r="M3" s="52"/>
      <c r="N3" s="52"/>
      <c r="O3" s="52"/>
      <c r="P3" s="52"/>
      <c r="Q3" s="52"/>
      <c r="R3" s="52"/>
      <c r="S3" s="52"/>
      <c r="T3" s="52"/>
      <c r="U3" s="52"/>
      <c r="V3" s="52"/>
      <c r="W3" s="43"/>
      <c r="X3" s="43" t="str">
        <f>IFERROR(__xludf.DUMMYFUNCTION("""COMPUTED_VALUE"""),"Not identified. However, it can be googled with the bug ID")</f>
        <v>Not identified. However, it can be googled with the bug ID</v>
      </c>
      <c r="Y3" s="43"/>
      <c r="Z3" s="43"/>
      <c r="AA3" s="43"/>
      <c r="AB3" s="43"/>
      <c r="AC3" s="43" t="str">
        <f t="shared" si="1"/>
        <v>Elastic Search 1154</v>
      </c>
    </row>
    <row r="4">
      <c r="A4" s="52" t="str">
        <f>IFERROR(__xludf.DUMMYFUNCTION("""COMPUTED_VALUE"""),"Elastic Search 1162")</f>
        <v>Elastic Search 1162</v>
      </c>
      <c r="B4" s="52">
        <f>IFERROR(__xludf.DUMMYFUNCTION("""COMPUTED_VALUE"""),1162.0)</f>
        <v>1162</v>
      </c>
      <c r="C4" s="52"/>
      <c r="D4" s="52"/>
      <c r="E4" s="52"/>
      <c r="F4" s="52" t="str">
        <f>IFERROR(__xludf.DUMMYFUNCTION("""COMPUTED_VALUE"""),"e5b041c8efd408fdc71fd2f2c84439e5a4985244")</f>
        <v>e5b041c8efd408fdc71fd2f2c84439e5a4985244</v>
      </c>
      <c r="G4" s="152" t="str">
        <f>IFERROR(__xludf.DUMMYFUNCTION("""COMPUTED_VALUE"""),"https://github.com/elastic/elasticsearch/commit/e5b041c8efd408fdc71fd2f2c84439e5a4985244")</f>
        <v>https://github.com/elastic/elasticsearch/commit/e5b041c8efd408fdc71fd2f2c84439e5a4985244</v>
      </c>
      <c r="H4" s="52"/>
      <c r="I4" s="52"/>
      <c r="J4" s="52"/>
      <c r="K4" s="52"/>
      <c r="L4" s="52"/>
      <c r="M4" s="52"/>
      <c r="N4" s="52"/>
      <c r="O4" s="52"/>
      <c r="P4" s="52"/>
      <c r="Q4" s="52"/>
      <c r="R4" s="52"/>
      <c r="S4" s="52"/>
      <c r="T4" s="52"/>
      <c r="U4" s="52"/>
      <c r="V4" s="52"/>
      <c r="W4" s="43"/>
      <c r="X4" s="43" t="str">
        <f>IFERROR(__xludf.DUMMYFUNCTION("""COMPUTED_VALUE"""),"Not identified. However, it can be googled with the bug ID")</f>
        <v>Not identified. However, it can be googled with the bug ID</v>
      </c>
      <c r="Y4" s="43"/>
      <c r="Z4" s="43"/>
      <c r="AA4" s="43"/>
      <c r="AB4" s="43"/>
      <c r="AC4" s="43" t="str">
        <f t="shared" si="1"/>
        <v>Elastic Search 1162</v>
      </c>
    </row>
    <row r="5">
      <c r="A5" s="52" t="str">
        <f>IFERROR(__xludf.DUMMYFUNCTION("""COMPUTED_VALUE"""),"Elastic Search 12193")</f>
        <v>Elastic Search 12193</v>
      </c>
      <c r="B5" s="52">
        <f>IFERROR(__xludf.DUMMYFUNCTION("""COMPUTED_VALUE"""),12193.0)</f>
        <v>12193</v>
      </c>
      <c r="C5" s="52"/>
      <c r="D5" s="52"/>
      <c r="E5" s="52"/>
      <c r="F5" s="52" t="str">
        <f>IFERROR(__xludf.DUMMYFUNCTION("""COMPUTED_VALUE"""),"e88535a67e9594f3135465b5021ba9b502fef950")</f>
        <v>e88535a67e9594f3135465b5021ba9b502fef950</v>
      </c>
      <c r="G5" s="152" t="str">
        <f>IFERROR(__xludf.DUMMYFUNCTION("""COMPUTED_VALUE"""),"https://github.com/elastic/elasticsearch/commit/e88535a67e9594f3135465b5021ba9b502fef950")</f>
        <v>https://github.com/elastic/elasticsearch/commit/e88535a67e9594f3135465b5021ba9b502fef950</v>
      </c>
      <c r="H5" s="52"/>
      <c r="I5" s="52"/>
      <c r="J5" s="52"/>
      <c r="K5" s="52"/>
      <c r="L5" s="52"/>
      <c r="M5" s="52"/>
      <c r="N5" s="52"/>
      <c r="O5" s="52"/>
      <c r="P5" s="52"/>
      <c r="Q5" s="52"/>
      <c r="R5" s="52"/>
      <c r="S5" s="52"/>
      <c r="T5" s="52"/>
      <c r="U5" s="52"/>
      <c r="V5" s="52"/>
      <c r="W5" s="43"/>
      <c r="X5" s="43" t="str">
        <f>IFERROR(__xludf.DUMMYFUNCTION("""COMPUTED_VALUE"""),"Not identified. However, it can be googled with the bug ID")</f>
        <v>Not identified. However, it can be googled with the bug ID</v>
      </c>
      <c r="Y5" s="43"/>
      <c r="Z5" s="43"/>
      <c r="AA5" s="43"/>
      <c r="AB5" s="43"/>
      <c r="AC5" s="43" t="str">
        <f t="shared" si="1"/>
        <v>Elastic Search 12193</v>
      </c>
    </row>
    <row r="6">
      <c r="A6" s="52" t="str">
        <f>IFERROR(__xludf.DUMMYFUNCTION("""COMPUTED_VALUE"""),"Elastic Search 1380")</f>
        <v>Elastic Search 1380</v>
      </c>
      <c r="B6" s="52">
        <f>IFERROR(__xludf.DUMMYFUNCTION("""COMPUTED_VALUE"""),1380.0)</f>
        <v>1380</v>
      </c>
      <c r="C6" s="52"/>
      <c r="D6" s="52"/>
      <c r="E6" s="52"/>
      <c r="F6" s="52" t="str">
        <f>IFERROR(__xludf.DUMMYFUNCTION("""COMPUTED_VALUE"""),"16a046f686c26309ee0041df8987a4d2ffedd956")</f>
        <v>16a046f686c26309ee0041df8987a4d2ffedd956</v>
      </c>
      <c r="G6" s="152" t="str">
        <f>IFERROR(__xludf.DUMMYFUNCTION("""COMPUTED_VALUE"""),"https://github.com/elastic/elasticsearch/commit/16a046f686c26309ee0041df8987a4d2ffedd956")</f>
        <v>https://github.com/elastic/elasticsearch/commit/16a046f686c26309ee0041df8987a4d2ffedd956</v>
      </c>
      <c r="H6" s="52"/>
      <c r="I6" s="52"/>
      <c r="J6" s="52"/>
      <c r="K6" s="52"/>
      <c r="L6" s="52"/>
      <c r="M6" s="52"/>
      <c r="N6" s="52"/>
      <c r="O6" s="52"/>
      <c r="P6" s="52"/>
      <c r="Q6" s="52"/>
      <c r="R6" s="52"/>
      <c r="S6" s="52"/>
      <c r="T6" s="52"/>
      <c r="U6" s="52"/>
      <c r="V6" s="52"/>
      <c r="W6" s="43"/>
      <c r="X6" s="43" t="str">
        <f>IFERROR(__xludf.DUMMYFUNCTION("""COMPUTED_VALUE"""),"Not identified. However, it can be googled with the bug ID")</f>
        <v>Not identified. However, it can be googled with the bug ID</v>
      </c>
      <c r="Y6" s="43"/>
      <c r="Z6" s="43"/>
      <c r="AA6" s="43"/>
      <c r="AB6" s="43"/>
      <c r="AC6" s="43" t="str">
        <f t="shared" si="1"/>
        <v>Elastic Search 1380</v>
      </c>
    </row>
    <row r="7">
      <c r="A7" s="52" t="str">
        <f>IFERROR(__xludf.DUMMYFUNCTION("""COMPUTED_VALUE"""),"Elastic Search 14782")</f>
        <v>Elastic Search 14782</v>
      </c>
      <c r="B7" s="52">
        <f>IFERROR(__xludf.DUMMYFUNCTION("""COMPUTED_VALUE"""),14782.0)</f>
        <v>14782</v>
      </c>
      <c r="C7" s="52"/>
      <c r="D7" s="52"/>
      <c r="E7" s="52"/>
      <c r="F7" s="52" t="str">
        <f>IFERROR(__xludf.DUMMYFUNCTION("""COMPUTED_VALUE"""),"a75adaaaaaa632c036464da8fa24770796f77852")</f>
        <v>a75adaaaaaa632c036464da8fa24770796f77852</v>
      </c>
      <c r="G7" s="152" t="str">
        <f>IFERROR(__xludf.DUMMYFUNCTION("""COMPUTED_VALUE"""),"https://github.com/elastic/elasticsearch/commit/a75adaaaaaa632c036464da8fa24770796f77852")</f>
        <v>https://github.com/elastic/elasticsearch/commit/a75adaaaaaa632c036464da8fa24770796f77852</v>
      </c>
      <c r="H7" s="52"/>
      <c r="I7" s="52"/>
      <c r="J7" s="52"/>
      <c r="K7" s="52"/>
      <c r="L7" s="52"/>
      <c r="M7" s="52"/>
      <c r="N7" s="52"/>
      <c r="O7" s="52"/>
      <c r="P7" s="52"/>
      <c r="Q7" s="52"/>
      <c r="R7" s="52"/>
      <c r="S7" s="52"/>
      <c r="T7" s="52"/>
      <c r="U7" s="52"/>
      <c r="V7" s="52"/>
      <c r="W7" s="43"/>
      <c r="X7" s="43" t="str">
        <f>IFERROR(__xludf.DUMMYFUNCTION("""COMPUTED_VALUE"""),"Not identified. However, it can be googled with the bug ID")</f>
        <v>Not identified. However, it can be googled with the bug ID</v>
      </c>
      <c r="Y7" s="43"/>
      <c r="Z7" s="43"/>
      <c r="AA7" s="43"/>
      <c r="AB7" s="43"/>
      <c r="AC7" s="43" t="str">
        <f t="shared" si="1"/>
        <v>Elastic Search 14782</v>
      </c>
    </row>
    <row r="8">
      <c r="A8" s="52" t="str">
        <f>IFERROR(__xludf.DUMMYFUNCTION("""COMPUTED_VALUE"""),"Elastic Search 15858")</f>
        <v>Elastic Search 15858</v>
      </c>
      <c r="B8" s="52">
        <f>IFERROR(__xludf.DUMMYFUNCTION("""COMPUTED_VALUE"""),15858.0)</f>
        <v>15858</v>
      </c>
      <c r="C8" s="52"/>
      <c r="D8" s="52"/>
      <c r="E8" s="52"/>
      <c r="F8" s="52" t="str">
        <f>IFERROR(__xludf.DUMMYFUNCTION("""COMPUTED_VALUE"""),"4088236cf75b793c7a2a80f5f7be5b326b607378")</f>
        <v>4088236cf75b793c7a2a80f5f7be5b326b607378</v>
      </c>
      <c r="G8" s="152" t="str">
        <f>IFERROR(__xludf.DUMMYFUNCTION("""COMPUTED_VALUE"""),"https://github.com/elastic/elasticsearch/commit/4088236cf75b793c7a2a80f5f7be5b326b607378")</f>
        <v>https://github.com/elastic/elasticsearch/commit/4088236cf75b793c7a2a80f5f7be5b326b607378</v>
      </c>
      <c r="H8" s="52">
        <f>IFERROR(__xludf.DUMMYFUNCTION("""COMPUTED_VALUE"""),1258.0)</f>
        <v>1258</v>
      </c>
      <c r="I8" s="152" t="str">
        <f>IFERROR(__xludf.DUMMYFUNCTION("""COMPUTED_VALUE"""),"https://github.com/elastic/elasticsearch/pull/1258")</f>
        <v>https://github.com/elastic/elasticsearch/pull/1258</v>
      </c>
      <c r="J8" s="52">
        <f>IFERROR(__xludf.DUMMYFUNCTION("""COMPUTED_VALUE"""),1368.0)</f>
        <v>1368</v>
      </c>
      <c r="K8" s="152" t="str">
        <f>IFERROR(__xludf.DUMMYFUNCTION("""COMPUTED_VALUE"""),"https://github.com/elastic/elasticsearch/issue/1368")</f>
        <v>https://github.com/elastic/elasticsearch/issue/1368</v>
      </c>
      <c r="L8" s="52"/>
      <c r="M8" s="52"/>
      <c r="N8" s="52"/>
      <c r="O8" s="52"/>
      <c r="P8" s="52">
        <f>IFERROR(__xludf.DUMMYFUNCTION("""COMPUTED_VALUE"""),1368.0)</f>
        <v>1368</v>
      </c>
      <c r="Q8" s="52"/>
      <c r="R8" s="52"/>
      <c r="S8" s="52"/>
      <c r="T8" s="52"/>
      <c r="U8" s="52"/>
      <c r="V8" s="52"/>
      <c r="W8" s="43"/>
      <c r="X8" s="43" t="str">
        <f>IFERROR(__xludf.DUMMYFUNCTION("""COMPUTED_VALUE"""),"Not identified. However, it can be googled with the bug ID")</f>
        <v>Not identified. However, it can be googled with the bug ID</v>
      </c>
      <c r="Y8" s="43"/>
      <c r="Z8" s="43"/>
      <c r="AA8" s="43"/>
      <c r="AB8" s="43"/>
      <c r="AC8" s="43" t="str">
        <f t="shared" si="1"/>
        <v>Elastic Search 15858</v>
      </c>
    </row>
    <row r="9">
      <c r="A9" s="52" t="str">
        <f>IFERROR(__xludf.DUMMYFUNCTION("""COMPUTED_VALUE"""),"Elastic Search 16246")</f>
        <v>Elastic Search 16246</v>
      </c>
      <c r="B9" s="52">
        <f>IFERROR(__xludf.DUMMYFUNCTION("""COMPUTED_VALUE"""),16246.0)</f>
        <v>16246</v>
      </c>
      <c r="C9" s="52"/>
      <c r="D9" s="52"/>
      <c r="E9" s="52"/>
      <c r="F9" s="52" t="str">
        <f>IFERROR(__xludf.DUMMYFUNCTION("""COMPUTED_VALUE"""),"7caee2fa4d918d4c6978bcf986a158d03bf7db2a")</f>
        <v>7caee2fa4d918d4c6978bcf986a158d03bf7db2a</v>
      </c>
      <c r="G9" s="152" t="str">
        <f>IFERROR(__xludf.DUMMYFUNCTION("""COMPUTED_VALUE"""),"https://github.com/elastic/elasticsearch/commit/7caee2fa4d918d4c6978bcf986a158d03bf7db2a")</f>
        <v>https://github.com/elastic/elasticsearch/commit/7caee2fa4d918d4c6978bcf986a158d03bf7db2a</v>
      </c>
      <c r="H9" s="52" t="str">
        <f>IFERROR(__xludf.DUMMYFUNCTION("""COMPUTED_VALUE"""),"14899, 15336")</f>
        <v>14899, 15336</v>
      </c>
      <c r="I9" s="52" t="str">
        <f>IFERROR(__xludf.DUMMYFUNCTION("""COMPUTED_VALUE"""),"https://github.com/elastic/elasticsearch/pull/15336 
https://github.com/elastic/elasticsearch/pull/14899 ")</f>
        <v>https://github.com/elastic/elasticsearch/pull/15336 
https://github.com/elastic/elasticsearch/pull/14899 </v>
      </c>
      <c r="J9" s="52"/>
      <c r="K9" s="52"/>
      <c r="L9" s="52"/>
      <c r="M9" s="52"/>
      <c r="N9" s="52"/>
      <c r="O9" s="52"/>
      <c r="P9" s="52"/>
      <c r="Q9" s="52"/>
      <c r="R9" s="52"/>
      <c r="S9" s="52"/>
      <c r="T9" s="52"/>
      <c r="U9" s="52"/>
      <c r="V9" s="52"/>
      <c r="W9" s="43"/>
      <c r="X9" s="43" t="str">
        <f>IFERROR(__xludf.DUMMYFUNCTION("""COMPUTED_VALUE"""),"Not identified. However, it can be googled with the bug ID")</f>
        <v>Not identified. However, it can be googled with the bug ID</v>
      </c>
      <c r="Y9" s="43"/>
      <c r="Z9" s="43"/>
      <c r="AA9" s="43"/>
      <c r="AB9" s="43"/>
      <c r="AC9" s="43" t="str">
        <f t="shared" si="1"/>
        <v>Elastic Search 16246</v>
      </c>
    </row>
    <row r="10">
      <c r="A10" s="52" t="str">
        <f>IFERROR(__xludf.DUMMYFUNCTION("""COMPUTED_VALUE"""),"Elastic Search 1626")</f>
        <v>Elastic Search 1626</v>
      </c>
      <c r="B10" s="52">
        <f>IFERROR(__xludf.DUMMYFUNCTION("""COMPUTED_VALUE"""),1626.0)</f>
        <v>1626</v>
      </c>
      <c r="C10" s="52"/>
      <c r="D10" s="52"/>
      <c r="E10" s="52"/>
      <c r="F10" s="52" t="str">
        <f>IFERROR(__xludf.DUMMYFUNCTION("""COMPUTED_VALUE"""),"1f30681a84fcafe9cf6e6b8a2801ea1791b9edc0")</f>
        <v>1f30681a84fcafe9cf6e6b8a2801ea1791b9edc0</v>
      </c>
      <c r="G10" s="152" t="str">
        <f>IFERROR(__xludf.DUMMYFUNCTION("""COMPUTED_VALUE"""),"https://github.com/elastic/elasticsearch/commit/1f30681a84fcafe9cf6e6b8a2801ea1791b9edc0")</f>
        <v>https://github.com/elastic/elasticsearch/commit/1f30681a84fcafe9cf6e6b8a2801ea1791b9edc0</v>
      </c>
      <c r="H10" s="52"/>
      <c r="I10" s="52"/>
      <c r="J10" s="52"/>
      <c r="K10" s="52"/>
      <c r="L10" s="52"/>
      <c r="M10" s="52"/>
      <c r="N10" s="52"/>
      <c r="O10" s="52"/>
      <c r="P10" s="52"/>
      <c r="Q10" s="52"/>
      <c r="R10" s="52"/>
      <c r="S10" s="52"/>
      <c r="T10" s="52"/>
      <c r="U10" s="52"/>
      <c r="V10" s="52"/>
      <c r="W10" s="43"/>
      <c r="X10" s="43" t="str">
        <f>IFERROR(__xludf.DUMMYFUNCTION("""COMPUTED_VALUE"""),"Not identified. However, it can be googled with the bug ID")</f>
        <v>Not identified. However, it can be googled with the bug ID</v>
      </c>
      <c r="Y10" s="43"/>
      <c r="Z10" s="43"/>
      <c r="AA10" s="43"/>
      <c r="AB10" s="43"/>
      <c r="AC10" s="43" t="str">
        <f t="shared" si="1"/>
        <v>Elastic Search 1626</v>
      </c>
    </row>
    <row r="11">
      <c r="A11" s="52" t="str">
        <f>IFERROR(__xludf.DUMMYFUNCTION("""COMPUTED_VALUE"""),"Elastic Search 16790")</f>
        <v>Elastic Search 16790</v>
      </c>
      <c r="B11" s="52">
        <f>IFERROR(__xludf.DUMMYFUNCTION("""COMPUTED_VALUE"""),16790.0)</f>
        <v>16790</v>
      </c>
      <c r="C11" s="52"/>
      <c r="D11" s="52"/>
      <c r="E11" s="52"/>
      <c r="F11" s="52" t="str">
        <f>IFERROR(__xludf.DUMMYFUNCTION("""COMPUTED_VALUE"""),"093791e82dfe7c3e16ddb1f199fede2cf86b6797")</f>
        <v>093791e82dfe7c3e16ddb1f199fede2cf86b6797</v>
      </c>
      <c r="G11" s="152" t="str">
        <f>IFERROR(__xludf.DUMMYFUNCTION("""COMPUTED_VALUE"""),"https://github.com/elastic/elasticsearch/commit/093791e82dfe7c3e16ddb1f199fede2cf86b6797")</f>
        <v>https://github.com/elastic/elasticsearch/commit/093791e82dfe7c3e16ddb1f199fede2cf86b6797</v>
      </c>
      <c r="H11" s="52">
        <f>IFERROR(__xludf.DUMMYFUNCTION("""COMPUTED_VALUE"""),13704.0)</f>
        <v>13704</v>
      </c>
      <c r="I11" s="152" t="str">
        <f>IFERROR(__xludf.DUMMYFUNCTION("""COMPUTED_VALUE"""),"https://github.com/elastic/elasticsearch/pull/13704")</f>
        <v>https://github.com/elastic/elasticsearch/pull/13704</v>
      </c>
      <c r="J11" s="52"/>
      <c r="K11" s="52"/>
      <c r="L11" s="52"/>
      <c r="M11" s="52"/>
      <c r="N11" s="52"/>
      <c r="O11" s="52"/>
      <c r="P11" s="52"/>
      <c r="Q11" s="52"/>
      <c r="R11" s="52"/>
      <c r="S11" s="52"/>
      <c r="T11" s="52"/>
      <c r="U11" s="52"/>
      <c r="V11" s="52"/>
      <c r="W11" s="43"/>
      <c r="X11" s="43" t="str">
        <f>IFERROR(__xludf.DUMMYFUNCTION("""COMPUTED_VALUE"""),"Not identified. However, it can be googled with the bug ID")</f>
        <v>Not identified. However, it can be googled with the bug ID</v>
      </c>
      <c r="Y11" s="43"/>
      <c r="Z11" s="43"/>
      <c r="AA11" s="43"/>
      <c r="AB11" s="43"/>
      <c r="AC11" s="43" t="str">
        <f t="shared" si="1"/>
        <v>Elastic Search 16790</v>
      </c>
    </row>
    <row r="12">
      <c r="A12" s="52" t="str">
        <f>IFERROR(__xludf.DUMMYFUNCTION("""COMPUTED_VALUE"""),"Elastic Search 1725")</f>
        <v>Elastic Search 1725</v>
      </c>
      <c r="B12" s="52">
        <f>IFERROR(__xludf.DUMMYFUNCTION("""COMPUTED_VALUE"""),1725.0)</f>
        <v>1725</v>
      </c>
      <c r="C12" s="52"/>
      <c r="D12" s="52"/>
      <c r="E12" s="52"/>
      <c r="F12" s="52" t="str">
        <f>IFERROR(__xludf.DUMMYFUNCTION("""COMPUTED_VALUE"""),"3d310406b71973e82f94f60b8dab0c90729a579a")</f>
        <v>3d310406b71973e82f94f60b8dab0c90729a579a</v>
      </c>
      <c r="G12" s="152" t="str">
        <f>IFERROR(__xludf.DUMMYFUNCTION("""COMPUTED_VALUE"""),"https://github.com/elastic/elasticsearch/commit/3d310406b71973e82f94f60b8dab0c90729a579a")</f>
        <v>https://github.com/elastic/elasticsearch/commit/3d310406b71973e82f94f60b8dab0c90729a579a</v>
      </c>
      <c r="H12" s="52"/>
      <c r="I12" s="52"/>
      <c r="J12" s="52"/>
      <c r="K12" s="52"/>
      <c r="L12" s="52"/>
      <c r="M12" s="52"/>
      <c r="N12" s="52"/>
      <c r="O12" s="52"/>
      <c r="P12" s="52"/>
      <c r="Q12" s="52"/>
      <c r="R12" s="52"/>
      <c r="S12" s="52"/>
      <c r="T12" s="52"/>
      <c r="U12" s="52"/>
      <c r="V12" s="52"/>
      <c r="W12" s="43"/>
      <c r="X12" s="43" t="str">
        <f>IFERROR(__xludf.DUMMYFUNCTION("""COMPUTED_VALUE"""),"Not identified. However, it can be googled with the bug ID")</f>
        <v>Not identified. However, it can be googled with the bug ID</v>
      </c>
      <c r="Y12" s="43"/>
      <c r="Z12" s="43"/>
      <c r="AA12" s="43"/>
      <c r="AB12" s="43"/>
      <c r="AC12" s="43" t="str">
        <f t="shared" si="1"/>
        <v>Elastic Search 1725</v>
      </c>
    </row>
    <row r="13">
      <c r="A13" s="52" t="str">
        <f>IFERROR(__xludf.DUMMYFUNCTION("""COMPUTED_VALUE"""),"Elastic Search 1814")</f>
        <v>Elastic Search 1814</v>
      </c>
      <c r="B13" s="52">
        <f>IFERROR(__xludf.DUMMYFUNCTION("""COMPUTED_VALUE"""),1814.0)</f>
        <v>1814</v>
      </c>
      <c r="C13" s="52"/>
      <c r="D13" s="52"/>
      <c r="E13" s="52"/>
      <c r="F13" s="52" t="str">
        <f>IFERROR(__xludf.DUMMYFUNCTION("""COMPUTED_VALUE"""),"b31b0e979c616251ed75b18a87193bd76b75eff3")</f>
        <v>b31b0e979c616251ed75b18a87193bd76b75eff3</v>
      </c>
      <c r="G13" s="152" t="str">
        <f>IFERROR(__xludf.DUMMYFUNCTION("""COMPUTED_VALUE"""),"https://github.com/elastic/elasticsearch/commit/b31b0e979c616251ed75b18a87193bd76b75eff3")</f>
        <v>https://github.com/elastic/elasticsearch/commit/b31b0e979c616251ed75b18a87193bd76b75eff3</v>
      </c>
      <c r="H13" s="52"/>
      <c r="I13" s="52"/>
      <c r="J13" s="52">
        <f>IFERROR(__xludf.DUMMYFUNCTION("""COMPUTED_VALUE"""),362.0)</f>
        <v>362</v>
      </c>
      <c r="K13" s="152" t="str">
        <f>IFERROR(__xludf.DUMMYFUNCTION("""COMPUTED_VALUE"""),"https://github.com/elastic/elasticsearch/issue/362")</f>
        <v>https://github.com/elastic/elasticsearch/issue/362</v>
      </c>
      <c r="L13" s="52"/>
      <c r="M13" s="52"/>
      <c r="N13" s="52"/>
      <c r="O13" s="52"/>
      <c r="P13" s="52">
        <f>IFERROR(__xludf.DUMMYFUNCTION("""COMPUTED_VALUE"""),362.0)</f>
        <v>362</v>
      </c>
      <c r="Q13" s="52"/>
      <c r="R13" s="52"/>
      <c r="S13" s="52"/>
      <c r="T13" s="52"/>
      <c r="U13" s="52"/>
      <c r="V13" s="52"/>
      <c r="W13" s="43"/>
      <c r="X13" s="43" t="str">
        <f>IFERROR(__xludf.DUMMYFUNCTION("""COMPUTED_VALUE"""),"Not identified. However, it can be googled with the bug ID")</f>
        <v>Not identified. However, it can be googled with the bug ID</v>
      </c>
      <c r="Y13" s="43"/>
      <c r="Z13" s="43"/>
      <c r="AA13" s="43"/>
      <c r="AB13" s="43"/>
      <c r="AC13" s="43" t="str">
        <f t="shared" si="1"/>
        <v>Elastic Search 1814</v>
      </c>
    </row>
    <row r="14">
      <c r="A14" s="52" t="str">
        <f>IFERROR(__xludf.DUMMYFUNCTION("""COMPUTED_VALUE"""),"Elastic Search 1948")</f>
        <v>Elastic Search 1948</v>
      </c>
      <c r="B14" s="52">
        <f>IFERROR(__xludf.DUMMYFUNCTION("""COMPUTED_VALUE"""),1948.0)</f>
        <v>1948</v>
      </c>
      <c r="C14" s="52"/>
      <c r="D14" s="52"/>
      <c r="E14" s="52"/>
      <c r="F14" s="52" t="str">
        <f>IFERROR(__xludf.DUMMYFUNCTION("""COMPUTED_VALUE"""),"8587f1611912c6633b72909939e91d226575dd90")</f>
        <v>8587f1611912c6633b72909939e91d226575dd90</v>
      </c>
      <c r="G14" s="152" t="str">
        <f>IFERROR(__xludf.DUMMYFUNCTION("""COMPUTED_VALUE"""),"https://github.com/elastic/elasticsearch/commit/8587f1611912c6633b72909939e91d226575dd90")</f>
        <v>https://github.com/elastic/elasticsearch/commit/8587f1611912c6633b72909939e91d226575dd90</v>
      </c>
      <c r="H14" s="52">
        <f>IFERROR(__xludf.DUMMYFUNCTION("""COMPUTED_VALUE"""),639.0)</f>
        <v>639</v>
      </c>
      <c r="I14" s="152" t="str">
        <f>IFERROR(__xludf.DUMMYFUNCTION("""COMPUTED_VALUE"""),"https://github.com/elastic/elasticsearch/pull/639")</f>
        <v>https://github.com/elastic/elasticsearch/pull/639</v>
      </c>
      <c r="J14" s="52"/>
      <c r="K14" s="52"/>
      <c r="L14" s="52"/>
      <c r="M14" s="52"/>
      <c r="N14" s="52"/>
      <c r="O14" s="52"/>
      <c r="P14" s="52"/>
      <c r="Q14" s="52"/>
      <c r="R14" s="52"/>
      <c r="S14" s="52"/>
      <c r="T14" s="52"/>
      <c r="U14" s="52"/>
      <c r="V14" s="52"/>
      <c r="W14" s="43"/>
      <c r="X14" s="43" t="str">
        <f>IFERROR(__xludf.DUMMYFUNCTION("""COMPUTED_VALUE"""),"Not identified. However, it can be googled with the bug ID")</f>
        <v>Not identified. However, it can be googled with the bug ID</v>
      </c>
      <c r="Y14" s="43"/>
      <c r="Z14" s="43"/>
      <c r="AA14" s="43"/>
      <c r="AB14" s="43"/>
      <c r="AC14" s="43" t="str">
        <f t="shared" si="1"/>
        <v>Elastic Search 1948</v>
      </c>
    </row>
    <row r="15">
      <c r="A15" s="52" t="str">
        <f>IFERROR(__xludf.DUMMYFUNCTION("""COMPUTED_VALUE"""),"Elastic Search 1960")</f>
        <v>Elastic Search 1960</v>
      </c>
      <c r="B15" s="52">
        <f>IFERROR(__xludf.DUMMYFUNCTION("""COMPUTED_VALUE"""),1960.0)</f>
        <v>1960</v>
      </c>
      <c r="C15" s="52"/>
      <c r="D15" s="52"/>
      <c r="E15" s="52"/>
      <c r="F15" s="52" t="str">
        <f>IFERROR(__xludf.DUMMYFUNCTION("""COMPUTED_VALUE"""),"103221e58a85dc5d133cc70af898102735c4375f")</f>
        <v>103221e58a85dc5d133cc70af898102735c4375f</v>
      </c>
      <c r="G15" s="152" t="str">
        <f>IFERROR(__xludf.DUMMYFUNCTION("""COMPUTED_VALUE"""),"https://github.com/elastic/elasticsearch/commit/103221e58a85dc5d133cc70af898102735c4375f")</f>
        <v>https://github.com/elastic/elasticsearch/commit/103221e58a85dc5d133cc70af898102735c4375f</v>
      </c>
      <c r="H15" s="52"/>
      <c r="I15" s="52"/>
      <c r="J15" s="52"/>
      <c r="K15" s="52"/>
      <c r="L15" s="52"/>
      <c r="M15" s="52"/>
      <c r="N15" s="52"/>
      <c r="O15" s="52"/>
      <c r="P15" s="52"/>
      <c r="Q15" s="52"/>
      <c r="R15" s="52"/>
      <c r="S15" s="52"/>
      <c r="T15" s="52"/>
      <c r="U15" s="52"/>
      <c r="V15" s="52"/>
      <c r="W15" s="43"/>
      <c r="X15" s="43" t="str">
        <f>IFERROR(__xludf.DUMMYFUNCTION("""COMPUTED_VALUE"""),"Not identified. However, it can be googled with the bug ID")</f>
        <v>Not identified. However, it can be googled with the bug ID</v>
      </c>
      <c r="Y15" s="43"/>
      <c r="Z15" s="43"/>
      <c r="AA15" s="43"/>
      <c r="AB15" s="43"/>
      <c r="AC15" s="43" t="str">
        <f t="shared" si="1"/>
        <v>Elastic Search 1960</v>
      </c>
    </row>
    <row r="16">
      <c r="A16" s="52" t="str">
        <f>IFERROR(__xludf.DUMMYFUNCTION("""COMPUTED_VALUE"""),"Elastic Search 200")</f>
        <v>Elastic Search 200</v>
      </c>
      <c r="B16" s="52">
        <f>IFERROR(__xludf.DUMMYFUNCTION("""COMPUTED_VALUE"""),200.0)</f>
        <v>200</v>
      </c>
      <c r="C16" s="52"/>
      <c r="D16" s="52"/>
      <c r="E16" s="52"/>
      <c r="F16" s="52" t="str">
        <f>IFERROR(__xludf.DUMMYFUNCTION("""COMPUTED_VALUE"""),"2ea7423f3ac68578a81d92f50b6484cf1db2203d")</f>
        <v>2ea7423f3ac68578a81d92f50b6484cf1db2203d</v>
      </c>
      <c r="G16" s="152" t="str">
        <f>IFERROR(__xludf.DUMMYFUNCTION("""COMPUTED_VALUE"""),"https://github.com/elastic/elasticsearch/commit/2ea7423f3ac68578a81d92f50b6484cf1db2203d")</f>
        <v>https://github.com/elastic/elasticsearch/commit/2ea7423f3ac68578a81d92f50b6484cf1db2203d</v>
      </c>
      <c r="H16" s="52"/>
      <c r="I16" s="52"/>
      <c r="J16" s="52"/>
      <c r="K16" s="52"/>
      <c r="L16" s="52"/>
      <c r="M16" s="52"/>
      <c r="N16" s="52"/>
      <c r="O16" s="52"/>
      <c r="P16" s="52"/>
      <c r="Q16" s="52"/>
      <c r="R16" s="52"/>
      <c r="S16" s="52"/>
      <c r="T16" s="52"/>
      <c r="U16" s="52"/>
      <c r="V16" s="52"/>
      <c r="W16" s="43"/>
      <c r="X16" s="43" t="str">
        <f>IFERROR(__xludf.DUMMYFUNCTION("""COMPUTED_VALUE"""),"Not identified. However, it can be googled with the bug ID")</f>
        <v>Not identified. However, it can be googled with the bug ID</v>
      </c>
      <c r="Y16" s="43"/>
      <c r="Z16" s="43"/>
      <c r="AA16" s="43"/>
      <c r="AB16" s="43"/>
      <c r="AC16" s="43" t="str">
        <f t="shared" si="1"/>
        <v>Elastic Search 200</v>
      </c>
    </row>
    <row r="17">
      <c r="A17" s="52" t="str">
        <f>IFERROR(__xludf.DUMMYFUNCTION("""COMPUTED_VALUE"""),"Elastic Search 2566")</f>
        <v>Elastic Search 2566</v>
      </c>
      <c r="B17" s="52">
        <f>IFERROR(__xludf.DUMMYFUNCTION("""COMPUTED_VALUE"""),2566.0)</f>
        <v>2566</v>
      </c>
      <c r="C17" s="52"/>
      <c r="D17" s="52"/>
      <c r="E17" s="52"/>
      <c r="F17" s="52" t="str">
        <f>IFERROR(__xludf.DUMMYFUNCTION("""COMPUTED_VALUE"""),"aa68667d636d61b0cc67810e1e2489d1246e9af6")</f>
        <v>aa68667d636d61b0cc67810e1e2489d1246e9af6</v>
      </c>
      <c r="G17" s="152" t="str">
        <f>IFERROR(__xludf.DUMMYFUNCTION("""COMPUTED_VALUE"""),"https://github.com/elastic/elasticsearch/commit/aa68667d636d61b0cc67810e1e2489d1246e9af6")</f>
        <v>https://github.com/elastic/elasticsearch/commit/aa68667d636d61b0cc67810e1e2489d1246e9af6</v>
      </c>
      <c r="H17" s="52"/>
      <c r="I17" s="52"/>
      <c r="J17" s="52"/>
      <c r="K17" s="52"/>
      <c r="L17" s="52"/>
      <c r="M17" s="52"/>
      <c r="N17" s="52"/>
      <c r="O17" s="52"/>
      <c r="P17" s="52"/>
      <c r="Q17" s="52"/>
      <c r="R17" s="52"/>
      <c r="S17" s="52"/>
      <c r="T17" s="52"/>
      <c r="U17" s="52"/>
      <c r="V17" s="52"/>
      <c r="W17" s="43"/>
      <c r="X17" s="43" t="str">
        <f>IFERROR(__xludf.DUMMYFUNCTION("""COMPUTED_VALUE"""),"Not identified. However, it can be googled with the bug ID")</f>
        <v>Not identified. However, it can be googled with the bug ID</v>
      </c>
      <c r="Y17" s="43"/>
      <c r="Z17" s="43"/>
      <c r="AA17" s="43"/>
      <c r="AB17" s="43"/>
      <c r="AC17" s="43" t="str">
        <f t="shared" si="1"/>
        <v>Elastic Search 2566</v>
      </c>
    </row>
    <row r="18">
      <c r="A18" s="52" t="str">
        <f>IFERROR(__xludf.DUMMYFUNCTION("""COMPUTED_VALUE"""),"Elastic Search 2608")</f>
        <v>Elastic Search 2608</v>
      </c>
      <c r="B18" s="52">
        <f>IFERROR(__xludf.DUMMYFUNCTION("""COMPUTED_VALUE"""),2608.0)</f>
        <v>2608</v>
      </c>
      <c r="C18" s="52"/>
      <c r="D18" s="52"/>
      <c r="E18" s="52"/>
      <c r="F18" s="52" t="str">
        <f>IFERROR(__xludf.DUMMYFUNCTION("""COMPUTED_VALUE"""),"8285ffe22175bf4592e79bb881a6451741ccdac8")</f>
        <v>8285ffe22175bf4592e79bb881a6451741ccdac8</v>
      </c>
      <c r="G18" s="152" t="str">
        <f>IFERROR(__xludf.DUMMYFUNCTION("""COMPUTED_VALUE"""),"https://github.com/elastic/elasticsearch/commit/8285ffe22175bf4592e79bb881a6451741ccdac8")</f>
        <v>https://github.com/elastic/elasticsearch/commit/8285ffe22175bf4592e79bb881a6451741ccdac8</v>
      </c>
      <c r="H18" s="52"/>
      <c r="I18" s="52"/>
      <c r="J18" s="52"/>
      <c r="K18" s="52"/>
      <c r="L18" s="52"/>
      <c r="M18" s="52"/>
      <c r="N18" s="52"/>
      <c r="O18" s="52"/>
      <c r="P18" s="52"/>
      <c r="Q18" s="52"/>
      <c r="R18" s="52"/>
      <c r="S18" s="52"/>
      <c r="T18" s="52"/>
      <c r="U18" s="52"/>
      <c r="V18" s="52"/>
      <c r="W18" s="43"/>
      <c r="X18" s="43" t="str">
        <f>IFERROR(__xludf.DUMMYFUNCTION("""COMPUTED_VALUE"""),"Not identified. However, it can be googled with the bug ID")</f>
        <v>Not identified. However, it can be googled with the bug ID</v>
      </c>
      <c r="Y18" s="43"/>
      <c r="Z18" s="43"/>
      <c r="AA18" s="43"/>
      <c r="AB18" s="43"/>
      <c r="AC18" s="43" t="str">
        <f t="shared" si="1"/>
        <v>Elastic Search 2608</v>
      </c>
    </row>
    <row r="19">
      <c r="A19" s="52" t="str">
        <f>IFERROR(__xludf.DUMMYFUNCTION("""COMPUTED_VALUE"""),"Elastic Search 2991")</f>
        <v>Elastic Search 2991</v>
      </c>
      <c r="B19" s="52">
        <f>IFERROR(__xludf.DUMMYFUNCTION("""COMPUTED_VALUE"""),2991.0)</f>
        <v>2991</v>
      </c>
      <c r="C19" s="52"/>
      <c r="D19" s="52"/>
      <c r="E19" s="52"/>
      <c r="F19" s="52" t="str">
        <f>IFERROR(__xludf.DUMMYFUNCTION("""COMPUTED_VALUE"""),"bc20f068c9c62b69260f3b24adaaf9fb3ff3d371")</f>
        <v>bc20f068c9c62b69260f3b24adaaf9fb3ff3d371</v>
      </c>
      <c r="G19" s="152" t="str">
        <f>IFERROR(__xludf.DUMMYFUNCTION("""COMPUTED_VALUE"""),"https://github.com/elastic/elasticsearch/commit/bc20f068c9c62b69260f3b24adaaf9fb3ff3d371")</f>
        <v>https://github.com/elastic/elasticsearch/commit/bc20f068c9c62b69260f3b24adaaf9fb3ff3d371</v>
      </c>
      <c r="H19" s="52"/>
      <c r="I19" s="52"/>
      <c r="J19" s="52">
        <f>IFERROR(__xludf.DUMMYFUNCTION("""COMPUTED_VALUE"""),2604.0)</f>
        <v>2604</v>
      </c>
      <c r="K19" s="152" t="str">
        <f>IFERROR(__xludf.DUMMYFUNCTION("""COMPUTED_VALUE"""),"https://github.com/elastic/elasticsearch/issue/2604")</f>
        <v>https://github.com/elastic/elasticsearch/issue/2604</v>
      </c>
      <c r="L19" s="52"/>
      <c r="M19" s="52"/>
      <c r="N19" s="52"/>
      <c r="O19" s="52"/>
      <c r="P19" s="52">
        <f>IFERROR(__xludf.DUMMYFUNCTION("""COMPUTED_VALUE"""),2604.0)</f>
        <v>2604</v>
      </c>
      <c r="Q19" s="52"/>
      <c r="R19" s="52"/>
      <c r="S19" s="52"/>
      <c r="T19" s="52"/>
      <c r="U19" s="52"/>
      <c r="V19" s="52"/>
      <c r="W19" s="43"/>
      <c r="X19" s="43" t="str">
        <f>IFERROR(__xludf.DUMMYFUNCTION("""COMPUTED_VALUE"""),"Not identified. However, it can be googled with the bug ID")</f>
        <v>Not identified. However, it can be googled with the bug ID</v>
      </c>
      <c r="Y19" s="43"/>
      <c r="Z19" s="43"/>
      <c r="AA19" s="43"/>
      <c r="AB19" s="43"/>
      <c r="AC19" s="43" t="str">
        <f t="shared" si="1"/>
        <v>Elastic Search 2991</v>
      </c>
    </row>
    <row r="20">
      <c r="A20" s="52" t="str">
        <f>IFERROR(__xludf.DUMMYFUNCTION("""COMPUTED_VALUE"""),"Elastic Search 3242")</f>
        <v>Elastic Search 3242</v>
      </c>
      <c r="B20" s="52">
        <f>IFERROR(__xludf.DUMMYFUNCTION("""COMPUTED_VALUE"""),3242.0)</f>
        <v>3242</v>
      </c>
      <c r="C20" s="52"/>
      <c r="D20" s="52"/>
      <c r="E20" s="52"/>
      <c r="F20" s="52" t="str">
        <f>IFERROR(__xludf.DUMMYFUNCTION("""COMPUTED_VALUE"""),"4f5e62e9882b36271280ad4e47e61aba2d7669f1")</f>
        <v>4f5e62e9882b36271280ad4e47e61aba2d7669f1</v>
      </c>
      <c r="G20" s="152" t="str">
        <f>IFERROR(__xludf.DUMMYFUNCTION("""COMPUTED_VALUE"""),"https://github.com/elastic/elasticsearch/commit/4f5e62e9882b36271280ad4e47e61aba2d7669f1")</f>
        <v>https://github.com/elastic/elasticsearch/commit/4f5e62e9882b36271280ad4e47e61aba2d7669f1</v>
      </c>
      <c r="H20" s="52">
        <f>IFERROR(__xludf.DUMMYFUNCTION("""COMPUTED_VALUE"""),1065.0)</f>
        <v>1065</v>
      </c>
      <c r="I20" s="152" t="str">
        <f>IFERROR(__xludf.DUMMYFUNCTION("""COMPUTED_VALUE"""),"https://github.com/elastic/elasticsearch/pull/1065")</f>
        <v>https://github.com/elastic/elasticsearch/pull/1065</v>
      </c>
      <c r="J20" s="52"/>
      <c r="K20" s="52"/>
      <c r="L20" s="52"/>
      <c r="M20" s="52"/>
      <c r="N20" s="52"/>
      <c r="O20" s="52"/>
      <c r="P20" s="52"/>
      <c r="Q20" s="52"/>
      <c r="R20" s="52"/>
      <c r="S20" s="52"/>
      <c r="T20" s="52"/>
      <c r="U20" s="52"/>
      <c r="V20" s="52"/>
      <c r="W20" s="43"/>
      <c r="X20" s="43" t="str">
        <f>IFERROR(__xludf.DUMMYFUNCTION("""COMPUTED_VALUE"""),"Not identified. However, it can be googled with the bug ID")</f>
        <v>Not identified. However, it can be googled with the bug ID</v>
      </c>
      <c r="Y20" s="43"/>
      <c r="Z20" s="43"/>
      <c r="AA20" s="43"/>
      <c r="AB20" s="43"/>
      <c r="AC20" s="43" t="str">
        <f t="shared" si="1"/>
        <v>Elastic Search 3242</v>
      </c>
    </row>
    <row r="21">
      <c r="A21" s="52" t="str">
        <f>IFERROR(__xludf.DUMMYFUNCTION("""COMPUTED_VALUE"""),"Elastic Search 3267")</f>
        <v>Elastic Search 3267</v>
      </c>
      <c r="B21" s="52">
        <f>IFERROR(__xludf.DUMMYFUNCTION("""COMPUTED_VALUE"""),3267.0)</f>
        <v>3267</v>
      </c>
      <c r="C21" s="52"/>
      <c r="D21" s="52"/>
      <c r="E21" s="52"/>
      <c r="F21" s="52" t="str">
        <f>IFERROR(__xludf.DUMMYFUNCTION("""COMPUTED_VALUE"""),"567cf6b5c3bbc4486b0472c8abe588ab6215637c")</f>
        <v>567cf6b5c3bbc4486b0472c8abe588ab6215637c</v>
      </c>
      <c r="G21" s="152" t="str">
        <f>IFERROR(__xludf.DUMMYFUNCTION("""COMPUTED_VALUE"""),"https://github.com/elastic/elasticsearch/commit/567cf6b5c3bbc4486b0472c8abe588ab6215637c")</f>
        <v>https://github.com/elastic/elasticsearch/commit/567cf6b5c3bbc4486b0472c8abe588ab6215637c</v>
      </c>
      <c r="H21" s="52"/>
      <c r="I21" s="52"/>
      <c r="J21" s="52"/>
      <c r="K21" s="52"/>
      <c r="L21" s="52"/>
      <c r="M21" s="52"/>
      <c r="N21" s="52"/>
      <c r="O21" s="52"/>
      <c r="P21" s="52"/>
      <c r="Q21" s="52"/>
      <c r="R21" s="52"/>
      <c r="S21" s="52"/>
      <c r="T21" s="52"/>
      <c r="U21" s="52"/>
      <c r="V21" s="52"/>
      <c r="W21" s="43"/>
      <c r="X21" s="43" t="str">
        <f>IFERROR(__xludf.DUMMYFUNCTION("""COMPUTED_VALUE"""),"Not identified. However, it can be googled with the bug ID")</f>
        <v>Not identified. However, it can be googled with the bug ID</v>
      </c>
      <c r="Y21" s="43"/>
      <c r="Z21" s="43"/>
      <c r="AA21" s="43"/>
      <c r="AB21" s="43"/>
      <c r="AC21" s="43" t="str">
        <f t="shared" si="1"/>
        <v>Elastic Search 3267</v>
      </c>
    </row>
    <row r="22">
      <c r="A22" s="52" t="str">
        <f>IFERROR(__xludf.DUMMYFUNCTION("""COMPUTED_VALUE"""),"Elastic Search 3560")</f>
        <v>Elastic Search 3560</v>
      </c>
      <c r="B22" s="52">
        <f>IFERROR(__xludf.DUMMYFUNCTION("""COMPUTED_VALUE"""),3560.0)</f>
        <v>3560</v>
      </c>
      <c r="C22" s="52"/>
      <c r="D22" s="52"/>
      <c r="E22" s="52"/>
      <c r="F22" s="52" t="str">
        <f>IFERROR(__xludf.DUMMYFUNCTION("""COMPUTED_VALUE"""),"a235a5594338789a448742fce19549206dd5b30c")</f>
        <v>a235a5594338789a448742fce19549206dd5b30c</v>
      </c>
      <c r="G22" s="152" t="str">
        <f>IFERROR(__xludf.DUMMYFUNCTION("""COMPUTED_VALUE"""),"https://github.com/elastic/elasticsearch/commit/a235a5594338789a448742fce19549206dd5b30c")</f>
        <v>https://github.com/elastic/elasticsearch/commit/a235a5594338789a448742fce19549206dd5b30c</v>
      </c>
      <c r="H22" s="52"/>
      <c r="I22" s="52"/>
      <c r="J22" s="52">
        <f>IFERROR(__xludf.DUMMYFUNCTION("""COMPUTED_VALUE"""),3410.0)</f>
        <v>3410</v>
      </c>
      <c r="K22" s="152" t="str">
        <f>IFERROR(__xludf.DUMMYFUNCTION("""COMPUTED_VALUE"""),"https://github.com/elastic/elasticsearch/issue/3410")</f>
        <v>https://github.com/elastic/elasticsearch/issue/3410</v>
      </c>
      <c r="L22" s="52"/>
      <c r="M22" s="52"/>
      <c r="N22" s="52"/>
      <c r="O22" s="52"/>
      <c r="P22" s="52">
        <f>IFERROR(__xludf.DUMMYFUNCTION("""COMPUTED_VALUE"""),3410.0)</f>
        <v>3410</v>
      </c>
      <c r="Q22" s="52"/>
      <c r="R22" s="52"/>
      <c r="S22" s="52"/>
      <c r="T22" s="52"/>
      <c r="U22" s="52"/>
      <c r="V22" s="52"/>
      <c r="W22" s="43"/>
      <c r="X22" s="43" t="str">
        <f>IFERROR(__xludf.DUMMYFUNCTION("""COMPUTED_VALUE"""),"Not identified. However, it can be googled with the bug ID")</f>
        <v>Not identified. However, it can be googled with the bug ID</v>
      </c>
      <c r="Y22" s="43"/>
      <c r="Z22" s="43"/>
      <c r="AA22" s="43"/>
      <c r="AB22" s="43"/>
      <c r="AC22" s="43" t="str">
        <f t="shared" si="1"/>
        <v>Elastic Search 3560</v>
      </c>
    </row>
    <row r="23">
      <c r="A23" s="52" t="str">
        <f>IFERROR(__xludf.DUMMYFUNCTION("""COMPUTED_VALUE"""),"Elastic Search 4581")</f>
        <v>Elastic Search 4581</v>
      </c>
      <c r="B23" s="52">
        <f>IFERROR(__xludf.DUMMYFUNCTION("""COMPUTED_VALUE"""),4581.0)</f>
        <v>4581</v>
      </c>
      <c r="C23" s="52"/>
      <c r="D23" s="52"/>
      <c r="E23" s="52"/>
      <c r="F23" s="52" t="str">
        <f>IFERROR(__xludf.DUMMYFUNCTION("""COMPUTED_VALUE"""),"22722840d4331a83fcfdd8edea22d372feba16ab")</f>
        <v>22722840d4331a83fcfdd8edea22d372feba16ab</v>
      </c>
      <c r="G23" s="152" t="str">
        <f>IFERROR(__xludf.DUMMYFUNCTION("""COMPUTED_VALUE"""),"https://github.com/elastic/elasticsearch/commit/22722840d4331a83fcfdd8edea22d372feba16ab")</f>
        <v>https://github.com/elastic/elasticsearch/commit/22722840d4331a83fcfdd8edea22d372feba16ab</v>
      </c>
      <c r="H23" s="52"/>
      <c r="I23" s="52"/>
      <c r="J23" s="52"/>
      <c r="K23" s="52"/>
      <c r="L23" s="52"/>
      <c r="M23" s="52"/>
      <c r="N23" s="52"/>
      <c r="O23" s="52"/>
      <c r="P23" s="52"/>
      <c r="Q23" s="52"/>
      <c r="R23" s="52"/>
      <c r="S23" s="52"/>
      <c r="T23" s="52"/>
      <c r="U23" s="52"/>
      <c r="V23" s="52"/>
      <c r="W23" s="43"/>
      <c r="X23" s="43" t="str">
        <f>IFERROR(__xludf.DUMMYFUNCTION("""COMPUTED_VALUE"""),"Not identified. However, it can be googled with the bug ID")</f>
        <v>Not identified. However, it can be googled with the bug ID</v>
      </c>
      <c r="Y23" s="43"/>
      <c r="Z23" s="43"/>
      <c r="AA23" s="43"/>
      <c r="AB23" s="43"/>
      <c r="AC23" s="43" t="str">
        <f t="shared" si="1"/>
        <v>Elastic Search 4581</v>
      </c>
    </row>
    <row r="24">
      <c r="A24" s="52" t="str">
        <f>IFERROR(__xludf.DUMMYFUNCTION("""COMPUTED_VALUE"""),"Elastic Search 4814")</f>
        <v>Elastic Search 4814</v>
      </c>
      <c r="B24" s="52">
        <f>IFERROR(__xludf.DUMMYFUNCTION("""COMPUTED_VALUE"""),4814.0)</f>
        <v>4814</v>
      </c>
      <c r="C24" s="52"/>
      <c r="D24" s="52"/>
      <c r="E24" s="52"/>
      <c r="F24" s="52" t="str">
        <f>IFERROR(__xludf.DUMMYFUNCTION("""COMPUTED_VALUE"""),"3f1472505723866794d875c00bde575d988e120d")</f>
        <v>3f1472505723866794d875c00bde575d988e120d</v>
      </c>
      <c r="G24" s="152" t="str">
        <f>IFERROR(__xludf.DUMMYFUNCTION("""COMPUTED_VALUE"""),"https://github.com/elastic/elasticsearch/commit/3f1472505723866794d875c00bde575d988e120d")</f>
        <v>https://github.com/elastic/elasticsearch/commit/3f1472505723866794d875c00bde575d988e120d</v>
      </c>
      <c r="H24" s="52"/>
      <c r="I24" s="52"/>
      <c r="J24" s="52">
        <f>IFERROR(__xludf.DUMMYFUNCTION("""COMPUTED_VALUE"""),4782.0)</f>
        <v>4782</v>
      </c>
      <c r="K24" s="152" t="str">
        <f>IFERROR(__xludf.DUMMYFUNCTION("""COMPUTED_VALUE"""),"https://github.com/elastic/elasticsearch/issue/4782")</f>
        <v>https://github.com/elastic/elasticsearch/issue/4782</v>
      </c>
      <c r="L24" s="52"/>
      <c r="M24" s="52"/>
      <c r="N24" s="52"/>
      <c r="O24" s="52"/>
      <c r="P24" s="52">
        <f>IFERROR(__xludf.DUMMYFUNCTION("""COMPUTED_VALUE"""),4782.0)</f>
        <v>4782</v>
      </c>
      <c r="Q24" s="52"/>
      <c r="R24" s="52"/>
      <c r="S24" s="52"/>
      <c r="T24" s="52"/>
      <c r="U24" s="52"/>
      <c r="V24" s="52"/>
      <c r="W24" s="43"/>
      <c r="X24" s="43" t="str">
        <f>IFERROR(__xludf.DUMMYFUNCTION("""COMPUTED_VALUE"""),"Not identified. However, it can be googled with the bug ID")</f>
        <v>Not identified. However, it can be googled with the bug ID</v>
      </c>
      <c r="Y24" s="43"/>
      <c r="Z24" s="43"/>
      <c r="AA24" s="43"/>
      <c r="AB24" s="43"/>
      <c r="AC24" s="43" t="str">
        <f t="shared" si="1"/>
        <v>Elastic Search 4814</v>
      </c>
    </row>
    <row r="25">
      <c r="A25" s="52" t="str">
        <f>IFERROR(__xludf.DUMMYFUNCTION("""COMPUTED_VALUE"""),"Elastic Search 5021")</f>
        <v>Elastic Search 5021</v>
      </c>
      <c r="B25" s="52">
        <f>IFERROR(__xludf.DUMMYFUNCTION("""COMPUTED_VALUE"""),5021.0)</f>
        <v>5021</v>
      </c>
      <c r="C25" s="52"/>
      <c r="D25" s="52"/>
      <c r="E25" s="52"/>
      <c r="F25" s="52" t="str">
        <f>IFERROR(__xludf.DUMMYFUNCTION("""COMPUTED_VALUE"""),"07443089ce761cdfcf9206ad179381db7249d01a")</f>
        <v>07443089ce761cdfcf9206ad179381db7249d01a</v>
      </c>
      <c r="G25" s="152" t="str">
        <f>IFERROR(__xludf.DUMMYFUNCTION("""COMPUTED_VALUE"""),"https://github.com/elastic/elasticsearch/commit/07443089ce761cdfcf9206ad179381db7249d01a")</f>
        <v>https://github.com/elastic/elasticsearch/commit/07443089ce761cdfcf9206ad179381db7249d01a</v>
      </c>
      <c r="H25" s="52"/>
      <c r="I25" s="52"/>
      <c r="J25" s="52"/>
      <c r="K25" s="52"/>
      <c r="L25" s="52"/>
      <c r="M25" s="52"/>
      <c r="N25" s="52"/>
      <c r="O25" s="52"/>
      <c r="P25" s="52"/>
      <c r="Q25" s="52"/>
      <c r="R25" s="52"/>
      <c r="S25" s="52"/>
      <c r="T25" s="52"/>
      <c r="U25" s="52"/>
      <c r="V25" s="52"/>
      <c r="W25" s="43"/>
      <c r="X25" s="43" t="str">
        <f>IFERROR(__xludf.DUMMYFUNCTION("""COMPUTED_VALUE"""),"Not identified. However, it can be googled with the bug ID")</f>
        <v>Not identified. However, it can be googled with the bug ID</v>
      </c>
      <c r="Y25" s="43"/>
      <c r="Z25" s="43"/>
      <c r="AA25" s="43"/>
      <c r="AB25" s="43"/>
      <c r="AC25" s="43" t="str">
        <f t="shared" si="1"/>
        <v>Elastic Search 5021</v>
      </c>
    </row>
    <row r="26">
      <c r="A26" s="52" t="str">
        <f>IFERROR(__xludf.DUMMYFUNCTION("""COMPUTED_VALUE"""),"Elastic Search 5048")</f>
        <v>Elastic Search 5048</v>
      </c>
      <c r="B26" s="52">
        <f>IFERROR(__xludf.DUMMYFUNCTION("""COMPUTED_VALUE"""),5048.0)</f>
        <v>5048</v>
      </c>
      <c r="C26" s="52"/>
      <c r="D26" s="52"/>
      <c r="E26" s="52"/>
      <c r="F26" s="52" t="str">
        <f>IFERROR(__xludf.DUMMYFUNCTION("""COMPUTED_VALUE"""),"e7e1667a26de5472e3419c586682b92c37c6e7d3")</f>
        <v>e7e1667a26de5472e3419c586682b92c37c6e7d3</v>
      </c>
      <c r="G26" s="152" t="str">
        <f>IFERROR(__xludf.DUMMYFUNCTION("""COMPUTED_VALUE"""),"https://github.com/elastic/elasticsearch/commit/e7e1667a26de5472e3419c586682b92c37c6e7d3")</f>
        <v>https://github.com/elastic/elasticsearch/commit/e7e1667a26de5472e3419c586682b92c37c6e7d3</v>
      </c>
      <c r="H26" s="52"/>
      <c r="I26" s="52"/>
      <c r="J26" s="52">
        <f>IFERROR(__xludf.DUMMYFUNCTION("""COMPUTED_VALUE"""),4508.0)</f>
        <v>4508</v>
      </c>
      <c r="K26" s="152" t="str">
        <f>IFERROR(__xludf.DUMMYFUNCTION("""COMPUTED_VALUE"""),"https://github.com/elastic/elasticsearch/issue/4508")</f>
        <v>https://github.com/elastic/elasticsearch/issue/4508</v>
      </c>
      <c r="L26" s="52"/>
      <c r="M26" s="52"/>
      <c r="N26" s="52"/>
      <c r="O26" s="52"/>
      <c r="P26" s="52">
        <f>IFERROR(__xludf.DUMMYFUNCTION("""COMPUTED_VALUE"""),4508.0)</f>
        <v>4508</v>
      </c>
      <c r="Q26" s="52"/>
      <c r="R26" s="52"/>
      <c r="S26" s="52"/>
      <c r="T26" s="52"/>
      <c r="U26" s="52"/>
      <c r="V26" s="52"/>
      <c r="W26" s="43"/>
      <c r="X26" s="43" t="str">
        <f>IFERROR(__xludf.DUMMYFUNCTION("""COMPUTED_VALUE"""),"Not identified. However, it can be googled with the bug ID")</f>
        <v>Not identified. However, it can be googled with the bug ID</v>
      </c>
      <c r="Y26" s="43"/>
      <c r="Z26" s="43"/>
      <c r="AA26" s="43"/>
      <c r="AB26" s="43"/>
      <c r="AC26" s="43" t="str">
        <f t="shared" si="1"/>
        <v>Elastic Search 5048</v>
      </c>
    </row>
    <row r="27">
      <c r="A27" s="52" t="str">
        <f>IFERROR(__xludf.DUMMYFUNCTION("""COMPUTED_VALUE"""),"Elastic Search 5165")</f>
        <v>Elastic Search 5165</v>
      </c>
      <c r="B27" s="52">
        <f>IFERROR(__xludf.DUMMYFUNCTION("""COMPUTED_VALUE"""),5165.0)</f>
        <v>5165</v>
      </c>
      <c r="C27" s="52"/>
      <c r="D27" s="52"/>
      <c r="E27" s="52"/>
      <c r="F27" s="52" t="str">
        <f>IFERROR(__xludf.DUMMYFUNCTION("""COMPUTED_VALUE"""),"459d59a04ad4eb1671bac50a6faf3a7ad372d0e4")</f>
        <v>459d59a04ad4eb1671bac50a6faf3a7ad372d0e4</v>
      </c>
      <c r="G27" s="152" t="str">
        <f>IFERROR(__xludf.DUMMYFUNCTION("""COMPUTED_VALUE"""),"https://github.com/elastic/elasticsearch/commit/459d59a04ad4eb1671bac50a6faf3a7ad372d0e4")</f>
        <v>https://github.com/elastic/elasticsearch/commit/459d59a04ad4eb1671bac50a6faf3a7ad372d0e4</v>
      </c>
      <c r="H27" s="52"/>
      <c r="I27" s="52"/>
      <c r="J27" s="52"/>
      <c r="K27" s="52"/>
      <c r="L27" s="52"/>
      <c r="M27" s="52"/>
      <c r="N27" s="52"/>
      <c r="O27" s="52"/>
      <c r="P27" s="52"/>
      <c r="Q27" s="52"/>
      <c r="R27" s="52"/>
      <c r="S27" s="52"/>
      <c r="T27" s="52"/>
      <c r="U27" s="52"/>
      <c r="V27" s="52"/>
      <c r="W27" s="43"/>
      <c r="X27" s="43" t="str">
        <f>IFERROR(__xludf.DUMMYFUNCTION("""COMPUTED_VALUE"""),"Not identified. However, it can be googled with the bug ID")</f>
        <v>Not identified. However, it can be googled with the bug ID</v>
      </c>
      <c r="Y27" s="43"/>
      <c r="Z27" s="43"/>
      <c r="AA27" s="43"/>
      <c r="AB27" s="43"/>
      <c r="AC27" s="43" t="str">
        <f t="shared" si="1"/>
        <v>Elastic Search 5165</v>
      </c>
    </row>
    <row r="28">
      <c r="A28" s="52" t="str">
        <f>IFERROR(__xludf.DUMMYFUNCTION("""COMPUTED_VALUE"""),"Elastic Search 5948")</f>
        <v>Elastic Search 5948</v>
      </c>
      <c r="B28" s="52">
        <f>IFERROR(__xludf.DUMMYFUNCTION("""COMPUTED_VALUE"""),5948.0)</f>
        <v>5948</v>
      </c>
      <c r="C28" s="52"/>
      <c r="D28" s="52"/>
      <c r="E28" s="52"/>
      <c r="F28" s="52" t="str">
        <f>IFERROR(__xludf.DUMMYFUNCTION("""COMPUTED_VALUE"""),"8561f897a984807958a543e378ab01349935a739")</f>
        <v>8561f897a984807958a543e378ab01349935a739</v>
      </c>
      <c r="G28" s="152" t="str">
        <f>IFERROR(__xludf.DUMMYFUNCTION("""COMPUTED_VALUE"""),"https://github.com/elastic/elasticsearch/commit/8561f897a984807958a543e378ab01349935a739")</f>
        <v>https://github.com/elastic/elasticsearch/commit/8561f897a984807958a543e378ab01349935a739</v>
      </c>
      <c r="H28" s="52"/>
      <c r="I28" s="52"/>
      <c r="J28" s="52"/>
      <c r="K28" s="52"/>
      <c r="L28" s="52"/>
      <c r="M28" s="52"/>
      <c r="N28" s="52"/>
      <c r="O28" s="52"/>
      <c r="P28" s="52"/>
      <c r="Q28" s="52"/>
      <c r="R28" s="52"/>
      <c r="S28" s="52"/>
      <c r="T28" s="52"/>
      <c r="U28" s="52"/>
      <c r="V28" s="52"/>
      <c r="W28" s="43"/>
      <c r="X28" s="43" t="str">
        <f>IFERROR(__xludf.DUMMYFUNCTION("""COMPUTED_VALUE"""),"Not identified. However, it can be googled with the bug ID")</f>
        <v>Not identified. However, it can be googled with the bug ID</v>
      </c>
      <c r="Y28" s="43"/>
      <c r="Z28" s="43"/>
      <c r="AA28" s="43"/>
      <c r="AB28" s="43"/>
      <c r="AC28" s="43" t="str">
        <f t="shared" si="1"/>
        <v>Elastic Search 5948</v>
      </c>
    </row>
    <row r="29">
      <c r="A29" s="52" t="str">
        <f>IFERROR(__xludf.DUMMYFUNCTION("""COMPUTED_VALUE"""),"Elastic Search 7623")</f>
        <v>Elastic Search 7623</v>
      </c>
      <c r="B29" s="52">
        <f>IFERROR(__xludf.DUMMYFUNCTION("""COMPUTED_VALUE"""),7623.0)</f>
        <v>7623</v>
      </c>
      <c r="C29" s="52"/>
      <c r="D29" s="52"/>
      <c r="E29" s="52"/>
      <c r="F29" s="52" t="str">
        <f>IFERROR(__xludf.DUMMYFUNCTION("""COMPUTED_VALUE"""),"ef85412f98e97ff5471013eab59fd8cb3046c17a")</f>
        <v>ef85412f98e97ff5471013eab59fd8cb3046c17a</v>
      </c>
      <c r="G29" s="152" t="str">
        <f>IFERROR(__xludf.DUMMYFUNCTION("""COMPUTED_VALUE"""),"https://github.com/elastic/elasticsearch/commit/ef85412f98e97ff5471013eab59fd8cb3046c17a")</f>
        <v>https://github.com/elastic/elasticsearch/commit/ef85412f98e97ff5471013eab59fd8cb3046c17a</v>
      </c>
      <c r="H29" s="52"/>
      <c r="I29" s="52"/>
      <c r="J29" s="52"/>
      <c r="K29" s="52"/>
      <c r="L29" s="52"/>
      <c r="M29" s="52"/>
      <c r="N29" s="52"/>
      <c r="O29" s="52"/>
      <c r="P29" s="52"/>
      <c r="Q29" s="52"/>
      <c r="R29" s="52"/>
      <c r="S29" s="52"/>
      <c r="T29" s="52"/>
      <c r="U29" s="52"/>
      <c r="V29" s="52"/>
      <c r="W29" s="43"/>
      <c r="X29" s="43" t="str">
        <f>IFERROR(__xludf.DUMMYFUNCTION("""COMPUTED_VALUE"""),"Not identified. However, it can be googled with the bug ID")</f>
        <v>Not identified. However, it can be googled with the bug ID</v>
      </c>
      <c r="Y29" s="43"/>
      <c r="Z29" s="43"/>
      <c r="AA29" s="43"/>
      <c r="AB29" s="43"/>
      <c r="AC29" s="43" t="str">
        <f t="shared" si="1"/>
        <v>Elastic Search 7623</v>
      </c>
    </row>
    <row r="30">
      <c r="A30" s="52" t="str">
        <f>IFERROR(__xludf.DUMMYFUNCTION("""COMPUTED_VALUE"""),"Elastic Search 764")</f>
        <v>Elastic Search 764</v>
      </c>
      <c r="B30" s="52">
        <f>IFERROR(__xludf.DUMMYFUNCTION("""COMPUTED_VALUE"""),764.0)</f>
        <v>764</v>
      </c>
      <c r="C30" s="52"/>
      <c r="D30" s="52"/>
      <c r="E30" s="52"/>
      <c r="F30" s="52" t="str">
        <f>IFERROR(__xludf.DUMMYFUNCTION("""COMPUTED_VALUE"""),"7180636df6dfe6b18bf738ee2285549ea95a8cb9")</f>
        <v>7180636df6dfe6b18bf738ee2285549ea95a8cb9</v>
      </c>
      <c r="G30" s="152" t="str">
        <f>IFERROR(__xludf.DUMMYFUNCTION("""COMPUTED_VALUE"""),"https://github.com/elastic/elasticsearch/commit/7180636df6dfe6b18bf738ee2285549ea95a8cb9")</f>
        <v>https://github.com/elastic/elasticsearch/commit/7180636df6dfe6b18bf738ee2285549ea95a8cb9</v>
      </c>
      <c r="H30" s="52"/>
      <c r="I30" s="52"/>
      <c r="J30" s="52"/>
      <c r="K30" s="52"/>
      <c r="L30" s="52"/>
      <c r="M30" s="52"/>
      <c r="N30" s="52"/>
      <c r="O30" s="52"/>
      <c r="P30" s="52"/>
      <c r="Q30" s="52"/>
      <c r="R30" s="52"/>
      <c r="S30" s="52"/>
      <c r="T30" s="52"/>
      <c r="U30" s="52"/>
      <c r="V30" s="52"/>
      <c r="W30" s="43"/>
      <c r="X30" s="43" t="str">
        <f>IFERROR(__xludf.DUMMYFUNCTION("""COMPUTED_VALUE"""),"Not identified. However, it can be googled with the bug ID")</f>
        <v>Not identified. However, it can be googled with the bug ID</v>
      </c>
      <c r="Y30" s="43"/>
      <c r="Z30" s="43"/>
      <c r="AA30" s="43"/>
      <c r="AB30" s="43"/>
      <c r="AC30" s="43" t="str">
        <f t="shared" si="1"/>
        <v>Elastic Search 764</v>
      </c>
    </row>
    <row r="31">
      <c r="A31" s="52" t="str">
        <f>IFERROR(__xludf.DUMMYFUNCTION("""COMPUTED_VALUE"""),"Elastic Search 7686")</f>
        <v>Elastic Search 7686</v>
      </c>
      <c r="B31" s="52">
        <f>IFERROR(__xludf.DUMMYFUNCTION("""COMPUTED_VALUE"""),7686.0)</f>
        <v>7686</v>
      </c>
      <c r="C31" s="52"/>
      <c r="D31" s="52"/>
      <c r="E31" s="52"/>
      <c r="F31" s="52" t="str">
        <f>IFERROR(__xludf.DUMMYFUNCTION("""COMPUTED_VALUE"""),"90a339ad5e4a61e750d0342be6326de46f45bedc")</f>
        <v>90a339ad5e4a61e750d0342be6326de46f45bedc</v>
      </c>
      <c r="G31" s="152" t="str">
        <f>IFERROR(__xludf.DUMMYFUNCTION("""COMPUTED_VALUE"""),"https://github.com/elastic/elasticsearch/commit/90a339ad5e4a61e750d0342be6326de46f45bedc")</f>
        <v>https://github.com/elastic/elasticsearch/commit/90a339ad5e4a61e750d0342be6326de46f45bedc</v>
      </c>
      <c r="H31" s="52"/>
      <c r="I31" s="52"/>
      <c r="J31" s="52">
        <f>IFERROR(__xludf.DUMMYFUNCTION("""COMPUTED_VALUE"""),831.0)</f>
        <v>831</v>
      </c>
      <c r="K31" s="152" t="str">
        <f>IFERROR(__xludf.DUMMYFUNCTION("""COMPUTED_VALUE"""),"https://github.com/elastic/elasticsearch/issue/831")</f>
        <v>https://github.com/elastic/elasticsearch/issue/831</v>
      </c>
      <c r="L31" s="52"/>
      <c r="M31" s="52"/>
      <c r="N31" s="52"/>
      <c r="O31" s="52"/>
      <c r="P31" s="52">
        <f>IFERROR(__xludf.DUMMYFUNCTION("""COMPUTED_VALUE"""),831.0)</f>
        <v>831</v>
      </c>
      <c r="Q31" s="52"/>
      <c r="R31" s="52"/>
      <c r="S31" s="52"/>
      <c r="T31" s="52"/>
      <c r="U31" s="52"/>
      <c r="V31" s="52"/>
      <c r="W31" s="43"/>
      <c r="X31" s="43" t="str">
        <f>IFERROR(__xludf.DUMMYFUNCTION("""COMPUTED_VALUE"""),"Not identified. However, it can be googled with the bug ID")</f>
        <v>Not identified. However, it can be googled with the bug ID</v>
      </c>
      <c r="Y31" s="43"/>
      <c r="Z31" s="43"/>
      <c r="AA31" s="43"/>
      <c r="AB31" s="43"/>
      <c r="AC31" s="43" t="str">
        <f t="shared" si="1"/>
        <v>Elastic Search 7686</v>
      </c>
    </row>
    <row r="32">
      <c r="A32" s="52" t="str">
        <f>IFERROR(__xludf.DUMMYFUNCTION("""COMPUTED_VALUE"""),"Elastic Search 8125")</f>
        <v>Elastic Search 8125</v>
      </c>
      <c r="B32" s="52">
        <f>IFERROR(__xludf.DUMMYFUNCTION("""COMPUTED_VALUE"""),8125.0)</f>
        <v>8125</v>
      </c>
      <c r="C32" s="52"/>
      <c r="D32" s="52"/>
      <c r="E32" s="52"/>
      <c r="F32" s="52" t="str">
        <f>IFERROR(__xludf.DUMMYFUNCTION("""COMPUTED_VALUE"""),"c55341bf515fec6d4135cee8a6e9a7a9764da17f")</f>
        <v>c55341bf515fec6d4135cee8a6e9a7a9764da17f</v>
      </c>
      <c r="G32" s="152" t="str">
        <f>IFERROR(__xludf.DUMMYFUNCTION("""COMPUTED_VALUE"""),"https://github.com/elastic/elasticsearch/commit/c55341bf515fec6d4135cee8a6e9a7a9764da17f")</f>
        <v>https://github.com/elastic/elasticsearch/commit/c55341bf515fec6d4135cee8a6e9a7a9764da17f</v>
      </c>
      <c r="H32" s="52"/>
      <c r="I32" s="52"/>
      <c r="J32" s="52"/>
      <c r="K32" s="52"/>
      <c r="L32" s="52"/>
      <c r="M32" s="52"/>
      <c r="N32" s="52"/>
      <c r="O32" s="52"/>
      <c r="P32" s="52"/>
      <c r="Q32" s="52"/>
      <c r="R32" s="52"/>
      <c r="S32" s="52"/>
      <c r="T32" s="52"/>
      <c r="U32" s="52"/>
      <c r="V32" s="52"/>
      <c r="W32" s="43"/>
      <c r="X32" s="43" t="str">
        <f>IFERROR(__xludf.DUMMYFUNCTION("""COMPUTED_VALUE"""),"Not identified. However, it can be googled with the bug ID")</f>
        <v>Not identified. However, it can be googled with the bug ID</v>
      </c>
      <c r="Y32" s="43"/>
      <c r="Z32" s="43"/>
      <c r="AA32" s="43"/>
      <c r="AB32" s="43"/>
      <c r="AC32" s="43" t="str">
        <f t="shared" si="1"/>
        <v>Elastic Search 8125</v>
      </c>
    </row>
    <row r="33">
      <c r="A33" s="52" t="str">
        <f>IFERROR(__xludf.DUMMYFUNCTION("""COMPUTED_VALUE"""),"Elastic Search 8438")</f>
        <v>Elastic Search 8438</v>
      </c>
      <c r="B33" s="52">
        <f>IFERROR(__xludf.DUMMYFUNCTION("""COMPUTED_VALUE"""),8438.0)</f>
        <v>8438</v>
      </c>
      <c r="C33" s="52"/>
      <c r="D33" s="52"/>
      <c r="E33" s="52"/>
      <c r="F33" s="52" t="str">
        <f>IFERROR(__xludf.DUMMYFUNCTION("""COMPUTED_VALUE"""),"976448e3395609276446e2b8dbeddb046823aa2e")</f>
        <v>976448e3395609276446e2b8dbeddb046823aa2e</v>
      </c>
      <c r="G33" s="152" t="str">
        <f>IFERROR(__xludf.DUMMYFUNCTION("""COMPUTED_VALUE"""),"https://github.com/elastic/elasticsearch/commit/976448e3395609276446e2b8dbeddb046823aa2e")</f>
        <v>https://github.com/elastic/elasticsearch/commit/976448e3395609276446e2b8dbeddb046823aa2e</v>
      </c>
      <c r="H33" s="52"/>
      <c r="I33" s="52"/>
      <c r="J33" s="52">
        <f>IFERROR(__xludf.DUMMYFUNCTION("""COMPUTED_VALUE"""),21.0)</f>
        <v>21</v>
      </c>
      <c r="K33" s="152" t="str">
        <f>IFERROR(__xludf.DUMMYFUNCTION("""COMPUTED_VALUE"""),"https://github.com/elastic/elasticsearch/issue/21")</f>
        <v>https://github.com/elastic/elasticsearch/issue/21</v>
      </c>
      <c r="L33" s="52"/>
      <c r="M33" s="52"/>
      <c r="N33" s="52"/>
      <c r="O33" s="52"/>
      <c r="P33" s="52">
        <f>IFERROR(__xludf.DUMMYFUNCTION("""COMPUTED_VALUE"""),21.0)</f>
        <v>21</v>
      </c>
      <c r="Q33" s="52"/>
      <c r="R33" s="52"/>
      <c r="S33" s="52"/>
      <c r="T33" s="52"/>
      <c r="U33" s="52"/>
      <c r="V33" s="52"/>
      <c r="W33" s="43"/>
      <c r="X33" s="43" t="str">
        <f>IFERROR(__xludf.DUMMYFUNCTION("""COMPUTED_VALUE"""),"Not identified. However, it can be googled with the bug ID")</f>
        <v>Not identified. However, it can be googled with the bug ID</v>
      </c>
      <c r="Y33" s="43"/>
      <c r="Z33" s="43"/>
      <c r="AA33" s="43"/>
      <c r="AB33" s="43"/>
      <c r="AC33" s="43" t="str">
        <f t="shared" si="1"/>
        <v>Elastic Search 8438</v>
      </c>
    </row>
    <row r="34">
      <c r="A34" s="52" t="str">
        <f>IFERROR(__xludf.DUMMYFUNCTION("""COMPUTED_VALUE"""),"Elastic Search 8507")</f>
        <v>Elastic Search 8507</v>
      </c>
      <c r="B34" s="52">
        <f>IFERROR(__xludf.DUMMYFUNCTION("""COMPUTED_VALUE"""),8507.0)</f>
        <v>8507</v>
      </c>
      <c r="C34" s="52"/>
      <c r="D34" s="52"/>
      <c r="E34" s="52"/>
      <c r="F34" s="52" t="str">
        <f>IFERROR(__xludf.DUMMYFUNCTION("""COMPUTED_VALUE"""),"91c4824a0f768f2d3e3651958656384d0735a85e")</f>
        <v>91c4824a0f768f2d3e3651958656384d0735a85e</v>
      </c>
      <c r="G34" s="152" t="str">
        <f>IFERROR(__xludf.DUMMYFUNCTION("""COMPUTED_VALUE"""),"https://github.com/elastic/elasticsearch/commit/91c4824a0f768f2d3e3651958656384d0735a85e")</f>
        <v>https://github.com/elastic/elasticsearch/commit/91c4824a0f768f2d3e3651958656384d0735a85e</v>
      </c>
      <c r="H34" s="52">
        <f>IFERROR(__xludf.DUMMYFUNCTION("""COMPUTED_VALUE"""),7067.0)</f>
        <v>7067</v>
      </c>
      <c r="I34" s="152" t="str">
        <f>IFERROR(__xludf.DUMMYFUNCTION("""COMPUTED_VALUE"""),"https://github.com/elastic/elasticsearch/pull/7067")</f>
        <v>https://github.com/elastic/elasticsearch/pull/7067</v>
      </c>
      <c r="J34" s="52">
        <f>IFERROR(__xludf.DUMMYFUNCTION("""COMPUTED_VALUE"""),7067.0)</f>
        <v>7067</v>
      </c>
      <c r="K34" s="152" t="str">
        <f>IFERROR(__xludf.DUMMYFUNCTION("""COMPUTED_VALUE"""),"https://github.com/elastic/elasticsearch/pull/7067")</f>
        <v>https://github.com/elastic/elasticsearch/pull/7067</v>
      </c>
      <c r="L34" s="52"/>
      <c r="M34" s="52"/>
      <c r="N34" s="52"/>
      <c r="O34" s="52"/>
      <c r="P34" s="52">
        <f>IFERROR(__xludf.DUMMYFUNCTION("""COMPUTED_VALUE"""),7067.0)</f>
        <v>7067</v>
      </c>
      <c r="Q34" s="52"/>
      <c r="R34" s="52"/>
      <c r="S34" s="52"/>
      <c r="T34" s="52"/>
      <c r="U34" s="52"/>
      <c r="V34" s="52"/>
      <c r="W34" s="43"/>
      <c r="X34" s="43" t="str">
        <f>IFERROR(__xludf.DUMMYFUNCTION("""COMPUTED_VALUE"""),"Not identified. However, it can be googled with the bug ID")</f>
        <v>Not identified. However, it can be googled with the bug ID</v>
      </c>
      <c r="Y34" s="43"/>
      <c r="Z34" s="43"/>
      <c r="AA34" s="43"/>
      <c r="AB34" s="43"/>
      <c r="AC34" s="43" t="str">
        <f t="shared" si="1"/>
        <v>Elastic Search 8507</v>
      </c>
    </row>
    <row r="35">
      <c r="A35" s="52" t="str">
        <f>IFERROR(__xludf.DUMMYFUNCTION("""COMPUTED_VALUE"""),"Elastic Search 8526")</f>
        <v>Elastic Search 8526</v>
      </c>
      <c r="B35" s="52">
        <f>IFERROR(__xludf.DUMMYFUNCTION("""COMPUTED_VALUE"""),8526.0)</f>
        <v>8526</v>
      </c>
      <c r="C35" s="52"/>
      <c r="D35" s="52"/>
      <c r="E35" s="52"/>
      <c r="F35" s="52" t="str">
        <f>IFERROR(__xludf.DUMMYFUNCTION("""COMPUTED_VALUE"""),"fc51ebfce8a87252d868d1f160ae740972b8e48a")</f>
        <v>fc51ebfce8a87252d868d1f160ae740972b8e48a</v>
      </c>
      <c r="G35" s="152" t="str">
        <f>IFERROR(__xludf.DUMMYFUNCTION("""COMPUTED_VALUE"""),"https://github.com/elastic/elasticsearch/commit/fc51ebfce8a87252d868d1f160ae740972b8e48a")</f>
        <v>https://github.com/elastic/elasticsearch/commit/fc51ebfce8a87252d868d1f160ae740972b8e48a</v>
      </c>
      <c r="H35" s="52"/>
      <c r="I35" s="52"/>
      <c r="J35" s="52"/>
      <c r="K35" s="52"/>
      <c r="L35" s="52"/>
      <c r="M35" s="52"/>
      <c r="N35" s="52"/>
      <c r="O35" s="52"/>
      <c r="P35" s="52"/>
      <c r="Q35" s="52"/>
      <c r="R35" s="52"/>
      <c r="S35" s="52"/>
      <c r="T35" s="52"/>
      <c r="U35" s="52"/>
      <c r="V35" s="52"/>
      <c r="W35" s="43"/>
      <c r="X35" s="43" t="str">
        <f>IFERROR(__xludf.DUMMYFUNCTION("""COMPUTED_VALUE"""),"Not identified. However, it can be googled with the bug ID")</f>
        <v>Not identified. However, it can be googled with the bug ID</v>
      </c>
      <c r="Y35" s="43"/>
      <c r="Z35" s="43"/>
      <c r="AA35" s="43"/>
      <c r="AB35" s="43"/>
      <c r="AC35" s="43" t="str">
        <f t="shared" si="1"/>
        <v>Elastic Search 8526</v>
      </c>
    </row>
    <row r="36">
      <c r="A36" s="52" t="str">
        <f>IFERROR(__xludf.DUMMYFUNCTION("""COMPUTED_VALUE"""),"Elastic Search 8580")</f>
        <v>Elastic Search 8580</v>
      </c>
      <c r="B36" s="52">
        <f>IFERROR(__xludf.DUMMYFUNCTION("""COMPUTED_VALUE"""),8580.0)</f>
        <v>8580</v>
      </c>
      <c r="C36" s="52"/>
      <c r="D36" s="52"/>
      <c r="E36" s="52"/>
      <c r="F36" s="52" t="str">
        <f>IFERROR(__xludf.DUMMYFUNCTION("""COMPUTED_VALUE"""),"8865e60e936b57feb1a31d23b29ba0b212492766")</f>
        <v>8865e60e936b57feb1a31d23b29ba0b212492766</v>
      </c>
      <c r="G36" s="152" t="str">
        <f>IFERROR(__xludf.DUMMYFUNCTION("""COMPUTED_VALUE"""),"https://github.com/elastic/elasticsearch/commit/8865e60e936b57feb1a31d23b29ba0b212492766")</f>
        <v>https://github.com/elastic/elasticsearch/commit/8865e60e936b57feb1a31d23b29ba0b212492766</v>
      </c>
      <c r="H36" s="52">
        <f>IFERROR(__xludf.DUMMYFUNCTION("""COMPUTED_VALUE"""),6319.0)</f>
        <v>6319</v>
      </c>
      <c r="I36" s="152" t="str">
        <f>IFERROR(__xludf.DUMMYFUNCTION("""COMPUTED_VALUE"""),"https://github.com/elastic/elasticsearch/pull/6319")</f>
        <v>https://github.com/elastic/elasticsearch/pull/6319</v>
      </c>
      <c r="J36" s="52">
        <f>IFERROR(__xludf.DUMMYFUNCTION("""COMPUTED_VALUE"""),6849.0)</f>
        <v>6849</v>
      </c>
      <c r="K36" s="152" t="str">
        <f>IFERROR(__xludf.DUMMYFUNCTION("""COMPUTED_VALUE"""),"https://github.com/elastic/elasticsearch/issue/6849")</f>
        <v>https://github.com/elastic/elasticsearch/issue/6849</v>
      </c>
      <c r="L36" s="52"/>
      <c r="M36" s="52"/>
      <c r="N36" s="52"/>
      <c r="O36" s="52"/>
      <c r="P36" s="52">
        <f>IFERROR(__xludf.DUMMYFUNCTION("""COMPUTED_VALUE"""),6849.0)</f>
        <v>6849</v>
      </c>
      <c r="Q36" s="52"/>
      <c r="R36" s="52"/>
      <c r="S36" s="52"/>
      <c r="T36" s="52"/>
      <c r="U36" s="52"/>
      <c r="V36" s="52"/>
      <c r="W36" s="43"/>
      <c r="X36" s="43" t="str">
        <f>IFERROR(__xludf.DUMMYFUNCTION("""COMPUTED_VALUE"""),"Not identified. However, it can be googled with the bug ID")</f>
        <v>Not identified. However, it can be googled with the bug ID</v>
      </c>
      <c r="Y36" s="43"/>
      <c r="Z36" s="43"/>
      <c r="AA36" s="43"/>
      <c r="AB36" s="43" t="str">
        <f>IFERROR(__xludf.DUMMYFUNCTION("""COMPUTED_VALUE"""),"Same Review (6319) as Elastic Search 8893")</f>
        <v>Same Review (6319) as Elastic Search 8893</v>
      </c>
      <c r="AC36" s="43" t="str">
        <f t="shared" si="1"/>
        <v>Elastic Search 8580</v>
      </c>
    </row>
    <row r="37">
      <c r="A37" s="52" t="str">
        <f>IFERROR(__xludf.DUMMYFUNCTION("""COMPUTED_VALUE"""),"Elastic Search 864")</f>
        <v>Elastic Search 864</v>
      </c>
      <c r="B37" s="52">
        <f>IFERROR(__xludf.DUMMYFUNCTION("""COMPUTED_VALUE"""),864.0)</f>
        <v>864</v>
      </c>
      <c r="C37" s="52"/>
      <c r="D37" s="52"/>
      <c r="E37" s="52"/>
      <c r="F37" s="52" t="str">
        <f>IFERROR(__xludf.DUMMYFUNCTION("""COMPUTED_VALUE"""),"03ee0a942df39c01e5e4f4ecb392a746e3d979af")</f>
        <v>03ee0a942df39c01e5e4f4ecb392a746e3d979af</v>
      </c>
      <c r="G37" s="152" t="str">
        <f>IFERROR(__xludf.DUMMYFUNCTION("""COMPUTED_VALUE"""),"https://github.com/elastic/elasticsearch/commit/03ee0a942df39c01e5e4f4ecb392a746e3d979af")</f>
        <v>https://github.com/elastic/elasticsearch/commit/03ee0a942df39c01e5e4f4ecb392a746e3d979af</v>
      </c>
      <c r="H37" s="52"/>
      <c r="I37" s="52"/>
      <c r="J37" s="52"/>
      <c r="K37" s="52"/>
      <c r="L37" s="52"/>
      <c r="M37" s="52"/>
      <c r="N37" s="52"/>
      <c r="O37" s="52"/>
      <c r="P37" s="52"/>
      <c r="Q37" s="52"/>
      <c r="R37" s="52"/>
      <c r="S37" s="52"/>
      <c r="T37" s="52"/>
      <c r="U37" s="52"/>
      <c r="V37" s="52"/>
      <c r="W37" s="43"/>
      <c r="X37" s="43" t="str">
        <f>IFERROR(__xludf.DUMMYFUNCTION("""COMPUTED_VALUE"""),"Not identified. However, it can be googled with the bug ID")</f>
        <v>Not identified. However, it can be googled with the bug ID</v>
      </c>
      <c r="Y37" s="43"/>
      <c r="Z37" s="43"/>
      <c r="AA37" s="43"/>
      <c r="AB37" s="43"/>
      <c r="AC37" s="43" t="str">
        <f t="shared" si="1"/>
        <v>Elastic Search 864</v>
      </c>
    </row>
    <row r="38">
      <c r="A38" s="52" t="str">
        <f>IFERROR(__xludf.DUMMYFUNCTION("""COMPUTED_VALUE"""),"Elastic Search 8893")</f>
        <v>Elastic Search 8893</v>
      </c>
      <c r="B38" s="52">
        <f>IFERROR(__xludf.DUMMYFUNCTION("""COMPUTED_VALUE"""),8893.0)</f>
        <v>8893</v>
      </c>
      <c r="C38" s="52"/>
      <c r="D38" s="52"/>
      <c r="E38" s="52"/>
      <c r="F38" s="52" t="str">
        <f>IFERROR(__xludf.DUMMYFUNCTION("""COMPUTED_VALUE"""),"4f131dfffbdadf5c5f9c9b7a03f9660233e04f72")</f>
        <v>4f131dfffbdadf5c5f9c9b7a03f9660233e04f72</v>
      </c>
      <c r="G38" s="152" t="str">
        <f>IFERROR(__xludf.DUMMYFUNCTION("""COMPUTED_VALUE"""),"https://github.com/elastic/elasticsearch/commit/4f131dfffbdadf5c5f9c9b7a03f9660233e04f72")</f>
        <v>https://github.com/elastic/elasticsearch/commit/4f131dfffbdadf5c5f9c9b7a03f9660233e04f72</v>
      </c>
      <c r="H38" s="52">
        <f>IFERROR(__xludf.DUMMYFUNCTION("""COMPUTED_VALUE"""),6319.0)</f>
        <v>6319</v>
      </c>
      <c r="I38" s="152" t="str">
        <f>IFERROR(__xludf.DUMMYFUNCTION("""COMPUTED_VALUE"""),"https://github.com/elastic/elasticsearch/pull/6319")</f>
        <v>https://github.com/elastic/elasticsearch/pull/6319</v>
      </c>
      <c r="J38" s="52"/>
      <c r="K38" s="52"/>
      <c r="L38" s="52"/>
      <c r="M38" s="52"/>
      <c r="N38" s="52"/>
      <c r="O38" s="52"/>
      <c r="P38" s="52"/>
      <c r="Q38" s="52"/>
      <c r="R38" s="52"/>
      <c r="S38" s="52"/>
      <c r="T38" s="52"/>
      <c r="U38" s="52"/>
      <c r="V38" s="52"/>
      <c r="W38" s="43"/>
      <c r="X38" s="43" t="str">
        <f>IFERROR(__xludf.DUMMYFUNCTION("""COMPUTED_VALUE"""),"Not identified. However, it can be googled with the bug ID")</f>
        <v>Not identified. However, it can be googled with the bug ID</v>
      </c>
      <c r="Y38" s="43"/>
      <c r="Z38" s="43"/>
      <c r="AA38" s="43"/>
      <c r="AB38" s="43" t="str">
        <f>IFERROR(__xludf.DUMMYFUNCTION("""COMPUTED_VALUE"""),"Same Review (6319) as Elastic Search 8580")</f>
        <v>Same Review (6319) as Elastic Search 8580</v>
      </c>
      <c r="AC38" s="43" t="str">
        <f t="shared" si="1"/>
        <v>Elastic Search 8893</v>
      </c>
    </row>
    <row r="39">
      <c r="A39" s="52" t="str">
        <f>IFERROR(__xludf.DUMMYFUNCTION("""COMPUTED_VALUE"""),"Elastic Search 9317")</f>
        <v>Elastic Search 9317</v>
      </c>
      <c r="B39" s="52">
        <f>IFERROR(__xludf.DUMMYFUNCTION("""COMPUTED_VALUE"""),9317.0)</f>
        <v>9317</v>
      </c>
      <c r="C39" s="52"/>
      <c r="D39" s="52"/>
      <c r="E39" s="52"/>
      <c r="F39" s="52" t="str">
        <f>IFERROR(__xludf.DUMMYFUNCTION("""COMPUTED_VALUE"""),"bb49554c33b310e0e615c12befe8846a7d27c951")</f>
        <v>bb49554c33b310e0e615c12befe8846a7d27c951</v>
      </c>
      <c r="G39" s="152" t="str">
        <f>IFERROR(__xludf.DUMMYFUNCTION("""COMPUTED_VALUE"""),"https://github.com/elastic/elasticsearch/commit/bb49554c33b310e0e615c12befe8846a7d27c951")</f>
        <v>https://github.com/elastic/elasticsearch/commit/bb49554c33b310e0e615c12befe8846a7d27c951</v>
      </c>
      <c r="H39" s="52"/>
      <c r="I39" s="52"/>
      <c r="J39" s="52"/>
      <c r="K39" s="52"/>
      <c r="L39" s="52"/>
      <c r="M39" s="52"/>
      <c r="N39" s="52"/>
      <c r="O39" s="52"/>
      <c r="P39" s="52"/>
      <c r="Q39" s="52"/>
      <c r="R39" s="52"/>
      <c r="S39" s="52"/>
      <c r="T39" s="52"/>
      <c r="U39" s="52"/>
      <c r="V39" s="52"/>
      <c r="W39" s="43"/>
      <c r="X39" s="43" t="str">
        <f>IFERROR(__xludf.DUMMYFUNCTION("""COMPUTED_VALUE"""),"Not identified. However, it can be googled with the bug ID")</f>
        <v>Not identified. However, it can be googled with the bug ID</v>
      </c>
      <c r="Y39" s="43"/>
      <c r="Z39" s="43"/>
      <c r="AA39" s="43"/>
      <c r="AB39" s="43"/>
      <c r="AC39" s="43" t="str">
        <f t="shared" si="1"/>
        <v>Elastic Search 9317</v>
      </c>
    </row>
    <row r="40">
      <c r="A40" s="52" t="str">
        <f>IFERROR(__xludf.DUMMYFUNCTION("""COMPUTED_VALUE"""),"NOVA 1294939")</f>
        <v>NOVA 1294939</v>
      </c>
      <c r="B40" s="52">
        <f>IFERROR(__xludf.DUMMYFUNCTION("""COMPUTED_VALUE"""),1294939.0)</f>
        <v>1294939</v>
      </c>
      <c r="C40" s="52"/>
      <c r="D40" s="52"/>
      <c r="E40" s="52"/>
      <c r="F40" s="52" t="str">
        <f>IFERROR(__xludf.DUMMYFUNCTION("""COMPUTED_VALUE"""),"8218a86dedd50301252598667171d17d874bb36d")</f>
        <v>8218a86dedd50301252598667171d17d874bb36d</v>
      </c>
      <c r="G40" s="152" t="str">
        <f>IFERROR(__xludf.DUMMYFUNCTION("""COMPUTED_VALUE"""),"https://opendev.org/openstack/nova/commit/8218a86dedd50301252598667171d17d874bb36d")</f>
        <v>https://opendev.org/openstack/nova/commit/8218a86dedd50301252598667171d17d874bb36d</v>
      </c>
      <c r="H40" s="52">
        <f>IFERROR(__xludf.DUMMYFUNCTION("""COMPUTED_VALUE"""),70215.0)</f>
        <v>70215</v>
      </c>
      <c r="I40" s="152" t="str">
        <f>IFERROR(__xludf.DUMMYFUNCTION("""COMPUTED_VALUE"""),"https://review.opendev.org/c/openstack/nova/+/70215")</f>
        <v>https://review.opendev.org/c/openstack/nova/+/70215</v>
      </c>
      <c r="J40" s="52" t="str">
        <f>IFERROR(__xludf.DUMMYFUNCTION("""COMPUTED_VALUE"""),"compute-manager-objects")</f>
        <v>compute-manager-objects</v>
      </c>
      <c r="K40" s="152" t="str">
        <f>IFERROR(__xludf.DUMMYFUNCTION("""COMPUTED_VALUE"""),"https://blueprints.launchpad.net/nova/+spec/compute-manager-objects")</f>
        <v>https://blueprints.launchpad.net/nova/+spec/compute-manager-objects</v>
      </c>
      <c r="L40" s="52"/>
      <c r="M40" s="52"/>
      <c r="N40" s="52"/>
      <c r="O40" s="52"/>
      <c r="P40" s="52" t="str">
        <f>IFERROR(__xludf.DUMMYFUNCTION("""COMPUTED_VALUE"""),"compute-manager-objects")</f>
        <v>compute-manager-objects</v>
      </c>
      <c r="Q40" s="52"/>
      <c r="R40" s="52"/>
      <c r="S40" s="52"/>
      <c r="T40" s="52"/>
      <c r="U40" s="52"/>
      <c r="V40" s="52"/>
      <c r="W40" s="43"/>
      <c r="X40" s="153" t="str">
        <f>IFERROR(__xludf.DUMMYFUNCTION("""COMPUTED_VALUE"""),"https://www.mail-archive.com/openstack-dev@lists.openstack.org/ ")</f>
        <v>https://www.mail-archive.com/openstack-dev@lists.openstack.org/ </v>
      </c>
      <c r="Y40" s="43"/>
      <c r="Z40" s="43"/>
      <c r="AA40" s="43"/>
      <c r="AB40" s="43"/>
      <c r="AC40" s="43" t="str">
        <f t="shared" si="1"/>
        <v>NOVA 1294939</v>
      </c>
    </row>
    <row r="41">
      <c r="A41" s="52" t="str">
        <f>IFERROR(__xludf.DUMMYFUNCTION("""COMPUTED_VALUE"""),"NOVA 1300788")</f>
        <v>NOVA 1300788</v>
      </c>
      <c r="B41" s="52">
        <f>IFERROR(__xludf.DUMMYFUNCTION("""COMPUTED_VALUE"""),1300788.0)</f>
        <v>1300788</v>
      </c>
      <c r="C41" s="52"/>
      <c r="D41" s="52"/>
      <c r="E41" s="52"/>
      <c r="F41" s="52" t="str">
        <f>IFERROR(__xludf.DUMMYFUNCTION("""COMPUTED_VALUE"""),"ba1ed8958b6bde0d8b9f5862a83ac7e1a33e8313")</f>
        <v>ba1ed8958b6bde0d8b9f5862a83ac7e1a33e8313</v>
      </c>
      <c r="G41" s="152" t="str">
        <f>IFERROR(__xludf.DUMMYFUNCTION("""COMPUTED_VALUE"""),"https://opendev.org/openstack/nova/commit/ba1ed8958b6bde0d8b9f5862a83ac7e1a33e8313")</f>
        <v>https://opendev.org/openstack/nova/commit/ba1ed8958b6bde0d8b9f5862a83ac7e1a33e8313</v>
      </c>
      <c r="H41" s="52">
        <f>IFERROR(__xludf.DUMMYFUNCTION("""COMPUTED_VALUE"""),29062.0)</f>
        <v>29062</v>
      </c>
      <c r="I41" s="152" t="str">
        <f>IFERROR(__xludf.DUMMYFUNCTION("""COMPUTED_VALUE"""),"https://review.opendev.org/c/openstack/nova/+/29062")</f>
        <v>https://review.opendev.org/c/openstack/nova/+/29062</v>
      </c>
      <c r="J41" s="52"/>
      <c r="K41" s="52"/>
      <c r="L41" s="52"/>
      <c r="M41" s="52"/>
      <c r="N41" s="52"/>
      <c r="O41" s="52"/>
      <c r="P41" s="52"/>
      <c r="Q41" s="52"/>
      <c r="R41" s="52"/>
      <c r="S41" s="52"/>
      <c r="T41" s="52"/>
      <c r="U41" s="52"/>
      <c r="V41" s="52"/>
      <c r="W41" s="43"/>
      <c r="X41" s="153" t="str">
        <f>IFERROR(__xludf.DUMMYFUNCTION("""COMPUTED_VALUE"""),"https://www.mail-archive.com/openstack-dev@lists.openstack.org/ ")</f>
        <v>https://www.mail-archive.com/openstack-dev@lists.openstack.org/ </v>
      </c>
      <c r="Y41" s="43"/>
      <c r="Z41" s="43"/>
      <c r="AA41" s="43"/>
      <c r="AB41" s="43"/>
      <c r="AC41" s="43" t="str">
        <f t="shared" si="1"/>
        <v>NOVA 1300788</v>
      </c>
    </row>
    <row r="42">
      <c r="A42" s="52" t="str">
        <f>IFERROR(__xludf.DUMMYFUNCTION("""COMPUTED_VALUE"""),"NOVA 1307791")</f>
        <v>NOVA 1307791</v>
      </c>
      <c r="B42" s="52">
        <f>IFERROR(__xludf.DUMMYFUNCTION("""COMPUTED_VALUE"""),1307791.0)</f>
        <v>1307791</v>
      </c>
      <c r="C42" s="52"/>
      <c r="D42" s="52"/>
      <c r="E42" s="52"/>
      <c r="F42" s="52" t="str">
        <f>IFERROR(__xludf.DUMMYFUNCTION("""COMPUTED_VALUE"""),"27a5753dd3766b5535e0248d48c9bb555379dd12")</f>
        <v>27a5753dd3766b5535e0248d48c9bb555379dd12</v>
      </c>
      <c r="G42" s="152" t="str">
        <f>IFERROR(__xludf.DUMMYFUNCTION("""COMPUTED_VALUE"""),"https://opendev.org/openstack/nova/commit/27a5753dd3766b5535e0248d48c9bb555379dd12")</f>
        <v>https://opendev.org/openstack/nova/commit/27a5753dd3766b5535e0248d48c9bb555379dd12</v>
      </c>
      <c r="H42" s="52">
        <f>IFERROR(__xludf.DUMMYFUNCTION("""COMPUTED_VALUE"""),14806.0)</f>
        <v>14806</v>
      </c>
      <c r="I42" s="152" t="str">
        <f>IFERROR(__xludf.DUMMYFUNCTION("""COMPUTED_VALUE"""),"https://review.opendev.org/c/openstack/nova/+/14806")</f>
        <v>https://review.opendev.org/c/openstack/nova/+/14806</v>
      </c>
      <c r="J42" s="52">
        <f>IFERROR(__xludf.DUMMYFUNCTION("""COMPUTED_VALUE"""),884842.0)</f>
        <v>884842</v>
      </c>
      <c r="K42" s="152" t="str">
        <f>IFERROR(__xludf.DUMMYFUNCTION("""COMPUTED_VALUE"""),"https://bugs.launchpad.net/nova/+bug/884842")</f>
        <v>https://bugs.launchpad.net/nova/+bug/884842</v>
      </c>
      <c r="L42" s="52"/>
      <c r="M42" s="52"/>
      <c r="N42" s="52"/>
      <c r="O42" s="52"/>
      <c r="P42" s="52">
        <f>IFERROR(__xludf.DUMMYFUNCTION("""COMPUTED_VALUE"""),884842.0)</f>
        <v>884842</v>
      </c>
      <c r="Q42" s="52"/>
      <c r="R42" s="52"/>
      <c r="S42" s="52"/>
      <c r="T42" s="52"/>
      <c r="U42" s="52"/>
      <c r="V42" s="52"/>
      <c r="W42" s="43"/>
      <c r="X42" s="153" t="str">
        <f>IFERROR(__xludf.DUMMYFUNCTION("""COMPUTED_VALUE"""),"https://www.mail-archive.com/openstack-dev@lists.openstack.org/ ")</f>
        <v>https://www.mail-archive.com/openstack-dev@lists.openstack.org/ </v>
      </c>
      <c r="Y42" s="43"/>
      <c r="Z42" s="43"/>
      <c r="AA42" s="43"/>
      <c r="AB42" s="43"/>
      <c r="AC42" s="43" t="str">
        <f t="shared" si="1"/>
        <v>NOVA 1307791</v>
      </c>
    </row>
    <row r="43">
      <c r="A43" s="52" t="str">
        <f>IFERROR(__xludf.DUMMYFUNCTION("""COMPUTED_VALUE"""),"NOVA 1314677")</f>
        <v>NOVA 1314677</v>
      </c>
      <c r="B43" s="52">
        <f>IFERROR(__xludf.DUMMYFUNCTION("""COMPUTED_VALUE"""),1314677.0)</f>
        <v>1314677</v>
      </c>
      <c r="C43" s="52"/>
      <c r="D43" s="52"/>
      <c r="E43" s="52"/>
      <c r="F43" s="52" t="str">
        <f>IFERROR(__xludf.DUMMYFUNCTION("""COMPUTED_VALUE"""),"ae1040232dc681d718d940af11108322044a23be")</f>
        <v>ae1040232dc681d718d940af11108322044a23be</v>
      </c>
      <c r="G43" s="152" t="str">
        <f>IFERROR(__xludf.DUMMYFUNCTION("""COMPUTED_VALUE"""),"https://opendev.org/openstack/nova/commit/ae1040232dc681d718d940af11108322044a23be")</f>
        <v>https://opendev.org/openstack/nova/commit/ae1040232dc681d718d940af11108322044a23be</v>
      </c>
      <c r="H43" s="52">
        <f>IFERROR(__xludf.DUMMYFUNCTION("""COMPUTED_VALUE"""),40426.0)</f>
        <v>40426</v>
      </c>
      <c r="I43" s="152" t="str">
        <f>IFERROR(__xludf.DUMMYFUNCTION("""COMPUTED_VALUE"""),"https://review.opendev.org/c/openstack/nova/+/40426")</f>
        <v>https://review.opendev.org/c/openstack/nova/+/40426</v>
      </c>
      <c r="J43" s="52">
        <f>IFERROR(__xludf.DUMMYFUNCTION("""COMPUTED_VALUE"""),1208656.0)</f>
        <v>1208656</v>
      </c>
      <c r="K43" s="152" t="str">
        <f>IFERROR(__xludf.DUMMYFUNCTION("""COMPUTED_VALUE"""),"https://bugs.launchpad.net/nova/+bug/1208656")</f>
        <v>https://bugs.launchpad.net/nova/+bug/1208656</v>
      </c>
      <c r="L43" s="52"/>
      <c r="M43" s="52"/>
      <c r="N43" s="52"/>
      <c r="O43" s="52"/>
      <c r="P43" s="52">
        <f>IFERROR(__xludf.DUMMYFUNCTION("""COMPUTED_VALUE"""),1208656.0)</f>
        <v>1208656</v>
      </c>
      <c r="Q43" s="52"/>
      <c r="R43" s="52"/>
      <c r="S43" s="52"/>
      <c r="T43" s="52"/>
      <c r="U43" s="52"/>
      <c r="V43" s="52"/>
      <c r="W43" s="43"/>
      <c r="X43" s="153" t="str">
        <f>IFERROR(__xludf.DUMMYFUNCTION("""COMPUTED_VALUE"""),"https://www.mail-archive.com/openstack-dev@lists.openstack.org/ ")</f>
        <v>https://www.mail-archive.com/openstack-dev@lists.openstack.org/ </v>
      </c>
      <c r="Y43" s="43"/>
      <c r="Z43" s="43"/>
      <c r="AA43" s="43"/>
      <c r="AB43" s="43"/>
      <c r="AC43" s="43" t="str">
        <f t="shared" si="1"/>
        <v>NOVA 1314677</v>
      </c>
    </row>
    <row r="44">
      <c r="A44" s="52" t="str">
        <f>IFERROR(__xludf.DUMMYFUNCTION("""COMPUTED_VALUE"""),"NOVA 1336127")</f>
        <v>NOVA 1336127</v>
      </c>
      <c r="B44" s="52">
        <f>IFERROR(__xludf.DUMMYFUNCTION("""COMPUTED_VALUE"""),1336127.0)</f>
        <v>1336127</v>
      </c>
      <c r="C44" s="52"/>
      <c r="D44" s="52"/>
      <c r="E44" s="52"/>
      <c r="F44" s="52" t="str">
        <f>IFERROR(__xludf.DUMMYFUNCTION("""COMPUTED_VALUE"""),"90a37c069ede9d9b23ff6faef4ea6e48bbd7ebce")</f>
        <v>90a37c069ede9d9b23ff6faef4ea6e48bbd7ebce</v>
      </c>
      <c r="G44" s="152" t="str">
        <f>IFERROR(__xludf.DUMMYFUNCTION("""COMPUTED_VALUE"""),"https://opendev.org/openstack/nova/commit/90a37c069ede9d9b23ff6faef4ea6e48bbd7ebce")</f>
        <v>https://opendev.org/openstack/nova/commit/90a37c069ede9d9b23ff6faef4ea6e48bbd7ebce</v>
      </c>
      <c r="H44" s="52">
        <f>IFERROR(__xludf.DUMMYFUNCTION("""COMPUTED_VALUE"""),44239.0)</f>
        <v>44239</v>
      </c>
      <c r="I44" s="152" t="str">
        <f>IFERROR(__xludf.DUMMYFUNCTION("""COMPUTED_VALUE"""),"https://review.opendev.org/c/openstack/nova/+/44239")</f>
        <v>https://review.opendev.org/c/openstack/nova/+/44239</v>
      </c>
      <c r="J44" s="52" t="str">
        <f>IFERROR(__xludf.DUMMYFUNCTION("""COMPUTED_VALUE"""),"assertequal")</f>
        <v>assertequal</v>
      </c>
      <c r="K44" s="152" t="str">
        <f>IFERROR(__xludf.DUMMYFUNCTION("""COMPUTED_VALUE"""),"https://blueprints.launchpad.net/nova/+spec/assertequal")</f>
        <v>https://blueprints.launchpad.net/nova/+spec/assertequal</v>
      </c>
      <c r="L44" s="52"/>
      <c r="M44" s="52"/>
      <c r="N44" s="52"/>
      <c r="O44" s="52"/>
      <c r="P44" s="52" t="str">
        <f>IFERROR(__xludf.DUMMYFUNCTION("""COMPUTED_VALUE"""),"assertequal")</f>
        <v>assertequal</v>
      </c>
      <c r="Q44" s="52"/>
      <c r="R44" s="52"/>
      <c r="S44" s="52"/>
      <c r="T44" s="52"/>
      <c r="U44" s="52"/>
      <c r="V44" s="52"/>
      <c r="W44" s="43"/>
      <c r="X44" s="153" t="str">
        <f>IFERROR(__xludf.DUMMYFUNCTION("""COMPUTED_VALUE"""),"https://www.mail-archive.com/openstack-dev@lists.openstack.org/ ")</f>
        <v>https://www.mail-archive.com/openstack-dev@lists.openstack.org/ </v>
      </c>
      <c r="Y44" s="43"/>
      <c r="Z44" s="43"/>
      <c r="AA44" s="43"/>
      <c r="AB44" s="43"/>
      <c r="AC44" s="43" t="str">
        <f t="shared" si="1"/>
        <v>NOVA 1336127</v>
      </c>
    </row>
    <row r="45">
      <c r="A45" s="52" t="str">
        <f>IFERROR(__xludf.DUMMYFUNCTION("""COMPUTED_VALUE"""),"NOVA 1343080")</f>
        <v>NOVA 1343080</v>
      </c>
      <c r="B45" s="52">
        <f>IFERROR(__xludf.DUMMYFUNCTION("""COMPUTED_VALUE"""),1343080.0)</f>
        <v>1343080</v>
      </c>
      <c r="C45" s="52"/>
      <c r="D45" s="52"/>
      <c r="E45" s="52"/>
      <c r="F45" s="52" t="str">
        <f>IFERROR(__xludf.DUMMYFUNCTION("""COMPUTED_VALUE"""),"475f3624245500c5382faf5b2708a59fcec2c9ad")</f>
        <v>475f3624245500c5382faf5b2708a59fcec2c9ad</v>
      </c>
      <c r="G45" s="152" t="str">
        <f>IFERROR(__xludf.DUMMYFUNCTION("""COMPUTED_VALUE"""),"https://opendev.org/openstack/nova/commit/475f3624245500c5382faf5b2708a59fcec2c9ad")</f>
        <v>https://opendev.org/openstack/nova/commit/475f3624245500c5382faf5b2708a59fcec2c9ad</v>
      </c>
      <c r="H45" s="52" t="str">
        <f>IFERROR(__xludf.DUMMYFUNCTION("""COMPUTED_VALUE"""),"1934, (other branch 2232)")</f>
        <v>1934, (other branch 2232)</v>
      </c>
      <c r="I45" s="152" t="str">
        <f>IFERROR(__xludf.DUMMYFUNCTION("""COMPUTED_VALUE"""),"https://review.opendev.org/c/openstack/nova/+/1934")</f>
        <v>https://review.opendev.org/c/openstack/nova/+/1934</v>
      </c>
      <c r="J45" s="52">
        <f>IFERROR(__xludf.DUMMYFUNCTION("""COMPUTED_VALUE"""),897155.0)</f>
        <v>897155</v>
      </c>
      <c r="K45" s="152" t="str">
        <f>IFERROR(__xludf.DUMMYFUNCTION("""COMPUTED_VALUE"""),"https://bugs.launchpad.net/nova/+bug/897155")</f>
        <v>https://bugs.launchpad.net/nova/+bug/897155</v>
      </c>
      <c r="L45" s="52"/>
      <c r="M45" s="52"/>
      <c r="N45" s="52"/>
      <c r="O45" s="52"/>
      <c r="P45" s="52">
        <f>IFERROR(__xludf.DUMMYFUNCTION("""COMPUTED_VALUE"""),897155.0)</f>
        <v>897155</v>
      </c>
      <c r="Q45" s="52"/>
      <c r="R45" s="52"/>
      <c r="S45" s="52"/>
      <c r="T45" s="52"/>
      <c r="U45" s="52"/>
      <c r="V45" s="52"/>
      <c r="W45" s="43"/>
      <c r="X45" s="153" t="str">
        <f>IFERROR(__xludf.DUMMYFUNCTION("""COMPUTED_VALUE"""),"https://www.mail-archive.com/openstack-dev@lists.openstack.org/ ")</f>
        <v>https://www.mail-archive.com/openstack-dev@lists.openstack.org/ </v>
      </c>
      <c r="Y45" s="43"/>
      <c r="Z45" s="43"/>
      <c r="AA45" s="43"/>
      <c r="AB45" s="43"/>
      <c r="AC45" s="43" t="str">
        <f t="shared" si="1"/>
        <v>NOVA 1343080</v>
      </c>
    </row>
    <row r="46">
      <c r="A46" s="52" t="str">
        <f>IFERROR(__xludf.DUMMYFUNCTION("""COMPUTED_VALUE"""),"NOVA 1367363")</f>
        <v>NOVA 1367363</v>
      </c>
      <c r="B46" s="52">
        <f>IFERROR(__xludf.DUMMYFUNCTION("""COMPUTED_VALUE"""),1367363.0)</f>
        <v>1367363</v>
      </c>
      <c r="C46" s="52"/>
      <c r="D46" s="52"/>
      <c r="E46" s="52"/>
      <c r="F46" s="52" t="str">
        <f>IFERROR(__xludf.DUMMYFUNCTION("""COMPUTED_VALUE"""),"6ed6be8435284daf39ef1b8323e213c7885852c6")</f>
        <v>6ed6be8435284daf39ef1b8323e213c7885852c6</v>
      </c>
      <c r="G46" s="152" t="str">
        <f>IFERROR(__xludf.DUMMYFUNCTION("""COMPUTED_VALUE"""),"https://opendev.org/openstack/nova/commit/6ed6be8435284daf39ef1b8323e213c7885852c6")</f>
        <v>https://opendev.org/openstack/nova/commit/6ed6be8435284daf39ef1b8323e213c7885852c6</v>
      </c>
      <c r="H46" s="52">
        <f>IFERROR(__xludf.DUMMYFUNCTION("""COMPUTED_VALUE"""),63178.0)</f>
        <v>63178</v>
      </c>
      <c r="I46" s="152" t="str">
        <f>IFERROR(__xludf.DUMMYFUNCTION("""COMPUTED_VALUE"""),"https://review.opendev.org/c/openstack/nova/+/63178")</f>
        <v>https://review.opendev.org/c/openstack/nova/+/63178</v>
      </c>
      <c r="J46" s="52" t="str">
        <f>IFERROR(__xludf.DUMMYFUNCTION("""COMPUTED_VALUE"""),"icehouse-objects")</f>
        <v>icehouse-objects</v>
      </c>
      <c r="K46" s="152" t="str">
        <f>IFERROR(__xludf.DUMMYFUNCTION("""COMPUTED_VALUE"""),"https://blueprints.launchpad.net/nova/+spec/icehouse-objects")</f>
        <v>https://blueprints.launchpad.net/nova/+spec/icehouse-objects</v>
      </c>
      <c r="L46" s="52"/>
      <c r="M46" s="52"/>
      <c r="N46" s="52"/>
      <c r="O46" s="52"/>
      <c r="P46" s="52" t="str">
        <f>IFERROR(__xludf.DUMMYFUNCTION("""COMPUTED_VALUE"""),"icehouse-objects")</f>
        <v>icehouse-objects</v>
      </c>
      <c r="Q46" s="52"/>
      <c r="R46" s="52"/>
      <c r="S46" s="52"/>
      <c r="T46" s="52"/>
      <c r="U46" s="52"/>
      <c r="V46" s="52"/>
      <c r="W46" s="43"/>
      <c r="X46" s="153" t="str">
        <f>IFERROR(__xludf.DUMMYFUNCTION("""COMPUTED_VALUE"""),"https://www.mail-archive.com/openstack-dev@lists.openstack.org/ ")</f>
        <v>https://www.mail-archive.com/openstack-dev@lists.openstack.org/ </v>
      </c>
      <c r="Y46" s="43"/>
      <c r="Z46" s="43"/>
      <c r="AA46" s="43"/>
      <c r="AB46" s="43"/>
      <c r="AC46" s="43" t="str">
        <f t="shared" si="1"/>
        <v>NOVA 1367363</v>
      </c>
    </row>
    <row r="47">
      <c r="A47" s="52" t="str">
        <f>IFERROR(__xludf.DUMMYFUNCTION("""COMPUTED_VALUE"""),"NOVA 1370177")</f>
        <v>NOVA 1370177</v>
      </c>
      <c r="B47" s="52">
        <f>IFERROR(__xludf.DUMMYFUNCTION("""COMPUTED_VALUE"""),1370177.0)</f>
        <v>1370177</v>
      </c>
      <c r="C47" s="52"/>
      <c r="D47" s="52"/>
      <c r="E47" s="52"/>
      <c r="F47" s="52" t="str">
        <f>IFERROR(__xludf.DUMMYFUNCTION("""COMPUTED_VALUE"""),"6982d8534d78d9732fc8d6e05c8f3bb432d62264")</f>
        <v>6982d8534d78d9732fc8d6e05c8f3bb432d62264</v>
      </c>
      <c r="G47" s="152" t="str">
        <f>IFERROR(__xludf.DUMMYFUNCTION("""COMPUTED_VALUE"""),"https://opendev.org/openstack/nova/commit/6982d8534d78d9732fc8d6e05c8f3bb432d62264")</f>
        <v>https://opendev.org/openstack/nova/commit/6982d8534d78d9732fc8d6e05c8f3bb432d62264</v>
      </c>
      <c r="H47" s="52">
        <f>IFERROR(__xludf.DUMMYFUNCTION("""COMPUTED_VALUE"""),65042.0)</f>
        <v>65042</v>
      </c>
      <c r="I47" s="152" t="str">
        <f>IFERROR(__xludf.DUMMYFUNCTION("""COMPUTED_VALUE"""),"https://review.opendev.org/c/openstack/nova/+/65042")</f>
        <v>https://review.opendev.org/c/openstack/nova/+/65042</v>
      </c>
      <c r="J47" s="52" t="str">
        <f>IFERROR(__xludf.DUMMYFUNCTION("""COMPUTED_VALUE"""),"aggregate-api-policy")</f>
        <v>aggregate-api-policy</v>
      </c>
      <c r="K47" s="152" t="str">
        <f>IFERROR(__xludf.DUMMYFUNCTION("""COMPUTED_VALUE"""),"https://blueprints.launchpad.net/nova/+spec/aggregate-api-policy")</f>
        <v>https://blueprints.launchpad.net/nova/+spec/aggregate-api-policy</v>
      </c>
      <c r="L47" s="52"/>
      <c r="M47" s="52"/>
      <c r="N47" s="52"/>
      <c r="O47" s="52"/>
      <c r="P47" s="52" t="str">
        <f>IFERROR(__xludf.DUMMYFUNCTION("""COMPUTED_VALUE"""),"aggregate-api-policy")</f>
        <v>aggregate-api-policy</v>
      </c>
      <c r="Q47" s="52"/>
      <c r="R47" s="52"/>
      <c r="S47" s="52"/>
      <c r="T47" s="52"/>
      <c r="U47" s="52"/>
      <c r="V47" s="52"/>
      <c r="W47" s="43"/>
      <c r="X47" s="153" t="str">
        <f>IFERROR(__xludf.DUMMYFUNCTION("""COMPUTED_VALUE"""),"https://www.mail-archive.com/openstack-dev@lists.openstack.org/ ")</f>
        <v>https://www.mail-archive.com/openstack-dev@lists.openstack.org/ </v>
      </c>
      <c r="Y47" s="43"/>
      <c r="Z47" s="43"/>
      <c r="AA47" s="43"/>
      <c r="AB47" s="43"/>
      <c r="AC47" s="43" t="str">
        <f t="shared" si="1"/>
        <v>NOVA 1370177</v>
      </c>
    </row>
    <row r="48">
      <c r="A48" s="52" t="str">
        <f>IFERROR(__xludf.DUMMYFUNCTION("""COMPUTED_VALUE"""),"NOVA 1370590")</f>
        <v>NOVA 1370590</v>
      </c>
      <c r="B48" s="52">
        <f>IFERROR(__xludf.DUMMYFUNCTION("""COMPUTED_VALUE"""),1370590.0)</f>
        <v>1370590</v>
      </c>
      <c r="C48" s="52"/>
      <c r="D48" s="52"/>
      <c r="E48" s="52"/>
      <c r="F48" s="52" t="str">
        <f>IFERROR(__xludf.DUMMYFUNCTION("""COMPUTED_VALUE"""),"e65a43837e9ccad8ca34da4d29824df591c685fe")</f>
        <v>e65a43837e9ccad8ca34da4d29824df591c685fe</v>
      </c>
      <c r="G48" s="152" t="str">
        <f>IFERROR(__xludf.DUMMYFUNCTION("""COMPUTED_VALUE"""),"https://opendev.org/openstack/nova/commit/e65a43837e9ccad8ca34da4d29824df591c685fe")</f>
        <v>https://opendev.org/openstack/nova/commit/e65a43837e9ccad8ca34da4d29824df591c685fe</v>
      </c>
      <c r="H48" s="52">
        <f>IFERROR(__xludf.DUMMYFUNCTION("""COMPUTED_VALUE"""),119446.0)</f>
        <v>119446</v>
      </c>
      <c r="I48" s="152" t="str">
        <f>IFERROR(__xludf.DUMMYFUNCTION("""COMPUTED_VALUE"""),"https://review.opendev.org/c/openstack/nova/+/119446")</f>
        <v>https://review.opendev.org/c/openstack/nova/+/119446</v>
      </c>
      <c r="J48" s="52"/>
      <c r="K48" s="52"/>
      <c r="L48" s="52"/>
      <c r="M48" s="52"/>
      <c r="N48" s="52"/>
      <c r="O48" s="52"/>
      <c r="P48" s="52"/>
      <c r="Q48" s="52"/>
      <c r="R48" s="52"/>
      <c r="S48" s="52"/>
      <c r="T48" s="52"/>
      <c r="U48" s="52"/>
      <c r="V48" s="52"/>
      <c r="W48" s="43"/>
      <c r="X48" s="153" t="str">
        <f>IFERROR(__xludf.DUMMYFUNCTION("""COMPUTED_VALUE"""),"https://www.mail-archive.com/openstack-dev@lists.openstack.org/ ")</f>
        <v>https://www.mail-archive.com/openstack-dev@lists.openstack.org/ </v>
      </c>
      <c r="Y48" s="43"/>
      <c r="Z48" s="43"/>
      <c r="AA48" s="43"/>
      <c r="AB48" s="43"/>
      <c r="AC48" s="43" t="str">
        <f t="shared" si="1"/>
        <v>NOVA 1370590</v>
      </c>
    </row>
    <row r="49">
      <c r="A49" s="52" t="str">
        <f>IFERROR(__xludf.DUMMYFUNCTION("""COMPUTED_VALUE"""),"NOVA 1371677")</f>
        <v>NOVA 1371677</v>
      </c>
      <c r="B49" s="52">
        <f>IFERROR(__xludf.DUMMYFUNCTION("""COMPUTED_VALUE"""),1371677.0)</f>
        <v>1371677</v>
      </c>
      <c r="C49" s="52"/>
      <c r="D49" s="52"/>
      <c r="E49" s="52"/>
      <c r="F49" s="52" t="str">
        <f>IFERROR(__xludf.DUMMYFUNCTION("""COMPUTED_VALUE"""),"9340f6db7961824aabdf73cecf5e19892ce01c03")</f>
        <v>9340f6db7961824aabdf73cecf5e19892ce01c03</v>
      </c>
      <c r="G49" s="152" t="str">
        <f>IFERROR(__xludf.DUMMYFUNCTION("""COMPUTED_VALUE"""),"https://opendev.org/openstack/nova/commit/9340f6db7961824aabdf73cecf5e19892ce01c03")</f>
        <v>https://opendev.org/openstack/nova/commit/9340f6db7961824aabdf73cecf5e19892ce01c03</v>
      </c>
      <c r="H49" s="52">
        <f>IFERROR(__xludf.DUMMYFUNCTION("""COMPUTED_VALUE"""),107602.0)</f>
        <v>107602</v>
      </c>
      <c r="I49" s="152" t="str">
        <f>IFERROR(__xludf.DUMMYFUNCTION("""COMPUTED_VALUE"""),"https://review.opendev.org/c/openstack/nova/+/107602")</f>
        <v>https://review.opendev.org/c/openstack/nova/+/107602</v>
      </c>
      <c r="J49" s="52"/>
      <c r="K49" s="52"/>
      <c r="L49" s="52"/>
      <c r="M49" s="52"/>
      <c r="N49" s="52"/>
      <c r="O49" s="52"/>
      <c r="P49" s="52"/>
      <c r="Q49" s="52"/>
      <c r="R49" s="52"/>
      <c r="S49" s="52"/>
      <c r="T49" s="52"/>
      <c r="U49" s="52"/>
      <c r="V49" s="52"/>
      <c r="W49" s="43"/>
      <c r="X49" s="153" t="str">
        <f>IFERROR(__xludf.DUMMYFUNCTION("""COMPUTED_VALUE"""),"https://www.mail-archive.com/openstack-dev@lists.openstack.org/ ")</f>
        <v>https://www.mail-archive.com/openstack-dev@lists.openstack.org/ </v>
      </c>
      <c r="Y49" s="43"/>
      <c r="Z49" s="43"/>
      <c r="AA49" s="43"/>
      <c r="AB49" s="43"/>
      <c r="AC49" s="43" t="str">
        <f t="shared" si="1"/>
        <v>NOVA 1371677</v>
      </c>
    </row>
    <row r="50">
      <c r="A50" s="52" t="str">
        <f>IFERROR(__xludf.DUMMYFUNCTION("""COMPUTED_VALUE"""),"NOVA 1375379")</f>
        <v>NOVA 1375379</v>
      </c>
      <c r="B50" s="52">
        <f>IFERROR(__xludf.DUMMYFUNCTION("""COMPUTED_VALUE"""),1375379.0)</f>
        <v>1375379</v>
      </c>
      <c r="C50" s="52"/>
      <c r="D50" s="52"/>
      <c r="E50" s="52"/>
      <c r="F50" s="52" t="str">
        <f>IFERROR(__xludf.DUMMYFUNCTION("""COMPUTED_VALUE"""),"f2baacd4e634b815fe011ced0d6e46f6c06b7fdd")</f>
        <v>f2baacd4e634b815fe011ced0d6e46f6c06b7fdd</v>
      </c>
      <c r="G50" s="152" t="str">
        <f>IFERROR(__xludf.DUMMYFUNCTION("""COMPUTED_VALUE"""),"https://opendev.org/openstack/nova/commit/f2baacd4e634b815fe011ced0d6e46f6c06b7fdd")</f>
        <v>https://opendev.org/openstack/nova/commit/f2baacd4e634b815fe011ced0d6e46f6c06b7fdd</v>
      </c>
      <c r="H50" s="52">
        <f>IFERROR(__xludf.DUMMYFUNCTION("""COMPUTED_VALUE"""),19679.0)</f>
        <v>19679</v>
      </c>
      <c r="I50" s="152" t="str">
        <f>IFERROR(__xludf.DUMMYFUNCTION("""COMPUTED_VALUE"""),"https://review.opendev.org/c/openstack/nova/+/19679")</f>
        <v>https://review.opendev.org/c/openstack/nova/+/19679</v>
      </c>
      <c r="J50" s="52"/>
      <c r="K50" s="52"/>
      <c r="L50" s="52"/>
      <c r="M50" s="52"/>
      <c r="N50" s="52"/>
      <c r="O50" s="52"/>
      <c r="P50" s="52"/>
      <c r="Q50" s="52"/>
      <c r="R50" s="52"/>
      <c r="S50" s="52"/>
      <c r="T50" s="52"/>
      <c r="U50" s="52"/>
      <c r="V50" s="52"/>
      <c r="W50" s="43"/>
      <c r="X50" s="153" t="str">
        <f>IFERROR(__xludf.DUMMYFUNCTION("""COMPUTED_VALUE"""),"https://www.mail-archive.com/openstack-dev@lists.openstack.org/ ")</f>
        <v>https://www.mail-archive.com/openstack-dev@lists.openstack.org/ </v>
      </c>
      <c r="Y50" s="43"/>
      <c r="Z50" s="43"/>
      <c r="AA50" s="43"/>
      <c r="AB50" s="43"/>
      <c r="AC50" s="43" t="str">
        <f t="shared" si="1"/>
        <v>NOVA 1375379</v>
      </c>
    </row>
    <row r="51">
      <c r="A51" s="52" t="str">
        <f>IFERROR(__xludf.DUMMYFUNCTION("""COMPUTED_VALUE"""),"NOVA 1381468")</f>
        <v>NOVA 1381468</v>
      </c>
      <c r="B51" s="52">
        <f>IFERROR(__xludf.DUMMYFUNCTION("""COMPUTED_VALUE"""),1381468.0)</f>
        <v>1381468</v>
      </c>
      <c r="C51" s="52"/>
      <c r="D51" s="52"/>
      <c r="E51" s="52"/>
      <c r="F51" s="52" t="str">
        <f>IFERROR(__xludf.DUMMYFUNCTION("""COMPUTED_VALUE"""),"583d12f4fae620719b893cb7f9fbfc461ec8a124")</f>
        <v>583d12f4fae620719b893cb7f9fbfc461ec8a124</v>
      </c>
      <c r="G51" s="152" t="str">
        <f>IFERROR(__xludf.DUMMYFUNCTION("""COMPUTED_VALUE"""),"https://opendev.org/openstack/nova/commit/583d12f4fae620719b893cb7f9fbfc461ec8a124")</f>
        <v>https://opendev.org/openstack/nova/commit/583d12f4fae620719b893cb7f9fbfc461ec8a124</v>
      </c>
      <c r="H51" s="52">
        <f>IFERROR(__xludf.DUMMYFUNCTION("""COMPUTED_VALUE"""),123682.0)</f>
        <v>123682</v>
      </c>
      <c r="I51" s="152" t="str">
        <f>IFERROR(__xludf.DUMMYFUNCTION("""COMPUTED_VALUE"""),"https://review.opendev.org/c/openstack/nova/+/123682")</f>
        <v>https://review.opendev.org/c/openstack/nova/+/123682</v>
      </c>
      <c r="J51" s="52"/>
      <c r="K51" s="52"/>
      <c r="L51" s="52"/>
      <c r="M51" s="52"/>
      <c r="N51" s="52"/>
      <c r="O51" s="52"/>
      <c r="P51" s="52"/>
      <c r="Q51" s="52"/>
      <c r="R51" s="52"/>
      <c r="S51" s="52"/>
      <c r="T51" s="52"/>
      <c r="U51" s="52"/>
      <c r="V51" s="52"/>
      <c r="W51" s="43"/>
      <c r="X51" s="153" t="str">
        <f>IFERROR(__xludf.DUMMYFUNCTION("""COMPUTED_VALUE"""),"https://www.mail-archive.com/openstack-dev@lists.openstack.org/ ")</f>
        <v>https://www.mail-archive.com/openstack-dev@lists.openstack.org/ </v>
      </c>
      <c r="Y51" s="43"/>
      <c r="Z51" s="43"/>
      <c r="AA51" s="43"/>
      <c r="AB51" s="43"/>
      <c r="AC51" s="43" t="str">
        <f t="shared" si="1"/>
        <v>NOVA 1381468</v>
      </c>
    </row>
    <row r="52">
      <c r="A52" s="52" t="str">
        <f>IFERROR(__xludf.DUMMYFUNCTION("""COMPUTED_VALUE"""),"NOVA 1392798")</f>
        <v>NOVA 1392798</v>
      </c>
      <c r="B52" s="52">
        <f>IFERROR(__xludf.DUMMYFUNCTION("""COMPUTED_VALUE"""),1392798.0)</f>
        <v>1392798</v>
      </c>
      <c r="C52" s="52"/>
      <c r="D52" s="52"/>
      <c r="E52" s="52"/>
      <c r="F52" s="52" t="str">
        <f>IFERROR(__xludf.DUMMYFUNCTION("""COMPUTED_VALUE"""),"1b32ed31425a0332ab16f5b5f6c08a20eafe7963")</f>
        <v>1b32ed31425a0332ab16f5b5f6c08a20eafe7963</v>
      </c>
      <c r="G52" s="152" t="str">
        <f>IFERROR(__xludf.DUMMYFUNCTION("""COMPUTED_VALUE"""),"https://opendev.org/openstack/nova/commit/1b32ed31425a0332ab16f5b5f6c08a20eafe7963")</f>
        <v>https://opendev.org/openstack/nova/commit/1b32ed31425a0332ab16f5b5f6c08a20eafe7963</v>
      </c>
      <c r="H52" s="52">
        <f>IFERROR(__xludf.DUMMYFUNCTION("""COMPUTED_VALUE"""),19457.0)</f>
        <v>19457</v>
      </c>
      <c r="I52" s="152" t="str">
        <f>IFERROR(__xludf.DUMMYFUNCTION("""COMPUTED_VALUE"""),"https://review.opendev.org/c/openstack/nova/+/19457")</f>
        <v>https://review.opendev.org/c/openstack/nova/+/19457</v>
      </c>
      <c r="J52" s="52"/>
      <c r="K52" s="52"/>
      <c r="L52" s="52"/>
      <c r="M52" s="52"/>
      <c r="N52" s="52"/>
      <c r="O52" s="52"/>
      <c r="P52" s="52"/>
      <c r="Q52" s="52"/>
      <c r="R52" s="52"/>
      <c r="S52" s="52"/>
      <c r="T52" s="52"/>
      <c r="U52" s="52"/>
      <c r="V52" s="52"/>
      <c r="W52" s="43"/>
      <c r="X52" s="153" t="str">
        <f>IFERROR(__xludf.DUMMYFUNCTION("""COMPUTED_VALUE"""),"https://www.mail-archive.com/openstack-dev@lists.openstack.org/ ")</f>
        <v>https://www.mail-archive.com/openstack-dev@lists.openstack.org/ </v>
      </c>
      <c r="Y52" s="43"/>
      <c r="Z52" s="43"/>
      <c r="AA52" s="43"/>
      <c r="AB52" s="43"/>
      <c r="AC52" s="43" t="str">
        <f t="shared" si="1"/>
        <v>NOVA 1392798</v>
      </c>
    </row>
    <row r="53">
      <c r="A53" s="52" t="str">
        <f>IFERROR(__xludf.DUMMYFUNCTION("""COMPUTED_VALUE"""),"NOVA 1402535")</f>
        <v>NOVA 1402535</v>
      </c>
      <c r="B53" s="52">
        <f>IFERROR(__xludf.DUMMYFUNCTION("""COMPUTED_VALUE"""),1402535.0)</f>
        <v>1402535</v>
      </c>
      <c r="C53" s="52"/>
      <c r="D53" s="52"/>
      <c r="E53" s="52"/>
      <c r="F53" s="52" t="str">
        <f>IFERROR(__xludf.DUMMYFUNCTION("""COMPUTED_VALUE"""),"2d0578c539d000981e50ba0c143385974d10e2e2")</f>
        <v>2d0578c539d000981e50ba0c143385974d10e2e2</v>
      </c>
      <c r="G53" s="152" t="str">
        <f>IFERROR(__xludf.DUMMYFUNCTION("""COMPUTED_VALUE"""),"https://opendev.org/openstack/nova/commit/2d0578c539d000981e50ba0c143385974d10e2e2")</f>
        <v>https://opendev.org/openstack/nova/commit/2d0578c539d000981e50ba0c143385974d10e2e2</v>
      </c>
      <c r="H53" s="52">
        <f>IFERROR(__xludf.DUMMYFUNCTION("""COMPUTED_VALUE"""),24363.0)</f>
        <v>24363</v>
      </c>
      <c r="I53" s="152" t="str">
        <f>IFERROR(__xludf.DUMMYFUNCTION("""COMPUTED_VALUE"""),"https://review.opendev.org/c/openstack/nova/+/24363")</f>
        <v>https://review.opendev.org/c/openstack/nova/+/24363</v>
      </c>
      <c r="J53" s="52">
        <f>IFERROR(__xludf.DUMMYFUNCTION("""COMPUTED_VALUE"""),1148734.0)</f>
        <v>1148734</v>
      </c>
      <c r="K53" s="152" t="str">
        <f>IFERROR(__xludf.DUMMYFUNCTION("""COMPUTED_VALUE"""),"https://bugs.launchpad.net/nova/+bug/1148734")</f>
        <v>https://bugs.launchpad.net/nova/+bug/1148734</v>
      </c>
      <c r="L53" s="52"/>
      <c r="M53" s="52"/>
      <c r="N53" s="52"/>
      <c r="O53" s="52"/>
      <c r="P53" s="52">
        <f>IFERROR(__xludf.DUMMYFUNCTION("""COMPUTED_VALUE"""),1148734.0)</f>
        <v>1148734</v>
      </c>
      <c r="Q53" s="52"/>
      <c r="R53" s="52"/>
      <c r="S53" s="52"/>
      <c r="T53" s="52"/>
      <c r="U53" s="52"/>
      <c r="V53" s="52"/>
      <c r="W53" s="43"/>
      <c r="X53" s="153" t="str">
        <f>IFERROR(__xludf.DUMMYFUNCTION("""COMPUTED_VALUE"""),"https://www.mail-archive.com/openstack-dev@lists.openstack.org/ ")</f>
        <v>https://www.mail-archive.com/openstack-dev@lists.openstack.org/ </v>
      </c>
      <c r="Y53" s="43"/>
      <c r="Z53" s="43"/>
      <c r="AA53" s="43"/>
      <c r="AB53" s="43"/>
      <c r="AC53" s="43" t="str">
        <f t="shared" si="1"/>
        <v>NOVA 1402535</v>
      </c>
    </row>
    <row r="54">
      <c r="A54" s="52" t="str">
        <f>IFERROR(__xludf.DUMMYFUNCTION("""COMPUTED_VALUE"""),"NOVA 1402728")</f>
        <v>NOVA 1402728</v>
      </c>
      <c r="B54" s="52">
        <f>IFERROR(__xludf.DUMMYFUNCTION("""COMPUTED_VALUE"""),1402728.0)</f>
        <v>1402728</v>
      </c>
      <c r="C54" s="52"/>
      <c r="D54" s="52"/>
      <c r="E54" s="52"/>
      <c r="F54" s="52" t="str">
        <f>IFERROR(__xludf.DUMMYFUNCTION("""COMPUTED_VALUE"""),"990561227d1cdadc1ae91fdcc74286a47f0ddf2c")</f>
        <v>990561227d1cdadc1ae91fdcc74286a47f0ddf2c</v>
      </c>
      <c r="G54" s="152" t="str">
        <f>IFERROR(__xludf.DUMMYFUNCTION("""COMPUTED_VALUE"""),"https://opendev.org/openstack/nova/commit/990561227d1cdadc1ae91fdcc74286a47f0ddf2c")</f>
        <v>https://opendev.org/openstack/nova/commit/990561227d1cdadc1ae91fdcc74286a47f0ddf2c</v>
      </c>
      <c r="H54" s="52">
        <f>IFERROR(__xludf.DUMMYFUNCTION("""COMPUTED_VALUE"""),120675.0)</f>
        <v>120675</v>
      </c>
      <c r="I54" s="152" t="str">
        <f>IFERROR(__xludf.DUMMYFUNCTION("""COMPUTED_VALUE"""),"https://review.opendev.org/c/openstack/nova/+/120675")</f>
        <v>https://review.opendev.org/c/openstack/nova/+/120675</v>
      </c>
      <c r="J54" s="52" t="str">
        <f>IFERROR(__xludf.DUMMYFUNCTION("""COMPUTED_VALUE"""),"pci-passthrough-sriov")</f>
        <v>pci-passthrough-sriov</v>
      </c>
      <c r="K54" s="152" t="str">
        <f>IFERROR(__xludf.DUMMYFUNCTION("""COMPUTED_VALUE"""),"https://blueprints.launchpad.net/nova/+spec/pci-passthrough-sriov")</f>
        <v>https://blueprints.launchpad.net/nova/+spec/pci-passthrough-sriov</v>
      </c>
      <c r="L54" s="52"/>
      <c r="M54" s="52"/>
      <c r="N54" s="52"/>
      <c r="O54" s="52"/>
      <c r="P54" s="52" t="str">
        <f>IFERROR(__xludf.DUMMYFUNCTION("""COMPUTED_VALUE"""),"pci-passthrough-sriov")</f>
        <v>pci-passthrough-sriov</v>
      </c>
      <c r="Q54" s="52"/>
      <c r="R54" s="52"/>
      <c r="S54" s="52"/>
      <c r="T54" s="52"/>
      <c r="U54" s="52"/>
      <c r="V54" s="52"/>
      <c r="W54" s="43"/>
      <c r="X54" s="153" t="str">
        <f>IFERROR(__xludf.DUMMYFUNCTION("""COMPUTED_VALUE"""),"https://www.mail-archive.com/openstack-dev@lists.openstack.org/ ")</f>
        <v>https://www.mail-archive.com/openstack-dev@lists.openstack.org/ </v>
      </c>
      <c r="Y54" s="43"/>
      <c r="Z54" s="43"/>
      <c r="AA54" s="43"/>
      <c r="AB54" s="43"/>
      <c r="AC54" s="43" t="str">
        <f t="shared" si="1"/>
        <v>NOVA 1402728</v>
      </c>
    </row>
    <row r="55">
      <c r="A55" s="52" t="str">
        <f>IFERROR(__xludf.DUMMYFUNCTION("""COMPUTED_VALUE"""),"NOVA 1403544")</f>
        <v>NOVA 1403544</v>
      </c>
      <c r="B55" s="52">
        <f>IFERROR(__xludf.DUMMYFUNCTION("""COMPUTED_VALUE"""),1403544.0)</f>
        <v>1403544</v>
      </c>
      <c r="C55" s="52"/>
      <c r="D55" s="52"/>
      <c r="E55" s="52"/>
      <c r="F55" s="52" t="str">
        <f>IFERROR(__xludf.DUMMYFUNCTION("""COMPUTED_VALUE"""),"27d89c2d425aefcd32549b08e3cff8b132d3e75b")</f>
        <v>27d89c2d425aefcd32549b08e3cff8b132d3e75b</v>
      </c>
      <c r="G55" s="152" t="str">
        <f>IFERROR(__xludf.DUMMYFUNCTION("""COMPUTED_VALUE"""),"https://opendev.org/openstack/nova/commit/27d89c2d425aefcd32549b08e3cff8b132d3e75b")</f>
        <v>https://opendev.org/openstack/nova/commit/27d89c2d425aefcd32549b08e3cff8b132d3e75b</v>
      </c>
      <c r="H55" s="52"/>
      <c r="I55" s="52"/>
      <c r="J55" s="52"/>
      <c r="K55" s="52"/>
      <c r="L55" s="52"/>
      <c r="M55" s="52"/>
      <c r="N55" s="52"/>
      <c r="O55" s="52"/>
      <c r="P55" s="52"/>
      <c r="Q55" s="52"/>
      <c r="R55" s="52"/>
      <c r="S55" s="52"/>
      <c r="T55" s="52"/>
      <c r="U55" s="52"/>
      <c r="V55" s="52"/>
      <c r="W55" s="43"/>
      <c r="X55" s="153" t="str">
        <f>IFERROR(__xludf.DUMMYFUNCTION("""COMPUTED_VALUE"""),"https://www.mail-archive.com/openstack-dev@lists.openstack.org/ ")</f>
        <v>https://www.mail-archive.com/openstack-dev@lists.openstack.org/ </v>
      </c>
      <c r="Y55" s="43"/>
      <c r="Z55" s="43"/>
      <c r="AA55" s="43"/>
      <c r="AB55" s="43"/>
      <c r="AC55" s="43" t="str">
        <f t="shared" si="1"/>
        <v>NOVA 1403544</v>
      </c>
    </row>
    <row r="56">
      <c r="A56" s="52" t="str">
        <f>IFERROR(__xludf.DUMMYFUNCTION("""COMPUTED_VALUE"""),"NOVA 1419002")</f>
        <v>NOVA 1419002</v>
      </c>
      <c r="B56" s="52">
        <f>IFERROR(__xludf.DUMMYFUNCTION("""COMPUTED_VALUE"""),1419002.0)</f>
        <v>1419002</v>
      </c>
      <c r="C56" s="52"/>
      <c r="D56" s="52"/>
      <c r="E56" s="52"/>
      <c r="F56" s="52" t="str">
        <f>IFERROR(__xludf.DUMMYFUNCTION("""COMPUTED_VALUE"""),"1e4024b72218a07d1e535878337547cf16406dd8")</f>
        <v>1e4024b72218a07d1e535878337547cf16406dd8</v>
      </c>
      <c r="G56" s="152" t="str">
        <f>IFERROR(__xludf.DUMMYFUNCTION("""COMPUTED_VALUE"""),"https://opendev.org/openstack/nova/commit/1e4024b72218a07d1e535878337547cf16406dd8")</f>
        <v>https://opendev.org/openstack/nova/commit/1e4024b72218a07d1e535878337547cf16406dd8</v>
      </c>
      <c r="H56" s="52"/>
      <c r="I56" s="52"/>
      <c r="J56" s="52"/>
      <c r="K56" s="52"/>
      <c r="L56" s="52"/>
      <c r="M56" s="52"/>
      <c r="N56" s="52"/>
      <c r="O56" s="52"/>
      <c r="P56" s="52"/>
      <c r="Q56" s="52"/>
      <c r="R56" s="52"/>
      <c r="S56" s="52"/>
      <c r="T56" s="52"/>
      <c r="U56" s="52"/>
      <c r="V56" s="52"/>
      <c r="W56" s="43"/>
      <c r="X56" s="153" t="str">
        <f>IFERROR(__xludf.DUMMYFUNCTION("""COMPUTED_VALUE"""),"https://www.mail-archive.com/openstack-dev@lists.openstack.org/ ")</f>
        <v>https://www.mail-archive.com/openstack-dev@lists.openstack.org/ </v>
      </c>
      <c r="Y56" s="43"/>
      <c r="Z56" s="43"/>
      <c r="AA56" s="43"/>
      <c r="AB56" s="43"/>
      <c r="AC56" s="43" t="str">
        <f t="shared" si="1"/>
        <v>NOVA 1419002</v>
      </c>
    </row>
    <row r="57">
      <c r="A57" s="52" t="str">
        <f>IFERROR(__xludf.DUMMYFUNCTION("""COMPUTED_VALUE"""),"NOVA 1424647")</f>
        <v>NOVA 1424647</v>
      </c>
      <c r="B57" s="52">
        <f>IFERROR(__xludf.DUMMYFUNCTION("""COMPUTED_VALUE"""),1424647.0)</f>
        <v>1424647</v>
      </c>
      <c r="C57" s="52"/>
      <c r="D57" s="52"/>
      <c r="E57" s="52"/>
      <c r="F57" s="52" t="str">
        <f>IFERROR(__xludf.DUMMYFUNCTION("""COMPUTED_VALUE"""),"5ee83244f40f3d3c29bf47c5d86952bf53de1684")</f>
        <v>5ee83244f40f3d3c29bf47c5d86952bf53de1684</v>
      </c>
      <c r="G57" s="152" t="str">
        <f>IFERROR(__xludf.DUMMYFUNCTION("""COMPUTED_VALUE"""),"https://opendev.org/openstack/nova/commit/5ee83244f40f3d3c29bf47c5d86952bf53de1684")</f>
        <v>https://opendev.org/openstack/nova/commit/5ee83244f40f3d3c29bf47c5d86952bf53de1684</v>
      </c>
      <c r="H57" s="52">
        <f>IFERROR(__xludf.DUMMYFUNCTION("""COMPUTED_VALUE"""),136717.0)</f>
        <v>136717</v>
      </c>
      <c r="I57" s="152" t="str">
        <f>IFERROR(__xludf.DUMMYFUNCTION("""COMPUTED_VALUE"""),"https://review.opendev.org/c/openstack/nova/+/136717")</f>
        <v>https://review.opendev.org/c/openstack/nova/+/136717</v>
      </c>
      <c r="J57" s="52"/>
      <c r="K57" s="52"/>
      <c r="L57" s="52"/>
      <c r="M57" s="52"/>
      <c r="N57" s="52"/>
      <c r="O57" s="52"/>
      <c r="P57" s="52"/>
      <c r="Q57" s="52"/>
      <c r="R57" s="52"/>
      <c r="S57" s="52"/>
      <c r="T57" s="52"/>
      <c r="U57" s="52"/>
      <c r="V57" s="52"/>
      <c r="W57" s="43"/>
      <c r="X57" s="153" t="str">
        <f>IFERROR(__xludf.DUMMYFUNCTION("""COMPUTED_VALUE"""),"https://www.mail-archive.com/openstack-dev@lists.openstack.org/ ")</f>
        <v>https://www.mail-archive.com/openstack-dev@lists.openstack.org/ </v>
      </c>
      <c r="Y57" s="43"/>
      <c r="Z57" s="43"/>
      <c r="AA57" s="43"/>
      <c r="AB57" s="43"/>
      <c r="AC57" s="43" t="str">
        <f t="shared" si="1"/>
        <v>NOVA 1424647</v>
      </c>
    </row>
    <row r="58">
      <c r="A58" s="52" t="str">
        <f>IFERROR(__xludf.DUMMYFUNCTION("""COMPUTED_VALUE"""),"NOVA 1434855")</f>
        <v>NOVA 1434855</v>
      </c>
      <c r="B58" s="52">
        <f>IFERROR(__xludf.DUMMYFUNCTION("""COMPUTED_VALUE"""),1434855.0)</f>
        <v>1434855</v>
      </c>
      <c r="C58" s="52"/>
      <c r="D58" s="52"/>
      <c r="E58" s="52"/>
      <c r="F58" s="52" t="str">
        <f>IFERROR(__xludf.DUMMYFUNCTION("""COMPUTED_VALUE"""),"73515209cf09821a2fc922e1ae2c97650802fab4")</f>
        <v>73515209cf09821a2fc922e1ae2c97650802fab4</v>
      </c>
      <c r="G58" s="152" t="str">
        <f>IFERROR(__xludf.DUMMYFUNCTION("""COMPUTED_VALUE"""),"https://opendev.org/openstack/nova/commit/73515209cf09821a2fc922e1ae2c97650802fab4")</f>
        <v>https://opendev.org/openstack/nova/commit/73515209cf09821a2fc922e1ae2c97650802fab4</v>
      </c>
      <c r="H58" s="52">
        <f>IFERROR(__xludf.DUMMYFUNCTION("""COMPUTED_VALUE"""),155678.0)</f>
        <v>155678</v>
      </c>
      <c r="I58" s="152" t="str">
        <f>IFERROR(__xludf.DUMMYFUNCTION("""COMPUTED_VALUE"""),"https://review.opendev.org/c/openstack/nova/+/155678")</f>
        <v>https://review.opendev.org/c/openstack/nova/+/155678</v>
      </c>
      <c r="J58" s="52" t="str">
        <f>IFERROR(__xludf.DUMMYFUNCTION("""COMPUTED_VALUE"""),"v3-api-policy")</f>
        <v>v3-api-policy</v>
      </c>
      <c r="K58" s="152" t="str">
        <f>IFERROR(__xludf.DUMMYFUNCTION("""COMPUTED_VALUE"""),"https://blueprints.launchpad.net/nova/+spec/v3-api-policy")</f>
        <v>https://blueprints.launchpad.net/nova/+spec/v3-api-policy</v>
      </c>
      <c r="L58" s="52"/>
      <c r="M58" s="52"/>
      <c r="N58" s="52"/>
      <c r="O58" s="52"/>
      <c r="P58" s="52" t="str">
        <f>IFERROR(__xludf.DUMMYFUNCTION("""COMPUTED_VALUE"""),"v3-api-policy")</f>
        <v>v3-api-policy</v>
      </c>
      <c r="Q58" s="52"/>
      <c r="R58" s="52"/>
      <c r="S58" s="52"/>
      <c r="T58" s="52"/>
      <c r="U58" s="52"/>
      <c r="V58" s="52"/>
      <c r="W58" s="43"/>
      <c r="X58" s="153" t="str">
        <f>IFERROR(__xludf.DUMMYFUNCTION("""COMPUTED_VALUE"""),"https://www.mail-archive.com/openstack-dev@lists.openstack.org/ ")</f>
        <v>https://www.mail-archive.com/openstack-dev@lists.openstack.org/ </v>
      </c>
      <c r="Y58" s="43"/>
      <c r="Z58" s="43"/>
      <c r="AA58" s="43"/>
      <c r="AB58" s="43"/>
      <c r="AC58" s="43" t="str">
        <f t="shared" si="1"/>
        <v>NOVA 1434855</v>
      </c>
    </row>
    <row r="59">
      <c r="A59" s="52" t="str">
        <f>IFERROR(__xludf.DUMMYFUNCTION("""COMPUTED_VALUE"""),"NOVA 1437855")</f>
        <v>NOVA 1437855</v>
      </c>
      <c r="B59" s="52">
        <f>IFERROR(__xludf.DUMMYFUNCTION("""COMPUTED_VALUE"""),1437855.0)</f>
        <v>1437855</v>
      </c>
      <c r="C59" s="52"/>
      <c r="D59" s="52"/>
      <c r="E59" s="52"/>
      <c r="F59" s="52" t="str">
        <f>IFERROR(__xludf.DUMMYFUNCTION("""COMPUTED_VALUE"""),"7cef50ad800274cad3d07240cc468d038ce4031b")</f>
        <v>7cef50ad800274cad3d07240cc468d038ce4031b</v>
      </c>
      <c r="G59" s="152" t="str">
        <f>IFERROR(__xludf.DUMMYFUNCTION("""COMPUTED_VALUE"""),"https://opendev.org/openstack/nova/commit/7cef50ad800274cad3d07240cc468d038ce4031b")</f>
        <v>https://opendev.org/openstack/nova/commit/7cef50ad800274cad3d07240cc468d038ce4031b</v>
      </c>
      <c r="H59" s="52">
        <f>IFERROR(__xludf.DUMMYFUNCTION("""COMPUTED_VALUE"""),28774.0)</f>
        <v>28774</v>
      </c>
      <c r="I59" s="152" t="str">
        <f>IFERROR(__xludf.DUMMYFUNCTION("""COMPUTED_VALUE"""),"https://review.opendev.org/c/openstack/nova/+/28774")</f>
        <v>https://review.opendev.org/c/openstack/nova/+/28774</v>
      </c>
      <c r="J59" s="52"/>
      <c r="K59" s="52"/>
      <c r="L59" s="52"/>
      <c r="M59" s="52"/>
      <c r="N59" s="52"/>
      <c r="O59" s="52"/>
      <c r="P59" s="52"/>
      <c r="Q59" s="52"/>
      <c r="R59" s="52"/>
      <c r="S59" s="52"/>
      <c r="T59" s="52"/>
      <c r="U59" s="52"/>
      <c r="V59" s="52"/>
      <c r="W59" s="43"/>
      <c r="X59" s="153" t="str">
        <f>IFERROR(__xludf.DUMMYFUNCTION("""COMPUTED_VALUE"""),"https://www.mail-archive.com/openstack-dev@lists.openstack.org/ ")</f>
        <v>https://www.mail-archive.com/openstack-dev@lists.openstack.org/ </v>
      </c>
      <c r="Y59" s="43"/>
      <c r="Z59" s="43"/>
      <c r="AA59" s="43"/>
      <c r="AB59" s="43"/>
      <c r="AC59" s="43" t="str">
        <f t="shared" si="1"/>
        <v>NOVA 1437855</v>
      </c>
    </row>
    <row r="60">
      <c r="A60" s="52" t="str">
        <f>IFERROR(__xludf.DUMMYFUNCTION("""COMPUTED_VALUE"""),"NOVA 1438331")</f>
        <v>NOVA 1438331</v>
      </c>
      <c r="B60" s="52">
        <f>IFERROR(__xludf.DUMMYFUNCTION("""COMPUTED_VALUE"""),1438331.0)</f>
        <v>1438331</v>
      </c>
      <c r="C60" s="52"/>
      <c r="D60" s="52"/>
      <c r="E60" s="52"/>
      <c r="F60" s="52" t="str">
        <f>IFERROR(__xludf.DUMMYFUNCTION("""COMPUTED_VALUE"""),"5876827d92bad3c408651184d9fea835639d8db8")</f>
        <v>5876827d92bad3c408651184d9fea835639d8db8</v>
      </c>
      <c r="G60" s="152" t="str">
        <f>IFERROR(__xludf.DUMMYFUNCTION("""COMPUTED_VALUE"""),"https://opendev.org/openstack/nova/commit/5876827d92bad3c408651184d9fea835639d8db8")</f>
        <v>https://opendev.org/openstack/nova/commit/5876827d92bad3c408651184d9fea835639d8db8</v>
      </c>
      <c r="H60" s="52">
        <f>IFERROR(__xludf.DUMMYFUNCTION("""COMPUTED_VALUE"""),113741.0)</f>
        <v>113741</v>
      </c>
      <c r="I60" s="152" t="str">
        <f>IFERROR(__xludf.DUMMYFUNCTION("""COMPUTED_VALUE"""),"https://review.opendev.org/c/openstack/nova/+/113741")</f>
        <v>https://review.opendev.org/c/openstack/nova/+/113741</v>
      </c>
      <c r="J60" s="52" t="str">
        <f>IFERROR(__xludf.DUMMYFUNCTION("""COMPUTED_VALUE"""),"compute-manager-objects-juno")</f>
        <v>compute-manager-objects-juno</v>
      </c>
      <c r="K60" s="152" t="str">
        <f>IFERROR(__xludf.DUMMYFUNCTION("""COMPUTED_VALUE"""),"https://blueprints.launchpad.net/nova/+spec/compute-manager-objects-juno")</f>
        <v>https://blueprints.launchpad.net/nova/+spec/compute-manager-objects-juno</v>
      </c>
      <c r="L60" s="52"/>
      <c r="M60" s="52"/>
      <c r="N60" s="52"/>
      <c r="O60" s="52"/>
      <c r="P60" s="52" t="str">
        <f>IFERROR(__xludf.DUMMYFUNCTION("""COMPUTED_VALUE"""),"compute-manager-objects-juno")</f>
        <v>compute-manager-objects-juno</v>
      </c>
      <c r="Q60" s="52"/>
      <c r="R60" s="52"/>
      <c r="S60" s="52"/>
      <c r="T60" s="52"/>
      <c r="U60" s="52"/>
      <c r="V60" s="52"/>
      <c r="W60" s="43"/>
      <c r="X60" s="153" t="str">
        <f>IFERROR(__xludf.DUMMYFUNCTION("""COMPUTED_VALUE"""),"https://www.mail-archive.com/openstack-dev@lists.openstack.org/ ")</f>
        <v>https://www.mail-archive.com/openstack-dev@lists.openstack.org/ </v>
      </c>
      <c r="Y60" s="154"/>
      <c r="Z60" s="154"/>
      <c r="AA60" s="43"/>
      <c r="AB60" s="43"/>
      <c r="AC60" s="43" t="str">
        <f t="shared" si="1"/>
        <v>NOVA 1438331</v>
      </c>
    </row>
    <row r="61">
      <c r="A61" s="52" t="str">
        <f>IFERROR(__xludf.DUMMYFUNCTION("""COMPUTED_VALUE"""),"NOVA 1441000")</f>
        <v>NOVA 1441000</v>
      </c>
      <c r="B61" s="52">
        <f>IFERROR(__xludf.DUMMYFUNCTION("""COMPUTED_VALUE"""),1441000.0)</f>
        <v>1441000</v>
      </c>
      <c r="C61" s="52"/>
      <c r="D61" s="52"/>
      <c r="E61" s="52"/>
      <c r="F61" s="52" t="str">
        <f>IFERROR(__xludf.DUMMYFUNCTION("""COMPUTED_VALUE"""),"f90885bacba3728dc9a35e99eecef37a37b881e2")</f>
        <v>f90885bacba3728dc9a35e99eecef37a37b881e2</v>
      </c>
      <c r="G61" s="152" t="str">
        <f>IFERROR(__xludf.DUMMYFUNCTION("""COMPUTED_VALUE"""),"https://opendev.org/openstack/nova/commit/f90885bacba3728dc9a35e99eecef37a37b881e2")</f>
        <v>https://opendev.org/openstack/nova/commit/f90885bacba3728dc9a35e99eecef37a37b881e2</v>
      </c>
      <c r="H61" s="52">
        <f>IFERROR(__xludf.DUMMYFUNCTION("""COMPUTED_VALUE"""),132231.0)</f>
        <v>132231</v>
      </c>
      <c r="I61" s="152" t="str">
        <f>IFERROR(__xludf.DUMMYFUNCTION("""COMPUTED_VALUE"""),"https://review.opendev.org/c/openstack/nova/+/132231")</f>
        <v>https://review.opendev.org/c/openstack/nova/+/132231</v>
      </c>
      <c r="J61" s="52"/>
      <c r="K61" s="52"/>
      <c r="L61" s="52"/>
      <c r="M61" s="52"/>
      <c r="N61" s="52"/>
      <c r="O61" s="52"/>
      <c r="P61" s="52"/>
      <c r="Q61" s="52"/>
      <c r="R61" s="52"/>
      <c r="S61" s="52"/>
      <c r="T61" s="52"/>
      <c r="U61" s="52"/>
      <c r="V61" s="52"/>
      <c r="W61" s="43"/>
      <c r="X61" s="153" t="str">
        <f>IFERROR(__xludf.DUMMYFUNCTION("""COMPUTED_VALUE"""),"https://www.mail-archive.com/openstack-dev@lists.openstack.org/ ")</f>
        <v>https://www.mail-archive.com/openstack-dev@lists.openstack.org/ </v>
      </c>
      <c r="Y61" s="43"/>
      <c r="Z61" s="43"/>
      <c r="AA61" s="43"/>
      <c r="AB61" s="43"/>
      <c r="AC61" s="43" t="str">
        <f t="shared" si="1"/>
        <v>NOVA 1441000</v>
      </c>
    </row>
    <row r="62">
      <c r="A62" s="52" t="str">
        <f>IFERROR(__xludf.DUMMYFUNCTION("""COMPUTED_VALUE"""),"NOVA 1443697")</f>
        <v>NOVA 1443697</v>
      </c>
      <c r="B62" s="52">
        <f>IFERROR(__xludf.DUMMYFUNCTION("""COMPUTED_VALUE"""),1443697.0)</f>
        <v>1443697</v>
      </c>
      <c r="C62" s="52"/>
      <c r="D62" s="52"/>
      <c r="E62" s="52"/>
      <c r="F62" s="52" t="str">
        <f>IFERROR(__xludf.DUMMYFUNCTION("""COMPUTED_VALUE"""),"98dcd0dc6fe19ab243556874e4f0910e78484e02")</f>
        <v>98dcd0dc6fe19ab243556874e4f0910e78484e02</v>
      </c>
      <c r="G62" s="152" t="str">
        <f>IFERROR(__xludf.DUMMYFUNCTION("""COMPUTED_VALUE"""),"https://opendev.org/openstack/nova/commit/98dcd0dc6fe19ab243556874e4f0910e78484e02")</f>
        <v>https://opendev.org/openstack/nova/commit/98dcd0dc6fe19ab243556874e4f0910e78484e02</v>
      </c>
      <c r="H62" s="52">
        <f>IFERROR(__xludf.DUMMYFUNCTION("""COMPUTED_VALUE"""),150293.0)</f>
        <v>150293</v>
      </c>
      <c r="I62" s="152" t="str">
        <f>IFERROR(__xludf.DUMMYFUNCTION("""COMPUTED_VALUE"""),"https://review.opendev.org/c/openstack/nova/+/150293")</f>
        <v>https://review.opendev.org/c/openstack/nova/+/150293</v>
      </c>
      <c r="J62" s="52" t="str">
        <f>IFERROR(__xludf.DUMMYFUNCTION("""COMPUTED_VALUE"""),"v3-api-policy")</f>
        <v>v3-api-policy</v>
      </c>
      <c r="K62" s="152" t="str">
        <f>IFERROR(__xludf.DUMMYFUNCTION("""COMPUTED_VALUE"""),"https://blueprints.launchpad.net/nova/+spec/v3-api-policy")</f>
        <v>https://blueprints.launchpad.net/nova/+spec/v3-api-policy</v>
      </c>
      <c r="L62" s="52"/>
      <c r="M62" s="52"/>
      <c r="N62" s="52"/>
      <c r="O62" s="52"/>
      <c r="P62" s="52" t="str">
        <f>IFERROR(__xludf.DUMMYFUNCTION("""COMPUTED_VALUE"""),"v3-api-policy")</f>
        <v>v3-api-policy</v>
      </c>
      <c r="Q62" s="52"/>
      <c r="R62" s="52"/>
      <c r="S62" s="52"/>
      <c r="T62" s="52"/>
      <c r="U62" s="52"/>
      <c r="V62" s="52"/>
      <c r="W62" s="43"/>
      <c r="X62" s="153" t="str">
        <f>IFERROR(__xludf.DUMMYFUNCTION("""COMPUTED_VALUE"""),"https://www.mail-archive.com/openstack-dev@lists.openstack.org/ ")</f>
        <v>https://www.mail-archive.com/openstack-dev@lists.openstack.org/ </v>
      </c>
      <c r="Y62" s="43"/>
      <c r="Z62" s="43"/>
      <c r="AA62" s="43"/>
      <c r="AB62" s="43"/>
      <c r="AC62" s="43" t="str">
        <f t="shared" si="1"/>
        <v>NOVA 1443697</v>
      </c>
    </row>
    <row r="63">
      <c r="A63" s="52" t="str">
        <f>IFERROR(__xludf.DUMMYFUNCTION("""COMPUTED_VALUE"""),"NOVA 1443970")</f>
        <v>NOVA 1443970</v>
      </c>
      <c r="B63" s="52">
        <f>IFERROR(__xludf.DUMMYFUNCTION("""COMPUTED_VALUE"""),1443970.0)</f>
        <v>1443970</v>
      </c>
      <c r="C63" s="52"/>
      <c r="D63" s="52"/>
      <c r="E63" s="52"/>
      <c r="F63" s="52" t="str">
        <f>IFERROR(__xludf.DUMMYFUNCTION("""COMPUTED_VALUE"""),"995ee643f3291157151d195552232d09d471d8c2")</f>
        <v>995ee643f3291157151d195552232d09d471d8c2</v>
      </c>
      <c r="G63" s="152" t="str">
        <f>IFERROR(__xludf.DUMMYFUNCTION("""COMPUTED_VALUE"""),"https://opendev.org/openstack/nova/commit/995ee643f3291157151d195552232d09d471d8c2")</f>
        <v>https://opendev.org/openstack/nova/commit/995ee643f3291157151d195552232d09d471d8c2</v>
      </c>
      <c r="H63" s="52">
        <f>IFERROR(__xludf.DUMMYFUNCTION("""COMPUTED_VALUE"""),94811.0)</f>
        <v>94811</v>
      </c>
      <c r="I63" s="152" t="str">
        <f>IFERROR(__xludf.DUMMYFUNCTION("""COMPUTED_VALUE"""),"https://review.opendev.org/c/openstack/nova/+/94811")</f>
        <v>https://review.opendev.org/c/openstack/nova/+/94811</v>
      </c>
      <c r="J63" s="52"/>
      <c r="K63" s="52"/>
      <c r="L63" s="52"/>
      <c r="M63" s="52"/>
      <c r="N63" s="52"/>
      <c r="O63" s="52"/>
      <c r="P63" s="52"/>
      <c r="Q63" s="52"/>
      <c r="R63" s="52"/>
      <c r="S63" s="52"/>
      <c r="T63" s="52"/>
      <c r="U63" s="52"/>
      <c r="V63" s="52"/>
      <c r="W63" s="43"/>
      <c r="X63" s="153" t="str">
        <f>IFERROR(__xludf.DUMMYFUNCTION("""COMPUTED_VALUE"""),"https://www.mail-archive.com/openstack-dev@lists.openstack.org/ ")</f>
        <v>https://www.mail-archive.com/openstack-dev@lists.openstack.org/ </v>
      </c>
      <c r="Y63" s="43"/>
      <c r="Z63" s="43"/>
      <c r="AA63" s="43"/>
      <c r="AB63" s="43"/>
      <c r="AC63" s="43" t="str">
        <f t="shared" si="1"/>
        <v>NOVA 1443970</v>
      </c>
    </row>
    <row r="64">
      <c r="A64" s="52" t="str">
        <f>IFERROR(__xludf.DUMMYFUNCTION("""COMPUTED_VALUE"""),"NOVA 1447249")</f>
        <v>NOVA 1447249</v>
      </c>
      <c r="B64" s="52">
        <f>IFERROR(__xludf.DUMMYFUNCTION("""COMPUTED_VALUE"""),1447249.0)</f>
        <v>1447249</v>
      </c>
      <c r="C64" s="52"/>
      <c r="D64" s="52"/>
      <c r="E64" s="52"/>
      <c r="F64" s="52" t="str">
        <f>IFERROR(__xludf.DUMMYFUNCTION("""COMPUTED_VALUE"""),"ce28166dcf25a3d589e6f020b2dfa64705d15126")</f>
        <v>ce28166dcf25a3d589e6f020b2dfa64705d15126</v>
      </c>
      <c r="G64" s="152" t="str">
        <f>IFERROR(__xludf.DUMMYFUNCTION("""COMPUTED_VALUE"""),"https://opendev.org/openstack/nova/commit/ce28166dcf25a3d589e6f020b2dfa64705d15126")</f>
        <v>https://opendev.org/openstack/nova/commit/ce28166dcf25a3d589e6f020b2dfa64705d15126</v>
      </c>
      <c r="H64" s="52">
        <f>IFERROR(__xludf.DUMMYFUNCTION("""COMPUTED_VALUE"""),142282.0)</f>
        <v>142282</v>
      </c>
      <c r="I64" s="152" t="str">
        <f>IFERROR(__xludf.DUMMYFUNCTION("""COMPUTED_VALUE"""),"https://review.opendev.org/c/openstack/nova/+/142282")</f>
        <v>https://review.opendev.org/c/openstack/nova/+/142282</v>
      </c>
      <c r="J64" s="52" t="str">
        <f>IFERROR(__xludf.DUMMYFUNCTION("""COMPUTED_VALUE"""),"kilo-objects")</f>
        <v>kilo-objects</v>
      </c>
      <c r="K64" s="152" t="str">
        <f>IFERROR(__xludf.DUMMYFUNCTION("""COMPUTED_VALUE"""),"https://blueprints.launchpad.net/nova/+spec/kilo-objects")</f>
        <v>https://blueprints.launchpad.net/nova/+spec/kilo-objects</v>
      </c>
      <c r="L64" s="52"/>
      <c r="M64" s="52"/>
      <c r="N64" s="52"/>
      <c r="O64" s="52"/>
      <c r="P64" s="52" t="str">
        <f>IFERROR(__xludf.DUMMYFUNCTION("""COMPUTED_VALUE"""),"kilo-objects")</f>
        <v>kilo-objects</v>
      </c>
      <c r="Q64" s="52"/>
      <c r="R64" s="52"/>
      <c r="S64" s="52"/>
      <c r="T64" s="52"/>
      <c r="U64" s="52"/>
      <c r="V64" s="52"/>
      <c r="W64" s="43"/>
      <c r="X64" s="153" t="str">
        <f>IFERROR(__xludf.DUMMYFUNCTION("""COMPUTED_VALUE"""),"https://www.mail-archive.com/openstack-dev@lists.openstack.org/ ")</f>
        <v>https://www.mail-archive.com/openstack-dev@lists.openstack.org/ </v>
      </c>
      <c r="Y64" s="43"/>
      <c r="Z64" s="43"/>
      <c r="AA64" s="43"/>
      <c r="AB64" s="43"/>
      <c r="AC64" s="43" t="str">
        <f t="shared" si="1"/>
        <v>NOVA 1447249</v>
      </c>
    </row>
    <row r="65">
      <c r="A65" s="52" t="str">
        <f>IFERROR(__xludf.DUMMYFUNCTION("""COMPUTED_VALUE"""),"NOVA 1453274")</f>
        <v>NOVA 1453274</v>
      </c>
      <c r="B65" s="52">
        <f>IFERROR(__xludf.DUMMYFUNCTION("""COMPUTED_VALUE"""),1453274.0)</f>
        <v>1453274</v>
      </c>
      <c r="C65" s="52"/>
      <c r="D65" s="52"/>
      <c r="E65" s="52"/>
      <c r="F65" s="52" t="str">
        <f>IFERROR(__xludf.DUMMYFUNCTION("""COMPUTED_VALUE"""),"c363dae6a2b878db6801b502cced1fcc6aad2d0c")</f>
        <v>c363dae6a2b878db6801b502cced1fcc6aad2d0c</v>
      </c>
      <c r="G65" s="152" t="str">
        <f>IFERROR(__xludf.DUMMYFUNCTION("""COMPUTED_VALUE"""),"https://opendev.org/openstack/nova/commit/c363dae6a2b878db6801b502cced1fcc6aad2d0c")</f>
        <v>https://opendev.org/openstack/nova/commit/c363dae6a2b878db6801b502cced1fcc6aad2d0c</v>
      </c>
      <c r="H65" s="52">
        <f>IFERROR(__xludf.DUMMYFUNCTION("""COMPUTED_VALUE"""),109489.0)</f>
        <v>109489</v>
      </c>
      <c r="I65" s="152" t="str">
        <f>IFERROR(__xludf.DUMMYFUNCTION("""COMPUTED_VALUE"""),"https://review.opendev.org/c/openstack/nova/+/109489")</f>
        <v>https://review.opendev.org/c/openstack/nova/+/109489</v>
      </c>
      <c r="J65" s="52">
        <f>IFERROR(__xludf.DUMMYFUNCTION("""COMPUTED_VALUE"""),1348288.0)</f>
        <v>1348288</v>
      </c>
      <c r="K65" s="152" t="str">
        <f>IFERROR(__xludf.DUMMYFUNCTION("""COMPUTED_VALUE"""),"https://bugs.launchpad.net/nova/+bug/1348288")</f>
        <v>https://bugs.launchpad.net/nova/+bug/1348288</v>
      </c>
      <c r="L65" s="52"/>
      <c r="M65" s="52"/>
      <c r="N65" s="52"/>
      <c r="O65" s="52"/>
      <c r="P65" s="52">
        <f>IFERROR(__xludf.DUMMYFUNCTION("""COMPUTED_VALUE"""),1348288.0)</f>
        <v>1348288</v>
      </c>
      <c r="Q65" s="52"/>
      <c r="R65" s="52"/>
      <c r="S65" s="52"/>
      <c r="T65" s="52"/>
      <c r="U65" s="52"/>
      <c r="V65" s="52"/>
      <c r="W65" s="43"/>
      <c r="X65" s="153" t="str">
        <f>IFERROR(__xludf.DUMMYFUNCTION("""COMPUTED_VALUE"""),"https://www.mail-archive.com/openstack-dev@lists.openstack.org/ ")</f>
        <v>https://www.mail-archive.com/openstack-dev@lists.openstack.org/ </v>
      </c>
      <c r="Y65" s="43"/>
      <c r="Z65" s="43"/>
      <c r="AA65" s="43"/>
      <c r="AB65" s="43"/>
      <c r="AC65" s="43" t="str">
        <f t="shared" si="1"/>
        <v>NOVA 1453274</v>
      </c>
    </row>
    <row r="66">
      <c r="A66" s="52" t="str">
        <f>IFERROR(__xludf.DUMMYFUNCTION("""COMPUTED_VALUE"""),"NOVA 1466390")</f>
        <v>NOVA 1466390</v>
      </c>
      <c r="B66" s="52">
        <f>IFERROR(__xludf.DUMMYFUNCTION("""COMPUTED_VALUE"""),1466390.0)</f>
        <v>1466390</v>
      </c>
      <c r="C66" s="52"/>
      <c r="D66" s="52"/>
      <c r="E66" s="52"/>
      <c r="F66" s="52" t="str">
        <f>IFERROR(__xludf.DUMMYFUNCTION("""COMPUTED_VALUE"""),"fa6c2d4def22f0ddd296572d9ce5b3b6f7267e2f")</f>
        <v>fa6c2d4def22f0ddd296572d9ce5b3b6f7267e2f</v>
      </c>
      <c r="G66" s="152" t="str">
        <f>IFERROR(__xludf.DUMMYFUNCTION("""COMPUTED_VALUE"""),"https://opendev.org/openstack/nova/commit/fa6c2d4def22f0ddd296572d9ce5b3b6f7267e2f")</f>
        <v>https://opendev.org/openstack/nova/commit/fa6c2d4def22f0ddd296572d9ce5b3b6f7267e2f</v>
      </c>
      <c r="H66" s="52" t="str">
        <f>IFERROR(__xludf.DUMMYFUNCTION("""COMPUTED_VALUE"""),"30201, (other branch 32717)")</f>
        <v>30201, (other branch 32717)</v>
      </c>
      <c r="I66" s="152" t="str">
        <f>IFERROR(__xludf.DUMMYFUNCTION("""COMPUTED_VALUE"""),"https://review.opendev.org/c/openstack/nova/+/30201")</f>
        <v>https://review.opendev.org/c/openstack/nova/+/30201</v>
      </c>
      <c r="J66" s="52">
        <f>IFERROR(__xludf.DUMMYFUNCTION("""COMPUTED_VALUE"""),1180178.0)</f>
        <v>1180178</v>
      </c>
      <c r="K66" s="152" t="str">
        <f>IFERROR(__xludf.DUMMYFUNCTION("""COMPUTED_VALUE"""),"https://bugs.launchpad.net/nova/+bug/1180178")</f>
        <v>https://bugs.launchpad.net/nova/+bug/1180178</v>
      </c>
      <c r="L66" s="52"/>
      <c r="M66" s="52"/>
      <c r="N66" s="52"/>
      <c r="O66" s="52"/>
      <c r="P66" s="52">
        <f>IFERROR(__xludf.DUMMYFUNCTION("""COMPUTED_VALUE"""),1180178.0)</f>
        <v>1180178</v>
      </c>
      <c r="Q66" s="52"/>
      <c r="R66" s="52"/>
      <c r="S66" s="52"/>
      <c r="T66" s="52"/>
      <c r="U66" s="52"/>
      <c r="V66" s="52"/>
      <c r="W66" s="43"/>
      <c r="X66" s="153" t="str">
        <f>IFERROR(__xludf.DUMMYFUNCTION("""COMPUTED_VALUE"""),"https://www.mail-archive.com/openstack-dev@lists.openstack.org/ ")</f>
        <v>https://www.mail-archive.com/openstack-dev@lists.openstack.org/ </v>
      </c>
      <c r="Y66" s="43"/>
      <c r="Z66" s="43"/>
      <c r="AA66" s="43"/>
      <c r="AB66" s="43"/>
      <c r="AC66" s="43" t="str">
        <f t="shared" si="1"/>
        <v>NOVA 1466390</v>
      </c>
    </row>
    <row r="67">
      <c r="A67" s="52" t="str">
        <f>IFERROR(__xludf.DUMMYFUNCTION("""COMPUTED_VALUE"""),"NOVA 1467451")</f>
        <v>NOVA 1467451</v>
      </c>
      <c r="B67" s="52">
        <f>IFERROR(__xludf.DUMMYFUNCTION("""COMPUTED_VALUE"""),1467451.0)</f>
        <v>1467451</v>
      </c>
      <c r="C67" s="52"/>
      <c r="D67" s="52"/>
      <c r="E67" s="52"/>
      <c r="F67" s="52" t="str">
        <f>IFERROR(__xludf.DUMMYFUNCTION("""COMPUTED_VALUE"""),"c6088d94bfd11114c94b2bdf7bd51cb4b1989720")</f>
        <v>c6088d94bfd11114c94b2bdf7bd51cb4b1989720</v>
      </c>
      <c r="G67" s="152" t="str">
        <f>IFERROR(__xludf.DUMMYFUNCTION("""COMPUTED_VALUE"""),"https://opendev.org/openstack/nova/commit/c6088d94bfd11114c94b2bdf7bd51cb4b1989720")</f>
        <v>https://opendev.org/openstack/nova/commit/c6088d94bfd11114c94b2bdf7bd51cb4b1989720</v>
      </c>
      <c r="H67" s="52">
        <f>IFERROR(__xludf.DUMMYFUNCTION("""COMPUTED_VALUE"""),140337.0)</f>
        <v>140337</v>
      </c>
      <c r="I67" s="152" t="str">
        <f>IFERROR(__xludf.DUMMYFUNCTION("""COMPUTED_VALUE"""),"https://review.opendev.org/c/openstack/nova/+/140337")</f>
        <v>https://review.opendev.org/c/openstack/nova/+/140337</v>
      </c>
      <c r="J67" s="52"/>
      <c r="K67" s="52"/>
      <c r="L67" s="52"/>
      <c r="M67" s="52"/>
      <c r="N67" s="52"/>
      <c r="O67" s="52"/>
      <c r="P67" s="52"/>
      <c r="Q67" s="52"/>
      <c r="R67" s="52"/>
      <c r="S67" s="52"/>
      <c r="T67" s="52"/>
      <c r="U67" s="52"/>
      <c r="V67" s="52"/>
      <c r="W67" s="43"/>
      <c r="X67" s="153" t="str">
        <f>IFERROR(__xludf.DUMMYFUNCTION("""COMPUTED_VALUE"""),"https://www.mail-archive.com/openstack-dev@lists.openstack.org/ ")</f>
        <v>https://www.mail-archive.com/openstack-dev@lists.openstack.org/ </v>
      </c>
      <c r="Y67" s="43"/>
      <c r="Z67" s="43"/>
      <c r="AA67" s="43"/>
      <c r="AB67" s="43"/>
      <c r="AC67" s="43" t="str">
        <f t="shared" si="1"/>
        <v>NOVA 1467451</v>
      </c>
    </row>
    <row r="68">
      <c r="A68" s="52" t="str">
        <f>IFERROR(__xludf.DUMMYFUNCTION("""COMPUTED_VALUE"""),"NOVA 1475356")</f>
        <v>NOVA 1475356</v>
      </c>
      <c r="B68" s="52">
        <f>IFERROR(__xludf.DUMMYFUNCTION("""COMPUTED_VALUE"""),1475356.0)</f>
        <v>1475356</v>
      </c>
      <c r="C68" s="52"/>
      <c r="D68" s="52"/>
      <c r="E68" s="52"/>
      <c r="F68" s="52" t="str">
        <f>IFERROR(__xludf.DUMMYFUNCTION("""COMPUTED_VALUE"""),"c1dae06f1e366e7681fbffc776153b3ed3af2618")</f>
        <v>c1dae06f1e366e7681fbffc776153b3ed3af2618</v>
      </c>
      <c r="G68" s="152" t="str">
        <f>IFERROR(__xludf.DUMMYFUNCTION("""COMPUTED_VALUE"""),"https://opendev.org/openstack/nova/commit/c1dae06f1e366e7681fbffc776153b3ed3af2618")</f>
        <v>https://opendev.org/openstack/nova/commit/c1dae06f1e366e7681fbffc776153b3ed3af2618</v>
      </c>
      <c r="H68" s="52">
        <f>IFERROR(__xludf.DUMMYFUNCTION("""COMPUTED_VALUE"""),64289.0)</f>
        <v>64289</v>
      </c>
      <c r="I68" s="152" t="str">
        <f>IFERROR(__xludf.DUMMYFUNCTION("""COMPUTED_VALUE"""),"https://review.opendev.org/c/openstack/nova/+/64289")</f>
        <v>https://review.opendev.org/c/openstack/nova/+/64289</v>
      </c>
      <c r="J68" s="52"/>
      <c r="K68" s="52"/>
      <c r="L68" s="52"/>
      <c r="M68" s="52"/>
      <c r="N68" s="52"/>
      <c r="O68" s="52"/>
      <c r="P68" s="52"/>
      <c r="Q68" s="52"/>
      <c r="R68" s="52"/>
      <c r="S68" s="52"/>
      <c r="T68" s="52"/>
      <c r="U68" s="52"/>
      <c r="V68" s="52"/>
      <c r="W68" s="43"/>
      <c r="X68" s="153" t="str">
        <f>IFERROR(__xludf.DUMMYFUNCTION("""COMPUTED_VALUE"""),"https://www.mail-archive.com/openstack-dev@lists.openstack.org/ ")</f>
        <v>https://www.mail-archive.com/openstack-dev@lists.openstack.org/ </v>
      </c>
      <c r="Y68" s="43"/>
      <c r="Z68" s="43"/>
      <c r="AA68" s="43"/>
      <c r="AB68" s="43"/>
      <c r="AC68" s="43" t="str">
        <f t="shared" si="1"/>
        <v>NOVA 1475356</v>
      </c>
    </row>
    <row r="69">
      <c r="A69" s="52" t="str">
        <f>IFERROR(__xludf.DUMMYFUNCTION("""COMPUTED_VALUE"""),"NOVA 1475911")</f>
        <v>NOVA 1475911</v>
      </c>
      <c r="B69" s="52">
        <f>IFERROR(__xludf.DUMMYFUNCTION("""COMPUTED_VALUE"""),1475911.0)</f>
        <v>1475911</v>
      </c>
      <c r="C69" s="52"/>
      <c r="D69" s="52"/>
      <c r="E69" s="52"/>
      <c r="F69" s="52" t="str">
        <f>IFERROR(__xludf.DUMMYFUNCTION("""COMPUTED_VALUE"""),"b826fba1cd61f7ddbee091c220eaef7ea5317c1b")</f>
        <v>b826fba1cd61f7ddbee091c220eaef7ea5317c1b</v>
      </c>
      <c r="G69" s="152" t="str">
        <f>IFERROR(__xludf.DUMMYFUNCTION("""COMPUTED_VALUE"""),"https://opendev.org/openstack/nova/commit/b826fba1cd61f7ddbee091c220eaef7ea5317c1b")</f>
        <v>https://opendev.org/openstack/nova/commit/b826fba1cd61f7ddbee091c220eaef7ea5317c1b</v>
      </c>
      <c r="H69" s="52">
        <f>IFERROR(__xludf.DUMMYFUNCTION("""COMPUTED_VALUE"""),113772.0)</f>
        <v>113772</v>
      </c>
      <c r="I69" s="152" t="str">
        <f>IFERROR(__xludf.DUMMYFUNCTION("""COMPUTED_VALUE"""),"https://review.opendev.org/c/openstack/nova/+/113772")</f>
        <v>https://review.opendev.org/c/openstack/nova/+/113772</v>
      </c>
      <c r="J69" s="52"/>
      <c r="K69" s="52"/>
      <c r="L69" s="52"/>
      <c r="M69" s="52"/>
      <c r="N69" s="52"/>
      <c r="O69" s="52"/>
      <c r="P69" s="52"/>
      <c r="Q69" s="52"/>
      <c r="R69" s="52"/>
      <c r="S69" s="52"/>
      <c r="T69" s="52"/>
      <c r="U69" s="52"/>
      <c r="V69" s="52"/>
      <c r="W69" s="43"/>
      <c r="X69" s="153" t="str">
        <f>IFERROR(__xludf.DUMMYFUNCTION("""COMPUTED_VALUE"""),"https://www.mail-archive.com/openstack-dev@lists.openstack.org/ ")</f>
        <v>https://www.mail-archive.com/openstack-dev@lists.openstack.org/ </v>
      </c>
      <c r="Y69" s="43"/>
      <c r="Z69" s="43"/>
      <c r="AA69" s="43"/>
      <c r="AB69" s="43"/>
      <c r="AC69" s="43" t="str">
        <f t="shared" si="1"/>
        <v>NOVA 1475911</v>
      </c>
    </row>
    <row r="70">
      <c r="A70" s="52" t="str">
        <f>IFERROR(__xludf.DUMMYFUNCTION("""COMPUTED_VALUE"""),"NOVA 1481078")</f>
        <v>NOVA 1481078</v>
      </c>
      <c r="B70" s="52">
        <f>IFERROR(__xludf.DUMMYFUNCTION("""COMPUTED_VALUE"""),1481078.0)</f>
        <v>1481078</v>
      </c>
      <c r="C70" s="52"/>
      <c r="D70" s="52"/>
      <c r="E70" s="52"/>
      <c r="F70" s="52" t="str">
        <f>IFERROR(__xludf.DUMMYFUNCTION("""COMPUTED_VALUE"""),"05120edf92627ff7ad20a928f8b94568031556c9")</f>
        <v>05120edf92627ff7ad20a928f8b94568031556c9</v>
      </c>
      <c r="G70" s="152" t="str">
        <f>IFERROR(__xludf.DUMMYFUNCTION("""COMPUTED_VALUE"""),"https://opendev.org/openstack/nova/commit/05120edf92627ff7ad20a928f8b94568031556c9")</f>
        <v>https://opendev.org/openstack/nova/commit/05120edf92627ff7ad20a928f8b94568031556c9</v>
      </c>
      <c r="H70" s="52">
        <f>IFERROR(__xludf.DUMMYFUNCTION("""COMPUTED_VALUE"""),175551.0)</f>
        <v>175551</v>
      </c>
      <c r="I70" s="152" t="str">
        <f>IFERROR(__xludf.DUMMYFUNCTION("""COMPUTED_VALUE"""),"https://review.opendev.org/c/openstack/nova/+/175551")</f>
        <v>https://review.opendev.org/c/openstack/nova/+/175551</v>
      </c>
      <c r="J70" s="52" t="str">
        <f>IFERROR(__xludf.DUMMYFUNCTION("""COMPUTED_VALUE"""),"nova-no-downward-sql-migration")</f>
        <v>nova-no-downward-sql-migration</v>
      </c>
      <c r="K70" s="152" t="str">
        <f>IFERROR(__xludf.DUMMYFUNCTION("""COMPUTED_VALUE"""),"https://blueprints.launchpad.net/nova/+spec/nova-no-downward-sql-migration")</f>
        <v>https://blueprints.launchpad.net/nova/+spec/nova-no-downward-sql-migration</v>
      </c>
      <c r="L70" s="52"/>
      <c r="M70" s="52"/>
      <c r="N70" s="52"/>
      <c r="O70" s="52"/>
      <c r="P70" s="52" t="str">
        <f>IFERROR(__xludf.DUMMYFUNCTION("""COMPUTED_VALUE"""),"nova-no-downward-sql-migration")</f>
        <v>nova-no-downward-sql-migration</v>
      </c>
      <c r="Q70" s="52"/>
      <c r="R70" s="52"/>
      <c r="S70" s="52"/>
      <c r="T70" s="52"/>
      <c r="U70" s="52"/>
      <c r="V70" s="52"/>
      <c r="W70" s="43"/>
      <c r="X70" s="153" t="str">
        <f>IFERROR(__xludf.DUMMYFUNCTION("""COMPUTED_VALUE"""),"https://www.mail-archive.com/openstack-dev@lists.openstack.org/ ")</f>
        <v>https://www.mail-archive.com/openstack-dev@lists.openstack.org/ </v>
      </c>
      <c r="Y70" s="43"/>
      <c r="Z70" s="43"/>
      <c r="AA70" s="43"/>
      <c r="AB70" s="43"/>
      <c r="AC70" s="43" t="str">
        <f t="shared" si="1"/>
        <v>NOVA 1481078</v>
      </c>
    </row>
    <row r="71">
      <c r="A71" s="52" t="str">
        <f>IFERROR(__xludf.DUMMYFUNCTION("""COMPUTED_VALUE"""),"NOVA 1481164")</f>
        <v>NOVA 1481164</v>
      </c>
      <c r="B71" s="52">
        <f>IFERROR(__xludf.DUMMYFUNCTION("""COMPUTED_VALUE"""),1481164.0)</f>
        <v>1481164</v>
      </c>
      <c r="C71" s="52"/>
      <c r="D71" s="52"/>
      <c r="E71" s="52"/>
      <c r="F71" s="52"/>
      <c r="G71" s="52"/>
      <c r="H71" s="52"/>
      <c r="I71" s="52"/>
      <c r="J71" s="52"/>
      <c r="K71" s="52"/>
      <c r="L71" s="52"/>
      <c r="M71" s="52"/>
      <c r="N71" s="52"/>
      <c r="O71" s="52"/>
      <c r="P71" s="52"/>
      <c r="Q71" s="52"/>
      <c r="R71" s="52"/>
      <c r="S71" s="52"/>
      <c r="T71" s="52"/>
      <c r="U71" s="52"/>
      <c r="V71" s="52"/>
      <c r="W71" s="43"/>
      <c r="X71" s="153" t="str">
        <f>IFERROR(__xludf.DUMMYFUNCTION("""COMPUTED_VALUE"""),"https://www.mail-archive.com/openstack-dev@lists.openstack.org/ ")</f>
        <v>https://www.mail-archive.com/openstack-dev@lists.openstack.org/ </v>
      </c>
      <c r="Y71" s="43"/>
      <c r="Z71" s="43"/>
      <c r="AA71" s="43"/>
      <c r="AB71" s="43"/>
      <c r="AC71" s="43" t="str">
        <f t="shared" si="1"/>
        <v>NOVA 1481164</v>
      </c>
    </row>
    <row r="72">
      <c r="A72" s="52" t="str">
        <f>IFERROR(__xludf.DUMMYFUNCTION("""COMPUTED_VALUE"""),"NOVA 1486541")</f>
        <v>NOVA 1486541</v>
      </c>
      <c r="B72" s="52">
        <f>IFERROR(__xludf.DUMMYFUNCTION("""COMPUTED_VALUE"""),1486541.0)</f>
        <v>1486541</v>
      </c>
      <c r="C72" s="52"/>
      <c r="D72" s="52"/>
      <c r="E72" s="52"/>
      <c r="F72" s="52" t="str">
        <f>IFERROR(__xludf.DUMMYFUNCTION("""COMPUTED_VALUE"""),"1d551dc96658ade41c8e9fabc6d9b41a28d5ed15")</f>
        <v>1d551dc96658ade41c8e9fabc6d9b41a28d5ed15</v>
      </c>
      <c r="G72" s="152" t="str">
        <f>IFERROR(__xludf.DUMMYFUNCTION("""COMPUTED_VALUE"""),"https://opendev.org/openstack/nova/commit/1d551dc96658ade41c8e9fabc6d9b41a28d5ed15")</f>
        <v>https://opendev.org/openstack/nova/commit/1d551dc96658ade41c8e9fabc6d9b41a28d5ed15</v>
      </c>
      <c r="H72" s="52">
        <f>IFERROR(__xludf.DUMMYFUNCTION("""COMPUTED_VALUE"""),63612.0)</f>
        <v>63612</v>
      </c>
      <c r="I72" s="152" t="str">
        <f>IFERROR(__xludf.DUMMYFUNCTION("""COMPUTED_VALUE"""),"https://review.opendev.org/c/openstack/nova/+/63612")</f>
        <v>https://review.opendev.org/c/openstack/nova/+/63612</v>
      </c>
      <c r="J72" s="52" t="str">
        <f>IFERROR(__xludf.DUMMYFUNCTION("""COMPUTED_VALUE"""),"compute-manager-objects")</f>
        <v>compute-manager-objects</v>
      </c>
      <c r="K72" s="152" t="str">
        <f>IFERROR(__xludf.DUMMYFUNCTION("""COMPUTED_VALUE"""),"https://blueprints.launchpad.net/nova/+spec/compute-manager-objects")</f>
        <v>https://blueprints.launchpad.net/nova/+spec/compute-manager-objects</v>
      </c>
      <c r="L72" s="52" t="str">
        <f>IFERROR(__xludf.DUMMYFUNCTION("""COMPUTED_VALUE"""),"icehouse-objects")</f>
        <v>icehouse-objects</v>
      </c>
      <c r="M72" s="152" t="str">
        <f>IFERROR(__xludf.DUMMYFUNCTION("""COMPUTED_VALUE"""),"https://blueprints.launchpad.net/nova/+spec/icehouse-objects")</f>
        <v>https://blueprints.launchpad.net/nova/+spec/icehouse-objects</v>
      </c>
      <c r="N72" s="52"/>
      <c r="O72" s="52"/>
      <c r="P72" s="52" t="str">
        <f>IFERROR(__xludf.DUMMYFUNCTION("""COMPUTED_VALUE"""),"compute-manager-objects, icehouse-objects")</f>
        <v>compute-manager-objects, icehouse-objects</v>
      </c>
      <c r="Q72" s="52"/>
      <c r="R72" s="52"/>
      <c r="S72" s="52"/>
      <c r="T72" s="52"/>
      <c r="U72" s="52"/>
      <c r="V72" s="52"/>
      <c r="W72" s="43"/>
      <c r="X72" s="153" t="str">
        <f>IFERROR(__xludf.DUMMYFUNCTION("""COMPUTED_VALUE"""),"https://www.mail-archive.com/openstack-dev@lists.openstack.org/ ")</f>
        <v>https://www.mail-archive.com/openstack-dev@lists.openstack.org/ </v>
      </c>
      <c r="Y72" s="43"/>
      <c r="Z72" s="43"/>
      <c r="AA72" s="43"/>
      <c r="AB72" s="43"/>
      <c r="AC72" s="43" t="str">
        <f t="shared" si="1"/>
        <v>NOVA 1486541</v>
      </c>
    </row>
    <row r="73">
      <c r="A73" s="52" t="str">
        <f>IFERROR(__xludf.DUMMYFUNCTION("""COMPUTED_VALUE"""),"NOVA 1505471")</f>
        <v>NOVA 1505471</v>
      </c>
      <c r="B73" s="52">
        <f>IFERROR(__xludf.DUMMYFUNCTION("""COMPUTED_VALUE"""),1505471.0)</f>
        <v>1505471</v>
      </c>
      <c r="C73" s="52"/>
      <c r="D73" s="52"/>
      <c r="E73" s="52"/>
      <c r="F73" s="52" t="str">
        <f>IFERROR(__xludf.DUMMYFUNCTION("""COMPUTED_VALUE"""),"ac658aa7d0671fb9b5a0a2c504f4b73dff514da9")</f>
        <v>ac658aa7d0671fb9b5a0a2c504f4b73dff514da9</v>
      </c>
      <c r="G73" s="152" t="str">
        <f>IFERROR(__xludf.DUMMYFUNCTION("""COMPUTED_VALUE"""),"https://opendev.org/openstack/nova/commit/ac658aa7d0671fb9b5a0a2c504f4b73dff514da9")</f>
        <v>https://opendev.org/openstack/nova/commit/ac658aa7d0671fb9b5a0a2c504f4b73dff514da9</v>
      </c>
      <c r="H73" s="52">
        <f>IFERROR(__xludf.DUMMYFUNCTION("""COMPUTED_VALUE"""),17839.0)</f>
        <v>17839</v>
      </c>
      <c r="I73" s="152" t="str">
        <f>IFERROR(__xludf.DUMMYFUNCTION("""COMPUTED_VALUE"""),"https://review.opendev.org/c/openstack/nova/+/17839")</f>
        <v>https://review.opendev.org/c/openstack/nova/+/17839</v>
      </c>
      <c r="J73" s="52" t="str">
        <f>IFERROR(__xludf.DUMMYFUNCTION("""COMPUTED_VALUE"""),"scope-config-opts")</f>
        <v>scope-config-opts</v>
      </c>
      <c r="K73" s="152" t="str">
        <f>IFERROR(__xludf.DUMMYFUNCTION("""COMPUTED_VALUE"""),"https://blueprints.launchpad.net/nova/+spec/scope-config-opts")</f>
        <v>https://blueprints.launchpad.net/nova/+spec/scope-config-opts</v>
      </c>
      <c r="L73" s="52"/>
      <c r="M73" s="52"/>
      <c r="N73" s="52"/>
      <c r="O73" s="52"/>
      <c r="P73" s="52" t="str">
        <f>IFERROR(__xludf.DUMMYFUNCTION("""COMPUTED_VALUE"""),"scope-config-opts")</f>
        <v>scope-config-opts</v>
      </c>
      <c r="Q73" s="52"/>
      <c r="R73" s="52"/>
      <c r="S73" s="52"/>
      <c r="T73" s="52"/>
      <c r="U73" s="52"/>
      <c r="V73" s="52"/>
      <c r="W73" s="43"/>
      <c r="X73" s="153" t="str">
        <f>IFERROR(__xludf.DUMMYFUNCTION("""COMPUTED_VALUE"""),"https://www.mail-archive.com/openstack-dev@lists.openstack.org/ ")</f>
        <v>https://www.mail-archive.com/openstack-dev@lists.openstack.org/ </v>
      </c>
      <c r="Y73" s="43"/>
      <c r="Z73" s="43"/>
      <c r="AA73" s="43"/>
      <c r="AB73" s="43"/>
      <c r="AC73" s="43" t="str">
        <f t="shared" si="1"/>
        <v>NOVA 1505471</v>
      </c>
    </row>
    <row r="75">
      <c r="AC75" s="43">
        <f>COLUMN(AC74)</f>
        <v>29</v>
      </c>
    </row>
  </sheetData>
  <hyperlinks>
    <hyperlink r:id="rId1" ref="G2"/>
    <hyperlink r:id="rId2" ref="G3"/>
    <hyperlink r:id="rId3" ref="G4"/>
    <hyperlink r:id="rId4" ref="G5"/>
    <hyperlink r:id="rId5" ref="G6"/>
    <hyperlink r:id="rId6" ref="G7"/>
    <hyperlink r:id="rId7" ref="G8"/>
    <hyperlink r:id="rId8" ref="I8"/>
    <hyperlink r:id="rId9" ref="K8"/>
    <hyperlink r:id="rId10" ref="G9"/>
    <hyperlink r:id="rId11" ref="G10"/>
    <hyperlink r:id="rId12" ref="G11"/>
    <hyperlink r:id="rId13" ref="I11"/>
    <hyperlink r:id="rId14" ref="G12"/>
    <hyperlink r:id="rId15" ref="G13"/>
    <hyperlink r:id="rId16" ref="K13"/>
    <hyperlink r:id="rId17" ref="G14"/>
    <hyperlink r:id="rId18" ref="I14"/>
    <hyperlink r:id="rId19" ref="G15"/>
    <hyperlink r:id="rId20" ref="G16"/>
    <hyperlink r:id="rId21" ref="G17"/>
    <hyperlink r:id="rId22" ref="G18"/>
    <hyperlink r:id="rId23" ref="G19"/>
    <hyperlink r:id="rId24" ref="K19"/>
    <hyperlink r:id="rId25" ref="G20"/>
    <hyperlink r:id="rId26" ref="I20"/>
    <hyperlink r:id="rId27" ref="G21"/>
    <hyperlink r:id="rId28" ref="G22"/>
    <hyperlink r:id="rId29" ref="K22"/>
    <hyperlink r:id="rId30" ref="G23"/>
    <hyperlink r:id="rId31" ref="G24"/>
    <hyperlink r:id="rId32" ref="K24"/>
    <hyperlink r:id="rId33" ref="G25"/>
    <hyperlink r:id="rId34" ref="G26"/>
    <hyperlink r:id="rId35" ref="K26"/>
    <hyperlink r:id="rId36" ref="G27"/>
    <hyperlink r:id="rId37" ref="G28"/>
    <hyperlink r:id="rId38" ref="G29"/>
    <hyperlink r:id="rId39" ref="G30"/>
    <hyperlink r:id="rId40" ref="G31"/>
    <hyperlink r:id="rId41" ref="K31"/>
    <hyperlink r:id="rId42" ref="G32"/>
    <hyperlink r:id="rId43" ref="G33"/>
    <hyperlink r:id="rId44" ref="K33"/>
    <hyperlink r:id="rId45" ref="G34"/>
    <hyperlink r:id="rId46" ref="I34"/>
    <hyperlink r:id="rId47" ref="K34"/>
    <hyperlink r:id="rId48" ref="G35"/>
    <hyperlink r:id="rId49" ref="G36"/>
    <hyperlink r:id="rId50" ref="I36"/>
    <hyperlink r:id="rId51" ref="K36"/>
    <hyperlink r:id="rId52" ref="G37"/>
    <hyperlink r:id="rId53" ref="G38"/>
    <hyperlink r:id="rId54" ref="I38"/>
    <hyperlink r:id="rId55" ref="G39"/>
    <hyperlink r:id="rId56" ref="G40"/>
    <hyperlink r:id="rId57" ref="I40"/>
    <hyperlink r:id="rId58" ref="K40"/>
    <hyperlink r:id="rId59" ref="X40"/>
    <hyperlink r:id="rId60" ref="G41"/>
    <hyperlink r:id="rId61" ref="I41"/>
    <hyperlink r:id="rId62" ref="X41"/>
    <hyperlink r:id="rId63" ref="G42"/>
    <hyperlink r:id="rId64" ref="I42"/>
    <hyperlink r:id="rId65" ref="K42"/>
    <hyperlink r:id="rId66" ref="X42"/>
    <hyperlink r:id="rId67" ref="G43"/>
    <hyperlink r:id="rId68" ref="I43"/>
    <hyperlink r:id="rId69" ref="K43"/>
    <hyperlink r:id="rId70" ref="X43"/>
    <hyperlink r:id="rId71" ref="G44"/>
    <hyperlink r:id="rId72" ref="I44"/>
    <hyperlink r:id="rId73" ref="K44"/>
    <hyperlink r:id="rId74" ref="X44"/>
    <hyperlink r:id="rId75" ref="G45"/>
    <hyperlink r:id="rId76" ref="I45"/>
    <hyperlink r:id="rId77" ref="K45"/>
    <hyperlink r:id="rId78" ref="X45"/>
    <hyperlink r:id="rId79" ref="G46"/>
    <hyperlink r:id="rId80" ref="I46"/>
    <hyperlink r:id="rId81" ref="K46"/>
    <hyperlink r:id="rId82" ref="X46"/>
    <hyperlink r:id="rId83" ref="G47"/>
    <hyperlink r:id="rId84" ref="I47"/>
    <hyperlink r:id="rId85" ref="K47"/>
    <hyperlink r:id="rId86" ref="X47"/>
    <hyperlink r:id="rId87" ref="G48"/>
    <hyperlink r:id="rId88" ref="I48"/>
    <hyperlink r:id="rId89" ref="X48"/>
    <hyperlink r:id="rId90" ref="G49"/>
    <hyperlink r:id="rId91" ref="I49"/>
    <hyperlink r:id="rId92" ref="X49"/>
    <hyperlink r:id="rId93" ref="G50"/>
    <hyperlink r:id="rId94" ref="I50"/>
    <hyperlink r:id="rId95" ref="X50"/>
    <hyperlink r:id="rId96" ref="G51"/>
    <hyperlink r:id="rId97" ref="I51"/>
    <hyperlink r:id="rId98" ref="X51"/>
    <hyperlink r:id="rId99" ref="G52"/>
    <hyperlink r:id="rId100" ref="I52"/>
    <hyperlink r:id="rId101" ref="X52"/>
    <hyperlink r:id="rId102" ref="G53"/>
    <hyperlink r:id="rId103" ref="I53"/>
    <hyperlink r:id="rId104" ref="K53"/>
    <hyperlink r:id="rId105" ref="X53"/>
    <hyperlink r:id="rId106" ref="G54"/>
    <hyperlink r:id="rId107" ref="I54"/>
    <hyperlink r:id="rId108" ref="K54"/>
    <hyperlink r:id="rId109" ref="X54"/>
    <hyperlink r:id="rId110" ref="G55"/>
    <hyperlink r:id="rId111" ref="X55"/>
    <hyperlink r:id="rId112" ref="G56"/>
    <hyperlink r:id="rId113" ref="X56"/>
    <hyperlink r:id="rId114" ref="G57"/>
    <hyperlink r:id="rId115" ref="I57"/>
    <hyperlink r:id="rId116" ref="X57"/>
    <hyperlink r:id="rId117" ref="G58"/>
    <hyperlink r:id="rId118" ref="I58"/>
    <hyperlink r:id="rId119" ref="K58"/>
    <hyperlink r:id="rId120" ref="X58"/>
    <hyperlink r:id="rId121" ref="G59"/>
    <hyperlink r:id="rId122" ref="I59"/>
    <hyperlink r:id="rId123" ref="X59"/>
    <hyperlink r:id="rId124" ref="G60"/>
    <hyperlink r:id="rId125" ref="I60"/>
    <hyperlink r:id="rId126" ref="K60"/>
    <hyperlink r:id="rId127" ref="X60"/>
    <hyperlink r:id="rId128" ref="G61"/>
    <hyperlink r:id="rId129" ref="I61"/>
    <hyperlink r:id="rId130" ref="X61"/>
    <hyperlink r:id="rId131" ref="G62"/>
    <hyperlink r:id="rId132" ref="I62"/>
    <hyperlink r:id="rId133" ref="K62"/>
    <hyperlink r:id="rId134" ref="X62"/>
    <hyperlink r:id="rId135" ref="G63"/>
    <hyperlink r:id="rId136" ref="I63"/>
    <hyperlink r:id="rId137" ref="X63"/>
    <hyperlink r:id="rId138" ref="G64"/>
    <hyperlink r:id="rId139" ref="I64"/>
    <hyperlink r:id="rId140" ref="K64"/>
    <hyperlink r:id="rId141" ref="X64"/>
    <hyperlink r:id="rId142" ref="G65"/>
    <hyperlink r:id="rId143" ref="I65"/>
    <hyperlink r:id="rId144" ref="K65"/>
    <hyperlink r:id="rId145" ref="X65"/>
    <hyperlink r:id="rId146" ref="G66"/>
    <hyperlink r:id="rId147" ref="I66"/>
    <hyperlink r:id="rId148" ref="K66"/>
    <hyperlink r:id="rId149" ref="X66"/>
    <hyperlink r:id="rId150" ref="G67"/>
    <hyperlink r:id="rId151" ref="I67"/>
    <hyperlink r:id="rId152" ref="X67"/>
    <hyperlink r:id="rId153" ref="G68"/>
    <hyperlink r:id="rId154" ref="I68"/>
    <hyperlink r:id="rId155" ref="X68"/>
    <hyperlink r:id="rId156" ref="G69"/>
    <hyperlink r:id="rId157" ref="I69"/>
    <hyperlink r:id="rId158" ref="X69"/>
    <hyperlink r:id="rId159" ref="G70"/>
    <hyperlink r:id="rId160" ref="I70"/>
    <hyperlink r:id="rId161" ref="K70"/>
    <hyperlink r:id="rId162" ref="X70"/>
    <hyperlink r:id="rId163" ref="X71"/>
    <hyperlink r:id="rId164" ref="G72"/>
    <hyperlink r:id="rId165" ref="I72"/>
    <hyperlink r:id="rId166" ref="K72"/>
    <hyperlink r:id="rId167" ref="M72"/>
    <hyperlink r:id="rId168" ref="X72"/>
    <hyperlink r:id="rId169" ref="G73"/>
    <hyperlink r:id="rId170" ref="I73"/>
    <hyperlink r:id="rId171" ref="K73"/>
    <hyperlink r:id="rId172" ref="X73"/>
  </hyperlinks>
  <drawing r:id="rId17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31.38"/>
    <col customWidth="1" min="3" max="3" width="34.88"/>
    <col customWidth="1" min="4" max="4" width="30.75" outlineLevel="1"/>
    <col min="5" max="7" width="12.63" outlineLevel="1"/>
    <col customWidth="1" min="8" max="8" width="47.38" outlineLevel="1"/>
    <col min="9" max="9" width="12.63" outlineLevel="1"/>
  </cols>
  <sheetData>
    <row r="1">
      <c r="A1" s="21" t="s">
        <v>101</v>
      </c>
      <c r="B1" s="21" t="s">
        <v>102</v>
      </c>
      <c r="C1" s="22" t="s">
        <v>103</v>
      </c>
      <c r="D1" s="53" t="s">
        <v>1169</v>
      </c>
      <c r="E1" s="26"/>
      <c r="F1" s="53" t="s">
        <v>1170</v>
      </c>
      <c r="G1" s="26"/>
      <c r="H1" s="53" t="s">
        <v>1171</v>
      </c>
      <c r="J1" s="16"/>
      <c r="K1" s="16"/>
    </row>
    <row r="2">
      <c r="A2" s="28" t="s">
        <v>109</v>
      </c>
      <c r="B2" s="29" t="s">
        <v>110</v>
      </c>
      <c r="C2" s="30" t="s">
        <v>1172</v>
      </c>
      <c r="D2" s="32" t="s">
        <v>114</v>
      </c>
      <c r="E2" s="34" t="s">
        <v>115</v>
      </c>
      <c r="F2" s="32" t="s">
        <v>114</v>
      </c>
      <c r="G2" s="34" t="s">
        <v>115</v>
      </c>
      <c r="H2" s="32" t="s">
        <v>114</v>
      </c>
      <c r="I2" s="34" t="s">
        <v>115</v>
      </c>
      <c r="J2" s="37"/>
      <c r="K2" s="37"/>
    </row>
    <row r="3">
      <c r="A3" s="16" t="s">
        <v>47</v>
      </c>
      <c r="B3" s="59" t="str">
        <f>IFERROR(HYPERLINK(VLOOKUP(A3,Internal_lists_bugs!$A$2:$C$73,3,FALSE()), VLOOKUP(A3,Internal_lists_bugs!$A$2:$C$73,3,FALSE())&amp;Char(10) &amp; Char(10) &amp; VLOOKUP(A3,Internal_lists_bugs!$A$2:$Z$73,26,FALSE())),"please select a BUG ID")</f>
        <v>
</v>
      </c>
      <c r="C3" s="39" t="str">
        <f>IFERROR(VLOOKUP(A3,Internal_lists_bugs!$A$2:$G2011,7,FALSE()),"please select a BUG ID")</f>
        <v>https://opendev.org/openstack/nova/commit/27d89c2d425aefcd32549b08e3cff8b132d3e75b</v>
      </c>
      <c r="D3" s="9" t="s">
        <v>1173</v>
      </c>
      <c r="E3" s="50"/>
      <c r="F3" s="16" t="s">
        <v>1174</v>
      </c>
      <c r="G3" s="50"/>
      <c r="H3" s="16" t="s">
        <v>1175</v>
      </c>
    </row>
    <row r="4">
      <c r="A4" s="16" t="s">
        <v>47</v>
      </c>
      <c r="B4" s="59" t="str">
        <f>IFERROR(HYPERLINK(VLOOKUP(A4,Internal_lists_bugs!$A$2:$C$73,3,FALSE()), VLOOKUP(A4,Internal_lists_bugs!$A$2:$C$73,3,FALSE())&amp;Char(10) &amp; Char(10) &amp; VLOOKUP(A4,Internal_lists_bugs!$A$2:$Z$73,26,FALSE())),"please select a BUG ID")</f>
        <v>
</v>
      </c>
      <c r="C4" s="39" t="str">
        <f>IFERROR(VLOOKUP(A4,Internal_lists_bugs!$A$2:$G2011,7,FALSE()),"please select a BUG ID")</f>
        <v>https://opendev.org/openstack/nova/commit/27d89c2d425aefcd32549b08e3cff8b132d3e75b</v>
      </c>
      <c r="D4" s="9" t="s">
        <v>1176</v>
      </c>
      <c r="E4" s="50"/>
      <c r="F4" s="43"/>
      <c r="G4" s="50"/>
      <c r="H4" s="16" t="s">
        <v>1177</v>
      </c>
    </row>
    <row r="5">
      <c r="A5" s="16" t="s">
        <v>47</v>
      </c>
      <c r="B5" s="59" t="str">
        <f>IFERROR(HYPERLINK(VLOOKUP(A5,Internal_lists_bugs!$A$2:$C$73,3,FALSE()), VLOOKUP(A5,Internal_lists_bugs!$A$2:$C$73,3,FALSE())&amp;Char(10) &amp; Char(10) &amp; VLOOKUP(A5,Internal_lists_bugs!$A$2:$Z$73,26,FALSE())),"please select a BUG ID")</f>
        <v>
</v>
      </c>
      <c r="C5" s="39" t="str">
        <f>IFERROR(VLOOKUP(A5,Internal_lists_bugs!$A$2:$G2011,7,FALSE()),"please select a BUG ID")</f>
        <v>https://opendev.org/openstack/nova/commit/27d89c2d425aefcd32549b08e3cff8b132d3e75b</v>
      </c>
      <c r="D5" s="9" t="s">
        <v>1178</v>
      </c>
      <c r="E5" s="50"/>
      <c r="F5" s="43"/>
      <c r="G5" s="50"/>
      <c r="H5" s="16" t="s">
        <v>1179</v>
      </c>
    </row>
    <row r="6">
      <c r="A6" s="16" t="s">
        <v>47</v>
      </c>
      <c r="B6" s="59" t="str">
        <f>IFERROR(HYPERLINK(VLOOKUP(A6,Internal_lists_bugs!$A$2:$C$73,3,FALSE()), VLOOKUP(A6,Internal_lists_bugs!$A$2:$C$73,3,FALSE())&amp;Char(10) &amp; Char(10) &amp; VLOOKUP(A6,Internal_lists_bugs!$A$2:$Z$73,26,FALSE())),"please select a BUG ID")</f>
        <v>
</v>
      </c>
      <c r="C6" s="39" t="str">
        <f>IFERROR(VLOOKUP(A6,Internal_lists_bugs!$A$2:$G2011,7,FALSE()),"please select a BUG ID")</f>
        <v>https://opendev.org/openstack/nova/commit/27d89c2d425aefcd32549b08e3cff8b132d3e75b</v>
      </c>
      <c r="D6" s="9" t="s">
        <v>1180</v>
      </c>
      <c r="E6" s="42" t="s">
        <v>1181</v>
      </c>
      <c r="F6" s="43"/>
      <c r="G6" s="50"/>
      <c r="H6" s="43"/>
    </row>
    <row r="7">
      <c r="A7" s="16" t="s">
        <v>47</v>
      </c>
      <c r="B7" s="59" t="str">
        <f>IFERROR(HYPERLINK(VLOOKUP(A7,Internal_lists_bugs!$A$2:$C$73,3,FALSE()), VLOOKUP(A7,Internal_lists_bugs!$A$2:$C$73,3,FALSE())&amp;Char(10) &amp; Char(10) &amp; VLOOKUP(A7,Internal_lists_bugs!$A$2:$Z$73,26,FALSE())),"please select a BUG ID")</f>
        <v>
</v>
      </c>
      <c r="C7" s="39" t="str">
        <f>IFERROR(VLOOKUP(A7,Internal_lists_bugs!$A$2:$G2011,7,FALSE()),"please select a BUG ID")</f>
        <v>https://opendev.org/openstack/nova/commit/27d89c2d425aefcd32549b08e3cff8b132d3e75b</v>
      </c>
      <c r="D7" s="9" t="s">
        <v>1182</v>
      </c>
      <c r="E7" s="50"/>
      <c r="F7" s="43"/>
      <c r="G7" s="50"/>
      <c r="H7" s="43"/>
    </row>
    <row r="8">
      <c r="A8" s="16" t="s">
        <v>47</v>
      </c>
      <c r="B8" s="59" t="str">
        <f>IFERROR(HYPERLINK(VLOOKUP(A8,Internal_lists_bugs!$A$2:$C$73,3,FALSE()), VLOOKUP(A8,Internal_lists_bugs!$A$2:$C$73,3,FALSE())&amp;Char(10) &amp; Char(10) &amp; VLOOKUP(A8,Internal_lists_bugs!$A$2:$Z$73,26,FALSE())),"please select a BUG ID")</f>
        <v>
</v>
      </c>
      <c r="C8" s="39" t="str">
        <f>IFERROR(VLOOKUP(A8,Internal_lists_bugs!$A$2:$G2011,7,FALSE()),"please select a BUG ID")</f>
        <v>https://opendev.org/openstack/nova/commit/27d89c2d425aefcd32549b08e3cff8b132d3e75b</v>
      </c>
      <c r="D8" s="9" t="s">
        <v>1183</v>
      </c>
      <c r="E8" s="50"/>
      <c r="F8" s="43"/>
      <c r="G8" s="50"/>
      <c r="H8" s="43"/>
    </row>
    <row r="9">
      <c r="A9" s="16" t="s">
        <v>47</v>
      </c>
      <c r="B9" s="59" t="str">
        <f>IFERROR(HYPERLINK(VLOOKUP(A9,Internal_lists_bugs!$A$2:$C$73,3,FALSE()), VLOOKUP(A9,Internal_lists_bugs!$A$2:$C$73,3,FALSE())&amp;Char(10) &amp; Char(10) &amp; VLOOKUP(A9,Internal_lists_bugs!$A$2:$Z$73,26,FALSE())),"please select a BUG ID")</f>
        <v>
</v>
      </c>
      <c r="C9" s="39" t="str">
        <f>IFERROR(VLOOKUP(A9,Internal_lists_bugs!$A$2:$G2011,7,FALSE()),"please select a BUG ID")</f>
        <v>https://opendev.org/openstack/nova/commit/27d89c2d425aefcd32549b08e3cff8b132d3e75b</v>
      </c>
      <c r="D9" s="9" t="s">
        <v>1184</v>
      </c>
      <c r="E9" s="50"/>
      <c r="F9" s="43"/>
      <c r="G9" s="50"/>
      <c r="H9" s="43"/>
    </row>
    <row r="10">
      <c r="A10" s="16" t="s">
        <v>47</v>
      </c>
      <c r="B10" s="59" t="str">
        <f>IFERROR(HYPERLINK(VLOOKUP(A10,Internal_lists_bugs!$A$2:$C$73,3,FALSE()), VLOOKUP(A10,Internal_lists_bugs!$A$2:$C$73,3,FALSE())&amp;Char(10) &amp; Char(10) &amp; VLOOKUP(A10,Internal_lists_bugs!$A$2:$Z$73,26,FALSE())),"please select a BUG ID")</f>
        <v>
</v>
      </c>
      <c r="C10" s="39" t="str">
        <f>IFERROR(VLOOKUP(A10,Internal_lists_bugs!$A$2:$G2011,7,FALSE()),"please select a BUG ID")</f>
        <v>https://opendev.org/openstack/nova/commit/27d89c2d425aefcd32549b08e3cff8b132d3e75b</v>
      </c>
      <c r="D10" s="9" t="s">
        <v>1185</v>
      </c>
      <c r="E10" s="42" t="s">
        <v>1186</v>
      </c>
      <c r="F10" s="43"/>
      <c r="G10" s="50"/>
      <c r="H10" s="43"/>
    </row>
    <row r="11">
      <c r="A11" s="16" t="s">
        <v>47</v>
      </c>
      <c r="B11" s="59" t="str">
        <f>IFERROR(HYPERLINK(VLOOKUP(A11,Internal_lists_bugs!$A$2:$C$73,3,FALSE()), VLOOKUP(A11,Internal_lists_bugs!$A$2:$C$73,3,FALSE())&amp;Char(10) &amp; Char(10) &amp; VLOOKUP(A11,Internal_lists_bugs!$A$2:$Z$73,26,FALSE())),"please select a BUG ID")</f>
        <v>
</v>
      </c>
      <c r="C11" s="39" t="str">
        <f>IFERROR(VLOOKUP(A11,Internal_lists_bugs!$A$2:$G2011,7,FALSE()),"please select a BUG ID")</f>
        <v>https://opendev.org/openstack/nova/commit/27d89c2d425aefcd32549b08e3cff8b132d3e75b</v>
      </c>
      <c r="D11" s="9" t="s">
        <v>1187</v>
      </c>
      <c r="E11" s="50"/>
      <c r="F11" s="43"/>
      <c r="G11" s="50"/>
      <c r="H11" s="43"/>
    </row>
    <row r="12">
      <c r="A12" s="16" t="s">
        <v>47</v>
      </c>
      <c r="B12" s="59" t="str">
        <f>IFERROR(HYPERLINK(VLOOKUP(A12,Internal_lists_bugs!$A$2:$C$73,3,FALSE()), VLOOKUP(A12,Internal_lists_bugs!$A$2:$C$73,3,FALSE())&amp;Char(10) &amp; Char(10) &amp; VLOOKUP(A12,Internal_lists_bugs!$A$2:$Z$73,26,FALSE())),"please select a BUG ID")</f>
        <v>
</v>
      </c>
      <c r="C12" s="39" t="str">
        <f>IFERROR(VLOOKUP(A12,Internal_lists_bugs!$A$2:$G2011,7,FALSE()),"please select a BUG ID")</f>
        <v>https://opendev.org/openstack/nova/commit/27d89c2d425aefcd32549b08e3cff8b132d3e75b</v>
      </c>
      <c r="D12" s="9" t="s">
        <v>1188</v>
      </c>
      <c r="E12" s="50"/>
      <c r="F12" s="43"/>
      <c r="G12" s="50"/>
      <c r="H12" s="43"/>
    </row>
    <row r="13">
      <c r="A13" s="16" t="s">
        <v>39</v>
      </c>
      <c r="B13" s="59" t="str">
        <f>IFERROR(HYPERLINK(VLOOKUP(A13,Internal_lists_bugs!$A$2:$C$73,3,FALSE()), VLOOKUP(A13,Internal_lists_bugs!$A$2:$C$73,3,FALSE())&amp;Char(10) &amp; Char(10) &amp; VLOOKUP(A13,Internal_lists_bugs!$A$2:$Z$73,26,FALSE())),"please select a BUG ID")</f>
        <v>
</v>
      </c>
      <c r="C13" s="39" t="str">
        <f>IFERROR(VLOOKUP(A13,Internal_lists_bugs!$A$2:$G2011,7,FALSE()),"please select a BUG ID")</f>
        <v>https://opendev.org/openstack/nova/commit/1e4024b72218a07d1e535878337547cf16406dd8</v>
      </c>
      <c r="D13" s="9" t="s">
        <v>1173</v>
      </c>
      <c r="E13" s="50"/>
      <c r="F13" s="16" t="s">
        <v>1189</v>
      </c>
      <c r="G13" s="50"/>
      <c r="H13" s="16" t="s">
        <v>1175</v>
      </c>
    </row>
    <row r="14">
      <c r="A14" s="16" t="s">
        <v>39</v>
      </c>
      <c r="B14" s="59" t="str">
        <f>IFERROR(HYPERLINK(VLOOKUP(A14,Internal_lists_bugs!$A$2:$C$73,3,FALSE()), VLOOKUP(A14,Internal_lists_bugs!$A$2:$C$73,3,FALSE())&amp;Char(10) &amp; Char(10) &amp; VLOOKUP(A14,Internal_lists_bugs!$A$2:$Z$73,26,FALSE())),"please select a BUG ID")</f>
        <v>
</v>
      </c>
      <c r="C14" s="39" t="str">
        <f>IFERROR(VLOOKUP(A14,Internal_lists_bugs!$A$2:$G2011,7,FALSE()),"please select a BUG ID")</f>
        <v>https://opendev.org/openstack/nova/commit/1e4024b72218a07d1e535878337547cf16406dd8</v>
      </c>
      <c r="D14" s="9" t="s">
        <v>1178</v>
      </c>
      <c r="E14" s="50"/>
      <c r="F14" s="16"/>
      <c r="G14" s="50"/>
      <c r="H14" s="16" t="s">
        <v>1177</v>
      </c>
    </row>
    <row r="15">
      <c r="A15" s="16" t="s">
        <v>39</v>
      </c>
      <c r="B15" s="59" t="str">
        <f>IFERROR(HYPERLINK(VLOOKUP(A15,Internal_lists_bugs!$A$2:$C$73,3,FALSE()), VLOOKUP(A15,Internal_lists_bugs!$A$2:$C$73,3,FALSE())&amp;Char(10) &amp; Char(10) &amp; VLOOKUP(A15,Internal_lists_bugs!$A$2:$Z$73,26,FALSE())),"please select a BUG ID")</f>
        <v>
</v>
      </c>
      <c r="C15" s="39" t="str">
        <f>IFERROR(VLOOKUP(A15,Internal_lists_bugs!$A$2:$G2011,7,FALSE()),"please select a BUG ID")</f>
        <v>https://opendev.org/openstack/nova/commit/1e4024b72218a07d1e535878337547cf16406dd8</v>
      </c>
      <c r="D15" s="9" t="s">
        <v>1190</v>
      </c>
      <c r="E15" s="50"/>
      <c r="F15" s="16"/>
      <c r="G15" s="50"/>
      <c r="H15" s="16" t="s">
        <v>1179</v>
      </c>
    </row>
    <row r="16">
      <c r="A16" s="16" t="s">
        <v>39</v>
      </c>
      <c r="B16" s="59" t="str">
        <f>IFERROR(HYPERLINK(VLOOKUP(A16,Internal_lists_bugs!$A$2:$C$73,3,FALSE()), VLOOKUP(A16,Internal_lists_bugs!$A$2:$C$73,3,FALSE())&amp;Char(10) &amp; Char(10) &amp; VLOOKUP(A16,Internal_lists_bugs!$A$2:$Z$73,26,FALSE())),"please select a BUG ID")</f>
        <v>
</v>
      </c>
      <c r="C16" s="39" t="str">
        <f>IFERROR(VLOOKUP(A16,Internal_lists_bugs!$A$2:$G2011,7,FALSE()),"please select a BUG ID")</f>
        <v>https://opendev.org/openstack/nova/commit/1e4024b72218a07d1e535878337547cf16406dd8</v>
      </c>
      <c r="D16" s="9" t="s">
        <v>1182</v>
      </c>
      <c r="E16" s="50"/>
      <c r="F16" s="16"/>
      <c r="G16" s="50"/>
      <c r="H16" s="43"/>
    </row>
    <row r="17">
      <c r="A17" s="16" t="s">
        <v>39</v>
      </c>
      <c r="B17" s="59" t="str">
        <f>IFERROR(HYPERLINK(VLOOKUP(A17,Internal_lists_bugs!$A$2:$C$73,3,FALSE()), VLOOKUP(A17,Internal_lists_bugs!$A$2:$C$73,3,FALSE())&amp;Char(10) &amp; Char(10) &amp; VLOOKUP(A17,Internal_lists_bugs!$A$2:$Z$73,26,FALSE())),"please select a BUG ID")</f>
        <v>
</v>
      </c>
      <c r="C17" s="39" t="str">
        <f>IFERROR(VLOOKUP(A17,Internal_lists_bugs!$A$2:$G2011,7,FALSE()),"please select a BUG ID")</f>
        <v>https://opendev.org/openstack/nova/commit/1e4024b72218a07d1e535878337547cf16406dd8</v>
      </c>
      <c r="D17" s="9" t="s">
        <v>1183</v>
      </c>
      <c r="E17" s="50"/>
      <c r="F17" s="16"/>
      <c r="G17" s="50"/>
      <c r="H17" s="43"/>
    </row>
    <row r="18">
      <c r="A18" s="16" t="s">
        <v>39</v>
      </c>
      <c r="B18" s="59" t="str">
        <f>IFERROR(HYPERLINK(VLOOKUP(A18,Internal_lists_bugs!$A$2:$C$73,3,FALSE()), VLOOKUP(A18,Internal_lists_bugs!$A$2:$C$73,3,FALSE())&amp;Char(10) &amp; Char(10) &amp; VLOOKUP(A18,Internal_lists_bugs!$A$2:$Z$73,26,FALSE())),"please select a BUG ID")</f>
        <v>
</v>
      </c>
      <c r="C18" s="39" t="str">
        <f>IFERROR(VLOOKUP(A18,Internal_lists_bugs!$A$2:$G2011,7,FALSE()),"please select a BUG ID")</f>
        <v>https://opendev.org/openstack/nova/commit/1e4024b72218a07d1e535878337547cf16406dd8</v>
      </c>
      <c r="D18" s="9" t="s">
        <v>1185</v>
      </c>
      <c r="E18" s="50"/>
      <c r="F18" s="43"/>
      <c r="G18" s="50"/>
      <c r="H18" s="43"/>
    </row>
    <row r="19">
      <c r="A19" s="16" t="s">
        <v>39</v>
      </c>
      <c r="B19" s="59" t="str">
        <f>IFERROR(HYPERLINK(VLOOKUP(A19,Internal_lists_bugs!$A$2:$C$73,3,FALSE()), VLOOKUP(A19,Internal_lists_bugs!$A$2:$C$73,3,FALSE())&amp;Char(10) &amp; Char(10) &amp; VLOOKUP(A19,Internal_lists_bugs!$A$2:$Z$73,26,FALSE())),"please select a BUG ID")</f>
        <v>
</v>
      </c>
      <c r="C19" s="39" t="str">
        <f>IFERROR(VLOOKUP(A19,Internal_lists_bugs!$A$2:$G2011,7,FALSE()),"please select a BUG ID")</f>
        <v>https://opendev.org/openstack/nova/commit/1e4024b72218a07d1e535878337547cf16406dd8</v>
      </c>
      <c r="D19" s="9" t="s">
        <v>1187</v>
      </c>
      <c r="E19" s="50"/>
      <c r="F19" s="43"/>
      <c r="G19" s="50"/>
      <c r="H19" s="43"/>
    </row>
    <row r="20">
      <c r="A20" s="16" t="s">
        <v>39</v>
      </c>
      <c r="B20" s="59" t="str">
        <f>IFERROR(HYPERLINK(VLOOKUP(A20,Internal_lists_bugs!$A$2:$C$73,3,FALSE()), VLOOKUP(A20,Internal_lists_bugs!$A$2:$C$73,3,FALSE())&amp;Char(10) &amp; Char(10) &amp; VLOOKUP(A20,Internal_lists_bugs!$A$2:$Z$73,26,FALSE())),"please select a BUG ID")</f>
        <v>
</v>
      </c>
      <c r="C20" s="39" t="str">
        <f>IFERROR(VLOOKUP(A20,Internal_lists_bugs!$A$2:$G2011,7,FALSE()),"please select a BUG ID")</f>
        <v>https://opendev.org/openstack/nova/commit/1e4024b72218a07d1e535878337547cf16406dd8</v>
      </c>
      <c r="D20" s="9" t="s">
        <v>1188</v>
      </c>
      <c r="E20" s="50"/>
      <c r="F20" s="43"/>
      <c r="G20" s="50"/>
      <c r="H20" s="43"/>
    </row>
    <row r="21">
      <c r="A21" s="16" t="s">
        <v>39</v>
      </c>
      <c r="B21" s="59" t="str">
        <f>IFERROR(HYPERLINK(VLOOKUP(A21,Internal_lists_bugs!$A$2:$C$73,3,FALSE()), VLOOKUP(A21,Internal_lists_bugs!$A$2:$C$73,3,FALSE())&amp;Char(10) &amp; Char(10) &amp; VLOOKUP(A21,Internal_lists_bugs!$A$2:$Z$73,26,FALSE())),"please select a BUG ID")</f>
        <v>
</v>
      </c>
      <c r="C21" s="39" t="str">
        <f>IFERROR(VLOOKUP(A21,Internal_lists_bugs!$A$2:$G2011,7,FALSE()),"please select a BUG ID")</f>
        <v>https://opendev.org/openstack/nova/commit/1e4024b72218a07d1e535878337547cf16406dd8</v>
      </c>
      <c r="D21" s="9" t="s">
        <v>1184</v>
      </c>
      <c r="E21" s="50"/>
      <c r="F21" s="43"/>
      <c r="G21" s="50"/>
      <c r="H21" s="43"/>
    </row>
    <row r="22">
      <c r="A22" s="16" t="s">
        <v>55</v>
      </c>
      <c r="B22" s="59" t="str">
        <f>IFERROR(HYPERLINK(VLOOKUP(A22,Internal_lists_bugs!$A$2:$C$73,3,FALSE()), VLOOKUP(A22,Internal_lists_bugs!$A$2:$C$73,3,FALSE())&amp;Char(10) &amp; Char(10) &amp; VLOOKUP(A22,Internal_lists_bugs!$A$2:$Z$73,26,FALSE())),"please select a BUG ID")</f>
        <v>
</v>
      </c>
      <c r="C22" s="39" t="str">
        <f>IFERROR(VLOOKUP(A22,Internal_lists_bugs!$A$2:$G2011,7,FALSE()),"please select a BUG ID")</f>
        <v>https://opendev.org/openstack/nova/commit/475f3624245500c5382faf5b2708a59fcec2c9ad</v>
      </c>
      <c r="D22" s="9" t="s">
        <v>1173</v>
      </c>
      <c r="E22" s="50"/>
      <c r="F22" s="16" t="s">
        <v>1174</v>
      </c>
      <c r="G22" s="50"/>
      <c r="H22" s="16" t="s">
        <v>1175</v>
      </c>
    </row>
    <row r="23">
      <c r="A23" s="16" t="s">
        <v>55</v>
      </c>
      <c r="B23" s="59" t="str">
        <f>IFERROR(HYPERLINK(VLOOKUP(A23,Internal_lists_bugs!$A$2:$C$73,3,FALSE()), VLOOKUP(A23,Internal_lists_bugs!$A$2:$C$73,3,FALSE())&amp;Char(10) &amp; Char(10) &amp; VLOOKUP(A23,Internal_lists_bugs!$A$2:$Z$73,26,FALSE())),"please select a BUG ID")</f>
        <v>
</v>
      </c>
      <c r="C23" s="39" t="str">
        <f>IFERROR(VLOOKUP(A23,Internal_lists_bugs!$A$2:$G2011,7,FALSE()),"please select a BUG ID")</f>
        <v>https://opendev.org/openstack/nova/commit/475f3624245500c5382faf5b2708a59fcec2c9ad</v>
      </c>
      <c r="D23" s="9" t="s">
        <v>1191</v>
      </c>
      <c r="E23" s="50"/>
      <c r="F23" s="43"/>
      <c r="G23" s="50"/>
      <c r="H23" s="16" t="s">
        <v>1179</v>
      </c>
    </row>
    <row r="24">
      <c r="A24" s="16" t="s">
        <v>55</v>
      </c>
      <c r="B24" s="59" t="str">
        <f>IFERROR(HYPERLINK(VLOOKUP(A24,Internal_lists_bugs!$A$2:$C$73,3,FALSE()), VLOOKUP(A24,Internal_lists_bugs!$A$2:$C$73,3,FALSE())&amp;Char(10) &amp; Char(10) &amp; VLOOKUP(A24,Internal_lists_bugs!$A$2:$Z$73,26,FALSE())),"please select a BUG ID")</f>
        <v>
</v>
      </c>
      <c r="C24" s="39" t="str">
        <f>IFERROR(VLOOKUP(A24,Internal_lists_bugs!$A$2:$G2011,7,FALSE()),"please select a BUG ID")</f>
        <v>https://opendev.org/openstack/nova/commit/475f3624245500c5382faf5b2708a59fcec2c9ad</v>
      </c>
      <c r="D24" s="9" t="s">
        <v>1178</v>
      </c>
      <c r="E24" s="50"/>
      <c r="F24" s="43"/>
      <c r="G24" s="50"/>
      <c r="H24" s="16" t="s">
        <v>1177</v>
      </c>
    </row>
    <row r="25">
      <c r="A25" s="16" t="s">
        <v>55</v>
      </c>
      <c r="B25" s="59" t="str">
        <f>IFERROR(HYPERLINK(VLOOKUP(A25,Internal_lists_bugs!$A$2:$C$73,3,FALSE()), VLOOKUP(A25,Internal_lists_bugs!$A$2:$C$73,3,FALSE())&amp;Char(10) &amp; Char(10) &amp; VLOOKUP(A25,Internal_lists_bugs!$A$2:$Z$73,26,FALSE())),"please select a BUG ID")</f>
        <v>
</v>
      </c>
      <c r="C25" s="39" t="str">
        <f>IFERROR(VLOOKUP(A25,Internal_lists_bugs!$A$2:$G2011,7,FALSE()),"please select a BUG ID")</f>
        <v>https://opendev.org/openstack/nova/commit/475f3624245500c5382faf5b2708a59fcec2c9ad</v>
      </c>
      <c r="D25" s="9" t="s">
        <v>1192</v>
      </c>
      <c r="E25" s="50"/>
      <c r="F25" s="43"/>
      <c r="G25" s="50"/>
      <c r="H25" s="16" t="s">
        <v>1193</v>
      </c>
    </row>
    <row r="26">
      <c r="A26" s="16" t="s">
        <v>55</v>
      </c>
      <c r="B26" s="59" t="str">
        <f>IFERROR(HYPERLINK(VLOOKUP(A26,Internal_lists_bugs!$A$2:$C$73,3,FALSE()), VLOOKUP(A26,Internal_lists_bugs!$A$2:$C$73,3,FALSE())&amp;Char(10) &amp; Char(10) &amp; VLOOKUP(A26,Internal_lists_bugs!$A$2:$Z$73,26,FALSE())),"please select a BUG ID")</f>
        <v>
</v>
      </c>
      <c r="C26" s="39" t="str">
        <f>IFERROR(VLOOKUP(A26,Internal_lists_bugs!$A$2:$G2011,7,FALSE()),"please select a BUG ID")</f>
        <v>https://opendev.org/openstack/nova/commit/475f3624245500c5382faf5b2708a59fcec2c9ad</v>
      </c>
      <c r="D26" s="9" t="s">
        <v>1194</v>
      </c>
      <c r="E26" s="50"/>
      <c r="F26" s="43"/>
      <c r="G26" s="50"/>
      <c r="H26" s="16" t="s">
        <v>1195</v>
      </c>
    </row>
    <row r="27">
      <c r="A27" s="16" t="s">
        <v>55</v>
      </c>
      <c r="B27" s="59" t="str">
        <f>IFERROR(HYPERLINK(VLOOKUP(A27,Internal_lists_bugs!$A$2:$C$73,3,FALSE()), VLOOKUP(A27,Internal_lists_bugs!$A$2:$C$73,3,FALSE())&amp;Char(10) &amp; Char(10) &amp; VLOOKUP(A27,Internal_lists_bugs!$A$2:$Z$73,26,FALSE())),"please select a BUG ID")</f>
        <v>
</v>
      </c>
      <c r="C27" s="39" t="str">
        <f>IFERROR(VLOOKUP(A27,Internal_lists_bugs!$A$2:$G2011,7,FALSE()),"please select a BUG ID")</f>
        <v>https://opendev.org/openstack/nova/commit/475f3624245500c5382faf5b2708a59fcec2c9ad</v>
      </c>
      <c r="D27" s="9" t="s">
        <v>1190</v>
      </c>
      <c r="E27" s="50"/>
      <c r="F27" s="43"/>
      <c r="G27" s="50"/>
      <c r="H27" s="43"/>
    </row>
    <row r="28">
      <c r="A28" s="16" t="s">
        <v>55</v>
      </c>
      <c r="B28" s="59" t="str">
        <f>IFERROR(HYPERLINK(VLOOKUP(A28,Internal_lists_bugs!$A$2:$C$73,3,FALSE()), VLOOKUP(A28,Internal_lists_bugs!$A$2:$C$73,3,FALSE())&amp;Char(10) &amp; Char(10) &amp; VLOOKUP(A28,Internal_lists_bugs!$A$2:$Z$73,26,FALSE())),"please select a BUG ID")</f>
        <v>
</v>
      </c>
      <c r="C28" s="39" t="str">
        <f>IFERROR(VLOOKUP(A28,Internal_lists_bugs!$A$2:$G2011,7,FALSE()),"please select a BUG ID")</f>
        <v>https://opendev.org/openstack/nova/commit/475f3624245500c5382faf5b2708a59fcec2c9ad</v>
      </c>
      <c r="D28" s="9" t="s">
        <v>1182</v>
      </c>
      <c r="E28" s="50"/>
      <c r="F28" s="43"/>
      <c r="G28" s="50"/>
      <c r="H28" s="43"/>
    </row>
    <row r="29">
      <c r="A29" s="16" t="s">
        <v>55</v>
      </c>
      <c r="B29" s="59" t="str">
        <f>IFERROR(HYPERLINK(VLOOKUP(A29,Internal_lists_bugs!$A$2:$C$73,3,FALSE()), VLOOKUP(A29,Internal_lists_bugs!$A$2:$C$73,3,FALSE())&amp;Char(10) &amp; Char(10) &amp; VLOOKUP(A29,Internal_lists_bugs!$A$2:$Z$73,26,FALSE())),"please select a BUG ID")</f>
        <v>
</v>
      </c>
      <c r="C29" s="39" t="str">
        <f>IFERROR(VLOOKUP(A29,Internal_lists_bugs!$A$2:$G2011,7,FALSE()),"please select a BUG ID")</f>
        <v>https://opendev.org/openstack/nova/commit/475f3624245500c5382faf5b2708a59fcec2c9ad</v>
      </c>
      <c r="D29" s="16" t="s">
        <v>1183</v>
      </c>
      <c r="E29" s="50"/>
      <c r="F29" s="43"/>
      <c r="G29" s="50"/>
      <c r="H29" s="43"/>
    </row>
    <row r="30">
      <c r="A30" s="16" t="s">
        <v>55</v>
      </c>
      <c r="B30" s="59" t="str">
        <f>IFERROR(HYPERLINK(VLOOKUP(A30,Internal_lists_bugs!$A$2:$C$73,3,FALSE()), VLOOKUP(A30,Internal_lists_bugs!$A$2:$C$73,3,FALSE())&amp;Char(10) &amp; Char(10) &amp; VLOOKUP(A30,Internal_lists_bugs!$A$2:$Z$73,26,FALSE())),"please select a BUG ID")</f>
        <v>
</v>
      </c>
      <c r="C30" s="39" t="str">
        <f>IFERROR(VLOOKUP(A30,Internal_lists_bugs!$A$2:$G2011,7,FALSE()),"please select a BUG ID")</f>
        <v>https://opendev.org/openstack/nova/commit/475f3624245500c5382faf5b2708a59fcec2c9ad</v>
      </c>
      <c r="D30" s="16" t="s">
        <v>1185</v>
      </c>
      <c r="E30" s="50"/>
      <c r="F30" s="43"/>
      <c r="G30" s="50"/>
      <c r="H30" s="43"/>
    </row>
    <row r="31">
      <c r="A31" s="16" t="s">
        <v>55</v>
      </c>
      <c r="B31" s="59" t="str">
        <f>IFERROR(HYPERLINK(VLOOKUP(A31,Internal_lists_bugs!$A$2:$C$73,3,FALSE()), VLOOKUP(A31,Internal_lists_bugs!$A$2:$C$73,3,FALSE())&amp;Char(10) &amp; Char(10) &amp; VLOOKUP(A31,Internal_lists_bugs!$A$2:$Z$73,26,FALSE())),"please select a BUG ID")</f>
        <v>
</v>
      </c>
      <c r="C31" s="39" t="str">
        <f>IFERROR(VLOOKUP(A31,Internal_lists_bugs!$A$2:$G2011,7,FALSE()),"please select a BUG ID")</f>
        <v>https://opendev.org/openstack/nova/commit/475f3624245500c5382faf5b2708a59fcec2c9ad</v>
      </c>
      <c r="D31" s="16" t="s">
        <v>1196</v>
      </c>
      <c r="E31" s="50"/>
      <c r="F31" s="43"/>
      <c r="G31" s="50"/>
      <c r="H31" s="43"/>
    </row>
    <row r="32">
      <c r="A32" s="16" t="s">
        <v>55</v>
      </c>
      <c r="B32" s="59" t="str">
        <f>IFERROR(HYPERLINK(VLOOKUP(A32,Internal_lists_bugs!$A$2:$C$73,3,FALSE()), VLOOKUP(A32,Internal_lists_bugs!$A$2:$C$73,3,FALSE())&amp;Char(10) &amp; Char(10) &amp; VLOOKUP(A32,Internal_lists_bugs!$A$2:$Z$73,26,FALSE())),"please select a BUG ID")</f>
        <v>
</v>
      </c>
      <c r="C32" s="39" t="str">
        <f>IFERROR(VLOOKUP(A32,Internal_lists_bugs!$A$2:$G2011,7,FALSE()),"please select a BUG ID")</f>
        <v>https://opendev.org/openstack/nova/commit/475f3624245500c5382faf5b2708a59fcec2c9ad</v>
      </c>
      <c r="D32" s="16" t="s">
        <v>1187</v>
      </c>
      <c r="E32" s="50"/>
      <c r="F32" s="43"/>
      <c r="G32" s="50"/>
      <c r="H32" s="43"/>
    </row>
    <row r="33">
      <c r="A33" s="16" t="s">
        <v>55</v>
      </c>
      <c r="B33" s="59" t="str">
        <f>IFERROR(HYPERLINK(VLOOKUP(A33,Internal_lists_bugs!$A$2:$C$73,3,FALSE()), VLOOKUP(A33,Internal_lists_bugs!$A$2:$C$73,3,FALSE())&amp;Char(10) &amp; Char(10) &amp; VLOOKUP(A33,Internal_lists_bugs!$A$2:$Z$73,26,FALSE())),"please select a BUG ID")</f>
        <v>
</v>
      </c>
      <c r="C33" s="39" t="str">
        <f>IFERROR(VLOOKUP(A33,Internal_lists_bugs!$A$2:$G2011,7,FALSE()),"please select a BUG ID")</f>
        <v>https://opendev.org/openstack/nova/commit/475f3624245500c5382faf5b2708a59fcec2c9ad</v>
      </c>
      <c r="D33" s="16" t="s">
        <v>1188</v>
      </c>
      <c r="E33" s="50"/>
      <c r="F33" s="43"/>
      <c r="G33" s="50"/>
      <c r="H33" s="43"/>
    </row>
    <row r="34">
      <c r="A34" s="16" t="s">
        <v>33</v>
      </c>
      <c r="B34" s="59" t="str">
        <f>IFERROR(HYPERLINK(VLOOKUP(A34,Internal_lists_bugs!$A$2:$C$73,3,FALSE()), VLOOKUP(A34,Internal_lists_bugs!$A$2:$C$73,3,FALSE())&amp;Char(10) &amp; Char(10) &amp; VLOOKUP(A34,Internal_lists_bugs!$A$2:$Z$73,26,FALSE())),"please select a BUG ID")</f>
        <v>
</v>
      </c>
      <c r="C34" s="39" t="str">
        <f>IFERROR(VLOOKUP(A34,Internal_lists_bugs!$A$2:$G2011,7,FALSE()),"please select a BUG ID")</f>
        <v>https://opendev.org/openstack/nova/commit/27a5753dd3766b5535e0248d48c9bb555379dd12</v>
      </c>
      <c r="D34" s="16" t="s">
        <v>1178</v>
      </c>
      <c r="E34" s="50"/>
      <c r="F34" s="16" t="s">
        <v>1174</v>
      </c>
      <c r="G34" s="50"/>
      <c r="H34" s="16" t="s">
        <v>1193</v>
      </c>
    </row>
    <row r="35">
      <c r="A35" s="16" t="s">
        <v>33</v>
      </c>
      <c r="B35" s="59" t="str">
        <f>IFERROR(HYPERLINK(VLOOKUP(A35,Internal_lists_bugs!$A$2:$C$73,3,FALSE()), VLOOKUP(A35,Internal_lists_bugs!$A$2:$C$73,3,FALSE())&amp;Char(10) &amp; Char(10) &amp; VLOOKUP(A35,Internal_lists_bugs!$A$2:$Z$73,26,FALSE())),"please select a BUG ID")</f>
        <v>
</v>
      </c>
      <c r="C35" s="39" t="str">
        <f>IFERROR(VLOOKUP(A35,Internal_lists_bugs!$A$2:$G2011,7,FALSE()),"please select a BUG ID")</f>
        <v>https://opendev.org/openstack/nova/commit/27a5753dd3766b5535e0248d48c9bb555379dd12</v>
      </c>
      <c r="D35" s="16" t="s">
        <v>1194</v>
      </c>
      <c r="E35" s="50"/>
      <c r="F35" s="43"/>
      <c r="G35" s="50"/>
      <c r="H35" s="16" t="s">
        <v>1197</v>
      </c>
    </row>
    <row r="36">
      <c r="A36" s="16" t="s">
        <v>33</v>
      </c>
      <c r="B36" s="59" t="str">
        <f>IFERROR(HYPERLINK(VLOOKUP(A36,Internal_lists_bugs!$A$2:$C$73,3,FALSE()), VLOOKUP(A36,Internal_lists_bugs!$A$2:$C$73,3,FALSE())&amp;Char(10) &amp; Char(10) &amp; VLOOKUP(A36,Internal_lists_bugs!$A$2:$Z$73,26,FALSE())),"please select a BUG ID")</f>
        <v>
</v>
      </c>
      <c r="C36" s="39" t="str">
        <f>IFERROR(VLOOKUP(A36,Internal_lists_bugs!$A$2:$G2011,7,FALSE()),"please select a BUG ID")</f>
        <v>https://opendev.org/openstack/nova/commit/27a5753dd3766b5535e0248d48c9bb555379dd12</v>
      </c>
      <c r="D36" s="16" t="s">
        <v>1182</v>
      </c>
      <c r="E36" s="50"/>
      <c r="F36" s="43"/>
      <c r="G36" s="50"/>
      <c r="H36" s="16" t="s">
        <v>1179</v>
      </c>
    </row>
    <row r="37">
      <c r="A37" s="16" t="s">
        <v>33</v>
      </c>
      <c r="B37" s="59" t="str">
        <f>IFERROR(HYPERLINK(VLOOKUP(A37,Internal_lists_bugs!$A$2:$C$73,3,FALSE()), VLOOKUP(A37,Internal_lists_bugs!$A$2:$C$73,3,FALSE())&amp;Char(10) &amp; Char(10) &amp; VLOOKUP(A37,Internal_lists_bugs!$A$2:$Z$73,26,FALSE())),"please select a BUG ID")</f>
        <v>
</v>
      </c>
      <c r="C37" s="39" t="str">
        <f>IFERROR(VLOOKUP(A37,Internal_lists_bugs!$A$2:$G2011,7,FALSE()),"please select a BUG ID")</f>
        <v>https://opendev.org/openstack/nova/commit/27a5753dd3766b5535e0248d48c9bb555379dd12</v>
      </c>
      <c r="D37" s="16" t="s">
        <v>1191</v>
      </c>
      <c r="E37" s="50"/>
      <c r="F37" s="43"/>
      <c r="G37" s="50"/>
      <c r="H37" s="16" t="s">
        <v>1198</v>
      </c>
    </row>
    <row r="38">
      <c r="A38" s="16" t="s">
        <v>33</v>
      </c>
      <c r="B38" s="59" t="str">
        <f>IFERROR(HYPERLINK(VLOOKUP(A38,Internal_lists_bugs!$A$2:$C$73,3,FALSE()), VLOOKUP(A38,Internal_lists_bugs!$A$2:$C$73,3,FALSE())&amp;Char(10) &amp; Char(10) &amp; VLOOKUP(A38,Internal_lists_bugs!$A$2:$Z$73,26,FALSE())),"please select a BUG ID")</f>
        <v>
</v>
      </c>
      <c r="C38" s="39" t="str">
        <f>IFERROR(VLOOKUP(A38,Internal_lists_bugs!$A$2:$G2011,7,FALSE()),"please select a BUG ID")</f>
        <v>https://opendev.org/openstack/nova/commit/27a5753dd3766b5535e0248d48c9bb555379dd12</v>
      </c>
      <c r="D38" s="16" t="s">
        <v>1199</v>
      </c>
      <c r="E38" s="50"/>
      <c r="F38" s="43"/>
      <c r="G38" s="50"/>
      <c r="H38" s="16" t="s">
        <v>1200</v>
      </c>
    </row>
    <row r="39">
      <c r="A39" s="16" t="s">
        <v>33</v>
      </c>
      <c r="B39" s="59" t="str">
        <f>IFERROR(HYPERLINK(VLOOKUP(A39,Internal_lists_bugs!$A$2:$C$73,3,FALSE()), VLOOKUP(A39,Internal_lists_bugs!$A$2:$C$73,3,FALSE())&amp;Char(10) &amp; Char(10) &amp; VLOOKUP(A39,Internal_lists_bugs!$A$2:$Z$73,26,FALSE())),"please select a BUG ID")</f>
        <v>
</v>
      </c>
      <c r="C39" s="39" t="str">
        <f>IFERROR(VLOOKUP(A39,Internal_lists_bugs!$A$2:$G2011,7,FALSE()),"please select a BUG ID")</f>
        <v>https://opendev.org/openstack/nova/commit/27a5753dd3766b5535e0248d48c9bb555379dd12</v>
      </c>
      <c r="D39" s="16" t="s">
        <v>1201</v>
      </c>
      <c r="E39" s="50"/>
      <c r="F39" s="43"/>
      <c r="G39" s="50"/>
      <c r="H39" s="16" t="s">
        <v>1177</v>
      </c>
    </row>
    <row r="40">
      <c r="A40" s="16" t="s">
        <v>33</v>
      </c>
      <c r="B40" s="59" t="str">
        <f>IFERROR(HYPERLINK(VLOOKUP(A40,Internal_lists_bugs!$A$2:$C$73,3,FALSE()), VLOOKUP(A40,Internal_lists_bugs!$A$2:$C$73,3,FALSE())&amp;Char(10) &amp; Char(10) &amp; VLOOKUP(A40,Internal_lists_bugs!$A$2:$Z$73,26,FALSE())),"please select a BUG ID")</f>
        <v>
</v>
      </c>
      <c r="C40" s="39" t="str">
        <f>IFERROR(VLOOKUP(A40,Internal_lists_bugs!$A$2:$G2011,7,FALSE()),"please select a BUG ID")</f>
        <v>https://opendev.org/openstack/nova/commit/27a5753dd3766b5535e0248d48c9bb555379dd12</v>
      </c>
      <c r="D40" s="16" t="s">
        <v>1202</v>
      </c>
      <c r="E40" s="50"/>
      <c r="F40" s="43"/>
      <c r="G40" s="50"/>
      <c r="H40" s="16" t="s">
        <v>1175</v>
      </c>
    </row>
    <row r="41">
      <c r="A41" s="16" t="s">
        <v>33</v>
      </c>
      <c r="B41" s="59" t="str">
        <f>IFERROR(HYPERLINK(VLOOKUP(A41,Internal_lists_bugs!$A$2:$C$73,3,FALSE()), VLOOKUP(A41,Internal_lists_bugs!$A$2:$C$73,3,FALSE())&amp;Char(10) &amp; Char(10) &amp; VLOOKUP(A41,Internal_lists_bugs!$A$2:$Z$73,26,FALSE())),"please select a BUG ID")</f>
        <v>
</v>
      </c>
      <c r="C41" s="39" t="str">
        <f>IFERROR(VLOOKUP(A41,Internal_lists_bugs!$A$2:$G2011,7,FALSE()),"please select a BUG ID")</f>
        <v>https://opendev.org/openstack/nova/commit/27a5753dd3766b5535e0248d48c9bb555379dd12</v>
      </c>
      <c r="D41" s="16" t="s">
        <v>1173</v>
      </c>
      <c r="E41" s="50"/>
      <c r="F41" s="43"/>
      <c r="G41" s="50"/>
      <c r="H41" s="16" t="s">
        <v>1203</v>
      </c>
    </row>
    <row r="42">
      <c r="A42" s="16" t="s">
        <v>33</v>
      </c>
      <c r="B42" s="59" t="str">
        <f>IFERROR(HYPERLINK(VLOOKUP(A42,Internal_lists_bugs!$A$2:$C$73,3,FALSE()), VLOOKUP(A42,Internal_lists_bugs!$A$2:$C$73,3,FALSE())&amp;Char(10) &amp; Char(10) &amp; VLOOKUP(A42,Internal_lists_bugs!$A$2:$Z$73,26,FALSE())),"please select a BUG ID")</f>
        <v>
</v>
      </c>
      <c r="C42" s="39" t="str">
        <f>IFERROR(VLOOKUP(A42,Internal_lists_bugs!$A$2:$G2011,7,FALSE()),"please select a BUG ID")</f>
        <v>https://opendev.org/openstack/nova/commit/27a5753dd3766b5535e0248d48c9bb555379dd12</v>
      </c>
      <c r="D42" s="16" t="s">
        <v>1192</v>
      </c>
      <c r="E42" s="50"/>
      <c r="F42" s="43"/>
      <c r="G42" s="50"/>
      <c r="H42" s="16" t="s">
        <v>1204</v>
      </c>
    </row>
    <row r="43">
      <c r="A43" s="16" t="s">
        <v>33</v>
      </c>
      <c r="B43" s="59" t="str">
        <f>IFERROR(HYPERLINK(VLOOKUP(A43,Internal_lists_bugs!$A$2:$C$73,3,FALSE()), VLOOKUP(A43,Internal_lists_bugs!$A$2:$C$73,3,FALSE())&amp;Char(10) &amp; Char(10) &amp; VLOOKUP(A43,Internal_lists_bugs!$A$2:$Z$73,26,FALSE())),"please select a BUG ID")</f>
        <v>
</v>
      </c>
      <c r="C43" s="39" t="str">
        <f>IFERROR(VLOOKUP(A43,Internal_lists_bugs!$A$2:$G2011,7,FALSE()),"please select a BUG ID")</f>
        <v>https://opendev.org/openstack/nova/commit/27a5753dd3766b5535e0248d48c9bb555379dd12</v>
      </c>
      <c r="D43" s="16" t="s">
        <v>1205</v>
      </c>
      <c r="E43" s="50"/>
      <c r="F43" s="43"/>
      <c r="G43" s="50"/>
      <c r="H43" s="43"/>
    </row>
    <row r="44">
      <c r="A44" s="16" t="s">
        <v>33</v>
      </c>
      <c r="B44" s="59" t="str">
        <f>IFERROR(HYPERLINK(VLOOKUP(A44,Internal_lists_bugs!$A$2:$C$73,3,FALSE()), VLOOKUP(A44,Internal_lists_bugs!$A$2:$C$73,3,FALSE())&amp;Char(10) &amp; Char(10) &amp; VLOOKUP(A44,Internal_lists_bugs!$A$2:$Z$73,26,FALSE())),"please select a BUG ID")</f>
        <v>
</v>
      </c>
      <c r="C44" s="39" t="str">
        <f>IFERROR(VLOOKUP(A44,Internal_lists_bugs!$A$2:$G2011,7,FALSE()),"please select a BUG ID")</f>
        <v>https://opendev.org/openstack/nova/commit/27a5753dd3766b5535e0248d48c9bb555379dd12</v>
      </c>
      <c r="D44" s="16" t="s">
        <v>1183</v>
      </c>
      <c r="E44" s="50"/>
      <c r="F44" s="43"/>
      <c r="G44" s="50"/>
      <c r="H44" s="43"/>
    </row>
    <row r="45">
      <c r="A45" s="16" t="s">
        <v>33</v>
      </c>
      <c r="B45" s="59" t="str">
        <f>IFERROR(HYPERLINK(VLOOKUP(A45,Internal_lists_bugs!$A$2:$C$73,3,FALSE()), VLOOKUP(A45,Internal_lists_bugs!$A$2:$C$73,3,FALSE())&amp;Char(10) &amp; Char(10) &amp; VLOOKUP(A45,Internal_lists_bugs!$A$2:$Z$73,26,FALSE())),"please select a BUG ID")</f>
        <v>
</v>
      </c>
      <c r="C45" s="39" t="str">
        <f>IFERROR(VLOOKUP(A45,Internal_lists_bugs!$A$2:$G2011,7,FALSE()),"please select a BUG ID")</f>
        <v>https://opendev.org/openstack/nova/commit/27a5753dd3766b5535e0248d48c9bb555379dd12</v>
      </c>
      <c r="D45" s="16" t="s">
        <v>1184</v>
      </c>
      <c r="E45" s="50"/>
      <c r="F45" s="43"/>
      <c r="G45" s="50"/>
      <c r="H45" s="43"/>
    </row>
    <row r="46">
      <c r="A46" s="16" t="s">
        <v>33</v>
      </c>
      <c r="B46" s="59" t="str">
        <f>IFERROR(HYPERLINK(VLOOKUP(A46,Internal_lists_bugs!$A$2:$C$73,3,FALSE()), VLOOKUP(A46,Internal_lists_bugs!$A$2:$C$73,3,FALSE())&amp;Char(10) &amp; Char(10) &amp; VLOOKUP(A46,Internal_lists_bugs!$A$2:$Z$73,26,FALSE())),"please select a BUG ID")</f>
        <v>
</v>
      </c>
      <c r="C46" s="39" t="str">
        <f>IFERROR(VLOOKUP(A46,Internal_lists_bugs!$A$2:$G2011,7,FALSE()),"please select a BUG ID")</f>
        <v>https://opendev.org/openstack/nova/commit/27a5753dd3766b5535e0248d48c9bb555379dd12</v>
      </c>
      <c r="D46" s="16" t="s">
        <v>1185</v>
      </c>
      <c r="E46" s="50"/>
      <c r="F46" s="43"/>
      <c r="G46" s="50"/>
      <c r="H46" s="43"/>
    </row>
    <row r="47">
      <c r="A47" s="16" t="s">
        <v>33</v>
      </c>
      <c r="B47" s="59" t="str">
        <f>IFERROR(HYPERLINK(VLOOKUP(A47,Internal_lists_bugs!$A$2:$C$73,3,FALSE()), VLOOKUP(A47,Internal_lists_bugs!$A$2:$C$73,3,FALSE())&amp;Char(10) &amp; Char(10) &amp; VLOOKUP(A47,Internal_lists_bugs!$A$2:$Z$73,26,FALSE())),"please select a BUG ID")</f>
        <v>
</v>
      </c>
      <c r="C47" s="39" t="str">
        <f>IFERROR(VLOOKUP(A47,Internal_lists_bugs!$A$2:$G2011,7,FALSE()),"please select a BUG ID")</f>
        <v>https://opendev.org/openstack/nova/commit/27a5753dd3766b5535e0248d48c9bb555379dd12</v>
      </c>
      <c r="D47" s="16" t="s">
        <v>1196</v>
      </c>
      <c r="E47" s="50"/>
      <c r="F47" s="43"/>
      <c r="G47" s="50"/>
      <c r="H47" s="43"/>
    </row>
    <row r="48">
      <c r="A48" s="16" t="s">
        <v>33</v>
      </c>
      <c r="B48" s="59" t="str">
        <f>IFERROR(HYPERLINK(VLOOKUP(A48,Internal_lists_bugs!$A$2:$C$73,3,FALSE()), VLOOKUP(A48,Internal_lists_bugs!$A$2:$C$73,3,FALSE())&amp;Char(10) &amp; Char(10) &amp; VLOOKUP(A48,Internal_lists_bugs!$A$2:$Z$73,26,FALSE())),"please select a BUG ID")</f>
        <v>
</v>
      </c>
      <c r="C48" s="39" t="str">
        <f>IFERROR(VLOOKUP(A48,Internal_lists_bugs!$A$2:$G2011,7,FALSE()),"please select a BUG ID")</f>
        <v>https://opendev.org/openstack/nova/commit/27a5753dd3766b5535e0248d48c9bb555379dd12</v>
      </c>
      <c r="D48" s="16" t="s">
        <v>1187</v>
      </c>
      <c r="E48" s="50"/>
      <c r="F48" s="43"/>
      <c r="G48" s="50"/>
      <c r="H48" s="43"/>
    </row>
    <row r="49">
      <c r="A49" s="16" t="s">
        <v>33</v>
      </c>
      <c r="B49" s="59" t="str">
        <f>IFERROR(HYPERLINK(VLOOKUP(A49,Internal_lists_bugs!$A$2:$C$73,3,FALSE()), VLOOKUP(A49,Internal_lists_bugs!$A$2:$C$73,3,FALSE())&amp;Char(10) &amp; Char(10) &amp; VLOOKUP(A49,Internal_lists_bugs!$A$2:$Z$73,26,FALSE())),"please select a BUG ID")</f>
        <v>
</v>
      </c>
      <c r="C49" s="39" t="str">
        <f>IFERROR(VLOOKUP(A49,Internal_lists_bugs!$A$2:$G2011,7,FALSE()),"please select a BUG ID")</f>
        <v>https://opendev.org/openstack/nova/commit/27a5753dd3766b5535e0248d48c9bb555379dd12</v>
      </c>
      <c r="D49" s="16" t="s">
        <v>1206</v>
      </c>
      <c r="E49" s="50"/>
      <c r="F49" s="43"/>
      <c r="G49" s="50"/>
      <c r="H49" s="43"/>
    </row>
    <row r="50">
      <c r="A50" s="16" t="s">
        <v>33</v>
      </c>
      <c r="B50" s="59" t="str">
        <f>IFERROR(HYPERLINK(VLOOKUP(A50,Internal_lists_bugs!$A$2:$C$73,3,FALSE()), VLOOKUP(A50,Internal_lists_bugs!$A$2:$C$73,3,FALSE())&amp;Char(10) &amp; Char(10) &amp; VLOOKUP(A50,Internal_lists_bugs!$A$2:$Z$73,26,FALSE())),"please select a BUG ID")</f>
        <v>
</v>
      </c>
      <c r="C50" s="39" t="str">
        <f>IFERROR(VLOOKUP(A50,Internal_lists_bugs!$A$2:$G2011,7,FALSE()),"please select a BUG ID")</f>
        <v>https://opendev.org/openstack/nova/commit/27a5753dd3766b5535e0248d48c9bb555379dd12</v>
      </c>
      <c r="D50" s="16" t="s">
        <v>1207</v>
      </c>
      <c r="E50" s="50"/>
      <c r="F50" s="43"/>
      <c r="G50" s="50"/>
      <c r="H50" s="43"/>
    </row>
    <row r="51">
      <c r="A51" s="16" t="s">
        <v>33</v>
      </c>
      <c r="B51" s="59" t="str">
        <f>IFERROR(HYPERLINK(VLOOKUP(A51,Internal_lists_bugs!$A$2:$C$73,3,FALSE()), VLOOKUP(A51,Internal_lists_bugs!$A$2:$C$73,3,FALSE())&amp;Char(10) &amp; Char(10) &amp; VLOOKUP(A51,Internal_lists_bugs!$A$2:$Z$73,26,FALSE())),"please select a BUG ID")</f>
        <v>
</v>
      </c>
      <c r="C51" s="39" t="str">
        <f>IFERROR(VLOOKUP(A51,Internal_lists_bugs!$A$2:$G2011,7,FALSE()),"please select a BUG ID")</f>
        <v>https://opendev.org/openstack/nova/commit/27a5753dd3766b5535e0248d48c9bb555379dd12</v>
      </c>
      <c r="D51" s="16" t="s">
        <v>1188</v>
      </c>
      <c r="E51" s="50"/>
      <c r="F51" s="43"/>
      <c r="G51" s="50"/>
      <c r="H51" s="43"/>
    </row>
    <row r="52">
      <c r="A52" s="16" t="s">
        <v>62</v>
      </c>
      <c r="B52" s="59" t="str">
        <f>IFERROR(HYPERLINK(VLOOKUP(A52,Internal_lists_bugs!$A$2:$C$73,3,FALSE()), VLOOKUP(A52,Internal_lists_bugs!$A$2:$C$73,3,FALSE())&amp;Char(10) &amp; Char(10) &amp; VLOOKUP(A52,Internal_lists_bugs!$A$2:$Z$73,26,FALSE())),"please select a BUG ID")</f>
        <v>
</v>
      </c>
      <c r="C52" s="39" t="str">
        <f>IFERROR(VLOOKUP(A52,Internal_lists_bugs!$A$2:$G2011,7,FALSE()),"please select a BUG ID")</f>
        <v>https://opendev.org/openstack/nova/commit/ac658aa7d0671fb9b5a0a2c504f4b73dff514da9</v>
      </c>
      <c r="D52" s="16" t="s">
        <v>1208</v>
      </c>
      <c r="E52" s="50"/>
      <c r="F52" s="16" t="s">
        <v>1174</v>
      </c>
      <c r="G52" s="50"/>
      <c r="H52" s="16" t="s">
        <v>1175</v>
      </c>
    </row>
    <row r="53">
      <c r="A53" s="16" t="s">
        <v>62</v>
      </c>
      <c r="B53" s="59" t="str">
        <f>IFERROR(HYPERLINK(VLOOKUP(A53,Internal_lists_bugs!$A$2:$C$73,3,FALSE()), VLOOKUP(A53,Internal_lists_bugs!$A$2:$C$73,3,FALSE())&amp;Char(10) &amp; Char(10) &amp; VLOOKUP(A53,Internal_lists_bugs!$A$2:$Z$73,26,FALSE())),"please select a BUG ID")</f>
        <v>
</v>
      </c>
      <c r="C53" s="39" t="str">
        <f>IFERROR(VLOOKUP(A53,Internal_lists_bugs!$A$2:$G2011,7,FALSE()),"please select a BUG ID")</f>
        <v>https://opendev.org/openstack/nova/commit/ac658aa7d0671fb9b5a0a2c504f4b73dff514da9</v>
      </c>
      <c r="D53" s="16" t="s">
        <v>1194</v>
      </c>
      <c r="E53" s="50"/>
      <c r="F53" s="43"/>
      <c r="G53" s="50"/>
      <c r="H53" s="16" t="s">
        <v>1177</v>
      </c>
    </row>
    <row r="54">
      <c r="A54" s="16" t="s">
        <v>62</v>
      </c>
      <c r="B54" s="59" t="str">
        <f>IFERROR(HYPERLINK(VLOOKUP(A54,Internal_lists_bugs!$A$2:$C$73,3,FALSE()), VLOOKUP(A54,Internal_lists_bugs!$A$2:$C$73,3,FALSE())&amp;Char(10) &amp; Char(10) &amp; VLOOKUP(A54,Internal_lists_bugs!$A$2:$Z$73,26,FALSE())),"please select a BUG ID")</f>
        <v>
</v>
      </c>
      <c r="C54" s="39" t="str">
        <f>IFERROR(VLOOKUP(A54,Internal_lists_bugs!$A$2:$G2011,7,FALSE()),"please select a BUG ID")</f>
        <v>https://opendev.org/openstack/nova/commit/ac658aa7d0671fb9b5a0a2c504f4b73dff514da9</v>
      </c>
      <c r="D54" s="16" t="s">
        <v>1178</v>
      </c>
      <c r="E54" s="50"/>
      <c r="F54" s="43"/>
      <c r="G54" s="50"/>
      <c r="H54" s="16" t="s">
        <v>1179</v>
      </c>
    </row>
    <row r="55">
      <c r="A55" s="16" t="s">
        <v>62</v>
      </c>
      <c r="B55" s="59" t="str">
        <f>IFERROR(HYPERLINK(VLOOKUP(A55,Internal_lists_bugs!$A$2:$C$73,3,FALSE()), VLOOKUP(A55,Internal_lists_bugs!$A$2:$C$73,3,FALSE())&amp;Char(10) &amp; Char(10) &amp; VLOOKUP(A55,Internal_lists_bugs!$A$2:$Z$73,26,FALSE())),"please select a BUG ID")</f>
        <v>
</v>
      </c>
      <c r="C55" s="39" t="str">
        <f>IFERROR(VLOOKUP(A55,Internal_lists_bugs!$A$2:$G2011,7,FALSE()),"please select a BUG ID")</f>
        <v>https://opendev.org/openstack/nova/commit/ac658aa7d0671fb9b5a0a2c504f4b73dff514da9</v>
      </c>
      <c r="D55" s="16" t="s">
        <v>1182</v>
      </c>
      <c r="E55" s="50"/>
      <c r="F55" s="43"/>
      <c r="G55" s="50"/>
      <c r="H55" s="16" t="s">
        <v>1197</v>
      </c>
    </row>
    <row r="56">
      <c r="A56" s="16" t="s">
        <v>62</v>
      </c>
      <c r="B56" s="59" t="str">
        <f>IFERROR(HYPERLINK(VLOOKUP(A56,Internal_lists_bugs!$A$2:$C$73,3,FALSE()), VLOOKUP(A56,Internal_lists_bugs!$A$2:$C$73,3,FALSE())&amp;Char(10) &amp; Char(10) &amp; VLOOKUP(A56,Internal_lists_bugs!$A$2:$Z$73,26,FALSE())),"please select a BUG ID")</f>
        <v>
</v>
      </c>
      <c r="C56" s="39" t="str">
        <f>IFERROR(VLOOKUP(A56,Internal_lists_bugs!$A$2:$G2011,7,FALSE()),"please select a BUG ID")</f>
        <v>https://opendev.org/openstack/nova/commit/ac658aa7d0671fb9b5a0a2c504f4b73dff514da9</v>
      </c>
      <c r="D56" s="16" t="s">
        <v>1191</v>
      </c>
      <c r="E56" s="50"/>
      <c r="F56" s="43"/>
      <c r="G56" s="50"/>
      <c r="H56" s="16" t="s">
        <v>1198</v>
      </c>
    </row>
    <row r="57">
      <c r="A57" s="16" t="s">
        <v>62</v>
      </c>
      <c r="B57" s="59" t="str">
        <f>IFERROR(HYPERLINK(VLOOKUP(A57,Internal_lists_bugs!$A$2:$C$73,3,FALSE()), VLOOKUP(A57,Internal_lists_bugs!$A$2:$C$73,3,FALSE())&amp;Char(10) &amp; Char(10) &amp; VLOOKUP(A57,Internal_lists_bugs!$A$2:$Z$73,26,FALSE())),"please select a BUG ID")</f>
        <v>
</v>
      </c>
      <c r="C57" s="39" t="str">
        <f>IFERROR(VLOOKUP(A57,Internal_lists_bugs!$A$2:$G2011,7,FALSE()),"please select a BUG ID")</f>
        <v>https://opendev.org/openstack/nova/commit/ac658aa7d0671fb9b5a0a2c504f4b73dff514da9</v>
      </c>
      <c r="D57" s="16" t="s">
        <v>1199</v>
      </c>
      <c r="E57" s="50"/>
      <c r="F57" s="43"/>
      <c r="G57" s="50"/>
      <c r="H57" s="16" t="s">
        <v>1200</v>
      </c>
    </row>
    <row r="58">
      <c r="A58" s="16" t="s">
        <v>62</v>
      </c>
      <c r="B58" s="59" t="str">
        <f>IFERROR(HYPERLINK(VLOOKUP(A58,Internal_lists_bugs!$A$2:$C$73,3,FALSE()), VLOOKUP(A58,Internal_lists_bugs!$A$2:$C$73,3,FALSE())&amp;Char(10) &amp; Char(10) &amp; VLOOKUP(A58,Internal_lists_bugs!$A$2:$Z$73,26,FALSE())),"please select a BUG ID")</f>
        <v>
</v>
      </c>
      <c r="C58" s="39" t="str">
        <f>IFERROR(VLOOKUP(A58,Internal_lists_bugs!$A$2:$G2011,7,FALSE()),"please select a BUG ID")</f>
        <v>https://opendev.org/openstack/nova/commit/ac658aa7d0671fb9b5a0a2c504f4b73dff514da9</v>
      </c>
      <c r="D58" s="16" t="s">
        <v>1201</v>
      </c>
      <c r="E58" s="50"/>
      <c r="F58" s="43"/>
      <c r="G58" s="50"/>
      <c r="H58" s="16" t="s">
        <v>1204</v>
      </c>
    </row>
    <row r="59">
      <c r="A59" s="16" t="s">
        <v>62</v>
      </c>
      <c r="B59" s="59" t="str">
        <f>IFERROR(HYPERLINK(VLOOKUP(A59,Internal_lists_bugs!$A$2:$C$73,3,FALSE()), VLOOKUP(A59,Internal_lists_bugs!$A$2:$C$73,3,FALSE())&amp;Char(10) &amp; Char(10) &amp; VLOOKUP(A59,Internal_lists_bugs!$A$2:$Z$73,26,FALSE())),"please select a BUG ID")</f>
        <v>
</v>
      </c>
      <c r="C59" s="39" t="str">
        <f>IFERROR(VLOOKUP(A59,Internal_lists_bugs!$A$2:$G2011,7,FALSE()),"please select a BUG ID")</f>
        <v>https://opendev.org/openstack/nova/commit/ac658aa7d0671fb9b5a0a2c504f4b73dff514da9</v>
      </c>
      <c r="D59" s="16" t="s">
        <v>1202</v>
      </c>
      <c r="E59" s="50"/>
      <c r="F59" s="43"/>
      <c r="G59" s="50"/>
      <c r="H59" s="43"/>
    </row>
    <row r="60">
      <c r="A60" s="16" t="s">
        <v>62</v>
      </c>
      <c r="B60" s="59" t="str">
        <f>IFERROR(HYPERLINK(VLOOKUP(A60,Internal_lists_bugs!$A$2:$C$73,3,FALSE()), VLOOKUP(A60,Internal_lists_bugs!$A$2:$C$73,3,FALSE())&amp;Char(10) &amp; Char(10) &amp; VLOOKUP(A60,Internal_lists_bugs!$A$2:$Z$73,26,FALSE())),"please select a BUG ID")</f>
        <v>
</v>
      </c>
      <c r="C60" s="39" t="str">
        <f>IFERROR(VLOOKUP(A60,Internal_lists_bugs!$A$2:$G2011,7,FALSE()),"please select a BUG ID")</f>
        <v>https://opendev.org/openstack/nova/commit/ac658aa7d0671fb9b5a0a2c504f4b73dff514da9</v>
      </c>
      <c r="D60" s="16" t="s">
        <v>1173</v>
      </c>
      <c r="E60" s="50"/>
      <c r="F60" s="43"/>
      <c r="G60" s="50"/>
      <c r="H60" s="43"/>
    </row>
    <row r="61">
      <c r="A61" s="16" t="s">
        <v>62</v>
      </c>
      <c r="B61" s="59" t="str">
        <f>IFERROR(HYPERLINK(VLOOKUP(A61,Internal_lists_bugs!$A$2:$C$73,3,FALSE()), VLOOKUP(A61,Internal_lists_bugs!$A$2:$C$73,3,FALSE())&amp;Char(10) &amp; Char(10) &amp; VLOOKUP(A61,Internal_lists_bugs!$A$2:$Z$73,26,FALSE())),"please select a BUG ID")</f>
        <v>
</v>
      </c>
      <c r="C61" s="39" t="str">
        <f>IFERROR(VLOOKUP(A61,Internal_lists_bugs!$A$2:$G2011,7,FALSE()),"please select a BUG ID")</f>
        <v>https://opendev.org/openstack/nova/commit/ac658aa7d0671fb9b5a0a2c504f4b73dff514da9</v>
      </c>
      <c r="D61" s="16" t="s">
        <v>1192</v>
      </c>
      <c r="E61" s="50"/>
      <c r="F61" s="43"/>
      <c r="G61" s="50"/>
      <c r="H61" s="43"/>
    </row>
    <row r="62">
      <c r="A62" s="16" t="s">
        <v>62</v>
      </c>
      <c r="B62" s="59" t="str">
        <f>IFERROR(HYPERLINK(VLOOKUP(A62,Internal_lists_bugs!$A$2:$C$73,3,FALSE()), VLOOKUP(A62,Internal_lists_bugs!$A$2:$C$73,3,FALSE())&amp;Char(10) &amp; Char(10) &amp; VLOOKUP(A62,Internal_lists_bugs!$A$2:$Z$73,26,FALSE())),"please select a BUG ID")</f>
        <v>
</v>
      </c>
      <c r="C62" s="39" t="str">
        <f>IFERROR(VLOOKUP(A62,Internal_lists_bugs!$A$2:$G2011,7,FALSE()),"please select a BUG ID")</f>
        <v>https://opendev.org/openstack/nova/commit/ac658aa7d0671fb9b5a0a2c504f4b73dff514da9</v>
      </c>
      <c r="D62" s="16" t="s">
        <v>1205</v>
      </c>
      <c r="E62" s="50"/>
      <c r="F62" s="43"/>
      <c r="G62" s="50"/>
      <c r="H62" s="43"/>
    </row>
    <row r="63">
      <c r="A63" s="16" t="s">
        <v>62</v>
      </c>
      <c r="B63" s="59" t="str">
        <f>IFERROR(HYPERLINK(VLOOKUP(A63,Internal_lists_bugs!$A$2:$C$73,3,FALSE()), VLOOKUP(A63,Internal_lists_bugs!$A$2:$C$73,3,FALSE())&amp;Char(10) &amp; Char(10) &amp; VLOOKUP(A63,Internal_lists_bugs!$A$2:$Z$73,26,FALSE())),"please select a BUG ID")</f>
        <v>
</v>
      </c>
      <c r="C63" s="39" t="str">
        <f>IFERROR(VLOOKUP(A63,Internal_lists_bugs!$A$2:$G2011,7,FALSE()),"please select a BUG ID")</f>
        <v>https://opendev.org/openstack/nova/commit/ac658aa7d0671fb9b5a0a2c504f4b73dff514da9</v>
      </c>
      <c r="D63" s="16" t="s">
        <v>1183</v>
      </c>
      <c r="E63" s="50"/>
      <c r="F63" s="43"/>
      <c r="G63" s="50"/>
      <c r="H63" s="43"/>
    </row>
    <row r="64">
      <c r="A64" s="16" t="s">
        <v>62</v>
      </c>
      <c r="B64" s="59" t="str">
        <f>IFERROR(HYPERLINK(VLOOKUP(A64,Internal_lists_bugs!$A$2:$C$73,3,FALSE()), VLOOKUP(A64,Internal_lists_bugs!$A$2:$C$73,3,FALSE())&amp;Char(10) &amp; Char(10) &amp; VLOOKUP(A64,Internal_lists_bugs!$A$2:$Z$73,26,FALSE())),"please select a BUG ID")</f>
        <v>
</v>
      </c>
      <c r="C64" s="39" t="str">
        <f>IFERROR(VLOOKUP(A64,Internal_lists_bugs!$A$2:$G2011,7,FALSE()),"please select a BUG ID")</f>
        <v>https://opendev.org/openstack/nova/commit/ac658aa7d0671fb9b5a0a2c504f4b73dff514da9</v>
      </c>
      <c r="D64" s="16" t="s">
        <v>1184</v>
      </c>
      <c r="E64" s="50"/>
      <c r="F64" s="43"/>
      <c r="G64" s="50"/>
      <c r="H64" s="43"/>
    </row>
    <row r="65">
      <c r="A65" s="16" t="s">
        <v>62</v>
      </c>
      <c r="B65" s="59" t="str">
        <f>IFERROR(HYPERLINK(VLOOKUP(A65,Internal_lists_bugs!$A$2:$C$73,3,FALSE()), VLOOKUP(A65,Internal_lists_bugs!$A$2:$C$73,3,FALSE())&amp;Char(10) &amp; Char(10) &amp; VLOOKUP(A65,Internal_lists_bugs!$A$2:$Z$73,26,FALSE())),"please select a BUG ID")</f>
        <v>
</v>
      </c>
      <c r="C65" s="39" t="str">
        <f>IFERROR(VLOOKUP(A65,Internal_lists_bugs!$A$2:$G2011,7,FALSE()),"please select a BUG ID")</f>
        <v>https://opendev.org/openstack/nova/commit/ac658aa7d0671fb9b5a0a2c504f4b73dff514da9</v>
      </c>
      <c r="D65" s="16" t="s">
        <v>1185</v>
      </c>
      <c r="E65" s="50"/>
      <c r="F65" s="43"/>
      <c r="G65" s="50"/>
      <c r="H65" s="43"/>
    </row>
    <row r="66">
      <c r="A66" s="16" t="s">
        <v>62</v>
      </c>
      <c r="B66" s="59" t="str">
        <f>IFERROR(HYPERLINK(VLOOKUP(A66,Internal_lists_bugs!$A$2:$C$73,3,FALSE()), VLOOKUP(A66,Internal_lists_bugs!$A$2:$C$73,3,FALSE())&amp;Char(10) &amp; Char(10) &amp; VLOOKUP(A66,Internal_lists_bugs!$A$2:$Z$73,26,FALSE())),"please select a BUG ID")</f>
        <v>
</v>
      </c>
      <c r="C66" s="39" t="str">
        <f>IFERROR(VLOOKUP(A66,Internal_lists_bugs!$A$2:$G2011,7,FALSE()),"please select a BUG ID")</f>
        <v>https://opendev.org/openstack/nova/commit/ac658aa7d0671fb9b5a0a2c504f4b73dff514da9</v>
      </c>
      <c r="D66" s="16" t="s">
        <v>1196</v>
      </c>
      <c r="E66" s="50"/>
      <c r="F66" s="43"/>
      <c r="G66" s="50"/>
      <c r="H66" s="43"/>
    </row>
    <row r="67">
      <c r="A67" s="16" t="s">
        <v>62</v>
      </c>
      <c r="B67" s="59" t="str">
        <f>IFERROR(HYPERLINK(VLOOKUP(A67,Internal_lists_bugs!$A$2:$C$73,3,FALSE()), VLOOKUP(A67,Internal_lists_bugs!$A$2:$C$73,3,FALSE())&amp;Char(10) &amp; Char(10) &amp; VLOOKUP(A67,Internal_lists_bugs!$A$2:$Z$73,26,FALSE())),"please select a BUG ID")</f>
        <v>
</v>
      </c>
      <c r="C67" s="39" t="str">
        <f>IFERROR(VLOOKUP(A67,Internal_lists_bugs!$A$2:$G2011,7,FALSE()),"please select a BUG ID")</f>
        <v>https://opendev.org/openstack/nova/commit/ac658aa7d0671fb9b5a0a2c504f4b73dff514da9</v>
      </c>
      <c r="D67" s="16" t="s">
        <v>1187</v>
      </c>
      <c r="E67" s="50"/>
      <c r="F67" s="43"/>
      <c r="G67" s="50"/>
      <c r="H67" s="43"/>
    </row>
    <row r="68">
      <c r="A68" s="16" t="s">
        <v>62</v>
      </c>
      <c r="B68" s="59" t="str">
        <f>IFERROR(HYPERLINK(VLOOKUP(A68,Internal_lists_bugs!$A$2:$C$73,3,FALSE()), VLOOKUP(A68,Internal_lists_bugs!$A$2:$C$73,3,FALSE())&amp;Char(10) &amp; Char(10) &amp; VLOOKUP(A68,Internal_lists_bugs!$A$2:$Z$73,26,FALSE())),"please select a BUG ID")</f>
        <v>
</v>
      </c>
      <c r="C68" s="39" t="str">
        <f>IFERROR(VLOOKUP(A68,Internal_lists_bugs!$A$2:$G2011,7,FALSE()),"please select a BUG ID")</f>
        <v>https://opendev.org/openstack/nova/commit/ac658aa7d0671fb9b5a0a2c504f4b73dff514da9</v>
      </c>
      <c r="D68" s="16" t="s">
        <v>1206</v>
      </c>
      <c r="E68" s="50"/>
      <c r="F68" s="43"/>
      <c r="G68" s="50"/>
      <c r="H68" s="43"/>
    </row>
    <row r="69">
      <c r="A69" s="16" t="s">
        <v>62</v>
      </c>
      <c r="B69" s="59" t="str">
        <f>IFERROR(HYPERLINK(VLOOKUP(A69,Internal_lists_bugs!$A$2:$C$73,3,FALSE()), VLOOKUP(A69,Internal_lists_bugs!$A$2:$C$73,3,FALSE())&amp;Char(10) &amp; Char(10) &amp; VLOOKUP(A69,Internal_lists_bugs!$A$2:$Z$73,26,FALSE())),"please select a BUG ID")</f>
        <v>
</v>
      </c>
      <c r="C69" s="39" t="str">
        <f>IFERROR(VLOOKUP(A69,Internal_lists_bugs!$A$2:$G2011,7,FALSE()),"please select a BUG ID")</f>
        <v>https://opendev.org/openstack/nova/commit/ac658aa7d0671fb9b5a0a2c504f4b73dff514da9</v>
      </c>
      <c r="D69" s="16" t="s">
        <v>1188</v>
      </c>
      <c r="E69" s="50"/>
      <c r="F69" s="43"/>
      <c r="G69" s="50"/>
      <c r="H69" s="43"/>
    </row>
    <row r="70">
      <c r="A70" s="16" t="s">
        <v>62</v>
      </c>
      <c r="B70" s="59" t="str">
        <f>IFERROR(HYPERLINK(VLOOKUP(A70,Internal_lists_bugs!$A$2:$C$73,3,FALSE()), VLOOKUP(A70,Internal_lists_bugs!$A$2:$C$73,3,FALSE())&amp;Char(10) &amp; Char(10) &amp; VLOOKUP(A70,Internal_lists_bugs!$A$2:$Z$73,26,FALSE())),"please select a BUG ID")</f>
        <v>
</v>
      </c>
      <c r="C70" s="39" t="str">
        <f>IFERROR(VLOOKUP(A70,Internal_lists_bugs!$A$2:$G2011,7,FALSE()),"please select a BUG ID")</f>
        <v>https://opendev.org/openstack/nova/commit/ac658aa7d0671fb9b5a0a2c504f4b73dff514da9</v>
      </c>
      <c r="D70" s="16" t="s">
        <v>1207</v>
      </c>
      <c r="E70" s="50"/>
      <c r="F70" s="43"/>
      <c r="G70" s="50"/>
      <c r="H70" s="43"/>
    </row>
    <row r="71">
      <c r="A71" s="16" t="s">
        <v>56</v>
      </c>
      <c r="B71" s="59" t="str">
        <f>IFERROR(HYPERLINK(VLOOKUP(A71,Internal_lists_bugs!$A$2:$C$73,3,FALSE()), VLOOKUP(A71,Internal_lists_bugs!$A$2:$C$73,3,FALSE())&amp;Char(10) &amp; Char(10) &amp; VLOOKUP(A71,Internal_lists_bugs!$A$2:$Z$73,26,FALSE())),"please select a BUG ID")</f>
        <v>
</v>
      </c>
      <c r="C71" s="39" t="str">
        <f>IFERROR(VLOOKUP(A71,Internal_lists_bugs!$A$2:$G2011,7,FALSE()),"please select a BUG ID")</f>
        <v>https://opendev.org/openstack/nova/commit/f2baacd4e634b815fe011ced0d6e46f6c06b7fdd</v>
      </c>
      <c r="D71" s="16" t="s">
        <v>1208</v>
      </c>
      <c r="E71" s="50"/>
      <c r="F71" s="16" t="s">
        <v>1174</v>
      </c>
      <c r="G71" s="50"/>
      <c r="H71" s="16" t="s">
        <v>1175</v>
      </c>
    </row>
    <row r="72">
      <c r="A72" s="16" t="s">
        <v>56</v>
      </c>
      <c r="B72" s="59" t="str">
        <f>IFERROR(HYPERLINK(VLOOKUP(A72,Internal_lists_bugs!$A$2:$C$73,3,FALSE()), VLOOKUP(A72,Internal_lists_bugs!$A$2:$C$73,3,FALSE())&amp;Char(10) &amp; Char(10) &amp; VLOOKUP(A72,Internal_lists_bugs!$A$2:$Z$73,26,FALSE())),"please select a BUG ID")</f>
        <v>
</v>
      </c>
      <c r="C72" s="39" t="str">
        <f>IFERROR(VLOOKUP(A72,Internal_lists_bugs!$A$2:$G2011,7,FALSE()),"please select a BUG ID")</f>
        <v>https://opendev.org/openstack/nova/commit/f2baacd4e634b815fe011ced0d6e46f6c06b7fdd</v>
      </c>
      <c r="D72" s="16" t="s">
        <v>1209</v>
      </c>
      <c r="E72" s="50"/>
      <c r="F72" s="43"/>
      <c r="G72" s="50"/>
      <c r="H72" s="16" t="s">
        <v>1177</v>
      </c>
    </row>
    <row r="73">
      <c r="A73" s="16" t="s">
        <v>56</v>
      </c>
      <c r="B73" s="59" t="str">
        <f>IFERROR(HYPERLINK(VLOOKUP(A73,Internal_lists_bugs!$A$2:$C$73,3,FALSE()), VLOOKUP(A73,Internal_lists_bugs!$A$2:$C$73,3,FALSE())&amp;Char(10) &amp; Char(10) &amp; VLOOKUP(A73,Internal_lists_bugs!$A$2:$Z$73,26,FALSE())),"please select a BUG ID")</f>
        <v>
</v>
      </c>
      <c r="C73" s="39" t="str">
        <f>IFERROR(VLOOKUP(A73,Internal_lists_bugs!$A$2:$G2011,7,FALSE()),"please select a BUG ID")</f>
        <v>https://opendev.org/openstack/nova/commit/f2baacd4e634b815fe011ced0d6e46f6c06b7fdd</v>
      </c>
      <c r="D73" s="16" t="s">
        <v>1178</v>
      </c>
      <c r="E73" s="50"/>
      <c r="F73" s="43"/>
      <c r="G73" s="50"/>
      <c r="H73" s="16" t="s">
        <v>1179</v>
      </c>
    </row>
    <row r="74">
      <c r="A74" s="16" t="s">
        <v>56</v>
      </c>
      <c r="B74" s="59" t="str">
        <f>IFERROR(HYPERLINK(VLOOKUP(A74,Internal_lists_bugs!$A$2:$C$73,3,FALSE()), VLOOKUP(A74,Internal_lists_bugs!$A$2:$C$73,3,FALSE())&amp;Char(10) &amp; Char(10) &amp; VLOOKUP(A74,Internal_lists_bugs!$A$2:$Z$73,26,FALSE())),"please select a BUG ID")</f>
        <v>
</v>
      </c>
      <c r="C74" s="39" t="str">
        <f>IFERROR(VLOOKUP(A74,Internal_lists_bugs!$A$2:$G2011,7,FALSE()),"please select a BUG ID")</f>
        <v>https://opendev.org/openstack/nova/commit/f2baacd4e634b815fe011ced0d6e46f6c06b7fdd</v>
      </c>
      <c r="D74" s="16" t="s">
        <v>1182</v>
      </c>
      <c r="E74" s="50"/>
      <c r="F74" s="43"/>
      <c r="G74" s="50"/>
      <c r="H74" s="16" t="s">
        <v>1197</v>
      </c>
    </row>
    <row r="75">
      <c r="A75" s="16" t="s">
        <v>56</v>
      </c>
      <c r="B75" s="59" t="str">
        <f>IFERROR(HYPERLINK(VLOOKUP(A75,Internal_lists_bugs!$A$2:$C$73,3,FALSE()), VLOOKUP(A75,Internal_lists_bugs!$A$2:$C$73,3,FALSE())&amp;Char(10) &amp; Char(10) &amp; VLOOKUP(A75,Internal_lists_bugs!$A$2:$Z$73,26,FALSE())),"please select a BUG ID")</f>
        <v>
</v>
      </c>
      <c r="C75" s="39" t="str">
        <f>IFERROR(VLOOKUP(A75,Internal_lists_bugs!$A$2:$G2011,7,FALSE()),"please select a BUG ID")</f>
        <v>https://opendev.org/openstack/nova/commit/f2baacd4e634b815fe011ced0d6e46f6c06b7fdd</v>
      </c>
      <c r="D75" s="16" t="s">
        <v>1191</v>
      </c>
      <c r="E75" s="50"/>
      <c r="F75" s="43"/>
      <c r="G75" s="50"/>
      <c r="H75" s="16" t="s">
        <v>1198</v>
      </c>
    </row>
    <row r="76">
      <c r="A76" s="16" t="s">
        <v>56</v>
      </c>
      <c r="B76" s="59" t="str">
        <f>IFERROR(HYPERLINK(VLOOKUP(A76,Internal_lists_bugs!$A$2:$C$73,3,FALSE()), VLOOKUP(A76,Internal_lists_bugs!$A$2:$C$73,3,FALSE())&amp;Char(10) &amp; Char(10) &amp; VLOOKUP(A76,Internal_lists_bugs!$A$2:$Z$73,26,FALSE())),"please select a BUG ID")</f>
        <v>
</v>
      </c>
      <c r="C76" s="39" t="str">
        <f>IFERROR(VLOOKUP(A76,Internal_lists_bugs!$A$2:$G2011,7,FALSE()),"please select a BUG ID")</f>
        <v>https://opendev.org/openstack/nova/commit/f2baacd4e634b815fe011ced0d6e46f6c06b7fdd</v>
      </c>
      <c r="D76" s="16" t="s">
        <v>1199</v>
      </c>
      <c r="E76" s="50"/>
      <c r="F76" s="43"/>
      <c r="G76" s="50"/>
      <c r="H76" s="16" t="s">
        <v>1200</v>
      </c>
    </row>
    <row r="77">
      <c r="A77" s="16" t="s">
        <v>56</v>
      </c>
      <c r="B77" s="59" t="str">
        <f>IFERROR(HYPERLINK(VLOOKUP(A77,Internal_lists_bugs!$A$2:$C$73,3,FALSE()), VLOOKUP(A77,Internal_lists_bugs!$A$2:$C$73,3,FALSE())&amp;Char(10) &amp; Char(10) &amp; VLOOKUP(A77,Internal_lists_bugs!$A$2:$Z$73,26,FALSE())),"please select a BUG ID")</f>
        <v>
</v>
      </c>
      <c r="C77" s="39" t="str">
        <f>IFERROR(VLOOKUP(A77,Internal_lists_bugs!$A$2:$G2011,7,FALSE()),"please select a BUG ID")</f>
        <v>https://opendev.org/openstack/nova/commit/f2baacd4e634b815fe011ced0d6e46f6c06b7fdd</v>
      </c>
      <c r="D77" s="16" t="s">
        <v>1201</v>
      </c>
      <c r="E77" s="50"/>
      <c r="F77" s="43"/>
      <c r="G77" s="50"/>
      <c r="H77" s="16" t="s">
        <v>1204</v>
      </c>
    </row>
    <row r="78">
      <c r="A78" s="16" t="s">
        <v>56</v>
      </c>
      <c r="B78" s="59" t="str">
        <f>IFERROR(HYPERLINK(VLOOKUP(A78,Internal_lists_bugs!$A$2:$C$73,3,FALSE()), VLOOKUP(A78,Internal_lists_bugs!$A$2:$C$73,3,FALSE())&amp;Char(10) &amp; Char(10) &amp; VLOOKUP(A78,Internal_lists_bugs!$A$2:$Z$73,26,FALSE())),"please select a BUG ID")</f>
        <v>
</v>
      </c>
      <c r="C78" s="39" t="str">
        <f>IFERROR(VLOOKUP(A78,Internal_lists_bugs!$A$2:$G2011,7,FALSE()),"please select a BUG ID")</f>
        <v>https://opendev.org/openstack/nova/commit/f2baacd4e634b815fe011ced0d6e46f6c06b7fdd</v>
      </c>
      <c r="D78" s="16" t="s">
        <v>1202</v>
      </c>
      <c r="E78" s="50"/>
      <c r="F78" s="43"/>
      <c r="G78" s="50"/>
      <c r="H78" s="16" t="s">
        <v>1210</v>
      </c>
    </row>
    <row r="79">
      <c r="A79" s="16" t="s">
        <v>56</v>
      </c>
      <c r="B79" s="59" t="str">
        <f>IFERROR(HYPERLINK(VLOOKUP(A79,Internal_lists_bugs!$A$2:$C$73,3,FALSE()), VLOOKUP(A79,Internal_lists_bugs!$A$2:$C$73,3,FALSE())&amp;Char(10) &amp; Char(10) &amp; VLOOKUP(A79,Internal_lists_bugs!$A$2:$Z$73,26,FALSE())),"please select a BUG ID")</f>
        <v>
</v>
      </c>
      <c r="C79" s="39" t="str">
        <f>IFERROR(VLOOKUP(A79,Internal_lists_bugs!$A$2:$G2011,7,FALSE()),"please select a BUG ID")</f>
        <v>https://opendev.org/openstack/nova/commit/f2baacd4e634b815fe011ced0d6e46f6c06b7fdd</v>
      </c>
      <c r="D79" s="16" t="s">
        <v>1173</v>
      </c>
      <c r="E79" s="50"/>
      <c r="F79" s="43"/>
      <c r="G79" s="50"/>
      <c r="H79" s="43"/>
    </row>
    <row r="80">
      <c r="A80" s="16" t="s">
        <v>56</v>
      </c>
      <c r="B80" s="59" t="str">
        <f>IFERROR(HYPERLINK(VLOOKUP(A80,Internal_lists_bugs!$A$2:$C$73,3,FALSE()), VLOOKUP(A80,Internal_lists_bugs!$A$2:$C$73,3,FALSE())&amp;Char(10) &amp; Char(10) &amp; VLOOKUP(A80,Internal_lists_bugs!$A$2:$Z$73,26,FALSE())),"please select a BUG ID")</f>
        <v>
</v>
      </c>
      <c r="C80" s="39" t="str">
        <f>IFERROR(VLOOKUP(A80,Internal_lists_bugs!$A$2:$G2011,7,FALSE()),"please select a BUG ID")</f>
        <v>https://opendev.org/openstack/nova/commit/f2baacd4e634b815fe011ced0d6e46f6c06b7fdd</v>
      </c>
      <c r="D80" s="16" t="s">
        <v>1211</v>
      </c>
      <c r="E80" s="50"/>
      <c r="F80" s="43"/>
      <c r="G80" s="50"/>
      <c r="H80" s="43"/>
    </row>
    <row r="81">
      <c r="A81" s="16" t="s">
        <v>56</v>
      </c>
      <c r="B81" s="59" t="str">
        <f>IFERROR(HYPERLINK(VLOOKUP(A81,Internal_lists_bugs!$A$2:$C$73,3,FALSE()), VLOOKUP(A81,Internal_lists_bugs!$A$2:$C$73,3,FALSE())&amp;Char(10) &amp; Char(10) &amp; VLOOKUP(A81,Internal_lists_bugs!$A$2:$Z$73,26,FALSE())),"please select a BUG ID")</f>
        <v>
</v>
      </c>
      <c r="C81" s="39" t="str">
        <f>IFERROR(VLOOKUP(A81,Internal_lists_bugs!$A$2:$G2011,7,FALSE()),"please select a BUG ID")</f>
        <v>https://opendev.org/openstack/nova/commit/f2baacd4e634b815fe011ced0d6e46f6c06b7fdd</v>
      </c>
      <c r="D81" s="16" t="s">
        <v>1205</v>
      </c>
      <c r="E81" s="50"/>
      <c r="F81" s="43"/>
      <c r="G81" s="50"/>
      <c r="H81" s="43"/>
    </row>
    <row r="82">
      <c r="A82" s="16" t="s">
        <v>56</v>
      </c>
      <c r="B82" s="59" t="str">
        <f>IFERROR(HYPERLINK(VLOOKUP(A82,Internal_lists_bugs!$A$2:$C$73,3,FALSE()), VLOOKUP(A82,Internal_lists_bugs!$A$2:$C$73,3,FALSE())&amp;Char(10) &amp; Char(10) &amp; VLOOKUP(A82,Internal_lists_bugs!$A$2:$Z$73,26,FALSE())),"please select a BUG ID")</f>
        <v>
</v>
      </c>
      <c r="C82" s="39" t="str">
        <f>IFERROR(VLOOKUP(A82,Internal_lists_bugs!$A$2:$G2011,7,FALSE()),"please select a BUG ID")</f>
        <v>https://opendev.org/openstack/nova/commit/f2baacd4e634b815fe011ced0d6e46f6c06b7fdd</v>
      </c>
      <c r="D82" s="16" t="s">
        <v>1183</v>
      </c>
      <c r="E82" s="50"/>
      <c r="F82" s="43"/>
      <c r="G82" s="50"/>
      <c r="H82" s="43"/>
    </row>
    <row r="83">
      <c r="A83" s="16" t="s">
        <v>56</v>
      </c>
      <c r="B83" s="59" t="str">
        <f>IFERROR(HYPERLINK(VLOOKUP(A83,Internal_lists_bugs!$A$2:$C$73,3,FALSE()), VLOOKUP(A83,Internal_lists_bugs!$A$2:$C$73,3,FALSE())&amp;Char(10) &amp; Char(10) &amp; VLOOKUP(A83,Internal_lists_bugs!$A$2:$Z$73,26,FALSE())),"please select a BUG ID")</f>
        <v>
</v>
      </c>
      <c r="C83" s="39" t="str">
        <f>IFERROR(VLOOKUP(A83,Internal_lists_bugs!$A$2:$G2011,7,FALSE()),"please select a BUG ID")</f>
        <v>https://opendev.org/openstack/nova/commit/f2baacd4e634b815fe011ced0d6e46f6c06b7fdd</v>
      </c>
      <c r="D83" s="16" t="s">
        <v>1184</v>
      </c>
      <c r="E83" s="50"/>
      <c r="F83" s="43"/>
      <c r="G83" s="50"/>
      <c r="H83" s="43"/>
    </row>
    <row r="84">
      <c r="A84" s="16" t="s">
        <v>56</v>
      </c>
      <c r="B84" s="59" t="str">
        <f>IFERROR(HYPERLINK(VLOOKUP(A84,Internal_lists_bugs!$A$2:$C$73,3,FALSE()), VLOOKUP(A84,Internal_lists_bugs!$A$2:$C$73,3,FALSE())&amp;Char(10) &amp; Char(10) &amp; VLOOKUP(A84,Internal_lists_bugs!$A$2:$Z$73,26,FALSE())),"please select a BUG ID")</f>
        <v>
</v>
      </c>
      <c r="C84" s="39" t="str">
        <f>IFERROR(VLOOKUP(A84,Internal_lists_bugs!$A$2:$G2011,7,FALSE()),"please select a BUG ID")</f>
        <v>https://opendev.org/openstack/nova/commit/f2baacd4e634b815fe011ced0d6e46f6c06b7fdd</v>
      </c>
      <c r="D84" s="16" t="s">
        <v>1185</v>
      </c>
      <c r="E84" s="50"/>
      <c r="F84" s="43"/>
      <c r="G84" s="50"/>
      <c r="H84" s="43"/>
    </row>
    <row r="85">
      <c r="A85" s="16" t="s">
        <v>56</v>
      </c>
      <c r="B85" s="59" t="str">
        <f>IFERROR(HYPERLINK(VLOOKUP(A85,Internal_lists_bugs!$A$2:$C$73,3,FALSE()), VLOOKUP(A85,Internal_lists_bugs!$A$2:$C$73,3,FALSE())&amp;Char(10) &amp; Char(10) &amp; VLOOKUP(A85,Internal_lists_bugs!$A$2:$Z$73,26,FALSE())),"please select a BUG ID")</f>
        <v>
</v>
      </c>
      <c r="C85" s="39" t="str">
        <f>IFERROR(VLOOKUP(A85,Internal_lists_bugs!$A$2:$G2011,7,FALSE()),"please select a BUG ID")</f>
        <v>https://opendev.org/openstack/nova/commit/f2baacd4e634b815fe011ced0d6e46f6c06b7fdd</v>
      </c>
      <c r="D85" s="16" t="s">
        <v>1196</v>
      </c>
      <c r="E85" s="50"/>
      <c r="F85" s="43"/>
      <c r="G85" s="50"/>
      <c r="H85" s="43"/>
    </row>
    <row r="86">
      <c r="A86" s="16" t="s">
        <v>56</v>
      </c>
      <c r="B86" s="59" t="str">
        <f>IFERROR(HYPERLINK(VLOOKUP(A86,Internal_lists_bugs!$A$2:$C$73,3,FALSE()), VLOOKUP(A86,Internal_lists_bugs!$A$2:$C$73,3,FALSE())&amp;Char(10) &amp; Char(10) &amp; VLOOKUP(A86,Internal_lists_bugs!$A$2:$Z$73,26,FALSE())),"please select a BUG ID")</f>
        <v>
</v>
      </c>
      <c r="C86" s="39" t="str">
        <f>IFERROR(VLOOKUP(A86,Internal_lists_bugs!$A$2:$G2011,7,FALSE()),"please select a BUG ID")</f>
        <v>https://opendev.org/openstack/nova/commit/f2baacd4e634b815fe011ced0d6e46f6c06b7fdd</v>
      </c>
      <c r="D86" s="16" t="s">
        <v>1187</v>
      </c>
      <c r="E86" s="50"/>
      <c r="F86" s="43"/>
      <c r="G86" s="50"/>
      <c r="H86" s="43"/>
    </row>
    <row r="87">
      <c r="A87" s="16" t="s">
        <v>56</v>
      </c>
      <c r="B87" s="59" t="str">
        <f>IFERROR(HYPERLINK(VLOOKUP(A87,Internal_lists_bugs!$A$2:$C$73,3,FALSE()), VLOOKUP(A87,Internal_lists_bugs!$A$2:$C$73,3,FALSE())&amp;Char(10) &amp; Char(10) &amp; VLOOKUP(A87,Internal_lists_bugs!$A$2:$Z$73,26,FALSE())),"please select a BUG ID")</f>
        <v>
</v>
      </c>
      <c r="C87" s="39" t="str">
        <f>IFERROR(VLOOKUP(A87,Internal_lists_bugs!$A$2:$G2011,7,FALSE()),"please select a BUG ID")</f>
        <v>https://opendev.org/openstack/nova/commit/f2baacd4e634b815fe011ced0d6e46f6c06b7fdd</v>
      </c>
      <c r="D87" s="16" t="s">
        <v>1206</v>
      </c>
      <c r="E87" s="50"/>
      <c r="F87" s="43"/>
      <c r="G87" s="50"/>
      <c r="H87" s="43"/>
    </row>
    <row r="88">
      <c r="A88" s="16" t="s">
        <v>56</v>
      </c>
      <c r="B88" s="59" t="str">
        <f>IFERROR(HYPERLINK(VLOOKUP(A88,Internal_lists_bugs!$A$2:$C$73,3,FALSE()), VLOOKUP(A88,Internal_lists_bugs!$A$2:$C$73,3,FALSE())&amp;Char(10) &amp; Char(10) &amp; VLOOKUP(A88,Internal_lists_bugs!$A$2:$Z$73,26,FALSE())),"please select a BUG ID")</f>
        <v>
</v>
      </c>
      <c r="C88" s="39" t="str">
        <f>IFERROR(VLOOKUP(A88,Internal_lists_bugs!$A$2:$G2011,7,FALSE()),"please select a BUG ID")</f>
        <v>https://opendev.org/openstack/nova/commit/f2baacd4e634b815fe011ced0d6e46f6c06b7fdd</v>
      </c>
      <c r="D88" s="16" t="s">
        <v>1188</v>
      </c>
      <c r="E88" s="50"/>
      <c r="F88" s="43"/>
      <c r="G88" s="50"/>
      <c r="H88" s="43"/>
    </row>
    <row r="89">
      <c r="A89" s="16" t="s">
        <v>56</v>
      </c>
      <c r="B89" s="59" t="str">
        <f>IFERROR(HYPERLINK(VLOOKUP(A89,Internal_lists_bugs!$A$2:$C$73,3,FALSE()), VLOOKUP(A89,Internal_lists_bugs!$A$2:$C$73,3,FALSE())&amp;Char(10) &amp; Char(10) &amp; VLOOKUP(A89,Internal_lists_bugs!$A$2:$Z$73,26,FALSE())),"please select a BUG ID")</f>
        <v>
</v>
      </c>
      <c r="C89" s="39" t="str">
        <f>IFERROR(VLOOKUP(A89,Internal_lists_bugs!$A$2:$G2011,7,FALSE()),"please select a BUG ID")</f>
        <v>https://opendev.org/openstack/nova/commit/f2baacd4e634b815fe011ced0d6e46f6c06b7fdd</v>
      </c>
      <c r="D89" s="16" t="s">
        <v>1207</v>
      </c>
      <c r="E89" s="50"/>
      <c r="F89" s="43"/>
      <c r="G89" s="50"/>
      <c r="H89" s="43"/>
    </row>
    <row r="90">
      <c r="A90" s="16" t="s">
        <v>46</v>
      </c>
      <c r="B90" s="59" t="str">
        <f>IFERROR(HYPERLINK(VLOOKUP(A90,Internal_lists_bugs!$A$2:$C$73,3,FALSE()), VLOOKUP(A90,Internal_lists_bugs!$A$2:$C$73,3,FALSE())&amp;Char(10) &amp; Char(10) &amp; VLOOKUP(A90,Internal_lists_bugs!$A$2:$Z$73,26,FALSE())),"please select a BUG ID")</f>
        <v>
</v>
      </c>
      <c r="C90" s="39" t="str">
        <f>IFERROR(VLOOKUP(A90,Internal_lists_bugs!$A$2:$G2011,7,FALSE()),"please select a BUG ID")</f>
        <v>https://opendev.org/openstack/nova/commit/1b32ed31425a0332ab16f5b5f6c08a20eafe7963</v>
      </c>
      <c r="D90" s="16" t="s">
        <v>1208</v>
      </c>
      <c r="E90" s="50"/>
      <c r="F90" s="16" t="s">
        <v>1174</v>
      </c>
      <c r="G90" s="50"/>
      <c r="H90" s="16" t="s">
        <v>1177</v>
      </c>
    </row>
    <row r="91">
      <c r="A91" s="16" t="s">
        <v>46</v>
      </c>
      <c r="B91" s="59" t="str">
        <f>IFERROR(HYPERLINK(VLOOKUP(A91,Internal_lists_bugs!$A$2:$C$73,3,FALSE()), VLOOKUP(A91,Internal_lists_bugs!$A$2:$C$73,3,FALSE())&amp;Char(10) &amp; Char(10) &amp; VLOOKUP(A91,Internal_lists_bugs!$A$2:$Z$73,26,FALSE())),"please select a BUG ID")</f>
        <v>
</v>
      </c>
      <c r="C91" s="39" t="str">
        <f>IFERROR(VLOOKUP(A91,Internal_lists_bugs!$A$2:$G2011,7,FALSE()),"please select a BUG ID")</f>
        <v>https://opendev.org/openstack/nova/commit/1b32ed31425a0332ab16f5b5f6c08a20eafe7963</v>
      </c>
      <c r="D91" s="16" t="s">
        <v>1209</v>
      </c>
      <c r="E91" s="50"/>
      <c r="F91" s="43"/>
      <c r="G91" s="50"/>
      <c r="H91" s="16" t="s">
        <v>1175</v>
      </c>
    </row>
    <row r="92">
      <c r="A92" s="16" t="s">
        <v>46</v>
      </c>
      <c r="B92" s="59" t="str">
        <f>IFERROR(HYPERLINK(VLOOKUP(A92,Internal_lists_bugs!$A$2:$C$73,3,FALSE()), VLOOKUP(A92,Internal_lists_bugs!$A$2:$C$73,3,FALSE())&amp;Char(10) &amp; Char(10) &amp; VLOOKUP(A92,Internal_lists_bugs!$A$2:$Z$73,26,FALSE())),"please select a BUG ID")</f>
        <v>
</v>
      </c>
      <c r="C92" s="39" t="str">
        <f>IFERROR(VLOOKUP(A92,Internal_lists_bugs!$A$2:$G2011,7,FALSE()),"please select a BUG ID")</f>
        <v>https://opendev.org/openstack/nova/commit/1b32ed31425a0332ab16f5b5f6c08a20eafe7963</v>
      </c>
      <c r="D92" s="16" t="s">
        <v>1178</v>
      </c>
      <c r="E92" s="50"/>
      <c r="F92" s="43"/>
      <c r="G92" s="50"/>
      <c r="H92" s="16" t="s">
        <v>1179</v>
      </c>
    </row>
    <row r="93">
      <c r="A93" s="16" t="s">
        <v>46</v>
      </c>
      <c r="B93" s="59" t="str">
        <f>IFERROR(HYPERLINK(VLOOKUP(A93,Internal_lists_bugs!$A$2:$C$73,3,FALSE()), VLOOKUP(A93,Internal_lists_bugs!$A$2:$C$73,3,FALSE())&amp;Char(10) &amp; Char(10) &amp; VLOOKUP(A93,Internal_lists_bugs!$A$2:$Z$73,26,FALSE())),"please select a BUG ID")</f>
        <v>
</v>
      </c>
      <c r="C93" s="39" t="str">
        <f>IFERROR(VLOOKUP(A93,Internal_lists_bugs!$A$2:$G2011,7,FALSE()),"please select a BUG ID")</f>
        <v>https://opendev.org/openstack/nova/commit/1b32ed31425a0332ab16f5b5f6c08a20eafe7963</v>
      </c>
      <c r="D93" s="16" t="s">
        <v>1182</v>
      </c>
      <c r="E93" s="50"/>
      <c r="F93" s="43"/>
      <c r="G93" s="50"/>
      <c r="H93" s="16" t="s">
        <v>1204</v>
      </c>
    </row>
    <row r="94">
      <c r="A94" s="16" t="s">
        <v>46</v>
      </c>
      <c r="B94" s="59" t="str">
        <f>IFERROR(HYPERLINK(VLOOKUP(A94,Internal_lists_bugs!$A$2:$C$73,3,FALSE()), VLOOKUP(A94,Internal_lists_bugs!$A$2:$C$73,3,FALSE())&amp;Char(10) &amp; Char(10) &amp; VLOOKUP(A94,Internal_lists_bugs!$A$2:$Z$73,26,FALSE())),"please select a BUG ID")</f>
        <v>
</v>
      </c>
      <c r="C94" s="39" t="str">
        <f>IFERROR(VLOOKUP(A94,Internal_lists_bugs!$A$2:$G2011,7,FALSE()),"please select a BUG ID")</f>
        <v>https://opendev.org/openstack/nova/commit/1b32ed31425a0332ab16f5b5f6c08a20eafe7963</v>
      </c>
      <c r="D94" s="16" t="s">
        <v>1191</v>
      </c>
      <c r="E94" s="50"/>
      <c r="F94" s="43"/>
      <c r="G94" s="50"/>
      <c r="H94" s="16" t="s">
        <v>1212</v>
      </c>
    </row>
    <row r="95">
      <c r="A95" s="16" t="s">
        <v>46</v>
      </c>
      <c r="B95" s="59" t="str">
        <f>IFERROR(HYPERLINK(VLOOKUP(A95,Internal_lists_bugs!$A$2:$C$73,3,FALSE()), VLOOKUP(A95,Internal_lists_bugs!$A$2:$C$73,3,FALSE())&amp;Char(10) &amp; Char(10) &amp; VLOOKUP(A95,Internal_lists_bugs!$A$2:$Z$73,26,FALSE())),"please select a BUG ID")</f>
        <v>
</v>
      </c>
      <c r="C95" s="39" t="str">
        <f>IFERROR(VLOOKUP(A95,Internal_lists_bugs!$A$2:$G2011,7,FALSE()),"please select a BUG ID")</f>
        <v>https://opendev.org/openstack/nova/commit/1b32ed31425a0332ab16f5b5f6c08a20eafe7963</v>
      </c>
      <c r="D95" s="16" t="s">
        <v>1199</v>
      </c>
      <c r="E95" s="50"/>
      <c r="F95" s="43"/>
      <c r="G95" s="50"/>
      <c r="H95" s="16" t="s">
        <v>1203</v>
      </c>
    </row>
    <row r="96">
      <c r="A96" s="16" t="s">
        <v>46</v>
      </c>
      <c r="B96" s="59" t="str">
        <f>IFERROR(HYPERLINK(VLOOKUP(A96,Internal_lists_bugs!$A$2:$C$73,3,FALSE()), VLOOKUP(A96,Internal_lists_bugs!$A$2:$C$73,3,FALSE())&amp;Char(10) &amp; Char(10) &amp; VLOOKUP(A96,Internal_lists_bugs!$A$2:$Z$73,26,FALSE())),"please select a BUG ID")</f>
        <v>
</v>
      </c>
      <c r="C96" s="39" t="str">
        <f>IFERROR(VLOOKUP(A96,Internal_lists_bugs!$A$2:$G2011,7,FALSE()),"please select a BUG ID")</f>
        <v>https://opendev.org/openstack/nova/commit/1b32ed31425a0332ab16f5b5f6c08a20eafe7963</v>
      </c>
      <c r="D96" s="16" t="s">
        <v>1201</v>
      </c>
      <c r="E96" s="50"/>
      <c r="F96" s="43"/>
      <c r="G96" s="50"/>
      <c r="H96" s="16" t="s">
        <v>1197</v>
      </c>
    </row>
    <row r="97">
      <c r="A97" s="16" t="s">
        <v>46</v>
      </c>
      <c r="B97" s="59" t="str">
        <f>IFERROR(HYPERLINK(VLOOKUP(A97,Internal_lists_bugs!$A$2:$C$73,3,FALSE()), VLOOKUP(A97,Internal_lists_bugs!$A$2:$C$73,3,FALSE())&amp;Char(10) &amp; Char(10) &amp; VLOOKUP(A97,Internal_lists_bugs!$A$2:$Z$73,26,FALSE())),"please select a BUG ID")</f>
        <v>
</v>
      </c>
      <c r="C97" s="39" t="str">
        <f>IFERROR(VLOOKUP(A97,Internal_lists_bugs!$A$2:$G2011,7,FALSE()),"please select a BUG ID")</f>
        <v>https://opendev.org/openstack/nova/commit/1b32ed31425a0332ab16f5b5f6c08a20eafe7963</v>
      </c>
      <c r="D97" s="16" t="s">
        <v>1202</v>
      </c>
      <c r="E97" s="50"/>
      <c r="F97" s="43"/>
      <c r="G97" s="50"/>
      <c r="H97" s="16" t="s">
        <v>1179</v>
      </c>
    </row>
    <row r="98">
      <c r="A98" s="16" t="s">
        <v>46</v>
      </c>
      <c r="B98" s="59" t="str">
        <f>IFERROR(HYPERLINK(VLOOKUP(A98,Internal_lists_bugs!$A$2:$C$73,3,FALSE()), VLOOKUP(A98,Internal_lists_bugs!$A$2:$C$73,3,FALSE())&amp;Char(10) &amp; Char(10) &amp; VLOOKUP(A98,Internal_lists_bugs!$A$2:$Z$73,26,FALSE())),"please select a BUG ID")</f>
        <v>
</v>
      </c>
      <c r="C98" s="39" t="str">
        <f>IFERROR(VLOOKUP(A98,Internal_lists_bugs!$A$2:$G2011,7,FALSE()),"please select a BUG ID")</f>
        <v>https://opendev.org/openstack/nova/commit/1b32ed31425a0332ab16f5b5f6c08a20eafe7963</v>
      </c>
      <c r="D98" s="16" t="s">
        <v>1173</v>
      </c>
      <c r="E98" s="50"/>
      <c r="F98" s="43"/>
      <c r="G98" s="50"/>
      <c r="H98" s="16" t="s">
        <v>1198</v>
      </c>
    </row>
    <row r="99">
      <c r="A99" s="16" t="s">
        <v>46</v>
      </c>
      <c r="B99" s="59" t="str">
        <f>IFERROR(HYPERLINK(VLOOKUP(A99,Internal_lists_bugs!$A$2:$C$73,3,FALSE()), VLOOKUP(A99,Internal_lists_bugs!$A$2:$C$73,3,FALSE())&amp;Char(10) &amp; Char(10) &amp; VLOOKUP(A99,Internal_lists_bugs!$A$2:$Z$73,26,FALSE())),"please select a BUG ID")</f>
        <v>
</v>
      </c>
      <c r="C99" s="39" t="str">
        <f>IFERROR(VLOOKUP(A99,Internal_lists_bugs!$A$2:$G2011,7,FALSE()),"please select a BUG ID")</f>
        <v>https://opendev.org/openstack/nova/commit/1b32ed31425a0332ab16f5b5f6c08a20eafe7963</v>
      </c>
      <c r="D99" s="16" t="s">
        <v>1211</v>
      </c>
      <c r="E99" s="50"/>
      <c r="F99" s="43"/>
      <c r="G99" s="50"/>
      <c r="H99" s="16" t="s">
        <v>1210</v>
      </c>
    </row>
    <row r="100">
      <c r="A100" s="16" t="s">
        <v>46</v>
      </c>
      <c r="B100" s="59" t="str">
        <f>IFERROR(HYPERLINK(VLOOKUP(A100,Internal_lists_bugs!$A$2:$C$73,3,FALSE()), VLOOKUP(A100,Internal_lists_bugs!$A$2:$C$73,3,FALSE())&amp;Char(10) &amp; Char(10) &amp; VLOOKUP(A100,Internal_lists_bugs!$A$2:$Z$73,26,FALSE())),"please select a BUG ID")</f>
        <v>
</v>
      </c>
      <c r="C100" s="39" t="str">
        <f>IFERROR(VLOOKUP(A100,Internal_lists_bugs!$A$2:$G2011,7,FALSE()),"please select a BUG ID")</f>
        <v>https://opendev.org/openstack/nova/commit/1b32ed31425a0332ab16f5b5f6c08a20eafe7963</v>
      </c>
      <c r="D100" s="16" t="s">
        <v>1205</v>
      </c>
      <c r="E100" s="50"/>
      <c r="F100" s="43"/>
      <c r="G100" s="50"/>
      <c r="H100" s="16" t="s">
        <v>1177</v>
      </c>
    </row>
    <row r="101">
      <c r="A101" s="16" t="s">
        <v>46</v>
      </c>
      <c r="B101" s="59" t="str">
        <f>IFERROR(HYPERLINK(VLOOKUP(A101,Internal_lists_bugs!$A$2:$C$73,3,FALSE()), VLOOKUP(A101,Internal_lists_bugs!$A$2:$C$73,3,FALSE())&amp;Char(10) &amp; Char(10) &amp; VLOOKUP(A101,Internal_lists_bugs!$A$2:$Z$73,26,FALSE())),"please select a BUG ID")</f>
        <v>
</v>
      </c>
      <c r="C101" s="39" t="str">
        <f>IFERROR(VLOOKUP(A101,Internal_lists_bugs!$A$2:$G2011,7,FALSE()),"please select a BUG ID")</f>
        <v>https://opendev.org/openstack/nova/commit/1b32ed31425a0332ab16f5b5f6c08a20eafe7963</v>
      </c>
      <c r="D101" s="16" t="s">
        <v>1183</v>
      </c>
      <c r="E101" s="50"/>
      <c r="F101" s="43"/>
      <c r="G101" s="50"/>
      <c r="H101" s="16" t="s">
        <v>1200</v>
      </c>
    </row>
    <row r="102">
      <c r="A102" s="16" t="s">
        <v>46</v>
      </c>
      <c r="B102" s="59" t="str">
        <f>IFERROR(HYPERLINK(VLOOKUP(A102,Internal_lists_bugs!$A$2:$C$73,3,FALSE()), VLOOKUP(A102,Internal_lists_bugs!$A$2:$C$73,3,FALSE())&amp;Char(10) &amp; Char(10) &amp; VLOOKUP(A102,Internal_lists_bugs!$A$2:$Z$73,26,FALSE())),"please select a BUG ID")</f>
        <v>
</v>
      </c>
      <c r="C102" s="39" t="str">
        <f>IFERROR(VLOOKUP(A102,Internal_lists_bugs!$A$2:$G2011,7,FALSE()),"please select a BUG ID")</f>
        <v>https://opendev.org/openstack/nova/commit/1b32ed31425a0332ab16f5b5f6c08a20eafe7963</v>
      </c>
      <c r="D102" s="16" t="s">
        <v>1184</v>
      </c>
      <c r="E102" s="50"/>
      <c r="F102" s="43"/>
      <c r="G102" s="50"/>
      <c r="H102" s="43"/>
    </row>
    <row r="103">
      <c r="A103" s="16" t="s">
        <v>46</v>
      </c>
      <c r="B103" s="59" t="str">
        <f>IFERROR(HYPERLINK(VLOOKUP(A103,Internal_lists_bugs!$A$2:$C$73,3,FALSE()), VLOOKUP(A103,Internal_lists_bugs!$A$2:$C$73,3,FALSE())&amp;Char(10) &amp; Char(10) &amp; VLOOKUP(A103,Internal_lists_bugs!$A$2:$Z$73,26,FALSE())),"please select a BUG ID")</f>
        <v>
</v>
      </c>
      <c r="C103" s="39" t="str">
        <f>IFERROR(VLOOKUP(A103,Internal_lists_bugs!$A$2:$G2011,7,FALSE()),"please select a BUG ID")</f>
        <v>https://opendev.org/openstack/nova/commit/1b32ed31425a0332ab16f5b5f6c08a20eafe7963</v>
      </c>
      <c r="D103" s="16" t="s">
        <v>1185</v>
      </c>
      <c r="E103" s="50"/>
      <c r="F103" s="43"/>
      <c r="G103" s="50"/>
      <c r="H103" s="16" t="s">
        <v>1204</v>
      </c>
    </row>
    <row r="104">
      <c r="A104" s="16" t="s">
        <v>46</v>
      </c>
      <c r="B104" s="59" t="str">
        <f>IFERROR(HYPERLINK(VLOOKUP(A104,Internal_lists_bugs!$A$2:$C$73,3,FALSE()), VLOOKUP(A104,Internal_lists_bugs!$A$2:$C$73,3,FALSE())&amp;Char(10) &amp; Char(10) &amp; VLOOKUP(A104,Internal_lists_bugs!$A$2:$Z$73,26,FALSE())),"please select a BUG ID")</f>
        <v>
</v>
      </c>
      <c r="C104" s="39" t="str">
        <f>IFERROR(VLOOKUP(A104,Internal_lists_bugs!$A$2:$G2011,7,FALSE()),"please select a BUG ID")</f>
        <v>https://opendev.org/openstack/nova/commit/1b32ed31425a0332ab16f5b5f6c08a20eafe7963</v>
      </c>
      <c r="D104" s="16" t="s">
        <v>1196</v>
      </c>
      <c r="E104" s="50"/>
      <c r="F104" s="43"/>
      <c r="G104" s="50"/>
      <c r="H104" s="43"/>
    </row>
    <row r="105">
      <c r="A105" s="16" t="s">
        <v>46</v>
      </c>
      <c r="B105" s="59" t="str">
        <f>IFERROR(HYPERLINK(VLOOKUP(A105,Internal_lists_bugs!$A$2:$C$73,3,FALSE()), VLOOKUP(A105,Internal_lists_bugs!$A$2:$C$73,3,FALSE())&amp;Char(10) &amp; Char(10) &amp; VLOOKUP(A105,Internal_lists_bugs!$A$2:$Z$73,26,FALSE())),"please select a BUG ID")</f>
        <v>
</v>
      </c>
      <c r="C105" s="39" t="str">
        <f>IFERROR(VLOOKUP(A105,Internal_lists_bugs!$A$2:$G2011,7,FALSE()),"please select a BUG ID")</f>
        <v>https://opendev.org/openstack/nova/commit/1b32ed31425a0332ab16f5b5f6c08a20eafe7963</v>
      </c>
      <c r="D105" s="16" t="s">
        <v>1187</v>
      </c>
      <c r="E105" s="50"/>
      <c r="F105" s="43"/>
      <c r="G105" s="50"/>
      <c r="H105" s="43"/>
    </row>
    <row r="106">
      <c r="A106" s="16" t="s">
        <v>46</v>
      </c>
      <c r="B106" s="59" t="str">
        <f>IFERROR(HYPERLINK(VLOOKUP(A106,Internal_lists_bugs!$A$2:$C$73,3,FALSE()), VLOOKUP(A106,Internal_lists_bugs!$A$2:$C$73,3,FALSE())&amp;Char(10) &amp; Char(10) &amp; VLOOKUP(A106,Internal_lists_bugs!$A$2:$Z$73,26,FALSE())),"please select a BUG ID")</f>
        <v>
</v>
      </c>
      <c r="C106" s="39" t="str">
        <f>IFERROR(VLOOKUP(A106,Internal_lists_bugs!$A$2:$G2011,7,FALSE()),"please select a BUG ID")</f>
        <v>https://opendev.org/openstack/nova/commit/1b32ed31425a0332ab16f5b5f6c08a20eafe7963</v>
      </c>
      <c r="D106" s="16" t="s">
        <v>1206</v>
      </c>
      <c r="E106" s="50"/>
      <c r="F106" s="43"/>
      <c r="G106" s="50"/>
      <c r="H106" s="43"/>
    </row>
    <row r="107">
      <c r="A107" s="16" t="s">
        <v>46</v>
      </c>
      <c r="B107" s="59" t="str">
        <f>IFERROR(HYPERLINK(VLOOKUP(A107,Internal_lists_bugs!$A$2:$C$73,3,FALSE()), VLOOKUP(A107,Internal_lists_bugs!$A$2:$C$73,3,FALSE())&amp;Char(10) &amp; Char(10) &amp; VLOOKUP(A107,Internal_lists_bugs!$A$2:$Z$73,26,FALSE())),"please select a BUG ID")</f>
        <v>
</v>
      </c>
      <c r="C107" s="39" t="str">
        <f>IFERROR(VLOOKUP(A107,Internal_lists_bugs!$A$2:$G2011,7,FALSE()),"please select a BUG ID")</f>
        <v>https://opendev.org/openstack/nova/commit/1b32ed31425a0332ab16f5b5f6c08a20eafe7963</v>
      </c>
      <c r="D107" s="16" t="s">
        <v>1188</v>
      </c>
      <c r="E107" s="50"/>
      <c r="F107" s="43"/>
      <c r="G107" s="50"/>
      <c r="H107" s="43"/>
    </row>
    <row r="108">
      <c r="A108" s="16" t="s">
        <v>46</v>
      </c>
      <c r="B108" s="59" t="str">
        <f>IFERROR(HYPERLINK(VLOOKUP(A108,Internal_lists_bugs!$A$2:$C$73,3,FALSE()), VLOOKUP(A108,Internal_lists_bugs!$A$2:$C$73,3,FALSE())&amp;Char(10) &amp; Char(10) &amp; VLOOKUP(A108,Internal_lists_bugs!$A$2:$Z$73,26,FALSE())),"please select a BUG ID")</f>
        <v>
</v>
      </c>
      <c r="C108" s="39" t="str">
        <f>IFERROR(VLOOKUP(A108,Internal_lists_bugs!$A$2:$G2011,7,FALSE()),"please select a BUG ID")</f>
        <v>https://opendev.org/openstack/nova/commit/1b32ed31425a0332ab16f5b5f6c08a20eafe7963</v>
      </c>
      <c r="D108" s="16" t="s">
        <v>1207</v>
      </c>
      <c r="E108" s="50"/>
      <c r="F108" s="43"/>
      <c r="G108" s="50"/>
      <c r="H108" s="43"/>
    </row>
    <row r="109">
      <c r="A109" s="16" t="s">
        <v>46</v>
      </c>
      <c r="B109" s="59" t="str">
        <f>IFERROR(HYPERLINK(VLOOKUP(A109,Internal_lists_bugs!$A$2:$C$73,3,FALSE()), VLOOKUP(A109,Internal_lists_bugs!$A$2:$C$73,3,FALSE())&amp;Char(10) &amp; Char(10) &amp; VLOOKUP(A109,Internal_lists_bugs!$A$2:$Z$73,26,FALSE())),"please select a BUG ID")</f>
        <v>
</v>
      </c>
      <c r="C109" s="39" t="str">
        <f>IFERROR(VLOOKUP(A109,Internal_lists_bugs!$A$2:$G2011,7,FALSE()),"please select a BUG ID")</f>
        <v>https://opendev.org/openstack/nova/commit/1b32ed31425a0332ab16f5b5f6c08a20eafe7963</v>
      </c>
      <c r="D109" s="16" t="s">
        <v>1213</v>
      </c>
      <c r="E109" s="50"/>
      <c r="F109" s="43"/>
      <c r="G109" s="50"/>
      <c r="H109" s="43"/>
    </row>
    <row r="110">
      <c r="A110" s="16" t="s">
        <v>42</v>
      </c>
      <c r="B110" s="59" t="str">
        <f>IFERROR(HYPERLINK(VLOOKUP(A110,Internal_lists_bugs!$A$2:$C$73,3,FALSE()), VLOOKUP(A110,Internal_lists_bugs!$A$2:$C$73,3,FALSE())&amp;Char(10) &amp; Char(10) &amp; VLOOKUP(A110,Internal_lists_bugs!$A$2:$Z$73,26,FALSE())),"please select a BUG ID")</f>
        <v>
</v>
      </c>
      <c r="C110" s="39" t="str">
        <f>IFERROR(VLOOKUP(A110,Internal_lists_bugs!$A$2:$G2011,7,FALSE()),"please select a BUG ID")</f>
        <v>https://opendev.org/openstack/nova/commit/2d0578c539d000981e50ba0c143385974d10e2e2</v>
      </c>
      <c r="D110" s="16" t="s">
        <v>1208</v>
      </c>
      <c r="E110" s="50"/>
      <c r="F110" s="16" t="s">
        <v>1174</v>
      </c>
      <c r="G110" s="50"/>
      <c r="H110" s="16" t="s">
        <v>1177</v>
      </c>
    </row>
    <row r="111">
      <c r="A111" s="16" t="s">
        <v>42</v>
      </c>
      <c r="B111" s="59" t="str">
        <f>IFERROR(HYPERLINK(VLOOKUP(A111,Internal_lists_bugs!$A$2:$C$73,3,FALSE()), VLOOKUP(A111,Internal_lists_bugs!$A$2:$C$73,3,FALSE())&amp;Char(10) &amp; Char(10) &amp; VLOOKUP(A111,Internal_lists_bugs!$A$2:$Z$73,26,FALSE())),"please select a BUG ID")</f>
        <v>
</v>
      </c>
      <c r="C111" s="39" t="str">
        <f>IFERROR(VLOOKUP(A111,Internal_lists_bugs!$A$2:$G2011,7,FALSE()),"please select a BUG ID")</f>
        <v>https://opendev.org/openstack/nova/commit/2d0578c539d000981e50ba0c143385974d10e2e2</v>
      </c>
      <c r="D111" s="16" t="s">
        <v>1209</v>
      </c>
      <c r="E111" s="50"/>
      <c r="F111" s="43"/>
      <c r="G111" s="50"/>
      <c r="H111" s="16" t="s">
        <v>1175</v>
      </c>
    </row>
    <row r="112">
      <c r="A112" s="16" t="s">
        <v>42</v>
      </c>
      <c r="B112" s="59" t="str">
        <f>IFERROR(HYPERLINK(VLOOKUP(A112,Internal_lists_bugs!$A$2:$C$73,3,FALSE()), VLOOKUP(A112,Internal_lists_bugs!$A$2:$C$73,3,FALSE())&amp;Char(10) &amp; Char(10) &amp; VLOOKUP(A112,Internal_lists_bugs!$A$2:$Z$73,26,FALSE())),"please select a BUG ID")</f>
        <v>
</v>
      </c>
      <c r="C112" s="39" t="str">
        <f>IFERROR(VLOOKUP(A112,Internal_lists_bugs!$A$2:$G2011,7,FALSE()),"please select a BUG ID")</f>
        <v>https://opendev.org/openstack/nova/commit/2d0578c539d000981e50ba0c143385974d10e2e2</v>
      </c>
      <c r="D112" s="16" t="s">
        <v>1178</v>
      </c>
      <c r="E112" s="50"/>
      <c r="F112" s="43"/>
      <c r="G112" s="50"/>
      <c r="H112" s="16" t="s">
        <v>1179</v>
      </c>
    </row>
    <row r="113">
      <c r="A113" s="16" t="s">
        <v>42</v>
      </c>
      <c r="B113" s="59" t="str">
        <f>IFERROR(HYPERLINK(VLOOKUP(A113,Internal_lists_bugs!$A$2:$C$73,3,FALSE()), VLOOKUP(A113,Internal_lists_bugs!$A$2:$C$73,3,FALSE())&amp;Char(10) &amp; Char(10) &amp; VLOOKUP(A113,Internal_lists_bugs!$A$2:$Z$73,26,FALSE())),"please select a BUG ID")</f>
        <v>
</v>
      </c>
      <c r="C113" s="39" t="str">
        <f>IFERROR(VLOOKUP(A113,Internal_lists_bugs!$A$2:$G2011,7,FALSE()),"please select a BUG ID")</f>
        <v>https://opendev.org/openstack/nova/commit/2d0578c539d000981e50ba0c143385974d10e2e2</v>
      </c>
      <c r="D113" s="16" t="s">
        <v>1182</v>
      </c>
      <c r="E113" s="50"/>
      <c r="F113" s="43"/>
      <c r="G113" s="50"/>
      <c r="H113" s="16" t="s">
        <v>1203</v>
      </c>
    </row>
    <row r="114">
      <c r="A114" s="16" t="s">
        <v>42</v>
      </c>
      <c r="B114" s="59" t="str">
        <f>IFERROR(HYPERLINK(VLOOKUP(A114,Internal_lists_bugs!$A$2:$C$73,3,FALSE()), VLOOKUP(A114,Internal_lists_bugs!$A$2:$C$73,3,FALSE())&amp;Char(10) &amp; Char(10) &amp; VLOOKUP(A114,Internal_lists_bugs!$A$2:$Z$73,26,FALSE())),"please select a BUG ID")</f>
        <v>
</v>
      </c>
      <c r="C114" s="39" t="str">
        <f>IFERROR(VLOOKUP(A114,Internal_lists_bugs!$A$2:$G2011,7,FALSE()),"please select a BUG ID")</f>
        <v>https://opendev.org/openstack/nova/commit/2d0578c539d000981e50ba0c143385974d10e2e2</v>
      </c>
      <c r="D114" s="16" t="s">
        <v>1191</v>
      </c>
      <c r="E114" s="50"/>
      <c r="F114" s="43"/>
      <c r="G114" s="50"/>
      <c r="H114" s="16" t="s">
        <v>1212</v>
      </c>
    </row>
    <row r="115">
      <c r="A115" s="16" t="s">
        <v>42</v>
      </c>
      <c r="B115" s="59" t="str">
        <f>IFERROR(HYPERLINK(VLOOKUP(A115,Internal_lists_bugs!$A$2:$C$73,3,FALSE()), VLOOKUP(A115,Internal_lists_bugs!$A$2:$C$73,3,FALSE())&amp;Char(10) &amp; Char(10) &amp; VLOOKUP(A115,Internal_lists_bugs!$A$2:$Z$73,26,FALSE())),"please select a BUG ID")</f>
        <v>
</v>
      </c>
      <c r="C115" s="39" t="str">
        <f>IFERROR(VLOOKUP(A115,Internal_lists_bugs!$A$2:$G2011,7,FALSE()),"please select a BUG ID")</f>
        <v>https://opendev.org/openstack/nova/commit/2d0578c539d000981e50ba0c143385974d10e2e2</v>
      </c>
      <c r="D115" s="16" t="s">
        <v>1199</v>
      </c>
      <c r="E115" s="50"/>
      <c r="F115" s="43"/>
      <c r="G115" s="50"/>
      <c r="H115" s="16" t="s">
        <v>1197</v>
      </c>
    </row>
    <row r="116">
      <c r="A116" s="16" t="s">
        <v>42</v>
      </c>
      <c r="B116" s="59" t="str">
        <f>IFERROR(HYPERLINK(VLOOKUP(A116,Internal_lists_bugs!$A$2:$C$73,3,FALSE()), VLOOKUP(A116,Internal_lists_bugs!$A$2:$C$73,3,FALSE())&amp;Char(10) &amp; Char(10) &amp; VLOOKUP(A116,Internal_lists_bugs!$A$2:$Z$73,26,FALSE())),"please select a BUG ID")</f>
        <v>
</v>
      </c>
      <c r="C116" s="39" t="str">
        <f>IFERROR(VLOOKUP(A116,Internal_lists_bugs!$A$2:$G2011,7,FALSE()),"please select a BUG ID")</f>
        <v>https://opendev.org/openstack/nova/commit/2d0578c539d000981e50ba0c143385974d10e2e2</v>
      </c>
      <c r="D116" s="16" t="s">
        <v>1201</v>
      </c>
      <c r="E116" s="50"/>
      <c r="F116" s="43"/>
      <c r="G116" s="50"/>
      <c r="H116" s="16" t="s">
        <v>1198</v>
      </c>
    </row>
    <row r="117">
      <c r="A117" s="16" t="s">
        <v>42</v>
      </c>
      <c r="B117" s="59" t="str">
        <f>IFERROR(HYPERLINK(VLOOKUP(A117,Internal_lists_bugs!$A$2:$C$73,3,FALSE()), VLOOKUP(A117,Internal_lists_bugs!$A$2:$C$73,3,FALSE())&amp;Char(10) &amp; Char(10) &amp; VLOOKUP(A117,Internal_lists_bugs!$A$2:$Z$73,26,FALSE())),"please select a BUG ID")</f>
        <v>
</v>
      </c>
      <c r="C117" s="39" t="str">
        <f>IFERROR(VLOOKUP(A117,Internal_lists_bugs!$A$2:$G2011,7,FALSE()),"please select a BUG ID")</f>
        <v>https://opendev.org/openstack/nova/commit/2d0578c539d000981e50ba0c143385974d10e2e2</v>
      </c>
      <c r="D117" s="16" t="s">
        <v>1202</v>
      </c>
      <c r="E117" s="50"/>
      <c r="F117" s="43"/>
      <c r="G117" s="50"/>
      <c r="H117" s="16" t="s">
        <v>1200</v>
      </c>
    </row>
    <row r="118">
      <c r="A118" s="16" t="s">
        <v>42</v>
      </c>
      <c r="B118" s="59" t="str">
        <f>IFERROR(HYPERLINK(VLOOKUP(A118,Internal_lists_bugs!$A$2:$C$73,3,FALSE()), VLOOKUP(A118,Internal_lists_bugs!$A$2:$C$73,3,FALSE())&amp;Char(10) &amp; Char(10) &amp; VLOOKUP(A118,Internal_lists_bugs!$A$2:$Z$73,26,FALSE())),"please select a BUG ID")</f>
        <v>
</v>
      </c>
      <c r="C118" s="39" t="str">
        <f>IFERROR(VLOOKUP(A118,Internal_lists_bugs!$A$2:$G2011,7,FALSE()),"please select a BUG ID")</f>
        <v>https://opendev.org/openstack/nova/commit/2d0578c539d000981e50ba0c143385974d10e2e2</v>
      </c>
      <c r="D118" s="16" t="s">
        <v>1173</v>
      </c>
      <c r="E118" s="50"/>
      <c r="F118" s="43"/>
      <c r="G118" s="50"/>
      <c r="H118" s="16" t="s">
        <v>1210</v>
      </c>
    </row>
    <row r="119">
      <c r="A119" s="16" t="s">
        <v>42</v>
      </c>
      <c r="B119" s="59" t="str">
        <f>IFERROR(HYPERLINK(VLOOKUP(A119,Internal_lists_bugs!$A$2:$C$73,3,FALSE()), VLOOKUP(A119,Internal_lists_bugs!$A$2:$C$73,3,FALSE())&amp;Char(10) &amp; Char(10) &amp; VLOOKUP(A119,Internal_lists_bugs!$A$2:$Z$73,26,FALSE())),"please select a BUG ID")</f>
        <v>
</v>
      </c>
      <c r="C119" s="39" t="str">
        <f>IFERROR(VLOOKUP(A119,Internal_lists_bugs!$A$2:$G2011,7,FALSE()),"please select a BUG ID")</f>
        <v>https://opendev.org/openstack/nova/commit/2d0578c539d000981e50ba0c143385974d10e2e2</v>
      </c>
      <c r="D119" s="16" t="s">
        <v>1211</v>
      </c>
      <c r="E119" s="50"/>
      <c r="F119" s="43"/>
      <c r="G119" s="50"/>
      <c r="H119" s="16" t="s">
        <v>1177</v>
      </c>
    </row>
    <row r="120">
      <c r="A120" s="16" t="s">
        <v>42</v>
      </c>
      <c r="B120" s="59" t="str">
        <f>IFERROR(HYPERLINK(VLOOKUP(A120,Internal_lists_bugs!$A$2:$C$73,3,FALSE()), VLOOKUP(A120,Internal_lists_bugs!$A$2:$C$73,3,FALSE())&amp;Char(10) &amp; Char(10) &amp; VLOOKUP(A120,Internal_lists_bugs!$A$2:$Z$73,26,FALSE())),"please select a BUG ID")</f>
        <v>
</v>
      </c>
      <c r="C120" s="39" t="str">
        <f>IFERROR(VLOOKUP(A120,Internal_lists_bugs!$A$2:$G2011,7,FALSE()),"please select a BUG ID")</f>
        <v>https://opendev.org/openstack/nova/commit/2d0578c539d000981e50ba0c143385974d10e2e2</v>
      </c>
      <c r="D120" s="16" t="s">
        <v>1205</v>
      </c>
      <c r="E120" s="50"/>
      <c r="F120" s="43"/>
      <c r="G120" s="50"/>
      <c r="H120" s="43"/>
    </row>
    <row r="121">
      <c r="A121" s="16" t="s">
        <v>42</v>
      </c>
      <c r="B121" s="59" t="str">
        <f>IFERROR(HYPERLINK(VLOOKUP(A121,Internal_lists_bugs!$A$2:$C$73,3,FALSE()), VLOOKUP(A121,Internal_lists_bugs!$A$2:$C$73,3,FALSE())&amp;Char(10) &amp; Char(10) &amp; VLOOKUP(A121,Internal_lists_bugs!$A$2:$Z$73,26,FALSE())),"please select a BUG ID")</f>
        <v>
</v>
      </c>
      <c r="C121" s="39" t="str">
        <f>IFERROR(VLOOKUP(A121,Internal_lists_bugs!$A$2:$G2011,7,FALSE()),"please select a BUG ID")</f>
        <v>https://opendev.org/openstack/nova/commit/2d0578c539d000981e50ba0c143385974d10e2e2</v>
      </c>
      <c r="D121" s="16" t="s">
        <v>1183</v>
      </c>
      <c r="E121" s="50"/>
      <c r="F121" s="43"/>
      <c r="G121" s="50"/>
      <c r="H121" s="43"/>
    </row>
    <row r="122">
      <c r="A122" s="16" t="s">
        <v>42</v>
      </c>
      <c r="B122" s="59" t="str">
        <f>IFERROR(HYPERLINK(VLOOKUP(A122,Internal_lists_bugs!$A$2:$C$73,3,FALSE()), VLOOKUP(A122,Internal_lists_bugs!$A$2:$C$73,3,FALSE())&amp;Char(10) &amp; Char(10) &amp; VLOOKUP(A122,Internal_lists_bugs!$A$2:$Z$73,26,FALSE())),"please select a BUG ID")</f>
        <v>
</v>
      </c>
      <c r="C122" s="39" t="str">
        <f>IFERROR(VLOOKUP(A122,Internal_lists_bugs!$A$2:$G2011,7,FALSE()),"please select a BUG ID")</f>
        <v>https://opendev.org/openstack/nova/commit/2d0578c539d000981e50ba0c143385974d10e2e2</v>
      </c>
      <c r="D122" s="16" t="s">
        <v>1184</v>
      </c>
      <c r="E122" s="50"/>
      <c r="F122" s="43"/>
      <c r="G122" s="50"/>
      <c r="H122" s="43"/>
    </row>
    <row r="123">
      <c r="A123" s="16" t="s">
        <v>42</v>
      </c>
      <c r="B123" s="59" t="str">
        <f>IFERROR(HYPERLINK(VLOOKUP(A123,Internal_lists_bugs!$A$2:$C$73,3,FALSE()), VLOOKUP(A123,Internal_lists_bugs!$A$2:$C$73,3,FALSE())&amp;Char(10) &amp; Char(10) &amp; VLOOKUP(A123,Internal_lists_bugs!$A$2:$Z$73,26,FALSE())),"please select a BUG ID")</f>
        <v>
</v>
      </c>
      <c r="C123" s="39" t="str">
        <f>IFERROR(VLOOKUP(A123,Internal_lists_bugs!$A$2:$G2011,7,FALSE()),"please select a BUG ID")</f>
        <v>https://opendev.org/openstack/nova/commit/2d0578c539d000981e50ba0c143385974d10e2e2</v>
      </c>
      <c r="D123" s="16" t="s">
        <v>1185</v>
      </c>
      <c r="E123" s="50"/>
      <c r="F123" s="43"/>
      <c r="G123" s="50"/>
      <c r="H123" s="43"/>
    </row>
    <row r="124">
      <c r="A124" s="16" t="s">
        <v>42</v>
      </c>
      <c r="B124" s="59" t="str">
        <f>IFERROR(HYPERLINK(VLOOKUP(A124,Internal_lists_bugs!$A$2:$C$73,3,FALSE()), VLOOKUP(A124,Internal_lists_bugs!$A$2:$C$73,3,FALSE())&amp;Char(10) &amp; Char(10) &amp; VLOOKUP(A124,Internal_lists_bugs!$A$2:$Z$73,26,FALSE())),"please select a BUG ID")</f>
        <v>
</v>
      </c>
      <c r="C124" s="39" t="str">
        <f>IFERROR(VLOOKUP(A124,Internal_lists_bugs!$A$2:$G2011,7,FALSE()),"please select a BUG ID")</f>
        <v>https://opendev.org/openstack/nova/commit/2d0578c539d000981e50ba0c143385974d10e2e2</v>
      </c>
      <c r="D124" s="16" t="s">
        <v>1196</v>
      </c>
      <c r="E124" s="50"/>
      <c r="F124" s="43"/>
      <c r="G124" s="50"/>
      <c r="H124" s="43"/>
    </row>
    <row r="125">
      <c r="A125" s="16" t="s">
        <v>42</v>
      </c>
      <c r="B125" s="59" t="str">
        <f>IFERROR(HYPERLINK(VLOOKUP(A125,Internal_lists_bugs!$A$2:$C$73,3,FALSE()), VLOOKUP(A125,Internal_lists_bugs!$A$2:$C$73,3,FALSE())&amp;Char(10) &amp; Char(10) &amp; VLOOKUP(A125,Internal_lists_bugs!$A$2:$Z$73,26,FALSE())),"please select a BUG ID")</f>
        <v>
</v>
      </c>
      <c r="C125" s="39" t="str">
        <f>IFERROR(VLOOKUP(A125,Internal_lists_bugs!$A$2:$G2011,7,FALSE()),"please select a BUG ID")</f>
        <v>https://opendev.org/openstack/nova/commit/2d0578c539d000981e50ba0c143385974d10e2e2</v>
      </c>
      <c r="D125" s="16" t="s">
        <v>1187</v>
      </c>
      <c r="E125" s="50"/>
      <c r="F125" s="43"/>
      <c r="G125" s="50"/>
      <c r="H125" s="43"/>
    </row>
    <row r="126">
      <c r="A126" s="16" t="s">
        <v>42</v>
      </c>
      <c r="B126" s="59" t="str">
        <f>IFERROR(HYPERLINK(VLOOKUP(A126,Internal_lists_bugs!$A$2:$C$73,3,FALSE()), VLOOKUP(A126,Internal_lists_bugs!$A$2:$C$73,3,FALSE())&amp;Char(10) &amp; Char(10) &amp; VLOOKUP(A126,Internal_lists_bugs!$A$2:$Z$73,26,FALSE())),"please select a BUG ID")</f>
        <v>
</v>
      </c>
      <c r="C126" s="39" t="str">
        <f>IFERROR(VLOOKUP(A126,Internal_lists_bugs!$A$2:$G2011,7,FALSE()),"please select a BUG ID")</f>
        <v>https://opendev.org/openstack/nova/commit/2d0578c539d000981e50ba0c143385974d10e2e2</v>
      </c>
      <c r="D126" s="16" t="s">
        <v>1206</v>
      </c>
      <c r="E126" s="50"/>
      <c r="F126" s="43"/>
      <c r="G126" s="50"/>
      <c r="H126" s="43"/>
    </row>
    <row r="127">
      <c r="A127" s="16" t="s">
        <v>42</v>
      </c>
      <c r="B127" s="59" t="str">
        <f>IFERROR(HYPERLINK(VLOOKUP(A127,Internal_lists_bugs!$A$2:$C$73,3,FALSE()), VLOOKUP(A127,Internal_lists_bugs!$A$2:$C$73,3,FALSE())&amp;Char(10) &amp; Char(10) &amp; VLOOKUP(A127,Internal_lists_bugs!$A$2:$Z$73,26,FALSE())),"please select a BUG ID")</f>
        <v>
</v>
      </c>
      <c r="C127" s="39" t="str">
        <f>IFERROR(VLOOKUP(A127,Internal_lists_bugs!$A$2:$G2011,7,FALSE()),"please select a BUG ID")</f>
        <v>https://opendev.org/openstack/nova/commit/2d0578c539d000981e50ba0c143385974d10e2e2</v>
      </c>
      <c r="D127" s="16" t="s">
        <v>1213</v>
      </c>
      <c r="E127" s="50"/>
      <c r="F127" s="43"/>
      <c r="G127" s="50"/>
      <c r="H127" s="43"/>
    </row>
    <row r="128">
      <c r="A128" s="16" t="s">
        <v>42</v>
      </c>
      <c r="B128" s="59" t="str">
        <f>IFERROR(HYPERLINK(VLOOKUP(A128,Internal_lists_bugs!$A$2:$C$73,3,FALSE()), VLOOKUP(A128,Internal_lists_bugs!$A$2:$C$73,3,FALSE())&amp;Char(10) &amp; Char(10) &amp; VLOOKUP(A128,Internal_lists_bugs!$A$2:$Z$73,26,FALSE())),"please select a BUG ID")</f>
        <v>
</v>
      </c>
      <c r="C128" s="39" t="str">
        <f>IFERROR(VLOOKUP(A128,Internal_lists_bugs!$A$2:$G2011,7,FALSE()),"please select a BUG ID")</f>
        <v>https://opendev.org/openstack/nova/commit/2d0578c539d000981e50ba0c143385974d10e2e2</v>
      </c>
      <c r="D128" s="16" t="s">
        <v>1188</v>
      </c>
      <c r="E128" s="50"/>
      <c r="F128" s="43"/>
      <c r="G128" s="50"/>
      <c r="H128" s="43"/>
    </row>
    <row r="129">
      <c r="A129" s="16" t="s">
        <v>42</v>
      </c>
      <c r="B129" s="59"/>
      <c r="C129" s="39" t="str">
        <f>IFERROR(VLOOKUP(A129,Internal_lists_bugs!$A$2:$G2011,7,FALSE()),"please select a BUG ID")</f>
        <v>https://opendev.org/openstack/nova/commit/2d0578c539d000981e50ba0c143385974d10e2e2</v>
      </c>
      <c r="D129" s="16" t="s">
        <v>1214</v>
      </c>
      <c r="E129" s="50"/>
      <c r="F129" s="43"/>
      <c r="G129" s="50"/>
      <c r="H129" s="43"/>
    </row>
    <row r="130">
      <c r="A130" s="16" t="s">
        <v>61</v>
      </c>
      <c r="B130" s="59" t="str">
        <f>IFERROR(HYPERLINK(VLOOKUP(A130,Internal_lists_bugs!$A$2:$C$73,3,FALSE()), VLOOKUP(A130,Internal_lists_bugs!$A$2:$C$73,3,FALSE())&amp;Char(10) &amp; Char(10) &amp; VLOOKUP(A130,Internal_lists_bugs!$A$2:$Z$73,26,FALSE())),"please select a BUG ID")</f>
        <v>
</v>
      </c>
      <c r="C130" s="39" t="str">
        <f>IFERROR(VLOOKUP(A130,Internal_lists_bugs!$A$2:$G2011,7,FALSE()),"please select a BUG ID")</f>
        <v>https://opendev.org/openstack/nova/commit/7cef50ad800274cad3d07240cc468d038ce4031b</v>
      </c>
      <c r="D130" s="16" t="s">
        <v>1208</v>
      </c>
      <c r="E130" s="50"/>
      <c r="F130" s="16" t="s">
        <v>1174</v>
      </c>
      <c r="G130" s="50"/>
      <c r="H130" s="16" t="s">
        <v>1177</v>
      </c>
    </row>
    <row r="131">
      <c r="A131" s="16" t="s">
        <v>61</v>
      </c>
      <c r="B131" s="59" t="str">
        <f>IFERROR(HYPERLINK(VLOOKUP(A131,Internal_lists_bugs!$A$2:$C$73,3,FALSE()), VLOOKUP(A131,Internal_lists_bugs!$A$2:$C$73,3,FALSE())&amp;Char(10) &amp; Char(10) &amp; VLOOKUP(A131,Internal_lists_bugs!$A$2:$Z$73,26,FALSE())),"please select a BUG ID")</f>
        <v>
</v>
      </c>
      <c r="C131" s="39" t="str">
        <f>IFERROR(VLOOKUP(A131,Internal_lists_bugs!$A$2:$G2011,7,FALSE()),"please select a BUG ID")</f>
        <v>https://opendev.org/openstack/nova/commit/7cef50ad800274cad3d07240cc468d038ce4031b</v>
      </c>
      <c r="D131" s="16" t="s">
        <v>1209</v>
      </c>
      <c r="E131" s="50"/>
      <c r="F131" s="43"/>
      <c r="G131" s="50"/>
      <c r="H131" s="16" t="s">
        <v>1179</v>
      </c>
    </row>
    <row r="132">
      <c r="A132" s="16" t="s">
        <v>61</v>
      </c>
      <c r="B132" s="59" t="str">
        <f>IFERROR(HYPERLINK(VLOOKUP(A132,Internal_lists_bugs!$A$2:$C$73,3,FALSE()), VLOOKUP(A132,Internal_lists_bugs!$A$2:$C$73,3,FALSE())&amp;Char(10) &amp; Char(10) &amp; VLOOKUP(A132,Internal_lists_bugs!$A$2:$Z$73,26,FALSE())),"please select a BUG ID")</f>
        <v>
</v>
      </c>
      <c r="C132" s="39" t="str">
        <f>IFERROR(VLOOKUP(A132,Internal_lists_bugs!$A$2:$G2011,7,FALSE()),"please select a BUG ID")</f>
        <v>https://opendev.org/openstack/nova/commit/7cef50ad800274cad3d07240cc468d038ce4031b</v>
      </c>
      <c r="D132" s="16" t="s">
        <v>1178</v>
      </c>
      <c r="E132" s="50"/>
      <c r="F132" s="43"/>
      <c r="G132" s="50"/>
      <c r="H132" s="16" t="s">
        <v>1203</v>
      </c>
    </row>
    <row r="133">
      <c r="A133" s="16" t="s">
        <v>61</v>
      </c>
      <c r="B133" s="59" t="str">
        <f>IFERROR(HYPERLINK(VLOOKUP(A133,Internal_lists_bugs!$A$2:$C$73,3,FALSE()), VLOOKUP(A133,Internal_lists_bugs!$A$2:$C$73,3,FALSE())&amp;Char(10) &amp; Char(10) &amp; VLOOKUP(A133,Internal_lists_bugs!$A$2:$Z$73,26,FALSE())),"please select a BUG ID")</f>
        <v>
</v>
      </c>
      <c r="C133" s="39" t="str">
        <f>IFERROR(VLOOKUP(A133,Internal_lists_bugs!$A$2:$G2011,7,FALSE()),"please select a BUG ID")</f>
        <v>https://opendev.org/openstack/nova/commit/7cef50ad800274cad3d07240cc468d038ce4031b</v>
      </c>
      <c r="D133" s="16" t="s">
        <v>1182</v>
      </c>
      <c r="E133" s="50"/>
      <c r="F133" s="43"/>
      <c r="G133" s="50"/>
      <c r="H133" s="16" t="s">
        <v>1212</v>
      </c>
    </row>
    <row r="134">
      <c r="A134" s="16" t="s">
        <v>61</v>
      </c>
      <c r="B134" s="59" t="str">
        <f>IFERROR(HYPERLINK(VLOOKUP(A134,Internal_lists_bugs!$A$2:$C$73,3,FALSE()), VLOOKUP(A134,Internal_lists_bugs!$A$2:$C$73,3,FALSE())&amp;Char(10) &amp; Char(10) &amp; VLOOKUP(A134,Internal_lists_bugs!$A$2:$Z$73,26,FALSE())),"please select a BUG ID")</f>
        <v>
</v>
      </c>
      <c r="C134" s="39" t="str">
        <f>IFERROR(VLOOKUP(A134,Internal_lists_bugs!$A$2:$G2011,7,FALSE()),"please select a BUG ID")</f>
        <v>https://opendev.org/openstack/nova/commit/7cef50ad800274cad3d07240cc468d038ce4031b</v>
      </c>
      <c r="D134" s="16" t="s">
        <v>1191</v>
      </c>
      <c r="E134" s="50"/>
      <c r="F134" s="43"/>
      <c r="G134" s="50"/>
      <c r="H134" s="16" t="s">
        <v>1204</v>
      </c>
    </row>
    <row r="135">
      <c r="A135" s="16" t="s">
        <v>61</v>
      </c>
      <c r="B135" s="59" t="str">
        <f>IFERROR(HYPERLINK(VLOOKUP(A135,Internal_lists_bugs!$A$2:$C$73,3,FALSE()), VLOOKUP(A135,Internal_lists_bugs!$A$2:$C$73,3,FALSE())&amp;Char(10) &amp; Char(10) &amp; VLOOKUP(A135,Internal_lists_bugs!$A$2:$Z$73,26,FALSE())),"please select a BUG ID")</f>
        <v>
</v>
      </c>
      <c r="C135" s="39" t="str">
        <f>IFERROR(VLOOKUP(A135,Internal_lists_bugs!$A$2:$G2011,7,FALSE()),"please select a BUG ID")</f>
        <v>https://opendev.org/openstack/nova/commit/7cef50ad800274cad3d07240cc468d038ce4031b</v>
      </c>
      <c r="D135" s="16" t="s">
        <v>1199</v>
      </c>
      <c r="E135" s="50"/>
      <c r="F135" s="43"/>
      <c r="G135" s="50"/>
      <c r="H135" s="16" t="s">
        <v>1175</v>
      </c>
    </row>
    <row r="136">
      <c r="A136" s="16" t="s">
        <v>61</v>
      </c>
      <c r="B136" s="59" t="str">
        <f>IFERROR(HYPERLINK(VLOOKUP(A136,Internal_lists_bugs!$A$2:$C$73,3,FALSE()), VLOOKUP(A136,Internal_lists_bugs!$A$2:$C$73,3,FALSE())&amp;Char(10) &amp; Char(10) &amp; VLOOKUP(A136,Internal_lists_bugs!$A$2:$Z$73,26,FALSE())),"please select a BUG ID")</f>
        <v>
</v>
      </c>
      <c r="C136" s="39" t="str">
        <f>IFERROR(VLOOKUP(A136,Internal_lists_bugs!$A$2:$G2011,7,FALSE()),"please select a BUG ID")</f>
        <v>https://opendev.org/openstack/nova/commit/7cef50ad800274cad3d07240cc468d038ce4031b</v>
      </c>
      <c r="D136" s="16" t="s">
        <v>1201</v>
      </c>
      <c r="E136" s="50"/>
      <c r="F136" s="43"/>
      <c r="G136" s="50"/>
      <c r="H136" s="16" t="s">
        <v>1198</v>
      </c>
    </row>
    <row r="137">
      <c r="A137" s="16" t="s">
        <v>61</v>
      </c>
      <c r="B137" s="59" t="str">
        <f>IFERROR(HYPERLINK(VLOOKUP(A137,Internal_lists_bugs!$A$2:$C$73,3,FALSE()), VLOOKUP(A137,Internal_lists_bugs!$A$2:$C$73,3,FALSE())&amp;Char(10) &amp; Char(10) &amp; VLOOKUP(A137,Internal_lists_bugs!$A$2:$Z$73,26,FALSE())),"please select a BUG ID")</f>
        <v>
</v>
      </c>
      <c r="C137" s="39" t="str">
        <f>IFERROR(VLOOKUP(A137,Internal_lists_bugs!$A$2:$G2011,7,FALSE()),"please select a BUG ID")</f>
        <v>https://opendev.org/openstack/nova/commit/7cef50ad800274cad3d07240cc468d038ce4031b</v>
      </c>
      <c r="D137" s="16" t="s">
        <v>1202</v>
      </c>
      <c r="E137" s="50"/>
      <c r="F137" s="43"/>
      <c r="G137" s="50"/>
      <c r="H137" s="16" t="s">
        <v>1197</v>
      </c>
    </row>
    <row r="138">
      <c r="A138" s="16" t="s">
        <v>61</v>
      </c>
      <c r="B138" s="59" t="str">
        <f>IFERROR(HYPERLINK(VLOOKUP(A138,Internal_lists_bugs!$A$2:$C$73,3,FALSE()), VLOOKUP(A138,Internal_lists_bugs!$A$2:$C$73,3,FALSE())&amp;Char(10) &amp; Char(10) &amp; VLOOKUP(A138,Internal_lists_bugs!$A$2:$Z$73,26,FALSE())),"please select a BUG ID")</f>
        <v>
</v>
      </c>
      <c r="C138" s="39" t="str">
        <f>IFERROR(VLOOKUP(A138,Internal_lists_bugs!$A$2:$G2011,7,FALSE()),"please select a BUG ID")</f>
        <v>https://opendev.org/openstack/nova/commit/7cef50ad800274cad3d07240cc468d038ce4031b</v>
      </c>
      <c r="D138" s="16" t="s">
        <v>1173</v>
      </c>
      <c r="E138" s="50"/>
      <c r="F138" s="43"/>
      <c r="G138" s="50"/>
      <c r="H138" s="16" t="s">
        <v>1200</v>
      </c>
    </row>
    <row r="139">
      <c r="A139" s="16" t="s">
        <v>61</v>
      </c>
      <c r="B139" s="59" t="str">
        <f>IFERROR(HYPERLINK(VLOOKUP(A139,Internal_lists_bugs!$A$2:$C$73,3,FALSE()), VLOOKUP(A139,Internal_lists_bugs!$A$2:$C$73,3,FALSE())&amp;Char(10) &amp; Char(10) &amp; VLOOKUP(A139,Internal_lists_bugs!$A$2:$Z$73,26,FALSE())),"please select a BUG ID")</f>
        <v>
</v>
      </c>
      <c r="C139" s="39" t="str">
        <f>IFERROR(VLOOKUP(A139,Internal_lists_bugs!$A$2:$G2011,7,FALSE()),"please select a BUG ID")</f>
        <v>https://opendev.org/openstack/nova/commit/7cef50ad800274cad3d07240cc468d038ce4031b</v>
      </c>
      <c r="D139" s="16" t="s">
        <v>1211</v>
      </c>
      <c r="E139" s="50"/>
      <c r="F139" s="43"/>
      <c r="G139" s="50"/>
      <c r="H139" s="16" t="s">
        <v>1210</v>
      </c>
    </row>
    <row r="140">
      <c r="A140" s="16" t="s">
        <v>61</v>
      </c>
      <c r="B140" s="59" t="str">
        <f>IFERROR(HYPERLINK(VLOOKUP(A140,Internal_lists_bugs!$A$2:$C$73,3,FALSE()), VLOOKUP(A140,Internal_lists_bugs!$A$2:$C$73,3,FALSE())&amp;Char(10) &amp; Char(10) &amp; VLOOKUP(A140,Internal_lists_bugs!$A$2:$Z$73,26,FALSE())),"please select a BUG ID")</f>
        <v>
</v>
      </c>
      <c r="C140" s="39" t="str">
        <f>IFERROR(VLOOKUP(A140,Internal_lists_bugs!$A$2:$G2011,7,FALSE()),"please select a BUG ID")</f>
        <v>https://opendev.org/openstack/nova/commit/7cef50ad800274cad3d07240cc468d038ce4031b</v>
      </c>
      <c r="D140" s="16" t="s">
        <v>1205</v>
      </c>
      <c r="E140" s="50"/>
      <c r="F140" s="43"/>
      <c r="G140" s="50"/>
      <c r="H140" s="16" t="s">
        <v>1215</v>
      </c>
    </row>
    <row r="141">
      <c r="A141" s="16" t="s">
        <v>61</v>
      </c>
      <c r="B141" s="59" t="str">
        <f>IFERROR(HYPERLINK(VLOOKUP(A141,Internal_lists_bugs!$A$2:$C$73,3,FALSE()), VLOOKUP(A141,Internal_lists_bugs!$A$2:$C$73,3,FALSE())&amp;Char(10) &amp; Char(10) &amp; VLOOKUP(A141,Internal_lists_bugs!$A$2:$Z$73,26,FALSE())),"please select a BUG ID")</f>
        <v>
</v>
      </c>
      <c r="C141" s="39" t="str">
        <f>IFERROR(VLOOKUP(A141,Internal_lists_bugs!$A$2:$G2011,7,FALSE()),"please select a BUG ID")</f>
        <v>https://opendev.org/openstack/nova/commit/7cef50ad800274cad3d07240cc468d038ce4031b</v>
      </c>
      <c r="D141" s="16" t="s">
        <v>1183</v>
      </c>
      <c r="E141" s="50"/>
      <c r="F141" s="43"/>
      <c r="G141" s="50"/>
      <c r="H141" s="43"/>
    </row>
    <row r="142">
      <c r="A142" s="16" t="s">
        <v>61</v>
      </c>
      <c r="B142" s="59" t="str">
        <f>IFERROR(HYPERLINK(VLOOKUP(A142,Internal_lists_bugs!$A$2:$C$73,3,FALSE()), VLOOKUP(A142,Internal_lists_bugs!$A$2:$C$73,3,FALSE())&amp;Char(10) &amp; Char(10) &amp; VLOOKUP(A142,Internal_lists_bugs!$A$2:$Z$73,26,FALSE())),"please select a BUG ID")</f>
        <v>
</v>
      </c>
      <c r="C142" s="39" t="str">
        <f>IFERROR(VLOOKUP(A142,Internal_lists_bugs!$A$2:$G2011,7,FALSE()),"please select a BUG ID")</f>
        <v>https://opendev.org/openstack/nova/commit/7cef50ad800274cad3d07240cc468d038ce4031b</v>
      </c>
      <c r="D142" s="16" t="s">
        <v>1184</v>
      </c>
      <c r="E142" s="50"/>
      <c r="F142" s="43"/>
      <c r="G142" s="50"/>
      <c r="H142" s="43"/>
    </row>
    <row r="143">
      <c r="A143" s="16" t="s">
        <v>61</v>
      </c>
      <c r="B143" s="59" t="str">
        <f>IFERROR(HYPERLINK(VLOOKUP(A143,Internal_lists_bugs!$A$2:$C$73,3,FALSE()), VLOOKUP(A143,Internal_lists_bugs!$A$2:$C$73,3,FALSE())&amp;Char(10) &amp; Char(10) &amp; VLOOKUP(A143,Internal_lists_bugs!$A$2:$Z$73,26,FALSE())),"please select a BUG ID")</f>
        <v>
</v>
      </c>
      <c r="C143" s="39" t="str">
        <f>IFERROR(VLOOKUP(A143,Internal_lists_bugs!$A$2:$G2011,7,FALSE()),"please select a BUG ID")</f>
        <v>https://opendev.org/openstack/nova/commit/7cef50ad800274cad3d07240cc468d038ce4031b</v>
      </c>
      <c r="D143" s="16" t="s">
        <v>1185</v>
      </c>
      <c r="E143" s="50"/>
      <c r="F143" s="43"/>
      <c r="G143" s="50"/>
      <c r="H143" s="43"/>
    </row>
    <row r="144">
      <c r="A144" s="16" t="s">
        <v>61</v>
      </c>
      <c r="B144" s="59" t="str">
        <f>IFERROR(HYPERLINK(VLOOKUP(A144,Internal_lists_bugs!$A$2:$C$73,3,FALSE()), VLOOKUP(A144,Internal_lists_bugs!$A$2:$C$73,3,FALSE())&amp;Char(10) &amp; Char(10) &amp; VLOOKUP(A144,Internal_lists_bugs!$A$2:$Z$73,26,FALSE())),"please select a BUG ID")</f>
        <v>
</v>
      </c>
      <c r="C144" s="39" t="str">
        <f>IFERROR(VLOOKUP(A144,Internal_lists_bugs!$A$2:$G2011,7,FALSE()),"please select a BUG ID")</f>
        <v>https://opendev.org/openstack/nova/commit/7cef50ad800274cad3d07240cc468d038ce4031b</v>
      </c>
      <c r="D144" s="16" t="s">
        <v>1196</v>
      </c>
      <c r="E144" s="50"/>
      <c r="F144" s="43"/>
      <c r="G144" s="50"/>
      <c r="H144" s="43"/>
    </row>
    <row r="145">
      <c r="A145" s="16" t="s">
        <v>61</v>
      </c>
      <c r="B145" s="59" t="str">
        <f>IFERROR(HYPERLINK(VLOOKUP(A145,Internal_lists_bugs!$A$2:$C$73,3,FALSE()), VLOOKUP(A145,Internal_lists_bugs!$A$2:$C$73,3,FALSE())&amp;Char(10) &amp; Char(10) &amp; VLOOKUP(A145,Internal_lists_bugs!$A$2:$Z$73,26,FALSE())),"please select a BUG ID")</f>
        <v>
</v>
      </c>
      <c r="C145" s="39" t="str">
        <f>IFERROR(VLOOKUP(A145,Internal_lists_bugs!$A$2:$G2011,7,FALSE()),"please select a BUG ID")</f>
        <v>https://opendev.org/openstack/nova/commit/7cef50ad800274cad3d07240cc468d038ce4031b</v>
      </c>
      <c r="D145" s="16" t="s">
        <v>1187</v>
      </c>
      <c r="E145" s="50"/>
      <c r="F145" s="43"/>
      <c r="G145" s="50"/>
      <c r="H145" s="43"/>
    </row>
    <row r="146">
      <c r="A146" s="16" t="s">
        <v>61</v>
      </c>
      <c r="B146" s="59" t="str">
        <f>IFERROR(HYPERLINK(VLOOKUP(A146,Internal_lists_bugs!$A$2:$C$73,3,FALSE()), VLOOKUP(A146,Internal_lists_bugs!$A$2:$C$73,3,FALSE())&amp;Char(10) &amp; Char(10) &amp; VLOOKUP(A146,Internal_lists_bugs!$A$2:$Z$73,26,FALSE())),"please select a BUG ID")</f>
        <v>
</v>
      </c>
      <c r="C146" s="39" t="str">
        <f>IFERROR(VLOOKUP(A146,Internal_lists_bugs!$A$2:$G2011,7,FALSE()),"please select a BUG ID")</f>
        <v>https://opendev.org/openstack/nova/commit/7cef50ad800274cad3d07240cc468d038ce4031b</v>
      </c>
      <c r="D146" s="16" t="s">
        <v>1206</v>
      </c>
      <c r="E146" s="50"/>
      <c r="F146" s="43"/>
      <c r="G146" s="50"/>
      <c r="H146" s="43"/>
    </row>
    <row r="147">
      <c r="A147" s="16" t="s">
        <v>61</v>
      </c>
      <c r="B147" s="59" t="str">
        <f>IFERROR(HYPERLINK(VLOOKUP(A147,Internal_lists_bugs!$A$2:$C$73,3,FALSE()), VLOOKUP(A147,Internal_lists_bugs!$A$2:$C$73,3,FALSE())&amp;Char(10) &amp; Char(10) &amp; VLOOKUP(A147,Internal_lists_bugs!$A$2:$Z$73,26,FALSE())),"please select a BUG ID")</f>
        <v>
</v>
      </c>
      <c r="C147" s="39" t="str">
        <f>IFERROR(VLOOKUP(A147,Internal_lists_bugs!$A$2:$G2011,7,FALSE()),"please select a BUG ID")</f>
        <v>https://opendev.org/openstack/nova/commit/7cef50ad800274cad3d07240cc468d038ce4031b</v>
      </c>
      <c r="D147" s="16" t="s">
        <v>1213</v>
      </c>
      <c r="E147" s="50"/>
      <c r="F147" s="43"/>
      <c r="G147" s="50"/>
      <c r="H147" s="43"/>
    </row>
    <row r="148">
      <c r="A148" s="16" t="s">
        <v>61</v>
      </c>
      <c r="B148" s="59" t="str">
        <f>IFERROR(HYPERLINK(VLOOKUP(A148,Internal_lists_bugs!$A$2:$C$73,3,FALSE()), VLOOKUP(A148,Internal_lists_bugs!$A$2:$C$73,3,FALSE())&amp;Char(10) &amp; Char(10) &amp; VLOOKUP(A148,Internal_lists_bugs!$A$2:$Z$73,26,FALSE())),"please select a BUG ID")</f>
        <v>
</v>
      </c>
      <c r="C148" s="39" t="str">
        <f>IFERROR(VLOOKUP(A148,Internal_lists_bugs!$A$2:$G2011,7,FALSE()),"please select a BUG ID")</f>
        <v>https://opendev.org/openstack/nova/commit/7cef50ad800274cad3d07240cc468d038ce4031b</v>
      </c>
      <c r="D148" s="16" t="s">
        <v>1188</v>
      </c>
      <c r="E148" s="50"/>
      <c r="F148" s="43"/>
      <c r="G148" s="50"/>
      <c r="H148" s="43"/>
    </row>
    <row r="149">
      <c r="A149" s="16" t="s">
        <v>61</v>
      </c>
      <c r="B149" s="59" t="str">
        <f>IFERROR(HYPERLINK(VLOOKUP(A149,Internal_lists_bugs!$A$2:$C$73,3,FALSE()), VLOOKUP(A149,Internal_lists_bugs!$A$2:$C$73,3,FALSE())&amp;Char(10) &amp; Char(10) &amp; VLOOKUP(A149,Internal_lists_bugs!$A$2:$Z$73,26,FALSE())),"please select a BUG ID")</f>
        <v>
</v>
      </c>
      <c r="C149" s="39" t="str">
        <f>IFERROR(VLOOKUP(A149,Internal_lists_bugs!$A$2:$G2011,7,FALSE()),"please select a BUG ID")</f>
        <v>https://opendev.org/openstack/nova/commit/7cef50ad800274cad3d07240cc468d038ce4031b</v>
      </c>
      <c r="D149" s="16" t="s">
        <v>1207</v>
      </c>
      <c r="E149" s="50"/>
      <c r="F149" s="43"/>
      <c r="G149" s="50"/>
      <c r="H149" s="43"/>
    </row>
    <row r="150">
      <c r="A150" s="16" t="s">
        <v>61</v>
      </c>
      <c r="B150" s="59" t="str">
        <f>IFERROR(HYPERLINK(VLOOKUP(A150,Internal_lists_bugs!$A$2:$C$73,3,FALSE()), VLOOKUP(A150,Internal_lists_bugs!$A$2:$C$73,3,FALSE())&amp;Char(10) &amp; Char(10) &amp; VLOOKUP(A150,Internal_lists_bugs!$A$2:$Z$73,26,FALSE())),"please select a BUG ID")</f>
        <v>
</v>
      </c>
      <c r="C150" s="39" t="str">
        <f>IFERROR(VLOOKUP(A150,Internal_lists_bugs!$A$2:$G2011,7,FALSE()),"please select a BUG ID")</f>
        <v>https://opendev.org/openstack/nova/commit/7cef50ad800274cad3d07240cc468d038ce4031b</v>
      </c>
      <c r="D150" s="16" t="s">
        <v>1214</v>
      </c>
      <c r="E150" s="50"/>
      <c r="F150" s="43"/>
      <c r="G150" s="50"/>
      <c r="H150" s="43"/>
    </row>
    <row r="151">
      <c r="A151" s="16" t="s">
        <v>61</v>
      </c>
      <c r="B151" s="59" t="str">
        <f>IFERROR(HYPERLINK(VLOOKUP(A151,Internal_lists_bugs!$A$2:$C$73,3,FALSE()), VLOOKUP(A151,Internal_lists_bugs!$A$2:$C$73,3,FALSE())&amp;Char(10) &amp; Char(10) &amp; VLOOKUP(A151,Internal_lists_bugs!$A$2:$Z$73,26,FALSE())),"please select a BUG ID")</f>
        <v>
</v>
      </c>
      <c r="C151" s="39" t="str">
        <f>IFERROR(VLOOKUP(A151,Internal_lists_bugs!$A$2:$G2011,7,FALSE()),"please select a BUG ID")</f>
        <v>https://opendev.org/openstack/nova/commit/7cef50ad800274cad3d07240cc468d038ce4031b</v>
      </c>
      <c r="D151" s="16" t="s">
        <v>1216</v>
      </c>
      <c r="E151" s="50"/>
      <c r="F151" s="43"/>
      <c r="G151" s="50"/>
      <c r="H151" s="43"/>
    </row>
    <row r="152">
      <c r="A152" s="16" t="s">
        <v>44</v>
      </c>
      <c r="B152" s="59" t="str">
        <f>IFERROR(HYPERLINK(VLOOKUP(A152,Internal_lists_bugs!$A$2:$C$73,3,FALSE()), VLOOKUP(A152,Internal_lists_bugs!$A$2:$C$73,3,FALSE())&amp;Char(10) &amp; Char(10) &amp; VLOOKUP(A152,Internal_lists_bugs!$A$2:$Z$73,26,FALSE())),"please select a BUG ID")</f>
        <v>
</v>
      </c>
      <c r="C152" s="39" t="str">
        <f>IFERROR(VLOOKUP(A152,Internal_lists_bugs!$A$2:$G2011,7,FALSE()),"please select a BUG ID")</f>
        <v>https://opendev.org/openstack/nova/commit/ba1ed8958b6bde0d8b9f5862a83ac7e1a33e8313</v>
      </c>
      <c r="D152" s="16" t="s">
        <v>1208</v>
      </c>
      <c r="E152" s="50"/>
      <c r="F152" s="16" t="s">
        <v>1174</v>
      </c>
      <c r="G152" s="50"/>
      <c r="H152" s="16" t="s">
        <v>1217</v>
      </c>
    </row>
    <row r="153">
      <c r="A153" s="16" t="s">
        <v>44</v>
      </c>
      <c r="B153" s="59" t="str">
        <f>IFERROR(HYPERLINK(VLOOKUP(A153,Internal_lists_bugs!$A$2:$C$73,3,FALSE()), VLOOKUP(A153,Internal_lists_bugs!$A$2:$C$73,3,FALSE())&amp;Char(10) &amp; Char(10) &amp; VLOOKUP(A153,Internal_lists_bugs!$A$2:$Z$73,26,FALSE())),"please select a BUG ID")</f>
        <v>
</v>
      </c>
      <c r="C153" s="39" t="str">
        <f>IFERROR(VLOOKUP(A153,Internal_lists_bugs!$A$2:$G2011,7,FALSE()),"please select a BUG ID")</f>
        <v>https://opendev.org/openstack/nova/commit/ba1ed8958b6bde0d8b9f5862a83ac7e1a33e8313</v>
      </c>
      <c r="D153" s="16" t="s">
        <v>1209</v>
      </c>
      <c r="E153" s="50"/>
      <c r="F153" s="43"/>
      <c r="G153" s="50"/>
      <c r="H153" s="16" t="s">
        <v>1203</v>
      </c>
    </row>
    <row r="154">
      <c r="A154" s="16" t="s">
        <v>44</v>
      </c>
      <c r="B154" s="59" t="str">
        <f>IFERROR(HYPERLINK(VLOOKUP(A154,Internal_lists_bugs!$A$2:$C$73,3,FALSE()), VLOOKUP(A154,Internal_lists_bugs!$A$2:$C$73,3,FALSE())&amp;Char(10) &amp; Char(10) &amp; VLOOKUP(A154,Internal_lists_bugs!$A$2:$Z$73,26,FALSE())),"please select a BUG ID")</f>
        <v>
</v>
      </c>
      <c r="C154" s="39" t="str">
        <f>IFERROR(VLOOKUP(A154,Internal_lists_bugs!$A$2:$G2011,7,FALSE()),"please select a BUG ID")</f>
        <v>https://opendev.org/openstack/nova/commit/ba1ed8958b6bde0d8b9f5862a83ac7e1a33e8313</v>
      </c>
      <c r="D154" s="16" t="s">
        <v>1178</v>
      </c>
      <c r="E154" s="50"/>
      <c r="F154" s="43"/>
      <c r="G154" s="50"/>
      <c r="H154" s="16" t="s">
        <v>1212</v>
      </c>
    </row>
    <row r="155">
      <c r="A155" s="16" t="s">
        <v>44</v>
      </c>
      <c r="B155" s="59" t="str">
        <f>IFERROR(HYPERLINK(VLOOKUP(A155,Internal_lists_bugs!$A$2:$C$73,3,FALSE()), VLOOKUP(A155,Internal_lists_bugs!$A$2:$C$73,3,FALSE())&amp;Char(10) &amp; Char(10) &amp; VLOOKUP(A155,Internal_lists_bugs!$A$2:$Z$73,26,FALSE())),"please select a BUG ID")</f>
        <v>
</v>
      </c>
      <c r="C155" s="39" t="str">
        <f>IFERROR(VLOOKUP(A155,Internal_lists_bugs!$A$2:$G2011,7,FALSE()),"please select a BUG ID")</f>
        <v>https://opendev.org/openstack/nova/commit/ba1ed8958b6bde0d8b9f5862a83ac7e1a33e8313</v>
      </c>
      <c r="D155" s="16" t="s">
        <v>1182</v>
      </c>
      <c r="E155" s="50"/>
      <c r="F155" s="43"/>
      <c r="G155" s="50"/>
      <c r="H155" s="16" t="s">
        <v>1175</v>
      </c>
    </row>
    <row r="156">
      <c r="A156" s="16" t="s">
        <v>44</v>
      </c>
      <c r="B156" s="59" t="str">
        <f>IFERROR(HYPERLINK(VLOOKUP(A156,Internal_lists_bugs!$A$2:$C$73,3,FALSE()), VLOOKUP(A156,Internal_lists_bugs!$A$2:$C$73,3,FALSE())&amp;Char(10) &amp; Char(10) &amp; VLOOKUP(A156,Internal_lists_bugs!$A$2:$Z$73,26,FALSE())),"please select a BUG ID")</f>
        <v>
</v>
      </c>
      <c r="C156" s="39" t="str">
        <f>IFERROR(VLOOKUP(A156,Internal_lists_bugs!$A$2:$G2011,7,FALSE()),"please select a BUG ID")</f>
        <v>https://opendev.org/openstack/nova/commit/ba1ed8958b6bde0d8b9f5862a83ac7e1a33e8313</v>
      </c>
      <c r="D156" s="16" t="s">
        <v>1191</v>
      </c>
      <c r="E156" s="50"/>
      <c r="F156" s="43"/>
      <c r="G156" s="50"/>
      <c r="H156" s="16" t="s">
        <v>1179</v>
      </c>
    </row>
    <row r="157">
      <c r="A157" s="16" t="s">
        <v>44</v>
      </c>
      <c r="B157" s="59" t="str">
        <f>IFERROR(HYPERLINK(VLOOKUP(A157,Internal_lists_bugs!$A$2:$C$73,3,FALSE()), VLOOKUP(A157,Internal_lists_bugs!$A$2:$C$73,3,FALSE())&amp;Char(10) &amp; Char(10) &amp; VLOOKUP(A157,Internal_lists_bugs!$A$2:$Z$73,26,FALSE())),"please select a BUG ID")</f>
        <v>
</v>
      </c>
      <c r="C157" s="39" t="str">
        <f>IFERROR(VLOOKUP(A157,Internal_lists_bugs!$A$2:$G2011,7,FALSE()),"please select a BUG ID")</f>
        <v>https://opendev.org/openstack/nova/commit/ba1ed8958b6bde0d8b9f5862a83ac7e1a33e8313</v>
      </c>
      <c r="D157" s="16" t="s">
        <v>1199</v>
      </c>
      <c r="E157" s="50"/>
      <c r="F157" s="43"/>
      <c r="G157" s="50"/>
      <c r="H157" s="16" t="s">
        <v>1197</v>
      </c>
    </row>
    <row r="158">
      <c r="A158" s="16" t="s">
        <v>44</v>
      </c>
      <c r="B158" s="59" t="str">
        <f>IFERROR(HYPERLINK(VLOOKUP(A158,Internal_lists_bugs!$A$2:$C$73,3,FALSE()), VLOOKUP(A158,Internal_lists_bugs!$A$2:$C$73,3,FALSE())&amp;Char(10) &amp; Char(10) &amp; VLOOKUP(A158,Internal_lists_bugs!$A$2:$Z$73,26,FALSE())),"please select a BUG ID")</f>
        <v>
</v>
      </c>
      <c r="C158" s="39" t="str">
        <f>IFERROR(VLOOKUP(A158,Internal_lists_bugs!$A$2:$G2011,7,FALSE()),"please select a BUG ID")</f>
        <v>https://opendev.org/openstack/nova/commit/ba1ed8958b6bde0d8b9f5862a83ac7e1a33e8313</v>
      </c>
      <c r="D158" s="16" t="s">
        <v>1201</v>
      </c>
      <c r="E158" s="50"/>
      <c r="F158" s="43"/>
      <c r="G158" s="50"/>
      <c r="H158" s="16" t="s">
        <v>1198</v>
      </c>
    </row>
    <row r="159">
      <c r="A159" s="16" t="s">
        <v>44</v>
      </c>
      <c r="B159" s="59" t="str">
        <f>IFERROR(HYPERLINK(VLOOKUP(A159,Internal_lists_bugs!$A$2:$C$73,3,FALSE()), VLOOKUP(A159,Internal_lists_bugs!$A$2:$C$73,3,FALSE())&amp;Char(10) &amp; Char(10) &amp; VLOOKUP(A159,Internal_lists_bugs!$A$2:$Z$73,26,FALSE())),"please select a BUG ID")</f>
        <v>
</v>
      </c>
      <c r="C159" s="39" t="str">
        <f>IFERROR(VLOOKUP(A159,Internal_lists_bugs!$A$2:$G2011,7,FALSE()),"please select a BUG ID")</f>
        <v>https://opendev.org/openstack/nova/commit/ba1ed8958b6bde0d8b9f5862a83ac7e1a33e8313</v>
      </c>
      <c r="D159" s="16" t="s">
        <v>1202</v>
      </c>
      <c r="E159" s="50"/>
      <c r="F159" s="43"/>
      <c r="G159" s="50"/>
      <c r="H159" s="16" t="s">
        <v>1210</v>
      </c>
    </row>
    <row r="160">
      <c r="A160" s="16" t="s">
        <v>44</v>
      </c>
      <c r="B160" s="59" t="str">
        <f>IFERROR(HYPERLINK(VLOOKUP(A160,Internal_lists_bugs!$A$2:$C$73,3,FALSE()), VLOOKUP(A160,Internal_lists_bugs!$A$2:$C$73,3,FALSE())&amp;Char(10) &amp; Char(10) &amp; VLOOKUP(A160,Internal_lists_bugs!$A$2:$Z$73,26,FALSE())),"please select a BUG ID")</f>
        <v>
</v>
      </c>
      <c r="C160" s="39" t="str">
        <f>IFERROR(VLOOKUP(A160,Internal_lists_bugs!$A$2:$G2011,7,FALSE()),"please select a BUG ID")</f>
        <v>https://opendev.org/openstack/nova/commit/ba1ed8958b6bde0d8b9f5862a83ac7e1a33e8313</v>
      </c>
      <c r="D160" s="16" t="s">
        <v>1173</v>
      </c>
      <c r="E160" s="50"/>
      <c r="F160" s="43"/>
      <c r="G160" s="50"/>
      <c r="H160" s="16" t="s">
        <v>1200</v>
      </c>
    </row>
    <row r="161">
      <c r="A161" s="16" t="s">
        <v>44</v>
      </c>
      <c r="B161" s="59" t="str">
        <f>IFERROR(HYPERLINK(VLOOKUP(A161,Internal_lists_bugs!$A$2:$C$73,3,FALSE()), VLOOKUP(A161,Internal_lists_bugs!$A$2:$C$73,3,FALSE())&amp;Char(10) &amp; Char(10) &amp; VLOOKUP(A161,Internal_lists_bugs!$A$2:$Z$73,26,FALSE())),"please select a BUG ID")</f>
        <v>
</v>
      </c>
      <c r="C161" s="39" t="str">
        <f>IFERROR(VLOOKUP(A161,Internal_lists_bugs!$A$2:$G2011,7,FALSE()),"please select a BUG ID")</f>
        <v>https://opendev.org/openstack/nova/commit/ba1ed8958b6bde0d8b9f5862a83ac7e1a33e8313</v>
      </c>
      <c r="D161" s="16" t="s">
        <v>1211</v>
      </c>
      <c r="E161" s="50"/>
      <c r="F161" s="43"/>
      <c r="G161" s="50"/>
      <c r="H161" s="16" t="s">
        <v>1215</v>
      </c>
    </row>
    <row r="162">
      <c r="A162" s="16" t="s">
        <v>44</v>
      </c>
      <c r="B162" s="59" t="str">
        <f>IFERROR(HYPERLINK(VLOOKUP(A162,Internal_lists_bugs!$A$2:$C$73,3,FALSE()), VLOOKUP(A162,Internal_lists_bugs!$A$2:$C$73,3,FALSE())&amp;Char(10) &amp; Char(10) &amp; VLOOKUP(A162,Internal_lists_bugs!$A$2:$Z$73,26,FALSE())),"please select a BUG ID")</f>
        <v>
</v>
      </c>
      <c r="C162" s="39" t="str">
        <f>IFERROR(VLOOKUP(A162,Internal_lists_bugs!$A$2:$G2011,7,FALSE()),"please select a BUG ID")</f>
        <v>https://opendev.org/openstack/nova/commit/ba1ed8958b6bde0d8b9f5862a83ac7e1a33e8313</v>
      </c>
      <c r="D162" s="16" t="s">
        <v>1205</v>
      </c>
      <c r="E162" s="50"/>
      <c r="F162" s="43"/>
      <c r="G162" s="50"/>
      <c r="H162" s="16" t="s">
        <v>1177</v>
      </c>
    </row>
    <row r="163">
      <c r="A163" s="16" t="s">
        <v>44</v>
      </c>
      <c r="B163" s="59" t="str">
        <f>IFERROR(HYPERLINK(VLOOKUP(A163,Internal_lists_bugs!$A$2:$C$73,3,FALSE()), VLOOKUP(A163,Internal_lists_bugs!$A$2:$C$73,3,FALSE())&amp;Char(10) &amp; Char(10) &amp; VLOOKUP(A163,Internal_lists_bugs!$A$2:$Z$73,26,FALSE())),"please select a BUG ID")</f>
        <v>
</v>
      </c>
      <c r="C163" s="39" t="str">
        <f>IFERROR(VLOOKUP(A163,Internal_lists_bugs!$A$2:$G2011,7,FALSE()),"please select a BUG ID")</f>
        <v>https://opendev.org/openstack/nova/commit/ba1ed8958b6bde0d8b9f5862a83ac7e1a33e8313</v>
      </c>
      <c r="D163" s="16" t="s">
        <v>1183</v>
      </c>
      <c r="E163" s="50"/>
      <c r="F163" s="43"/>
      <c r="G163" s="50"/>
      <c r="H163" s="43"/>
    </row>
    <row r="164">
      <c r="A164" s="16" t="s">
        <v>44</v>
      </c>
      <c r="B164" s="59" t="str">
        <f>IFERROR(HYPERLINK(VLOOKUP(A164,Internal_lists_bugs!$A$2:$C$73,3,FALSE()), VLOOKUP(A164,Internal_lists_bugs!$A$2:$C$73,3,FALSE())&amp;Char(10) &amp; Char(10) &amp; VLOOKUP(A164,Internal_lists_bugs!$A$2:$Z$73,26,FALSE())),"please select a BUG ID")</f>
        <v>
</v>
      </c>
      <c r="C164" s="39" t="str">
        <f>IFERROR(VLOOKUP(A164,Internal_lists_bugs!$A$2:$G2011,7,FALSE()),"please select a BUG ID")</f>
        <v>https://opendev.org/openstack/nova/commit/ba1ed8958b6bde0d8b9f5862a83ac7e1a33e8313</v>
      </c>
      <c r="D164" s="16" t="s">
        <v>1184</v>
      </c>
      <c r="E164" s="50"/>
      <c r="F164" s="43"/>
      <c r="G164" s="50"/>
      <c r="H164" s="43"/>
    </row>
    <row r="165">
      <c r="A165" s="16" t="s">
        <v>44</v>
      </c>
      <c r="B165" s="59" t="str">
        <f>IFERROR(HYPERLINK(VLOOKUP(A165,Internal_lists_bugs!$A$2:$C$73,3,FALSE()), VLOOKUP(A165,Internal_lists_bugs!$A$2:$C$73,3,FALSE())&amp;Char(10) &amp; Char(10) &amp; VLOOKUP(A165,Internal_lists_bugs!$A$2:$Z$73,26,FALSE())),"please select a BUG ID")</f>
        <v>
</v>
      </c>
      <c r="C165" s="39" t="str">
        <f>IFERROR(VLOOKUP(A165,Internal_lists_bugs!$A$2:$G2011,7,FALSE()),"please select a BUG ID")</f>
        <v>https://opendev.org/openstack/nova/commit/ba1ed8958b6bde0d8b9f5862a83ac7e1a33e8313</v>
      </c>
      <c r="D165" s="16" t="s">
        <v>1185</v>
      </c>
      <c r="E165" s="50"/>
      <c r="F165" s="43"/>
      <c r="G165" s="50"/>
      <c r="H165" s="43"/>
    </row>
    <row r="166">
      <c r="A166" s="16" t="s">
        <v>44</v>
      </c>
      <c r="B166" s="59" t="str">
        <f>IFERROR(HYPERLINK(VLOOKUP(A166,Internal_lists_bugs!$A$2:$C$73,3,FALSE()), VLOOKUP(A166,Internal_lists_bugs!$A$2:$C$73,3,FALSE())&amp;Char(10) &amp; Char(10) &amp; VLOOKUP(A166,Internal_lists_bugs!$A$2:$Z$73,26,FALSE())),"please select a BUG ID")</f>
        <v>
</v>
      </c>
      <c r="C166" s="39" t="str">
        <f>IFERROR(VLOOKUP(A166,Internal_lists_bugs!$A$2:$G2011,7,FALSE()),"please select a BUG ID")</f>
        <v>https://opendev.org/openstack/nova/commit/ba1ed8958b6bde0d8b9f5862a83ac7e1a33e8313</v>
      </c>
      <c r="D166" s="16" t="s">
        <v>1196</v>
      </c>
      <c r="E166" s="50"/>
      <c r="F166" s="43"/>
      <c r="G166" s="50"/>
      <c r="H166" s="43"/>
    </row>
    <row r="167">
      <c r="A167" s="16" t="s">
        <v>44</v>
      </c>
      <c r="B167" s="59" t="str">
        <f>IFERROR(HYPERLINK(VLOOKUP(A167,Internal_lists_bugs!$A$2:$C$73,3,FALSE()), VLOOKUP(A167,Internal_lists_bugs!$A$2:$C$73,3,FALSE())&amp;Char(10) &amp; Char(10) &amp; VLOOKUP(A167,Internal_lists_bugs!$A$2:$Z$73,26,FALSE())),"please select a BUG ID")</f>
        <v>
</v>
      </c>
      <c r="C167" s="39" t="str">
        <f>IFERROR(VLOOKUP(A167,Internal_lists_bugs!$A$2:$G2011,7,FALSE()),"please select a BUG ID")</f>
        <v>https://opendev.org/openstack/nova/commit/ba1ed8958b6bde0d8b9f5862a83ac7e1a33e8313</v>
      </c>
      <c r="D167" s="16" t="s">
        <v>1187</v>
      </c>
      <c r="E167" s="50"/>
      <c r="F167" s="43"/>
      <c r="G167" s="50"/>
      <c r="H167" s="43"/>
    </row>
    <row r="168">
      <c r="A168" s="16" t="s">
        <v>44</v>
      </c>
      <c r="B168" s="59" t="str">
        <f>IFERROR(HYPERLINK(VLOOKUP(A168,Internal_lists_bugs!$A$2:$C$73,3,FALSE()), VLOOKUP(A168,Internal_lists_bugs!$A$2:$C$73,3,FALSE())&amp;Char(10) &amp; Char(10) &amp; VLOOKUP(A168,Internal_lists_bugs!$A$2:$Z$73,26,FALSE())),"please select a BUG ID")</f>
        <v>
</v>
      </c>
      <c r="C168" s="39" t="str">
        <f>IFERROR(VLOOKUP(A168,Internal_lists_bugs!$A$2:$G2011,7,FALSE()),"please select a BUG ID")</f>
        <v>https://opendev.org/openstack/nova/commit/ba1ed8958b6bde0d8b9f5862a83ac7e1a33e8313</v>
      </c>
      <c r="D168" s="16" t="s">
        <v>1206</v>
      </c>
      <c r="E168" s="50"/>
      <c r="F168" s="43"/>
      <c r="G168" s="50"/>
      <c r="H168" s="43"/>
    </row>
    <row r="169">
      <c r="A169" s="16" t="s">
        <v>44</v>
      </c>
      <c r="B169" s="59" t="str">
        <f>IFERROR(HYPERLINK(VLOOKUP(A169,Internal_lists_bugs!$A$2:$C$73,3,FALSE()), VLOOKUP(A169,Internal_lists_bugs!$A$2:$C$73,3,FALSE())&amp;Char(10) &amp; Char(10) &amp; VLOOKUP(A169,Internal_lists_bugs!$A$2:$Z$73,26,FALSE())),"please select a BUG ID")</f>
        <v>
</v>
      </c>
      <c r="C169" s="39" t="str">
        <f>IFERROR(VLOOKUP(A169,Internal_lists_bugs!$A$2:$G2011,7,FALSE()),"please select a BUG ID")</f>
        <v>https://opendev.org/openstack/nova/commit/ba1ed8958b6bde0d8b9f5862a83ac7e1a33e8313</v>
      </c>
      <c r="D169" s="16" t="s">
        <v>1213</v>
      </c>
      <c r="E169" s="50"/>
      <c r="F169" s="43"/>
      <c r="G169" s="50"/>
      <c r="H169" s="43"/>
    </row>
    <row r="170">
      <c r="A170" s="16" t="s">
        <v>44</v>
      </c>
      <c r="B170" s="59" t="str">
        <f>IFERROR(HYPERLINK(VLOOKUP(A170,Internal_lists_bugs!$A$2:$C$73,3,FALSE()), VLOOKUP(A170,Internal_lists_bugs!$A$2:$C$73,3,FALSE())&amp;Char(10) &amp; Char(10) &amp; VLOOKUP(A170,Internal_lists_bugs!$A$2:$Z$73,26,FALSE())),"please select a BUG ID")</f>
        <v>
</v>
      </c>
      <c r="C170" s="39" t="str">
        <f>IFERROR(VLOOKUP(A170,Internal_lists_bugs!$A$2:$G2011,7,FALSE()),"please select a BUG ID")</f>
        <v>https://opendev.org/openstack/nova/commit/ba1ed8958b6bde0d8b9f5862a83ac7e1a33e8313</v>
      </c>
      <c r="D170" s="16" t="s">
        <v>1188</v>
      </c>
      <c r="E170" s="50"/>
      <c r="F170" s="43"/>
      <c r="G170" s="50"/>
      <c r="H170" s="43"/>
    </row>
    <row r="171">
      <c r="A171" s="16" t="s">
        <v>44</v>
      </c>
      <c r="B171" s="59" t="str">
        <f>IFERROR(HYPERLINK(VLOOKUP(A171,Internal_lists_bugs!$A$2:$C$73,3,FALSE()), VLOOKUP(A171,Internal_lists_bugs!$A$2:$C$73,3,FALSE())&amp;Char(10) &amp; Char(10) &amp; VLOOKUP(A171,Internal_lists_bugs!$A$2:$Z$73,26,FALSE())),"please select a BUG ID")</f>
        <v>
</v>
      </c>
      <c r="C171" s="39" t="str">
        <f>IFERROR(VLOOKUP(A171,Internal_lists_bugs!$A$2:$G2011,7,FALSE()),"please select a BUG ID")</f>
        <v>https://opendev.org/openstack/nova/commit/ba1ed8958b6bde0d8b9f5862a83ac7e1a33e8313</v>
      </c>
      <c r="D171" s="16" t="s">
        <v>1216</v>
      </c>
      <c r="E171" s="50"/>
      <c r="F171" s="43"/>
      <c r="G171" s="50"/>
      <c r="H171" s="43"/>
    </row>
    <row r="172">
      <c r="A172" s="16" t="s">
        <v>44</v>
      </c>
      <c r="B172" s="59" t="str">
        <f>IFERROR(HYPERLINK(VLOOKUP(A172,Internal_lists_bugs!$A$2:$C$73,3,FALSE()), VLOOKUP(A172,Internal_lists_bugs!$A$2:$C$73,3,FALSE())&amp;Char(10) &amp; Char(10) &amp; VLOOKUP(A172,Internal_lists_bugs!$A$2:$Z$73,26,FALSE())),"please select a BUG ID")</f>
        <v>
</v>
      </c>
      <c r="C172" s="39" t="str">
        <f>IFERROR(VLOOKUP(A172,Internal_lists_bugs!$A$2:$G2011,7,FALSE()),"please select a BUG ID")</f>
        <v>https://opendev.org/openstack/nova/commit/ba1ed8958b6bde0d8b9f5862a83ac7e1a33e8313</v>
      </c>
      <c r="D172" s="16" t="s">
        <v>1214</v>
      </c>
      <c r="E172" s="50"/>
      <c r="F172" s="43"/>
      <c r="G172" s="50"/>
      <c r="H172" s="43"/>
    </row>
    <row r="173">
      <c r="A173" s="16" t="s">
        <v>30</v>
      </c>
      <c r="B173" s="59" t="str">
        <f>IFERROR(HYPERLINK(VLOOKUP(A173,Internal_lists_bugs!$A$2:$C$73,3,FALSE()), VLOOKUP(A173,Internal_lists_bugs!$A$2:$C$73,3,FALSE())&amp;Char(10) &amp; Char(10) &amp; VLOOKUP(A173,Internal_lists_bugs!$A$2:$Z$73,26,FALSE())),"please select a BUG ID")</f>
        <v>
</v>
      </c>
      <c r="C173" s="39" t="str">
        <f>IFERROR(VLOOKUP(A173,Internal_lists_bugs!$A$2:$G2011,7,FALSE()),"please select a BUG ID")</f>
        <v>https://opendev.org/openstack/nova/commit/fa6c2d4def22f0ddd296572d9ce5b3b6f7267e2f</v>
      </c>
      <c r="D173" s="16" t="s">
        <v>1208</v>
      </c>
      <c r="E173" s="50"/>
      <c r="F173" s="16" t="s">
        <v>1174</v>
      </c>
      <c r="G173" s="50"/>
      <c r="H173" s="16" t="s">
        <v>1175</v>
      </c>
    </row>
    <row r="174">
      <c r="A174" s="16" t="s">
        <v>30</v>
      </c>
      <c r="B174" s="59" t="str">
        <f>IFERROR(HYPERLINK(VLOOKUP(A174,Internal_lists_bugs!$A$2:$C$73,3,FALSE()), VLOOKUP(A174,Internal_lists_bugs!$A$2:$C$73,3,FALSE())&amp;Char(10) &amp; Char(10) &amp; VLOOKUP(A174,Internal_lists_bugs!$A$2:$Z$73,26,FALSE())),"please select a BUG ID")</f>
        <v>
</v>
      </c>
      <c r="C174" s="39" t="str">
        <f>IFERROR(VLOOKUP(A174,Internal_lists_bugs!$A$2:$G2011,7,FALSE()),"please select a BUG ID")</f>
        <v>https://opendev.org/openstack/nova/commit/fa6c2d4def22f0ddd296572d9ce5b3b6f7267e2f</v>
      </c>
      <c r="D174" s="16" t="s">
        <v>1209</v>
      </c>
      <c r="E174" s="50"/>
      <c r="F174" s="43"/>
      <c r="G174" s="50"/>
      <c r="H174" s="16" t="s">
        <v>1203</v>
      </c>
    </row>
    <row r="175">
      <c r="A175" s="16" t="s">
        <v>30</v>
      </c>
      <c r="B175" s="59" t="str">
        <f>IFERROR(HYPERLINK(VLOOKUP(A175,Internal_lists_bugs!$A$2:$C$73,3,FALSE()), VLOOKUP(A175,Internal_lists_bugs!$A$2:$C$73,3,FALSE())&amp;Char(10) &amp; Char(10) &amp; VLOOKUP(A175,Internal_lists_bugs!$A$2:$Z$73,26,FALSE())),"please select a BUG ID")</f>
        <v>
</v>
      </c>
      <c r="C175" s="39" t="str">
        <f>IFERROR(VLOOKUP(A175,Internal_lists_bugs!$A$2:$G2011,7,FALSE()),"please select a BUG ID")</f>
        <v>https://opendev.org/openstack/nova/commit/fa6c2d4def22f0ddd296572d9ce5b3b6f7267e2f</v>
      </c>
      <c r="D175" s="16" t="s">
        <v>1178</v>
      </c>
      <c r="E175" s="50"/>
      <c r="F175" s="43"/>
      <c r="G175" s="50"/>
      <c r="H175" s="16" t="s">
        <v>1212</v>
      </c>
    </row>
    <row r="176">
      <c r="A176" s="16" t="s">
        <v>30</v>
      </c>
      <c r="B176" s="59" t="str">
        <f>IFERROR(HYPERLINK(VLOOKUP(A176,Internal_lists_bugs!$A$2:$C$73,3,FALSE()), VLOOKUP(A176,Internal_lists_bugs!$A$2:$C$73,3,FALSE())&amp;Char(10) &amp; Char(10) &amp; VLOOKUP(A176,Internal_lists_bugs!$A$2:$Z$73,26,FALSE())),"please select a BUG ID")</f>
        <v>
</v>
      </c>
      <c r="C176" s="39" t="str">
        <f>IFERROR(VLOOKUP(A176,Internal_lists_bugs!$A$2:$G2011,7,FALSE()),"please select a BUG ID")</f>
        <v>https://opendev.org/openstack/nova/commit/fa6c2d4def22f0ddd296572d9ce5b3b6f7267e2f</v>
      </c>
      <c r="D176" s="16" t="s">
        <v>1182</v>
      </c>
      <c r="E176" s="50"/>
      <c r="F176" s="43"/>
      <c r="G176" s="50"/>
      <c r="H176" s="16" t="s">
        <v>1204</v>
      </c>
    </row>
    <row r="177">
      <c r="A177" s="16" t="s">
        <v>30</v>
      </c>
      <c r="B177" s="59" t="str">
        <f>IFERROR(HYPERLINK(VLOOKUP(A177,Internal_lists_bugs!$A$2:$C$73,3,FALSE()), VLOOKUP(A177,Internal_lists_bugs!$A$2:$C$73,3,FALSE())&amp;Char(10) &amp; Char(10) &amp; VLOOKUP(A177,Internal_lists_bugs!$A$2:$Z$73,26,FALSE())),"please select a BUG ID")</f>
        <v>
</v>
      </c>
      <c r="C177" s="39" t="str">
        <f>IFERROR(VLOOKUP(A177,Internal_lists_bugs!$A$2:$G2011,7,FALSE()),"please select a BUG ID")</f>
        <v>https://opendev.org/openstack/nova/commit/fa6c2d4def22f0ddd296572d9ce5b3b6f7267e2f</v>
      </c>
      <c r="D177" s="16" t="s">
        <v>1191</v>
      </c>
      <c r="E177" s="50"/>
      <c r="F177" s="43"/>
      <c r="G177" s="50"/>
      <c r="H177" s="16" t="s">
        <v>1197</v>
      </c>
    </row>
    <row r="178">
      <c r="A178" s="16" t="s">
        <v>30</v>
      </c>
      <c r="B178" s="59" t="str">
        <f>IFERROR(HYPERLINK(VLOOKUP(A178,Internal_lists_bugs!$A$2:$C$73,3,FALSE()), VLOOKUP(A178,Internal_lists_bugs!$A$2:$C$73,3,FALSE())&amp;Char(10) &amp; Char(10) &amp; VLOOKUP(A178,Internal_lists_bugs!$A$2:$Z$73,26,FALSE())),"please select a BUG ID")</f>
        <v>
</v>
      </c>
      <c r="C178" s="39" t="str">
        <f>IFERROR(VLOOKUP(A178,Internal_lists_bugs!$A$2:$G2011,7,FALSE()),"please select a BUG ID")</f>
        <v>https://opendev.org/openstack/nova/commit/fa6c2d4def22f0ddd296572d9ce5b3b6f7267e2f</v>
      </c>
      <c r="D178" s="16" t="s">
        <v>1199</v>
      </c>
      <c r="E178" s="50"/>
      <c r="F178" s="43"/>
      <c r="G178" s="50"/>
      <c r="H178" s="16" t="s">
        <v>1179</v>
      </c>
    </row>
    <row r="179">
      <c r="A179" s="16" t="s">
        <v>30</v>
      </c>
      <c r="B179" s="59" t="str">
        <f>IFERROR(HYPERLINK(VLOOKUP(A179,Internal_lists_bugs!$A$2:$C$73,3,FALSE()), VLOOKUP(A179,Internal_lists_bugs!$A$2:$C$73,3,FALSE())&amp;Char(10) &amp; Char(10) &amp; VLOOKUP(A179,Internal_lists_bugs!$A$2:$Z$73,26,FALSE())),"please select a BUG ID")</f>
        <v>
</v>
      </c>
      <c r="C179" s="39" t="str">
        <f>IFERROR(VLOOKUP(A179,Internal_lists_bugs!$A$2:$G2011,7,FALSE()),"please select a BUG ID")</f>
        <v>https://opendev.org/openstack/nova/commit/fa6c2d4def22f0ddd296572d9ce5b3b6f7267e2f</v>
      </c>
      <c r="D179" s="16" t="s">
        <v>1201</v>
      </c>
      <c r="E179" s="50"/>
      <c r="F179" s="43"/>
      <c r="G179" s="50"/>
      <c r="H179" s="16" t="s">
        <v>1198</v>
      </c>
    </row>
    <row r="180">
      <c r="A180" s="16" t="s">
        <v>30</v>
      </c>
      <c r="B180" s="59" t="str">
        <f>IFERROR(HYPERLINK(VLOOKUP(A180,Internal_lists_bugs!$A$2:$C$73,3,FALSE()), VLOOKUP(A180,Internal_lists_bugs!$A$2:$C$73,3,FALSE())&amp;Char(10) &amp; Char(10) &amp; VLOOKUP(A180,Internal_lists_bugs!$A$2:$Z$73,26,FALSE())),"please select a BUG ID")</f>
        <v>
</v>
      </c>
      <c r="C180" s="39" t="str">
        <f>IFERROR(VLOOKUP(A180,Internal_lists_bugs!$A$2:$G2011,7,FALSE()),"please select a BUG ID")</f>
        <v>https://opendev.org/openstack/nova/commit/fa6c2d4def22f0ddd296572d9ce5b3b6f7267e2f</v>
      </c>
      <c r="D180" s="16" t="s">
        <v>1202</v>
      </c>
      <c r="E180" s="50"/>
      <c r="F180" s="43"/>
      <c r="G180" s="50"/>
      <c r="H180" s="16" t="s">
        <v>1210</v>
      </c>
    </row>
    <row r="181">
      <c r="A181" s="16" t="s">
        <v>30</v>
      </c>
      <c r="B181" s="59" t="str">
        <f>IFERROR(HYPERLINK(VLOOKUP(A181,Internal_lists_bugs!$A$2:$C$73,3,FALSE()), VLOOKUP(A181,Internal_lists_bugs!$A$2:$C$73,3,FALSE())&amp;Char(10) &amp; Char(10) &amp; VLOOKUP(A181,Internal_lists_bugs!$A$2:$Z$73,26,FALSE())),"please select a BUG ID")</f>
        <v>
</v>
      </c>
      <c r="C181" s="39" t="str">
        <f>IFERROR(VLOOKUP(A181,Internal_lists_bugs!$A$2:$G2011,7,FALSE()),"please select a BUG ID")</f>
        <v>https://opendev.org/openstack/nova/commit/fa6c2d4def22f0ddd296572d9ce5b3b6f7267e2f</v>
      </c>
      <c r="D181" s="16" t="s">
        <v>1173</v>
      </c>
      <c r="E181" s="50"/>
      <c r="F181" s="43"/>
      <c r="G181" s="50"/>
      <c r="H181" s="16" t="s">
        <v>1200</v>
      </c>
    </row>
    <row r="182">
      <c r="A182" s="16" t="s">
        <v>30</v>
      </c>
      <c r="B182" s="59" t="str">
        <f>IFERROR(HYPERLINK(VLOOKUP(A182,Internal_lists_bugs!$A$2:$C$73,3,FALSE()), VLOOKUP(A182,Internal_lists_bugs!$A$2:$C$73,3,FALSE())&amp;Char(10) &amp; Char(10) &amp; VLOOKUP(A182,Internal_lists_bugs!$A$2:$Z$73,26,FALSE())),"please select a BUG ID")</f>
        <v>
</v>
      </c>
      <c r="C182" s="39" t="str">
        <f>IFERROR(VLOOKUP(A182,Internal_lists_bugs!$A$2:$G2011,7,FALSE()),"please select a BUG ID")</f>
        <v>https://opendev.org/openstack/nova/commit/fa6c2d4def22f0ddd296572d9ce5b3b6f7267e2f</v>
      </c>
      <c r="D182" s="16" t="s">
        <v>1211</v>
      </c>
      <c r="E182" s="50"/>
      <c r="F182" s="43"/>
      <c r="G182" s="50"/>
      <c r="H182" s="16" t="s">
        <v>1215</v>
      </c>
    </row>
    <row r="183">
      <c r="A183" s="16" t="s">
        <v>30</v>
      </c>
      <c r="B183" s="59" t="str">
        <f>IFERROR(HYPERLINK(VLOOKUP(A183,Internal_lists_bugs!$A$2:$C$73,3,FALSE()), VLOOKUP(A183,Internal_lists_bugs!$A$2:$C$73,3,FALSE())&amp;Char(10) &amp; Char(10) &amp; VLOOKUP(A183,Internal_lists_bugs!$A$2:$Z$73,26,FALSE())),"please select a BUG ID")</f>
        <v>
</v>
      </c>
      <c r="C183" s="39" t="str">
        <f>IFERROR(VLOOKUP(A183,Internal_lists_bugs!$A$2:$G2011,7,FALSE()),"please select a BUG ID")</f>
        <v>https://opendev.org/openstack/nova/commit/fa6c2d4def22f0ddd296572d9ce5b3b6f7267e2f</v>
      </c>
      <c r="D183" s="16" t="s">
        <v>1205</v>
      </c>
      <c r="E183" s="50"/>
      <c r="F183" s="43"/>
      <c r="G183" s="50"/>
      <c r="H183" s="16" t="s">
        <v>1177</v>
      </c>
    </row>
    <row r="184">
      <c r="A184" s="16" t="s">
        <v>30</v>
      </c>
      <c r="B184" s="59" t="str">
        <f>IFERROR(HYPERLINK(VLOOKUP(A184,Internal_lists_bugs!$A$2:$C$73,3,FALSE()), VLOOKUP(A184,Internal_lists_bugs!$A$2:$C$73,3,FALSE())&amp;Char(10) &amp; Char(10) &amp; VLOOKUP(A184,Internal_lists_bugs!$A$2:$Z$73,26,FALSE())),"please select a BUG ID")</f>
        <v>
</v>
      </c>
      <c r="C184" s="39" t="str">
        <f>IFERROR(VLOOKUP(A184,Internal_lists_bugs!$A$2:$G2011,7,FALSE()),"please select a BUG ID")</f>
        <v>https://opendev.org/openstack/nova/commit/fa6c2d4def22f0ddd296572d9ce5b3b6f7267e2f</v>
      </c>
      <c r="D184" s="16" t="s">
        <v>1183</v>
      </c>
      <c r="E184" s="50"/>
      <c r="F184" s="43"/>
      <c r="G184" s="50"/>
      <c r="H184" s="43"/>
    </row>
    <row r="185">
      <c r="A185" s="16" t="s">
        <v>30</v>
      </c>
      <c r="B185" s="59" t="str">
        <f>IFERROR(HYPERLINK(VLOOKUP(A185,Internal_lists_bugs!$A$2:$C$73,3,FALSE()), VLOOKUP(A185,Internal_lists_bugs!$A$2:$C$73,3,FALSE())&amp;Char(10) &amp; Char(10) &amp; VLOOKUP(A185,Internal_lists_bugs!$A$2:$Z$73,26,FALSE())),"please select a BUG ID")</f>
        <v>
</v>
      </c>
      <c r="C185" s="39" t="str">
        <f>IFERROR(VLOOKUP(A185,Internal_lists_bugs!$A$2:$G2011,7,FALSE()),"please select a BUG ID")</f>
        <v>https://opendev.org/openstack/nova/commit/fa6c2d4def22f0ddd296572d9ce5b3b6f7267e2f</v>
      </c>
      <c r="D185" s="16" t="s">
        <v>1184</v>
      </c>
      <c r="E185" s="50"/>
      <c r="F185" s="43"/>
      <c r="G185" s="50"/>
      <c r="H185" s="43"/>
    </row>
    <row r="186">
      <c r="A186" s="16" t="s">
        <v>30</v>
      </c>
      <c r="B186" s="59" t="str">
        <f>IFERROR(HYPERLINK(VLOOKUP(A186,Internal_lists_bugs!$A$2:$C$73,3,FALSE()), VLOOKUP(A186,Internal_lists_bugs!$A$2:$C$73,3,FALSE())&amp;Char(10) &amp; Char(10) &amp; VLOOKUP(A186,Internal_lists_bugs!$A$2:$Z$73,26,FALSE())),"please select a BUG ID")</f>
        <v>
</v>
      </c>
      <c r="C186" s="39" t="str">
        <f>IFERROR(VLOOKUP(A186,Internal_lists_bugs!$A$2:$G2011,7,FALSE()),"please select a BUG ID")</f>
        <v>https://opendev.org/openstack/nova/commit/fa6c2d4def22f0ddd296572d9ce5b3b6f7267e2f</v>
      </c>
      <c r="D186" s="16" t="s">
        <v>1185</v>
      </c>
      <c r="E186" s="50"/>
      <c r="F186" s="43"/>
      <c r="G186" s="50"/>
      <c r="H186" s="43"/>
    </row>
    <row r="187">
      <c r="A187" s="16" t="s">
        <v>30</v>
      </c>
      <c r="B187" s="59" t="str">
        <f>IFERROR(HYPERLINK(VLOOKUP(A187,Internal_lists_bugs!$A$2:$C$73,3,FALSE()), VLOOKUP(A187,Internal_lists_bugs!$A$2:$C$73,3,FALSE())&amp;Char(10) &amp; Char(10) &amp; VLOOKUP(A187,Internal_lists_bugs!$A$2:$Z$73,26,FALSE())),"please select a BUG ID")</f>
        <v>
</v>
      </c>
      <c r="C187" s="39" t="str">
        <f>IFERROR(VLOOKUP(A187,Internal_lists_bugs!$A$2:$G2011,7,FALSE()),"please select a BUG ID")</f>
        <v>https://opendev.org/openstack/nova/commit/fa6c2d4def22f0ddd296572d9ce5b3b6f7267e2f</v>
      </c>
      <c r="D187" s="16" t="s">
        <v>1196</v>
      </c>
      <c r="E187" s="50"/>
      <c r="F187" s="43"/>
      <c r="G187" s="50"/>
      <c r="H187" s="43"/>
    </row>
    <row r="188">
      <c r="A188" s="16" t="s">
        <v>30</v>
      </c>
      <c r="B188" s="59" t="str">
        <f>IFERROR(HYPERLINK(VLOOKUP(A188,Internal_lists_bugs!$A$2:$C$73,3,FALSE()), VLOOKUP(A188,Internal_lists_bugs!$A$2:$C$73,3,FALSE())&amp;Char(10) &amp; Char(10) &amp; VLOOKUP(A188,Internal_lists_bugs!$A$2:$Z$73,26,FALSE())),"please select a BUG ID")</f>
        <v>
</v>
      </c>
      <c r="C188" s="39" t="str">
        <f>IFERROR(VLOOKUP(A188,Internal_lists_bugs!$A$2:$G2011,7,FALSE()),"please select a BUG ID")</f>
        <v>https://opendev.org/openstack/nova/commit/fa6c2d4def22f0ddd296572d9ce5b3b6f7267e2f</v>
      </c>
      <c r="D188" s="16" t="s">
        <v>1187</v>
      </c>
      <c r="E188" s="50"/>
      <c r="F188" s="43"/>
      <c r="G188" s="50"/>
      <c r="H188" s="43"/>
    </row>
    <row r="189">
      <c r="A189" s="16" t="s">
        <v>30</v>
      </c>
      <c r="B189" s="59" t="str">
        <f>IFERROR(HYPERLINK(VLOOKUP(A189,Internal_lists_bugs!$A$2:$C$73,3,FALSE()), VLOOKUP(A189,Internal_lists_bugs!$A$2:$C$73,3,FALSE())&amp;Char(10) &amp; Char(10) &amp; VLOOKUP(A189,Internal_lists_bugs!$A$2:$Z$73,26,FALSE())),"please select a BUG ID")</f>
        <v>
</v>
      </c>
      <c r="C189" s="39" t="str">
        <f>IFERROR(VLOOKUP(A189,Internal_lists_bugs!$A$2:$G2011,7,FALSE()),"please select a BUG ID")</f>
        <v>https://opendev.org/openstack/nova/commit/fa6c2d4def22f0ddd296572d9ce5b3b6f7267e2f</v>
      </c>
      <c r="D189" s="16" t="s">
        <v>1206</v>
      </c>
      <c r="E189" s="50"/>
      <c r="F189" s="43"/>
      <c r="G189" s="50"/>
      <c r="H189" s="43"/>
    </row>
    <row r="190">
      <c r="A190" s="16" t="s">
        <v>30</v>
      </c>
      <c r="B190" s="59" t="str">
        <f>IFERROR(HYPERLINK(VLOOKUP(A190,Internal_lists_bugs!$A$2:$C$73,3,FALSE()), VLOOKUP(A190,Internal_lists_bugs!$A$2:$C$73,3,FALSE())&amp;Char(10) &amp; Char(10) &amp; VLOOKUP(A190,Internal_lists_bugs!$A$2:$Z$73,26,FALSE())),"please select a BUG ID")</f>
        <v>
</v>
      </c>
      <c r="C190" s="39" t="str">
        <f>IFERROR(VLOOKUP(A190,Internal_lists_bugs!$A$2:$G2011,7,FALSE()),"please select a BUG ID")</f>
        <v>https://opendev.org/openstack/nova/commit/fa6c2d4def22f0ddd296572d9ce5b3b6f7267e2f</v>
      </c>
      <c r="D190" s="16" t="s">
        <v>1213</v>
      </c>
      <c r="E190" s="50"/>
      <c r="F190" s="43"/>
      <c r="G190" s="50"/>
      <c r="H190" s="43"/>
    </row>
    <row r="191">
      <c r="A191" s="16" t="s">
        <v>30</v>
      </c>
      <c r="B191" s="59" t="str">
        <f>IFERROR(HYPERLINK(VLOOKUP(A191,Internal_lists_bugs!$A$2:$C$73,3,FALSE()), VLOOKUP(A191,Internal_lists_bugs!$A$2:$C$73,3,FALSE())&amp;Char(10) &amp; Char(10) &amp; VLOOKUP(A191,Internal_lists_bugs!$A$2:$Z$73,26,FALSE())),"please select a BUG ID")</f>
        <v>
</v>
      </c>
      <c r="C191" s="39" t="str">
        <f>IFERROR(VLOOKUP(A191,Internal_lists_bugs!$A$2:$G2011,7,FALSE()),"please select a BUG ID")</f>
        <v>https://opendev.org/openstack/nova/commit/fa6c2d4def22f0ddd296572d9ce5b3b6f7267e2f</v>
      </c>
      <c r="D191" s="16" t="s">
        <v>1188</v>
      </c>
      <c r="E191" s="50"/>
      <c r="F191" s="43"/>
      <c r="G191" s="50"/>
      <c r="H191" s="43"/>
    </row>
    <row r="192">
      <c r="A192" s="16" t="s">
        <v>30</v>
      </c>
      <c r="B192" s="59" t="str">
        <f>IFERROR(HYPERLINK(VLOOKUP(A192,Internal_lists_bugs!$A$2:$C$73,3,FALSE()), VLOOKUP(A192,Internal_lists_bugs!$A$2:$C$73,3,FALSE())&amp;Char(10) &amp; Char(10) &amp; VLOOKUP(A192,Internal_lists_bugs!$A$2:$Z$73,26,FALSE())),"please select a BUG ID")</f>
        <v>
</v>
      </c>
      <c r="C192" s="39" t="str">
        <f>IFERROR(VLOOKUP(A192,Internal_lists_bugs!$A$2:$G2011,7,FALSE()),"please select a BUG ID")</f>
        <v>https://opendev.org/openstack/nova/commit/fa6c2d4def22f0ddd296572d9ce5b3b6f7267e2f</v>
      </c>
      <c r="D192" s="16" t="s">
        <v>1207</v>
      </c>
      <c r="E192" s="50"/>
      <c r="F192" s="43"/>
      <c r="G192" s="50"/>
      <c r="H192" s="43"/>
    </row>
    <row r="193">
      <c r="A193" s="16" t="s">
        <v>30</v>
      </c>
      <c r="B193" s="59" t="str">
        <f>IFERROR(HYPERLINK(VLOOKUP(A193,Internal_lists_bugs!$A$2:$C$73,3,FALSE()), VLOOKUP(A193,Internal_lists_bugs!$A$2:$C$73,3,FALSE())&amp;Char(10) &amp; Char(10) &amp; VLOOKUP(A193,Internal_lists_bugs!$A$2:$Z$73,26,FALSE())),"please select a BUG ID")</f>
        <v>
</v>
      </c>
      <c r="C193" s="39" t="str">
        <f>IFERROR(VLOOKUP(A193,Internal_lists_bugs!$A$2:$G2011,7,FALSE()),"please select a BUG ID")</f>
        <v>https://opendev.org/openstack/nova/commit/fa6c2d4def22f0ddd296572d9ce5b3b6f7267e2f</v>
      </c>
      <c r="D193" s="16" t="s">
        <v>1216</v>
      </c>
      <c r="E193" s="50"/>
      <c r="F193" s="43"/>
      <c r="G193" s="50"/>
      <c r="H193" s="43"/>
    </row>
    <row r="194">
      <c r="A194" s="16" t="s">
        <v>30</v>
      </c>
      <c r="B194" s="59" t="str">
        <f>IFERROR(HYPERLINK(VLOOKUP(A194,Internal_lists_bugs!$A$2:$C$73,3,FALSE()), VLOOKUP(A194,Internal_lists_bugs!$A$2:$C$73,3,FALSE())&amp;Char(10) &amp; Char(10) &amp; VLOOKUP(A194,Internal_lists_bugs!$A$2:$Z$73,26,FALSE())),"please select a BUG ID")</f>
        <v>
</v>
      </c>
      <c r="C194" s="39" t="str">
        <f>IFERROR(VLOOKUP(A194,Internal_lists_bugs!$A$2:$G2011,7,FALSE()),"please select a BUG ID")</f>
        <v>https://opendev.org/openstack/nova/commit/fa6c2d4def22f0ddd296572d9ce5b3b6f7267e2f</v>
      </c>
      <c r="D194" s="16" t="s">
        <v>1214</v>
      </c>
      <c r="E194" s="50"/>
      <c r="F194" s="43"/>
      <c r="G194" s="50"/>
      <c r="H194" s="43"/>
    </row>
    <row r="195">
      <c r="A195" s="16" t="s">
        <v>57</v>
      </c>
      <c r="B195" s="59" t="str">
        <f>IFERROR(HYPERLINK(VLOOKUP(A195,Internal_lists_bugs!$A$2:$C$73,3,FALSE()), VLOOKUP(A195,Internal_lists_bugs!$A$2:$C$73,3,FALSE())&amp;Char(10) &amp; Char(10) &amp; VLOOKUP(A195,Internal_lists_bugs!$A$2:$Z$73,26,FALSE())),"please select a BUG ID")</f>
        <v>
</v>
      </c>
      <c r="C195" s="39" t="str">
        <f>IFERROR(VLOOKUP(A195,Internal_lists_bugs!$A$2:$G2011,7,FALSE()),"please select a BUG ID")</f>
        <v>https://opendev.org/openstack/nova/commit/ae1040232dc681d718d940af11108322044a23be</v>
      </c>
      <c r="D195" s="16" t="s">
        <v>1208</v>
      </c>
      <c r="E195" s="50"/>
      <c r="F195" s="16" t="s">
        <v>1189</v>
      </c>
      <c r="G195" s="50"/>
      <c r="H195" s="16" t="s">
        <v>1217</v>
      </c>
    </row>
    <row r="196">
      <c r="A196" s="16" t="s">
        <v>57</v>
      </c>
      <c r="B196" s="59" t="str">
        <f>IFERROR(HYPERLINK(VLOOKUP(A196,Internal_lists_bugs!$A$2:$C$73,3,FALSE()), VLOOKUP(A196,Internal_lists_bugs!$A$2:$C$73,3,FALSE())&amp;Char(10) &amp; Char(10) &amp; VLOOKUP(A196,Internal_lists_bugs!$A$2:$Z$73,26,FALSE())),"please select a BUG ID")</f>
        <v>
</v>
      </c>
      <c r="C196" s="39" t="str">
        <f>IFERROR(VLOOKUP(A196,Internal_lists_bugs!$A$2:$G2011,7,FALSE()),"please select a BUG ID")</f>
        <v>https://opendev.org/openstack/nova/commit/ae1040232dc681d718d940af11108322044a23be</v>
      </c>
      <c r="D196" s="16" t="s">
        <v>1209</v>
      </c>
      <c r="E196" s="50"/>
      <c r="F196" s="43"/>
      <c r="G196" s="50"/>
      <c r="H196" s="16" t="s">
        <v>1203</v>
      </c>
    </row>
    <row r="197">
      <c r="A197" s="16" t="s">
        <v>57</v>
      </c>
      <c r="B197" s="59" t="str">
        <f>IFERROR(HYPERLINK(VLOOKUP(A197,Internal_lists_bugs!$A$2:$C$73,3,FALSE()), VLOOKUP(A197,Internal_lists_bugs!$A$2:$C$73,3,FALSE())&amp;Char(10) &amp; Char(10) &amp; VLOOKUP(A197,Internal_lists_bugs!$A$2:$Z$73,26,FALSE())),"please select a BUG ID")</f>
        <v>
</v>
      </c>
      <c r="C197" s="39" t="str">
        <f>IFERROR(VLOOKUP(A197,Internal_lists_bugs!$A$2:$G2011,7,FALSE()),"please select a BUG ID")</f>
        <v>https://opendev.org/openstack/nova/commit/ae1040232dc681d718d940af11108322044a23be</v>
      </c>
      <c r="D197" s="16" t="s">
        <v>1178</v>
      </c>
      <c r="E197" s="50"/>
      <c r="F197" s="43"/>
      <c r="G197" s="50"/>
      <c r="H197" s="16" t="s">
        <v>1175</v>
      </c>
    </row>
    <row r="198">
      <c r="A198" s="16" t="s">
        <v>57</v>
      </c>
      <c r="B198" s="59" t="str">
        <f>IFERROR(HYPERLINK(VLOOKUP(A198,Internal_lists_bugs!$A$2:$C$73,3,FALSE()), VLOOKUP(A198,Internal_lists_bugs!$A$2:$C$73,3,FALSE())&amp;Char(10) &amp; Char(10) &amp; VLOOKUP(A198,Internal_lists_bugs!$A$2:$Z$73,26,FALSE())),"please select a BUG ID")</f>
        <v>
</v>
      </c>
      <c r="C198" s="39" t="str">
        <f>IFERROR(VLOOKUP(A198,Internal_lists_bugs!$A$2:$G2011,7,FALSE()),"please select a BUG ID")</f>
        <v>https://opendev.org/openstack/nova/commit/ae1040232dc681d718d940af11108322044a23be</v>
      </c>
      <c r="D198" s="16" t="s">
        <v>1182</v>
      </c>
      <c r="E198" s="50"/>
      <c r="F198" s="43"/>
      <c r="G198" s="50"/>
      <c r="H198" s="16" t="s">
        <v>1212</v>
      </c>
    </row>
    <row r="199">
      <c r="A199" s="16" t="s">
        <v>57</v>
      </c>
      <c r="B199" s="59" t="str">
        <f>IFERROR(HYPERLINK(VLOOKUP(A199,Internal_lists_bugs!$A$2:$C$73,3,FALSE()), VLOOKUP(A199,Internal_lists_bugs!$A$2:$C$73,3,FALSE())&amp;Char(10) &amp; Char(10) &amp; VLOOKUP(A199,Internal_lists_bugs!$A$2:$Z$73,26,FALSE())),"please select a BUG ID")</f>
        <v>
</v>
      </c>
      <c r="C199" s="39" t="str">
        <f>IFERROR(VLOOKUP(A199,Internal_lists_bugs!$A$2:$G2011,7,FALSE()),"please select a BUG ID")</f>
        <v>https://opendev.org/openstack/nova/commit/ae1040232dc681d718d940af11108322044a23be</v>
      </c>
      <c r="D199" s="16" t="s">
        <v>1191</v>
      </c>
      <c r="E199" s="50"/>
      <c r="F199" s="43"/>
      <c r="G199" s="50"/>
      <c r="H199" s="16" t="s">
        <v>1179</v>
      </c>
    </row>
    <row r="200">
      <c r="A200" s="16" t="s">
        <v>57</v>
      </c>
      <c r="B200" s="59" t="str">
        <f>IFERROR(HYPERLINK(VLOOKUP(A200,Internal_lists_bugs!$A$2:$C$73,3,FALSE()), VLOOKUP(A200,Internal_lists_bugs!$A$2:$C$73,3,FALSE())&amp;Char(10) &amp; Char(10) &amp; VLOOKUP(A200,Internal_lists_bugs!$A$2:$Z$73,26,FALSE())),"please select a BUG ID")</f>
        <v>
</v>
      </c>
      <c r="C200" s="39" t="str">
        <f>IFERROR(VLOOKUP(A200,Internal_lists_bugs!$A$2:$G2011,7,FALSE()),"please select a BUG ID")</f>
        <v>https://opendev.org/openstack/nova/commit/ae1040232dc681d718d940af11108322044a23be</v>
      </c>
      <c r="D200" s="16" t="s">
        <v>1218</v>
      </c>
      <c r="E200" s="50"/>
      <c r="F200" s="43"/>
      <c r="G200" s="50"/>
      <c r="H200" s="16" t="s">
        <v>1197</v>
      </c>
    </row>
    <row r="201">
      <c r="A201" s="16" t="s">
        <v>57</v>
      </c>
      <c r="B201" s="59" t="str">
        <f>IFERROR(HYPERLINK(VLOOKUP(A201,Internal_lists_bugs!$A$2:$C$73,3,FALSE()), VLOOKUP(A201,Internal_lists_bugs!$A$2:$C$73,3,FALSE())&amp;Char(10) &amp; Char(10) &amp; VLOOKUP(A201,Internal_lists_bugs!$A$2:$Z$73,26,FALSE())),"please select a BUG ID")</f>
        <v>
</v>
      </c>
      <c r="C201" s="39" t="str">
        <f>IFERROR(VLOOKUP(A201,Internal_lists_bugs!$A$2:$G2011,7,FALSE()),"please select a BUG ID")</f>
        <v>https://opendev.org/openstack/nova/commit/ae1040232dc681d718d940af11108322044a23be</v>
      </c>
      <c r="D201" s="16" t="s">
        <v>1219</v>
      </c>
      <c r="E201" s="50"/>
      <c r="F201" s="43"/>
      <c r="G201" s="50"/>
      <c r="H201" s="16" t="s">
        <v>1198</v>
      </c>
    </row>
    <row r="202">
      <c r="A202" s="16" t="s">
        <v>57</v>
      </c>
      <c r="B202" s="59" t="str">
        <f>IFERROR(HYPERLINK(VLOOKUP(A202,Internal_lists_bugs!$A$2:$C$73,3,FALSE()), VLOOKUP(A202,Internal_lists_bugs!$A$2:$C$73,3,FALSE())&amp;Char(10) &amp; Char(10) &amp; VLOOKUP(A202,Internal_lists_bugs!$A$2:$Z$73,26,FALSE())),"please select a BUG ID")</f>
        <v>
</v>
      </c>
      <c r="C202" s="39" t="str">
        <f>IFERROR(VLOOKUP(A202,Internal_lists_bugs!$A$2:$G2011,7,FALSE()),"please select a BUG ID")</f>
        <v>https://opendev.org/openstack/nova/commit/ae1040232dc681d718d940af11108322044a23be</v>
      </c>
      <c r="D202" s="16" t="s">
        <v>1199</v>
      </c>
      <c r="E202" s="50"/>
      <c r="F202" s="43"/>
      <c r="G202" s="50"/>
      <c r="H202" s="16" t="s">
        <v>1210</v>
      </c>
    </row>
    <row r="203">
      <c r="A203" s="16" t="s">
        <v>57</v>
      </c>
      <c r="B203" s="59" t="str">
        <f>IFERROR(HYPERLINK(VLOOKUP(A203,Internal_lists_bugs!$A$2:$C$73,3,FALSE()), VLOOKUP(A203,Internal_lists_bugs!$A$2:$C$73,3,FALSE())&amp;Char(10) &amp; Char(10) &amp; VLOOKUP(A203,Internal_lists_bugs!$A$2:$Z$73,26,FALSE())),"please select a BUG ID")</f>
        <v>
</v>
      </c>
      <c r="C203" s="39" t="str">
        <f>IFERROR(VLOOKUP(A203,Internal_lists_bugs!$A$2:$G2011,7,FALSE()),"please select a BUG ID")</f>
        <v>https://opendev.org/openstack/nova/commit/ae1040232dc681d718d940af11108322044a23be</v>
      </c>
      <c r="D203" s="16" t="s">
        <v>1201</v>
      </c>
      <c r="E203" s="50"/>
      <c r="F203" s="43"/>
      <c r="G203" s="50"/>
      <c r="H203" s="16" t="s">
        <v>1200</v>
      </c>
    </row>
    <row r="204">
      <c r="A204" s="16" t="s">
        <v>57</v>
      </c>
      <c r="B204" s="59" t="str">
        <f>IFERROR(HYPERLINK(VLOOKUP(A204,Internal_lists_bugs!$A$2:$C$73,3,FALSE()), VLOOKUP(A204,Internal_lists_bugs!$A$2:$C$73,3,FALSE())&amp;Char(10) &amp; Char(10) &amp; VLOOKUP(A204,Internal_lists_bugs!$A$2:$Z$73,26,FALSE())),"please select a BUG ID")</f>
        <v>
</v>
      </c>
      <c r="C204" s="39" t="str">
        <f>IFERROR(VLOOKUP(A204,Internal_lists_bugs!$A$2:$G2011,7,FALSE()),"please select a BUG ID")</f>
        <v>https://opendev.org/openstack/nova/commit/ae1040232dc681d718d940af11108322044a23be</v>
      </c>
      <c r="D204" s="16" t="s">
        <v>1202</v>
      </c>
      <c r="E204" s="50"/>
      <c r="F204" s="43"/>
      <c r="G204" s="50"/>
      <c r="H204" s="16" t="s">
        <v>1215</v>
      </c>
    </row>
    <row r="205">
      <c r="A205" s="16" t="s">
        <v>57</v>
      </c>
      <c r="B205" s="59" t="str">
        <f>IFERROR(HYPERLINK(VLOOKUP(A205,Internal_lists_bugs!$A$2:$C$73,3,FALSE()), VLOOKUP(A205,Internal_lists_bugs!$A$2:$C$73,3,FALSE())&amp;Char(10) &amp; Char(10) &amp; VLOOKUP(A205,Internal_lists_bugs!$A$2:$Z$73,26,FALSE())),"please select a BUG ID")</f>
        <v>
</v>
      </c>
      <c r="C205" s="39" t="str">
        <f>IFERROR(VLOOKUP(A205,Internal_lists_bugs!$A$2:$G2011,7,FALSE()),"please select a BUG ID")</f>
        <v>https://opendev.org/openstack/nova/commit/ae1040232dc681d718d940af11108322044a23be</v>
      </c>
      <c r="D205" s="16" t="s">
        <v>1173</v>
      </c>
      <c r="E205" s="50"/>
      <c r="F205" s="43"/>
      <c r="G205" s="50"/>
      <c r="H205" s="16" t="s">
        <v>1177</v>
      </c>
    </row>
    <row r="206">
      <c r="A206" s="16" t="s">
        <v>57</v>
      </c>
      <c r="B206" s="59" t="str">
        <f>IFERROR(HYPERLINK(VLOOKUP(A206,Internal_lists_bugs!$A$2:$C$73,3,FALSE()), VLOOKUP(A206,Internal_lists_bugs!$A$2:$C$73,3,FALSE())&amp;Char(10) &amp; Char(10) &amp; VLOOKUP(A206,Internal_lists_bugs!$A$2:$Z$73,26,FALSE())),"please select a BUG ID")</f>
        <v>
</v>
      </c>
      <c r="C206" s="39" t="str">
        <f>IFERROR(VLOOKUP(A206,Internal_lists_bugs!$A$2:$G2011,7,FALSE()),"please select a BUG ID")</f>
        <v>https://opendev.org/openstack/nova/commit/ae1040232dc681d718d940af11108322044a23be</v>
      </c>
      <c r="D206" s="16" t="s">
        <v>1211</v>
      </c>
      <c r="E206" s="50"/>
      <c r="F206" s="43"/>
      <c r="G206" s="50"/>
      <c r="H206" s="43"/>
    </row>
    <row r="207">
      <c r="A207" s="16" t="s">
        <v>57</v>
      </c>
      <c r="B207" s="59" t="str">
        <f>IFERROR(HYPERLINK(VLOOKUP(A207,Internal_lists_bugs!$A$2:$C$73,3,FALSE()), VLOOKUP(A207,Internal_lists_bugs!$A$2:$C$73,3,FALSE())&amp;Char(10) &amp; Char(10) &amp; VLOOKUP(A207,Internal_lists_bugs!$A$2:$Z$73,26,FALSE())),"please select a BUG ID")</f>
        <v>
</v>
      </c>
      <c r="C207" s="39" t="str">
        <f>IFERROR(VLOOKUP(A207,Internal_lists_bugs!$A$2:$G2011,7,FALSE()),"please select a BUG ID")</f>
        <v>https://opendev.org/openstack/nova/commit/ae1040232dc681d718d940af11108322044a23be</v>
      </c>
      <c r="D207" s="16" t="s">
        <v>1205</v>
      </c>
      <c r="E207" s="50"/>
      <c r="F207" s="43"/>
      <c r="G207" s="50"/>
      <c r="H207" s="43"/>
    </row>
    <row r="208">
      <c r="A208" s="16" t="s">
        <v>57</v>
      </c>
      <c r="B208" s="59" t="str">
        <f>IFERROR(HYPERLINK(VLOOKUP(A208,Internal_lists_bugs!$A$2:$C$73,3,FALSE()), VLOOKUP(A208,Internal_lists_bugs!$A$2:$C$73,3,FALSE())&amp;Char(10) &amp; Char(10) &amp; VLOOKUP(A208,Internal_lists_bugs!$A$2:$Z$73,26,FALSE())),"please select a BUG ID")</f>
        <v>
</v>
      </c>
      <c r="C208" s="39" t="str">
        <f>IFERROR(VLOOKUP(A208,Internal_lists_bugs!$A$2:$G2011,7,FALSE()),"please select a BUG ID")</f>
        <v>https://opendev.org/openstack/nova/commit/ae1040232dc681d718d940af11108322044a23be</v>
      </c>
      <c r="D208" s="16" t="s">
        <v>1183</v>
      </c>
      <c r="E208" s="50"/>
      <c r="F208" s="43"/>
      <c r="G208" s="50"/>
      <c r="H208" s="43"/>
    </row>
    <row r="209">
      <c r="A209" s="16" t="s">
        <v>57</v>
      </c>
      <c r="B209" s="59" t="str">
        <f>IFERROR(HYPERLINK(VLOOKUP(A209,Internal_lists_bugs!$A$2:$C$73,3,FALSE()), VLOOKUP(A209,Internal_lists_bugs!$A$2:$C$73,3,FALSE())&amp;Char(10) &amp; Char(10) &amp; VLOOKUP(A209,Internal_lists_bugs!$A$2:$Z$73,26,FALSE())),"please select a BUG ID")</f>
        <v>
</v>
      </c>
      <c r="C209" s="39" t="str">
        <f>IFERROR(VLOOKUP(A209,Internal_lists_bugs!$A$2:$G2011,7,FALSE()),"please select a BUG ID")</f>
        <v>https://opendev.org/openstack/nova/commit/ae1040232dc681d718d940af11108322044a23be</v>
      </c>
      <c r="D209" s="16" t="s">
        <v>1184</v>
      </c>
      <c r="E209" s="50"/>
      <c r="F209" s="43"/>
      <c r="G209" s="50"/>
      <c r="H209" s="43"/>
    </row>
    <row r="210">
      <c r="A210" s="16" t="s">
        <v>57</v>
      </c>
      <c r="B210" s="59" t="str">
        <f>IFERROR(HYPERLINK(VLOOKUP(A210,Internal_lists_bugs!$A$2:$C$73,3,FALSE()), VLOOKUP(A210,Internal_lists_bugs!$A$2:$C$73,3,FALSE())&amp;Char(10) &amp; Char(10) &amp; VLOOKUP(A210,Internal_lists_bugs!$A$2:$Z$73,26,FALSE())),"please select a BUG ID")</f>
        <v>
</v>
      </c>
      <c r="C210" s="39" t="str">
        <f>IFERROR(VLOOKUP(A210,Internal_lists_bugs!$A$2:$G2011,7,FALSE()),"please select a BUG ID")</f>
        <v>https://opendev.org/openstack/nova/commit/ae1040232dc681d718d940af11108322044a23be</v>
      </c>
      <c r="D210" s="16" t="s">
        <v>1185</v>
      </c>
      <c r="E210" s="50"/>
      <c r="F210" s="43"/>
      <c r="G210" s="50"/>
      <c r="H210" s="43"/>
    </row>
    <row r="211">
      <c r="A211" s="16" t="s">
        <v>57</v>
      </c>
      <c r="B211" s="59" t="str">
        <f>IFERROR(HYPERLINK(VLOOKUP(A211,Internal_lists_bugs!$A$2:$C$73,3,FALSE()), VLOOKUP(A211,Internal_lists_bugs!$A$2:$C$73,3,FALSE())&amp;Char(10) &amp; Char(10) &amp; VLOOKUP(A211,Internal_lists_bugs!$A$2:$Z$73,26,FALSE())),"please select a BUG ID")</f>
        <v>
</v>
      </c>
      <c r="C211" s="39" t="str">
        <f>IFERROR(VLOOKUP(A211,Internal_lists_bugs!$A$2:$G2011,7,FALSE()),"please select a BUG ID")</f>
        <v>https://opendev.org/openstack/nova/commit/ae1040232dc681d718d940af11108322044a23be</v>
      </c>
      <c r="D211" s="16" t="s">
        <v>1196</v>
      </c>
      <c r="E211" s="50"/>
      <c r="F211" s="43"/>
      <c r="G211" s="50"/>
      <c r="H211" s="43"/>
    </row>
    <row r="212">
      <c r="A212" s="16" t="s">
        <v>57</v>
      </c>
      <c r="B212" s="59" t="str">
        <f>IFERROR(HYPERLINK(VLOOKUP(A212,Internal_lists_bugs!$A$2:$C$73,3,FALSE()), VLOOKUP(A212,Internal_lists_bugs!$A$2:$C$73,3,FALSE())&amp;Char(10) &amp; Char(10) &amp; VLOOKUP(A212,Internal_lists_bugs!$A$2:$Z$73,26,FALSE())),"please select a BUG ID")</f>
        <v>
</v>
      </c>
      <c r="C212" s="39" t="str">
        <f>IFERROR(VLOOKUP(A212,Internal_lists_bugs!$A$2:$G2011,7,FALSE()),"please select a BUG ID")</f>
        <v>https://opendev.org/openstack/nova/commit/ae1040232dc681d718d940af11108322044a23be</v>
      </c>
      <c r="D212" s="16" t="s">
        <v>1187</v>
      </c>
      <c r="E212" s="50"/>
      <c r="F212" s="43"/>
      <c r="G212" s="50"/>
      <c r="H212" s="43"/>
    </row>
    <row r="213">
      <c r="A213" s="16" t="s">
        <v>57</v>
      </c>
      <c r="B213" s="59" t="str">
        <f>IFERROR(HYPERLINK(VLOOKUP(A213,Internal_lists_bugs!$A$2:$C$73,3,FALSE()), VLOOKUP(A213,Internal_lists_bugs!$A$2:$C$73,3,FALSE())&amp;Char(10) &amp; Char(10) &amp; VLOOKUP(A213,Internal_lists_bugs!$A$2:$Z$73,26,FALSE())),"please select a BUG ID")</f>
        <v>
</v>
      </c>
      <c r="C213" s="39" t="str">
        <f>IFERROR(VLOOKUP(A213,Internal_lists_bugs!$A$2:$G2011,7,FALSE()),"please select a BUG ID")</f>
        <v>https://opendev.org/openstack/nova/commit/ae1040232dc681d718d940af11108322044a23be</v>
      </c>
      <c r="D213" s="16" t="s">
        <v>1206</v>
      </c>
      <c r="E213" s="50"/>
      <c r="F213" s="43"/>
      <c r="G213" s="50"/>
      <c r="H213" s="43"/>
    </row>
    <row r="214">
      <c r="A214" s="16" t="s">
        <v>57</v>
      </c>
      <c r="B214" s="59" t="str">
        <f>IFERROR(HYPERLINK(VLOOKUP(A214,Internal_lists_bugs!$A$2:$C$73,3,FALSE()), VLOOKUP(A214,Internal_lists_bugs!$A$2:$C$73,3,FALSE())&amp;Char(10) &amp; Char(10) &amp; VLOOKUP(A214,Internal_lists_bugs!$A$2:$Z$73,26,FALSE())),"please select a BUG ID")</f>
        <v>
</v>
      </c>
      <c r="C214" s="39" t="str">
        <f>IFERROR(VLOOKUP(A214,Internal_lists_bugs!$A$2:$G2011,7,FALSE()),"please select a BUG ID")</f>
        <v>https://opendev.org/openstack/nova/commit/ae1040232dc681d718d940af11108322044a23be</v>
      </c>
      <c r="D214" s="16" t="s">
        <v>1213</v>
      </c>
      <c r="E214" s="50"/>
      <c r="F214" s="43"/>
      <c r="G214" s="50"/>
      <c r="H214" s="43"/>
    </row>
    <row r="215">
      <c r="A215" s="16" t="s">
        <v>57</v>
      </c>
      <c r="B215" s="59" t="str">
        <f>IFERROR(HYPERLINK(VLOOKUP(A215,Internal_lists_bugs!$A$2:$C$73,3,FALSE()), VLOOKUP(A215,Internal_lists_bugs!$A$2:$C$73,3,FALSE())&amp;Char(10) &amp; Char(10) &amp; VLOOKUP(A215,Internal_lists_bugs!$A$2:$Z$73,26,FALSE())),"please select a BUG ID")</f>
        <v>
</v>
      </c>
      <c r="C215" s="39" t="str">
        <f>IFERROR(VLOOKUP(A215,Internal_lists_bugs!$A$2:$G2011,7,FALSE()),"please select a BUG ID")</f>
        <v>https://opendev.org/openstack/nova/commit/ae1040232dc681d718d940af11108322044a23be</v>
      </c>
      <c r="D215" s="16" t="s">
        <v>1188</v>
      </c>
      <c r="E215" s="50"/>
      <c r="F215" s="43"/>
      <c r="G215" s="50"/>
      <c r="H215" s="43"/>
    </row>
    <row r="216">
      <c r="A216" s="16" t="s">
        <v>57</v>
      </c>
      <c r="B216" s="59" t="str">
        <f>IFERROR(HYPERLINK(VLOOKUP(A216,Internal_lists_bugs!$A$2:$C$73,3,FALSE()), VLOOKUP(A216,Internal_lists_bugs!$A$2:$C$73,3,FALSE())&amp;Char(10) &amp; Char(10) &amp; VLOOKUP(A216,Internal_lists_bugs!$A$2:$Z$73,26,FALSE())),"please select a BUG ID")</f>
        <v>
</v>
      </c>
      <c r="C216" s="39" t="str">
        <f>IFERROR(VLOOKUP(A216,Internal_lists_bugs!$A$2:$G2011,7,FALSE()),"please select a BUG ID")</f>
        <v>https://opendev.org/openstack/nova/commit/ae1040232dc681d718d940af11108322044a23be</v>
      </c>
      <c r="D216" s="16" t="s">
        <v>1207</v>
      </c>
      <c r="E216" s="50"/>
      <c r="F216" s="43"/>
      <c r="G216" s="50"/>
      <c r="H216" s="43"/>
    </row>
    <row r="217">
      <c r="A217" s="16" t="s">
        <v>57</v>
      </c>
      <c r="B217" s="59" t="str">
        <f>IFERROR(HYPERLINK(VLOOKUP(A217,Internal_lists_bugs!$A$2:$C$73,3,FALSE()), VLOOKUP(A217,Internal_lists_bugs!$A$2:$C$73,3,FALSE())&amp;Char(10) &amp; Char(10) &amp; VLOOKUP(A217,Internal_lists_bugs!$A$2:$Z$73,26,FALSE())),"please select a BUG ID")</f>
        <v>
</v>
      </c>
      <c r="C217" s="39" t="str">
        <f>IFERROR(VLOOKUP(A217,Internal_lists_bugs!$A$2:$G2011,7,FALSE()),"please select a BUG ID")</f>
        <v>https://opendev.org/openstack/nova/commit/ae1040232dc681d718d940af11108322044a23be</v>
      </c>
      <c r="D217" s="16" t="s">
        <v>1214</v>
      </c>
      <c r="E217" s="50"/>
      <c r="F217" s="43"/>
      <c r="G217" s="50"/>
      <c r="H217" s="43"/>
    </row>
    <row r="218">
      <c r="A218" s="16" t="s">
        <v>38</v>
      </c>
      <c r="B218" s="59" t="str">
        <f>IFERROR(HYPERLINK(VLOOKUP(A218,Internal_lists_bugs!$A$2:$C$73,3,FALSE()), VLOOKUP(A218,Internal_lists_bugs!$A$2:$C$73,3,FALSE())&amp;Char(10) &amp; Char(10) &amp; VLOOKUP(A218,Internal_lists_bugs!$A$2:$Z$73,26,FALSE())),"please select a BUG ID")</f>
        <v>
</v>
      </c>
      <c r="C218" s="39" t="str">
        <f>IFERROR(VLOOKUP(A218,Internal_lists_bugs!$A$2:$G2011,7,FALSE()),"please select a BUG ID")</f>
        <v>https://opendev.org/openstack/nova/commit/90a37c069ede9d9b23ff6faef4ea6e48bbd7ebce</v>
      </c>
      <c r="D218" s="16" t="s">
        <v>1220</v>
      </c>
      <c r="E218" s="50"/>
      <c r="F218" s="16" t="s">
        <v>1174</v>
      </c>
      <c r="G218" s="50"/>
      <c r="H218" s="16" t="s">
        <v>1221</v>
      </c>
    </row>
    <row r="219">
      <c r="A219" s="16" t="s">
        <v>38</v>
      </c>
      <c r="B219" s="59" t="str">
        <f>IFERROR(HYPERLINK(VLOOKUP(A219,Internal_lists_bugs!$A$2:$C$73,3,FALSE()), VLOOKUP(A219,Internal_lists_bugs!$A$2:$C$73,3,FALSE())&amp;Char(10) &amp; Char(10) &amp; VLOOKUP(A219,Internal_lists_bugs!$A$2:$Z$73,26,FALSE())),"please select a BUG ID")</f>
        <v>
</v>
      </c>
      <c r="C219" s="39" t="str">
        <f>IFERROR(VLOOKUP(A219,Internal_lists_bugs!$A$2:$G2011,7,FALSE()),"please select a BUG ID")</f>
        <v>https://opendev.org/openstack/nova/commit/90a37c069ede9d9b23ff6faef4ea6e48bbd7ebce</v>
      </c>
      <c r="D219" s="16" t="s">
        <v>1209</v>
      </c>
      <c r="E219" s="50"/>
      <c r="F219" s="43"/>
      <c r="G219" s="50"/>
      <c r="H219" s="16" t="s">
        <v>1203</v>
      </c>
    </row>
    <row r="220">
      <c r="A220" s="16" t="s">
        <v>38</v>
      </c>
      <c r="B220" s="59" t="str">
        <f>IFERROR(HYPERLINK(VLOOKUP(A220,Internal_lists_bugs!$A$2:$C$73,3,FALSE()), VLOOKUP(A220,Internal_lists_bugs!$A$2:$C$73,3,FALSE())&amp;Char(10) &amp; Char(10) &amp; VLOOKUP(A220,Internal_lists_bugs!$A$2:$Z$73,26,FALSE())),"please select a BUG ID")</f>
        <v>
</v>
      </c>
      <c r="C220" s="39" t="str">
        <f>IFERROR(VLOOKUP(A220,Internal_lists_bugs!$A$2:$G2011,7,FALSE()),"please select a BUG ID")</f>
        <v>https://opendev.org/openstack/nova/commit/90a37c069ede9d9b23ff6faef4ea6e48bbd7ebce</v>
      </c>
      <c r="D220" s="16" t="s">
        <v>1178</v>
      </c>
      <c r="E220" s="50"/>
      <c r="F220" s="43"/>
      <c r="G220" s="50"/>
      <c r="H220" s="16" t="s">
        <v>1212</v>
      </c>
    </row>
    <row r="221">
      <c r="A221" s="16" t="s">
        <v>38</v>
      </c>
      <c r="B221" s="59" t="str">
        <f>IFERROR(HYPERLINK(VLOOKUP(A221,Internal_lists_bugs!$A$2:$C$73,3,FALSE()), VLOOKUP(A221,Internal_lists_bugs!$A$2:$C$73,3,FALSE())&amp;Char(10) &amp; Char(10) &amp; VLOOKUP(A221,Internal_lists_bugs!$A$2:$Z$73,26,FALSE())),"please select a BUG ID")</f>
        <v>
</v>
      </c>
      <c r="C221" s="39" t="str">
        <f>IFERROR(VLOOKUP(A221,Internal_lists_bugs!$A$2:$G2011,7,FALSE()),"please select a BUG ID")</f>
        <v>https://opendev.org/openstack/nova/commit/90a37c069ede9d9b23ff6faef4ea6e48bbd7ebce</v>
      </c>
      <c r="D221" s="16" t="s">
        <v>1182</v>
      </c>
      <c r="E221" s="50"/>
      <c r="F221" s="43"/>
      <c r="G221" s="50"/>
      <c r="H221" s="16" t="s">
        <v>1175</v>
      </c>
    </row>
    <row r="222">
      <c r="A222" s="16" t="s">
        <v>38</v>
      </c>
      <c r="B222" s="59" t="str">
        <f>IFERROR(HYPERLINK(VLOOKUP(A222,Internal_lists_bugs!$A$2:$C$73,3,FALSE()), VLOOKUP(A222,Internal_lists_bugs!$A$2:$C$73,3,FALSE())&amp;Char(10) &amp; Char(10) &amp; VLOOKUP(A222,Internal_lists_bugs!$A$2:$Z$73,26,FALSE())),"please select a BUG ID")</f>
        <v>
</v>
      </c>
      <c r="C222" s="39" t="str">
        <f>IFERROR(VLOOKUP(A222,Internal_lists_bugs!$A$2:$G2011,7,FALSE()),"please select a BUG ID")</f>
        <v>https://opendev.org/openstack/nova/commit/90a37c069ede9d9b23ff6faef4ea6e48bbd7ebce</v>
      </c>
      <c r="D222" s="16" t="s">
        <v>1191</v>
      </c>
      <c r="E222" s="50"/>
      <c r="F222" s="43"/>
      <c r="G222" s="50"/>
      <c r="H222" s="16" t="s">
        <v>1204</v>
      </c>
    </row>
    <row r="223">
      <c r="A223" s="16" t="s">
        <v>38</v>
      </c>
      <c r="B223" s="59" t="str">
        <f>IFERROR(HYPERLINK(VLOOKUP(A223,Internal_lists_bugs!$A$2:$C$73,3,FALSE()), VLOOKUP(A223,Internal_lists_bugs!$A$2:$C$73,3,FALSE())&amp;Char(10) &amp; Char(10) &amp; VLOOKUP(A223,Internal_lists_bugs!$A$2:$Z$73,26,FALSE())),"please select a BUG ID")</f>
        <v>
</v>
      </c>
      <c r="C223" s="39" t="str">
        <f>IFERROR(VLOOKUP(A223,Internal_lists_bugs!$A$2:$G2011,7,FALSE()),"please select a BUG ID")</f>
        <v>https://opendev.org/openstack/nova/commit/90a37c069ede9d9b23ff6faef4ea6e48bbd7ebce</v>
      </c>
      <c r="D223" s="16" t="s">
        <v>1218</v>
      </c>
      <c r="E223" s="50"/>
      <c r="F223" s="43"/>
      <c r="G223" s="50"/>
      <c r="H223" s="16" t="s">
        <v>1197</v>
      </c>
    </row>
    <row r="224">
      <c r="A224" s="16" t="s">
        <v>38</v>
      </c>
      <c r="B224" s="59" t="str">
        <f>IFERROR(HYPERLINK(VLOOKUP(A224,Internal_lists_bugs!$A$2:$C$73,3,FALSE()), VLOOKUP(A224,Internal_lists_bugs!$A$2:$C$73,3,FALSE())&amp;Char(10) &amp; Char(10) &amp; VLOOKUP(A224,Internal_lists_bugs!$A$2:$Z$73,26,FALSE())),"please select a BUG ID")</f>
        <v>
</v>
      </c>
      <c r="C224" s="39" t="str">
        <f>IFERROR(VLOOKUP(A224,Internal_lists_bugs!$A$2:$G2011,7,FALSE()),"please select a BUG ID")</f>
        <v>https://opendev.org/openstack/nova/commit/90a37c069ede9d9b23ff6faef4ea6e48bbd7ebce</v>
      </c>
      <c r="D224" s="16" t="s">
        <v>1219</v>
      </c>
      <c r="E224" s="50"/>
      <c r="F224" s="43"/>
      <c r="G224" s="50"/>
      <c r="H224" s="16" t="s">
        <v>1179</v>
      </c>
    </row>
    <row r="225">
      <c r="A225" s="16" t="s">
        <v>38</v>
      </c>
      <c r="B225" s="59" t="str">
        <f>IFERROR(HYPERLINK(VLOOKUP(A225,Internal_lists_bugs!$A$2:$C$73,3,FALSE()), VLOOKUP(A225,Internal_lists_bugs!$A$2:$C$73,3,FALSE())&amp;Char(10) &amp; Char(10) &amp; VLOOKUP(A225,Internal_lists_bugs!$A$2:$Z$73,26,FALSE())),"please select a BUG ID")</f>
        <v>
</v>
      </c>
      <c r="C225" s="39" t="str">
        <f>IFERROR(VLOOKUP(A225,Internal_lists_bugs!$A$2:$G2011,7,FALSE()),"please select a BUG ID")</f>
        <v>https://opendev.org/openstack/nova/commit/90a37c069ede9d9b23ff6faef4ea6e48bbd7ebce</v>
      </c>
      <c r="D225" s="16" t="s">
        <v>1199</v>
      </c>
      <c r="E225" s="50"/>
      <c r="F225" s="43"/>
      <c r="G225" s="50"/>
      <c r="H225" s="16" t="s">
        <v>1198</v>
      </c>
    </row>
    <row r="226">
      <c r="A226" s="16" t="s">
        <v>38</v>
      </c>
      <c r="B226" s="59" t="str">
        <f>IFERROR(HYPERLINK(VLOOKUP(A226,Internal_lists_bugs!$A$2:$C$73,3,FALSE()), VLOOKUP(A226,Internal_lists_bugs!$A$2:$C$73,3,FALSE())&amp;Char(10) &amp; Char(10) &amp; VLOOKUP(A226,Internal_lists_bugs!$A$2:$Z$73,26,FALSE())),"please select a BUG ID")</f>
        <v>
</v>
      </c>
      <c r="C226" s="39" t="str">
        <f>IFERROR(VLOOKUP(A226,Internal_lists_bugs!$A$2:$G2011,7,FALSE()),"please select a BUG ID")</f>
        <v>https://opendev.org/openstack/nova/commit/90a37c069ede9d9b23ff6faef4ea6e48bbd7ebce</v>
      </c>
      <c r="D226" s="16" t="s">
        <v>1201</v>
      </c>
      <c r="E226" s="50"/>
      <c r="F226" s="43"/>
      <c r="G226" s="50"/>
      <c r="H226" s="16" t="s">
        <v>1200</v>
      </c>
    </row>
    <row r="227">
      <c r="A227" s="16" t="s">
        <v>38</v>
      </c>
      <c r="B227" s="59" t="str">
        <f>IFERROR(HYPERLINK(VLOOKUP(A227,Internal_lists_bugs!$A$2:$C$73,3,FALSE()), VLOOKUP(A227,Internal_lists_bugs!$A$2:$C$73,3,FALSE())&amp;Char(10) &amp; Char(10) &amp; VLOOKUP(A227,Internal_lists_bugs!$A$2:$Z$73,26,FALSE())),"please select a BUG ID")</f>
        <v>
</v>
      </c>
      <c r="C227" s="39" t="str">
        <f>IFERROR(VLOOKUP(A227,Internal_lists_bugs!$A$2:$G2011,7,FALSE()),"please select a BUG ID")</f>
        <v>https://opendev.org/openstack/nova/commit/90a37c069ede9d9b23ff6faef4ea6e48bbd7ebce</v>
      </c>
      <c r="D227" s="16" t="s">
        <v>1202</v>
      </c>
      <c r="E227" s="50"/>
      <c r="F227" s="43"/>
      <c r="G227" s="50"/>
      <c r="H227" s="16" t="s">
        <v>1210</v>
      </c>
    </row>
    <row r="228">
      <c r="A228" s="16" t="s">
        <v>38</v>
      </c>
      <c r="B228" s="59" t="str">
        <f>IFERROR(HYPERLINK(VLOOKUP(A228,Internal_lists_bugs!$A$2:$C$73,3,FALSE()), VLOOKUP(A228,Internal_lists_bugs!$A$2:$C$73,3,FALSE())&amp;Char(10) &amp; Char(10) &amp; VLOOKUP(A228,Internal_lists_bugs!$A$2:$Z$73,26,FALSE())),"please select a BUG ID")</f>
        <v>
</v>
      </c>
      <c r="C228" s="39" t="str">
        <f>IFERROR(VLOOKUP(A228,Internal_lists_bugs!$A$2:$G2011,7,FALSE()),"please select a BUG ID")</f>
        <v>https://opendev.org/openstack/nova/commit/90a37c069ede9d9b23ff6faef4ea6e48bbd7ebce</v>
      </c>
      <c r="D228" s="16" t="s">
        <v>1173</v>
      </c>
      <c r="E228" s="50"/>
      <c r="F228" s="43"/>
      <c r="G228" s="50"/>
      <c r="H228" s="43"/>
    </row>
    <row r="229">
      <c r="A229" s="16" t="s">
        <v>38</v>
      </c>
      <c r="B229" s="59" t="str">
        <f>IFERROR(HYPERLINK(VLOOKUP(A229,Internal_lists_bugs!$A$2:$C$73,3,FALSE()), VLOOKUP(A229,Internal_lists_bugs!$A$2:$C$73,3,FALSE())&amp;Char(10) &amp; Char(10) &amp; VLOOKUP(A229,Internal_lists_bugs!$A$2:$Z$73,26,FALSE())),"please select a BUG ID")</f>
        <v>
</v>
      </c>
      <c r="C229" s="39" t="str">
        <f>IFERROR(VLOOKUP(A229,Internal_lists_bugs!$A$2:$G2011,7,FALSE()),"please select a BUG ID")</f>
        <v>https://opendev.org/openstack/nova/commit/90a37c069ede9d9b23ff6faef4ea6e48bbd7ebce</v>
      </c>
      <c r="D229" s="16" t="s">
        <v>1211</v>
      </c>
      <c r="E229" s="50"/>
      <c r="F229" s="43"/>
      <c r="G229" s="50"/>
      <c r="H229" s="16" t="s">
        <v>1215</v>
      </c>
    </row>
    <row r="230">
      <c r="A230" s="16" t="s">
        <v>38</v>
      </c>
      <c r="B230" s="59" t="str">
        <f>IFERROR(HYPERLINK(VLOOKUP(A230,Internal_lists_bugs!$A$2:$C$73,3,FALSE()), VLOOKUP(A230,Internal_lists_bugs!$A$2:$C$73,3,FALSE())&amp;Char(10) &amp; Char(10) &amp; VLOOKUP(A230,Internal_lists_bugs!$A$2:$Z$73,26,FALSE())),"please select a BUG ID")</f>
        <v>
</v>
      </c>
      <c r="C230" s="39" t="str">
        <f>IFERROR(VLOOKUP(A230,Internal_lists_bugs!$A$2:$G2011,7,FALSE()),"please select a BUG ID")</f>
        <v>https://opendev.org/openstack/nova/commit/90a37c069ede9d9b23ff6faef4ea6e48bbd7ebce</v>
      </c>
      <c r="D230" s="16" t="s">
        <v>1205</v>
      </c>
      <c r="E230" s="50"/>
      <c r="F230" s="43"/>
      <c r="G230" s="50"/>
      <c r="H230" s="16" t="s">
        <v>1177</v>
      </c>
    </row>
    <row r="231">
      <c r="A231" s="16" t="s">
        <v>38</v>
      </c>
      <c r="B231" s="59" t="str">
        <f>IFERROR(HYPERLINK(VLOOKUP(A231,Internal_lists_bugs!$A$2:$C$73,3,FALSE()), VLOOKUP(A231,Internal_lists_bugs!$A$2:$C$73,3,FALSE())&amp;Char(10) &amp; Char(10) &amp; VLOOKUP(A231,Internal_lists_bugs!$A$2:$Z$73,26,FALSE())),"please select a BUG ID")</f>
        <v>
</v>
      </c>
      <c r="C231" s="39" t="str">
        <f>IFERROR(VLOOKUP(A231,Internal_lists_bugs!$A$2:$G2011,7,FALSE()),"please select a BUG ID")</f>
        <v>https://opendev.org/openstack/nova/commit/90a37c069ede9d9b23ff6faef4ea6e48bbd7ebce</v>
      </c>
      <c r="D231" s="16" t="s">
        <v>1183</v>
      </c>
      <c r="E231" s="50"/>
      <c r="F231" s="43"/>
      <c r="G231" s="50"/>
      <c r="H231" s="43"/>
    </row>
    <row r="232">
      <c r="A232" s="16" t="s">
        <v>38</v>
      </c>
      <c r="B232" s="59" t="str">
        <f>IFERROR(HYPERLINK(VLOOKUP(A232,Internal_lists_bugs!$A$2:$C$73,3,FALSE()), VLOOKUP(A232,Internal_lists_bugs!$A$2:$C$73,3,FALSE())&amp;Char(10) &amp; Char(10) &amp; VLOOKUP(A232,Internal_lists_bugs!$A$2:$Z$73,26,FALSE())),"please select a BUG ID")</f>
        <v>
</v>
      </c>
      <c r="C232" s="39" t="str">
        <f>IFERROR(VLOOKUP(A232,Internal_lists_bugs!$A$2:$G2011,7,FALSE()),"please select a BUG ID")</f>
        <v>https://opendev.org/openstack/nova/commit/90a37c069ede9d9b23ff6faef4ea6e48bbd7ebce</v>
      </c>
      <c r="D232" s="16" t="s">
        <v>1184</v>
      </c>
      <c r="E232" s="50"/>
      <c r="F232" s="43"/>
      <c r="G232" s="50"/>
      <c r="H232" s="43"/>
    </row>
    <row r="233">
      <c r="A233" s="16" t="s">
        <v>38</v>
      </c>
      <c r="B233" s="59" t="str">
        <f>IFERROR(HYPERLINK(VLOOKUP(A233,Internal_lists_bugs!$A$2:$C$73,3,FALSE()), VLOOKUP(A233,Internal_lists_bugs!$A$2:$C$73,3,FALSE())&amp;Char(10) &amp; Char(10) &amp; VLOOKUP(A233,Internal_lists_bugs!$A$2:$Z$73,26,FALSE())),"please select a BUG ID")</f>
        <v>
</v>
      </c>
      <c r="C233" s="39" t="str">
        <f>IFERROR(VLOOKUP(A233,Internal_lists_bugs!$A$2:$G2011,7,FALSE()),"please select a BUG ID")</f>
        <v>https://opendev.org/openstack/nova/commit/90a37c069ede9d9b23ff6faef4ea6e48bbd7ebce</v>
      </c>
      <c r="D233" s="16" t="s">
        <v>1185</v>
      </c>
      <c r="E233" s="50"/>
      <c r="F233" s="43"/>
      <c r="G233" s="50"/>
      <c r="H233" s="43"/>
    </row>
    <row r="234">
      <c r="A234" s="16" t="s">
        <v>38</v>
      </c>
      <c r="B234" s="59" t="str">
        <f>IFERROR(HYPERLINK(VLOOKUP(A234,Internal_lists_bugs!$A$2:$C$73,3,FALSE()), VLOOKUP(A234,Internal_lists_bugs!$A$2:$C$73,3,FALSE())&amp;Char(10) &amp; Char(10) &amp; VLOOKUP(A234,Internal_lists_bugs!$A$2:$Z$73,26,FALSE())),"please select a BUG ID")</f>
        <v>
</v>
      </c>
      <c r="C234" s="39" t="str">
        <f>IFERROR(VLOOKUP(A234,Internal_lists_bugs!$A$2:$G2011,7,FALSE()),"please select a BUG ID")</f>
        <v>https://opendev.org/openstack/nova/commit/90a37c069ede9d9b23ff6faef4ea6e48bbd7ebce</v>
      </c>
      <c r="D234" s="16" t="s">
        <v>1196</v>
      </c>
      <c r="E234" s="50"/>
      <c r="F234" s="43"/>
      <c r="G234" s="50"/>
      <c r="H234" s="43"/>
    </row>
    <row r="235">
      <c r="A235" s="16" t="s">
        <v>38</v>
      </c>
      <c r="B235" s="59" t="str">
        <f>IFERROR(HYPERLINK(VLOOKUP(A235,Internal_lists_bugs!$A$2:$C$73,3,FALSE()), VLOOKUP(A235,Internal_lists_bugs!$A$2:$C$73,3,FALSE())&amp;Char(10) &amp; Char(10) &amp; VLOOKUP(A235,Internal_lists_bugs!$A$2:$Z$73,26,FALSE())),"please select a BUG ID")</f>
        <v>
</v>
      </c>
      <c r="C235" s="39" t="str">
        <f>IFERROR(VLOOKUP(A235,Internal_lists_bugs!$A$2:$G2011,7,FALSE()),"please select a BUG ID")</f>
        <v>https://opendev.org/openstack/nova/commit/90a37c069ede9d9b23ff6faef4ea6e48bbd7ebce</v>
      </c>
      <c r="D235" s="16" t="s">
        <v>1187</v>
      </c>
      <c r="E235" s="50"/>
      <c r="F235" s="43"/>
      <c r="G235" s="50"/>
      <c r="H235" s="43"/>
    </row>
    <row r="236">
      <c r="A236" s="16" t="s">
        <v>38</v>
      </c>
      <c r="B236" s="59" t="str">
        <f>IFERROR(HYPERLINK(VLOOKUP(A236,Internal_lists_bugs!$A$2:$C$73,3,FALSE()), VLOOKUP(A236,Internal_lists_bugs!$A$2:$C$73,3,FALSE())&amp;Char(10) &amp; Char(10) &amp; VLOOKUP(A236,Internal_lists_bugs!$A$2:$Z$73,26,FALSE())),"please select a BUG ID")</f>
        <v>
</v>
      </c>
      <c r="C236" s="39" t="str">
        <f>IFERROR(VLOOKUP(A236,Internal_lists_bugs!$A$2:$G2011,7,FALSE()),"please select a BUG ID")</f>
        <v>https://opendev.org/openstack/nova/commit/90a37c069ede9d9b23ff6faef4ea6e48bbd7ebce</v>
      </c>
      <c r="D236" s="16" t="s">
        <v>1206</v>
      </c>
      <c r="E236" s="50"/>
      <c r="F236" s="43"/>
      <c r="G236" s="50"/>
      <c r="H236" s="43"/>
    </row>
    <row r="237">
      <c r="A237" s="16" t="s">
        <v>38</v>
      </c>
      <c r="B237" s="59" t="str">
        <f>IFERROR(HYPERLINK(VLOOKUP(A237,Internal_lists_bugs!$A$2:$C$73,3,FALSE()), VLOOKUP(A237,Internal_lists_bugs!$A$2:$C$73,3,FALSE())&amp;Char(10) &amp; Char(10) &amp; VLOOKUP(A237,Internal_lists_bugs!$A$2:$Z$73,26,FALSE())),"please select a BUG ID")</f>
        <v>
</v>
      </c>
      <c r="C237" s="39" t="str">
        <f>IFERROR(VLOOKUP(A237,Internal_lists_bugs!$A$2:$G2011,7,FALSE()),"please select a BUG ID")</f>
        <v>https://opendev.org/openstack/nova/commit/90a37c069ede9d9b23ff6faef4ea6e48bbd7ebce</v>
      </c>
      <c r="D237" s="16" t="s">
        <v>1213</v>
      </c>
      <c r="E237" s="50"/>
      <c r="F237" s="43"/>
      <c r="G237" s="50"/>
      <c r="H237" s="43"/>
    </row>
    <row r="238">
      <c r="A238" s="16" t="s">
        <v>38</v>
      </c>
      <c r="B238" s="59" t="str">
        <f>IFERROR(HYPERLINK(VLOOKUP(A238,Internal_lists_bugs!$A$2:$C$73,3,FALSE()), VLOOKUP(A238,Internal_lists_bugs!$A$2:$C$73,3,FALSE())&amp;Char(10) &amp; Char(10) &amp; VLOOKUP(A238,Internal_lists_bugs!$A$2:$Z$73,26,FALSE())),"please select a BUG ID")</f>
        <v>
</v>
      </c>
      <c r="C238" s="39" t="str">
        <f>IFERROR(VLOOKUP(A238,Internal_lists_bugs!$A$2:$G2011,7,FALSE()),"please select a BUG ID")</f>
        <v>https://opendev.org/openstack/nova/commit/90a37c069ede9d9b23ff6faef4ea6e48bbd7ebce</v>
      </c>
      <c r="D238" s="16" t="s">
        <v>1188</v>
      </c>
      <c r="E238" s="50"/>
      <c r="F238" s="43"/>
      <c r="G238" s="50"/>
      <c r="H238" s="43"/>
    </row>
    <row r="239">
      <c r="A239" s="16" t="s">
        <v>38</v>
      </c>
      <c r="B239" s="59" t="str">
        <f>IFERROR(HYPERLINK(VLOOKUP(A239,Internal_lists_bugs!$A$2:$C$73,3,FALSE()), VLOOKUP(A239,Internal_lists_bugs!$A$2:$C$73,3,FALSE())&amp;Char(10) &amp; Char(10) &amp; VLOOKUP(A239,Internal_lists_bugs!$A$2:$Z$73,26,FALSE())),"please select a BUG ID")</f>
        <v>
</v>
      </c>
      <c r="C239" s="39" t="str">
        <f>IFERROR(VLOOKUP(A239,Internal_lists_bugs!$A$2:$G2011,7,FALSE()),"please select a BUG ID")</f>
        <v>https://opendev.org/openstack/nova/commit/90a37c069ede9d9b23ff6faef4ea6e48bbd7ebce</v>
      </c>
      <c r="D239" s="16" t="s">
        <v>1207</v>
      </c>
      <c r="E239" s="50"/>
      <c r="F239" s="43"/>
      <c r="G239" s="50"/>
      <c r="H239" s="43"/>
    </row>
    <row r="240">
      <c r="A240" s="16" t="s">
        <v>38</v>
      </c>
      <c r="B240" s="59" t="str">
        <f>IFERROR(HYPERLINK(VLOOKUP(A240,Internal_lists_bugs!$A$2:$C$73,3,FALSE()), VLOOKUP(A240,Internal_lists_bugs!$A$2:$C$73,3,FALSE())&amp;Char(10) &amp; Char(10) &amp; VLOOKUP(A240,Internal_lists_bugs!$A$2:$Z$73,26,FALSE())),"please select a BUG ID")</f>
        <v>
</v>
      </c>
      <c r="C240" s="39" t="str">
        <f>IFERROR(VLOOKUP(A240,Internal_lists_bugs!$A$2:$G2011,7,FALSE()),"please select a BUG ID")</f>
        <v>https://opendev.org/openstack/nova/commit/90a37c069ede9d9b23ff6faef4ea6e48bbd7ebce</v>
      </c>
      <c r="D240" s="16" t="s">
        <v>1214</v>
      </c>
      <c r="E240" s="50"/>
      <c r="F240" s="43"/>
      <c r="G240" s="50"/>
      <c r="H240" s="43"/>
    </row>
    <row r="241">
      <c r="A241" s="16" t="s">
        <v>49</v>
      </c>
      <c r="B241" s="59" t="str">
        <f>IFERROR(HYPERLINK(VLOOKUP(A241,Internal_lists_bugs!$A$2:$C$73,3,FALSE()), VLOOKUP(A241,Internal_lists_bugs!$A$2:$C$73,3,FALSE())&amp;Char(10) &amp; Char(10) &amp; VLOOKUP(A241,Internal_lists_bugs!$A$2:$Z$73,26,FALSE())),"please select a BUG ID")</f>
        <v>
</v>
      </c>
      <c r="C241" s="39" t="str">
        <f>IFERROR(VLOOKUP(A241,Internal_lists_bugs!$A$2:$G2011,7,FALSE()),"please select a BUG ID")</f>
        <v>https://opendev.org/openstack/nova/commit/c1dae06f1e366e7681fbffc776153b3ed3af2618</v>
      </c>
      <c r="D241" s="16" t="s">
        <v>1220</v>
      </c>
      <c r="E241" s="50"/>
      <c r="F241" s="16" t="s">
        <v>1174</v>
      </c>
      <c r="G241" s="50"/>
      <c r="H241" s="16" t="s">
        <v>1221</v>
      </c>
    </row>
    <row r="242">
      <c r="A242" s="16" t="s">
        <v>49</v>
      </c>
      <c r="B242" s="59" t="str">
        <f>IFERROR(HYPERLINK(VLOOKUP(A242,Internal_lists_bugs!$A$2:$C$73,3,FALSE()), VLOOKUP(A242,Internal_lists_bugs!$A$2:$C$73,3,FALSE())&amp;Char(10) &amp; Char(10) &amp; VLOOKUP(A242,Internal_lists_bugs!$A$2:$Z$73,26,FALSE())),"please select a BUG ID")</f>
        <v>
</v>
      </c>
      <c r="C242" s="39" t="str">
        <f>IFERROR(VLOOKUP(A242,Internal_lists_bugs!$A$2:$G2011,7,FALSE()),"please select a BUG ID")</f>
        <v>https://opendev.org/openstack/nova/commit/c1dae06f1e366e7681fbffc776153b3ed3af2618</v>
      </c>
      <c r="D242" s="16" t="s">
        <v>1209</v>
      </c>
      <c r="E242" s="50"/>
      <c r="F242" s="43"/>
      <c r="G242" s="50"/>
      <c r="H242" s="16" t="s">
        <v>1175</v>
      </c>
    </row>
    <row r="243">
      <c r="A243" s="16" t="s">
        <v>49</v>
      </c>
      <c r="B243" s="59" t="str">
        <f>IFERROR(HYPERLINK(VLOOKUP(A243,Internal_lists_bugs!$A$2:$C$73,3,FALSE()), VLOOKUP(A243,Internal_lists_bugs!$A$2:$C$73,3,FALSE())&amp;Char(10) &amp; Char(10) &amp; VLOOKUP(A243,Internal_lists_bugs!$A$2:$Z$73,26,FALSE())),"please select a BUG ID")</f>
        <v>
</v>
      </c>
      <c r="C243" s="39" t="str">
        <f>IFERROR(VLOOKUP(A243,Internal_lists_bugs!$A$2:$G2011,7,FALSE()),"please select a BUG ID")</f>
        <v>https://opendev.org/openstack/nova/commit/c1dae06f1e366e7681fbffc776153b3ed3af2618</v>
      </c>
      <c r="D243" s="16" t="s">
        <v>1178</v>
      </c>
      <c r="E243" s="50"/>
      <c r="F243" s="43"/>
      <c r="G243" s="50"/>
      <c r="H243" s="16" t="s">
        <v>1212</v>
      </c>
    </row>
    <row r="244">
      <c r="A244" s="16" t="s">
        <v>49</v>
      </c>
      <c r="B244" s="59" t="str">
        <f>IFERROR(HYPERLINK(VLOOKUP(A244,Internal_lists_bugs!$A$2:$C$73,3,FALSE()), VLOOKUP(A244,Internal_lists_bugs!$A$2:$C$73,3,FALSE())&amp;Char(10) &amp; Char(10) &amp; VLOOKUP(A244,Internal_lists_bugs!$A$2:$Z$73,26,FALSE())),"please select a BUG ID")</f>
        <v>
</v>
      </c>
      <c r="C244" s="39" t="str">
        <f>IFERROR(VLOOKUP(A244,Internal_lists_bugs!$A$2:$G2011,7,FALSE()),"please select a BUG ID")</f>
        <v>https://opendev.org/openstack/nova/commit/c1dae06f1e366e7681fbffc776153b3ed3af2618</v>
      </c>
      <c r="D244" s="16" t="s">
        <v>1182</v>
      </c>
      <c r="E244" s="50"/>
      <c r="F244" s="43"/>
      <c r="G244" s="50"/>
      <c r="H244" s="16" t="s">
        <v>1203</v>
      </c>
    </row>
    <row r="245">
      <c r="A245" s="16" t="s">
        <v>49</v>
      </c>
      <c r="B245" s="59" t="str">
        <f>IFERROR(HYPERLINK(VLOOKUP(A245,Internal_lists_bugs!$A$2:$C$73,3,FALSE()), VLOOKUP(A245,Internal_lists_bugs!$A$2:$C$73,3,FALSE())&amp;Char(10) &amp; Char(10) &amp; VLOOKUP(A245,Internal_lists_bugs!$A$2:$Z$73,26,FALSE())),"please select a BUG ID")</f>
        <v>
</v>
      </c>
      <c r="C245" s="39" t="str">
        <f>IFERROR(VLOOKUP(A245,Internal_lists_bugs!$A$2:$G2011,7,FALSE()),"please select a BUG ID")</f>
        <v>https://opendev.org/openstack/nova/commit/c1dae06f1e366e7681fbffc776153b3ed3af2618</v>
      </c>
      <c r="D245" s="16" t="s">
        <v>1191</v>
      </c>
      <c r="E245" s="50"/>
      <c r="F245" s="43"/>
      <c r="G245" s="50"/>
      <c r="H245" s="16" t="s">
        <v>1222</v>
      </c>
    </row>
    <row r="246">
      <c r="A246" s="16" t="s">
        <v>49</v>
      </c>
      <c r="B246" s="59" t="str">
        <f>IFERROR(HYPERLINK(VLOOKUP(A246,Internal_lists_bugs!$A$2:$C$73,3,FALSE()), VLOOKUP(A246,Internal_lists_bugs!$A$2:$C$73,3,FALSE())&amp;Char(10) &amp; Char(10) &amp; VLOOKUP(A246,Internal_lists_bugs!$A$2:$Z$73,26,FALSE())),"please select a BUG ID")</f>
        <v>
</v>
      </c>
      <c r="C246" s="39" t="str">
        <f>IFERROR(VLOOKUP(A246,Internal_lists_bugs!$A$2:$G2011,7,FALSE()),"please select a BUG ID")</f>
        <v>https://opendev.org/openstack/nova/commit/c1dae06f1e366e7681fbffc776153b3ed3af2618</v>
      </c>
      <c r="D246" s="16" t="s">
        <v>1218</v>
      </c>
      <c r="E246" s="50"/>
      <c r="F246" s="43"/>
      <c r="G246" s="50"/>
      <c r="H246" s="16" t="s">
        <v>1179</v>
      </c>
    </row>
    <row r="247">
      <c r="A247" s="16" t="s">
        <v>49</v>
      </c>
      <c r="B247" s="59" t="str">
        <f>IFERROR(HYPERLINK(VLOOKUP(A247,Internal_lists_bugs!$A$2:$C$73,3,FALSE()), VLOOKUP(A247,Internal_lists_bugs!$A$2:$C$73,3,FALSE())&amp;Char(10) &amp; Char(10) &amp; VLOOKUP(A247,Internal_lists_bugs!$A$2:$Z$73,26,FALSE())),"please select a BUG ID")</f>
        <v>
</v>
      </c>
      <c r="C247" s="39" t="str">
        <f>IFERROR(VLOOKUP(A247,Internal_lists_bugs!$A$2:$G2011,7,FALSE()),"please select a BUG ID")</f>
        <v>https://opendev.org/openstack/nova/commit/c1dae06f1e366e7681fbffc776153b3ed3af2618</v>
      </c>
      <c r="D247" s="16" t="s">
        <v>1219</v>
      </c>
      <c r="E247" s="50"/>
      <c r="F247" s="43"/>
      <c r="G247" s="50"/>
      <c r="H247" s="16" t="s">
        <v>1197</v>
      </c>
    </row>
    <row r="248">
      <c r="A248" s="16" t="s">
        <v>49</v>
      </c>
      <c r="B248" s="59" t="str">
        <f>IFERROR(HYPERLINK(VLOOKUP(A248,Internal_lists_bugs!$A$2:$C$73,3,FALSE()), VLOOKUP(A248,Internal_lists_bugs!$A$2:$C$73,3,FALSE())&amp;Char(10) &amp; Char(10) &amp; VLOOKUP(A248,Internal_lists_bugs!$A$2:$Z$73,26,FALSE())),"please select a BUG ID")</f>
        <v>
</v>
      </c>
      <c r="C248" s="39" t="str">
        <f>IFERROR(VLOOKUP(A248,Internal_lists_bugs!$A$2:$G2011,7,FALSE()),"please select a BUG ID")</f>
        <v>https://opendev.org/openstack/nova/commit/c1dae06f1e366e7681fbffc776153b3ed3af2618</v>
      </c>
      <c r="D248" s="16" t="s">
        <v>1199</v>
      </c>
      <c r="E248" s="50"/>
      <c r="F248" s="43"/>
      <c r="G248" s="50"/>
      <c r="H248" s="16" t="s">
        <v>1198</v>
      </c>
    </row>
    <row r="249">
      <c r="A249" s="16" t="s">
        <v>49</v>
      </c>
      <c r="B249" s="59" t="str">
        <f>IFERROR(HYPERLINK(VLOOKUP(A249,Internal_lists_bugs!$A$2:$C$73,3,FALSE()), VLOOKUP(A249,Internal_lists_bugs!$A$2:$C$73,3,FALSE())&amp;Char(10) &amp; Char(10) &amp; VLOOKUP(A249,Internal_lists_bugs!$A$2:$Z$73,26,FALSE())),"please select a BUG ID")</f>
        <v>
</v>
      </c>
      <c r="C249" s="39" t="str">
        <f>IFERROR(VLOOKUP(A249,Internal_lists_bugs!$A$2:$G2011,7,FALSE()),"please select a BUG ID")</f>
        <v>https://opendev.org/openstack/nova/commit/c1dae06f1e366e7681fbffc776153b3ed3af2618</v>
      </c>
      <c r="D249" s="16" t="s">
        <v>1201</v>
      </c>
      <c r="E249" s="50"/>
      <c r="F249" s="43"/>
      <c r="G249" s="50"/>
      <c r="H249" s="16" t="s">
        <v>1200</v>
      </c>
    </row>
    <row r="250">
      <c r="A250" s="16" t="s">
        <v>49</v>
      </c>
      <c r="B250" s="59" t="str">
        <f>IFERROR(HYPERLINK(VLOOKUP(A250,Internal_lists_bugs!$A$2:$C$73,3,FALSE()), VLOOKUP(A250,Internal_lists_bugs!$A$2:$C$73,3,FALSE())&amp;Char(10) &amp; Char(10) &amp; VLOOKUP(A250,Internal_lists_bugs!$A$2:$Z$73,26,FALSE())),"please select a BUG ID")</f>
        <v>
</v>
      </c>
      <c r="C250" s="39" t="str">
        <f>IFERROR(VLOOKUP(A250,Internal_lists_bugs!$A$2:$G2011,7,FALSE()),"please select a BUG ID")</f>
        <v>https://opendev.org/openstack/nova/commit/c1dae06f1e366e7681fbffc776153b3ed3af2618</v>
      </c>
      <c r="D250" s="16" t="s">
        <v>1202</v>
      </c>
      <c r="E250" s="50"/>
      <c r="F250" s="43"/>
      <c r="G250" s="50"/>
      <c r="H250" s="43"/>
    </row>
    <row r="251">
      <c r="A251" s="16" t="s">
        <v>49</v>
      </c>
      <c r="B251" s="59" t="str">
        <f>IFERROR(HYPERLINK(VLOOKUP(A251,Internal_lists_bugs!$A$2:$C$73,3,FALSE()), VLOOKUP(A251,Internal_lists_bugs!$A$2:$C$73,3,FALSE())&amp;Char(10) &amp; Char(10) &amp; VLOOKUP(A251,Internal_lists_bugs!$A$2:$Z$73,26,FALSE())),"please select a BUG ID")</f>
        <v>
</v>
      </c>
      <c r="C251" s="39" t="str">
        <f>IFERROR(VLOOKUP(A251,Internal_lists_bugs!$A$2:$G2011,7,FALSE()),"please select a BUG ID")</f>
        <v>https://opendev.org/openstack/nova/commit/c1dae06f1e366e7681fbffc776153b3ed3af2618</v>
      </c>
      <c r="D251" s="16" t="s">
        <v>1173</v>
      </c>
      <c r="E251" s="50"/>
      <c r="F251" s="43"/>
      <c r="G251" s="50"/>
      <c r="H251" s="16" t="s">
        <v>1210</v>
      </c>
    </row>
    <row r="252">
      <c r="A252" s="16" t="s">
        <v>49</v>
      </c>
      <c r="B252" s="59" t="str">
        <f>IFERROR(HYPERLINK(VLOOKUP(A252,Internal_lists_bugs!$A$2:$C$73,3,FALSE()), VLOOKUP(A252,Internal_lists_bugs!$A$2:$C$73,3,FALSE())&amp;Char(10) &amp; Char(10) &amp; VLOOKUP(A252,Internal_lists_bugs!$A$2:$Z$73,26,FALSE())),"please select a BUG ID")</f>
        <v>
</v>
      </c>
      <c r="C252" s="39" t="str">
        <f>IFERROR(VLOOKUP(A252,Internal_lists_bugs!$A$2:$G2011,7,FALSE()),"please select a BUG ID")</f>
        <v>https://opendev.org/openstack/nova/commit/c1dae06f1e366e7681fbffc776153b3ed3af2618</v>
      </c>
      <c r="D252" s="16" t="s">
        <v>1211</v>
      </c>
      <c r="E252" s="50"/>
      <c r="F252" s="43"/>
      <c r="G252" s="50"/>
      <c r="H252" s="16" t="s">
        <v>1177</v>
      </c>
    </row>
    <row r="253">
      <c r="A253" s="16" t="s">
        <v>49</v>
      </c>
      <c r="B253" s="59" t="str">
        <f>IFERROR(HYPERLINK(VLOOKUP(A253,Internal_lists_bugs!$A$2:$C$73,3,FALSE()), VLOOKUP(A253,Internal_lists_bugs!$A$2:$C$73,3,FALSE())&amp;Char(10) &amp; Char(10) &amp; VLOOKUP(A253,Internal_lists_bugs!$A$2:$Z$73,26,FALSE())),"please select a BUG ID")</f>
        <v>
</v>
      </c>
      <c r="C253" s="39" t="str">
        <f>IFERROR(VLOOKUP(A253,Internal_lists_bugs!$A$2:$G2011,7,FALSE()),"please select a BUG ID")</f>
        <v>https://opendev.org/openstack/nova/commit/c1dae06f1e366e7681fbffc776153b3ed3af2618</v>
      </c>
      <c r="D253" s="16" t="s">
        <v>1205</v>
      </c>
      <c r="E253" s="50"/>
      <c r="F253" s="43"/>
      <c r="G253" s="50"/>
      <c r="H253" s="43"/>
    </row>
    <row r="254">
      <c r="A254" s="16" t="s">
        <v>49</v>
      </c>
      <c r="B254" s="59" t="str">
        <f>IFERROR(HYPERLINK(VLOOKUP(A254,Internal_lists_bugs!$A$2:$C$73,3,FALSE()), VLOOKUP(A254,Internal_lists_bugs!$A$2:$C$73,3,FALSE())&amp;Char(10) &amp; Char(10) &amp; VLOOKUP(A254,Internal_lists_bugs!$A$2:$Z$73,26,FALSE())),"please select a BUG ID")</f>
        <v>
</v>
      </c>
      <c r="C254" s="39" t="str">
        <f>IFERROR(VLOOKUP(A254,Internal_lists_bugs!$A$2:$G2011,7,FALSE()),"please select a BUG ID")</f>
        <v>https://opendev.org/openstack/nova/commit/c1dae06f1e366e7681fbffc776153b3ed3af2618</v>
      </c>
      <c r="D254" s="16" t="s">
        <v>1183</v>
      </c>
      <c r="E254" s="50"/>
      <c r="F254" s="43"/>
      <c r="G254" s="50"/>
      <c r="H254" s="43"/>
    </row>
    <row r="255">
      <c r="A255" s="16" t="s">
        <v>49</v>
      </c>
      <c r="B255" s="59" t="str">
        <f>IFERROR(HYPERLINK(VLOOKUP(A255,Internal_lists_bugs!$A$2:$C$73,3,FALSE()), VLOOKUP(A255,Internal_lists_bugs!$A$2:$C$73,3,FALSE())&amp;Char(10) &amp; Char(10) &amp; VLOOKUP(A255,Internal_lists_bugs!$A$2:$Z$73,26,FALSE())),"please select a BUG ID")</f>
        <v>
</v>
      </c>
      <c r="C255" s="39" t="str">
        <f>IFERROR(VLOOKUP(A255,Internal_lists_bugs!$A$2:$G2011,7,FALSE()),"please select a BUG ID")</f>
        <v>https://opendev.org/openstack/nova/commit/c1dae06f1e366e7681fbffc776153b3ed3af2618</v>
      </c>
      <c r="D255" s="16" t="s">
        <v>1184</v>
      </c>
      <c r="E255" s="50"/>
      <c r="F255" s="43"/>
      <c r="G255" s="50"/>
      <c r="H255" s="43"/>
    </row>
    <row r="256">
      <c r="A256" s="16" t="s">
        <v>49</v>
      </c>
      <c r="B256" s="59" t="str">
        <f>IFERROR(HYPERLINK(VLOOKUP(A256,Internal_lists_bugs!$A$2:$C$73,3,FALSE()), VLOOKUP(A256,Internal_lists_bugs!$A$2:$C$73,3,FALSE())&amp;Char(10) &amp; Char(10) &amp; VLOOKUP(A256,Internal_lists_bugs!$A$2:$Z$73,26,FALSE())),"please select a BUG ID")</f>
        <v>
</v>
      </c>
      <c r="C256" s="39" t="str">
        <f>IFERROR(VLOOKUP(A256,Internal_lists_bugs!$A$2:$G2011,7,FALSE()),"please select a BUG ID")</f>
        <v>https://opendev.org/openstack/nova/commit/c1dae06f1e366e7681fbffc776153b3ed3af2618</v>
      </c>
      <c r="D256" s="16" t="s">
        <v>1185</v>
      </c>
      <c r="E256" s="50"/>
      <c r="F256" s="43"/>
      <c r="G256" s="50"/>
      <c r="H256" s="43"/>
    </row>
    <row r="257">
      <c r="A257" s="16" t="s">
        <v>49</v>
      </c>
      <c r="B257" s="59" t="str">
        <f>IFERROR(HYPERLINK(VLOOKUP(A257,Internal_lists_bugs!$A$2:$C$73,3,FALSE()), VLOOKUP(A257,Internal_lists_bugs!$A$2:$C$73,3,FALSE())&amp;Char(10) &amp; Char(10) &amp; VLOOKUP(A257,Internal_lists_bugs!$A$2:$Z$73,26,FALSE())),"please select a BUG ID")</f>
        <v>
</v>
      </c>
      <c r="C257" s="39" t="str">
        <f>IFERROR(VLOOKUP(A257,Internal_lists_bugs!$A$2:$G2011,7,FALSE()),"please select a BUG ID")</f>
        <v>https://opendev.org/openstack/nova/commit/c1dae06f1e366e7681fbffc776153b3ed3af2618</v>
      </c>
      <c r="D257" s="16" t="s">
        <v>1196</v>
      </c>
      <c r="E257" s="50"/>
      <c r="F257" s="43"/>
      <c r="G257" s="50"/>
      <c r="H257" s="43"/>
    </row>
    <row r="258">
      <c r="A258" s="16" t="s">
        <v>49</v>
      </c>
      <c r="B258" s="59" t="str">
        <f>IFERROR(HYPERLINK(VLOOKUP(A258,Internal_lists_bugs!$A$2:$C$73,3,FALSE()), VLOOKUP(A258,Internal_lists_bugs!$A$2:$C$73,3,FALSE())&amp;Char(10) &amp; Char(10) &amp; VLOOKUP(A258,Internal_lists_bugs!$A$2:$Z$73,26,FALSE())),"please select a BUG ID")</f>
        <v>
</v>
      </c>
      <c r="C258" s="39" t="str">
        <f>IFERROR(VLOOKUP(A258,Internal_lists_bugs!$A$2:$G2011,7,FALSE()),"please select a BUG ID")</f>
        <v>https://opendev.org/openstack/nova/commit/c1dae06f1e366e7681fbffc776153b3ed3af2618</v>
      </c>
      <c r="D258" s="16" t="s">
        <v>1187</v>
      </c>
      <c r="E258" s="50"/>
      <c r="F258" s="43"/>
      <c r="G258" s="50"/>
      <c r="H258" s="43"/>
    </row>
    <row r="259">
      <c r="A259" s="16" t="s">
        <v>49</v>
      </c>
      <c r="B259" s="59" t="str">
        <f>IFERROR(HYPERLINK(VLOOKUP(A259,Internal_lists_bugs!$A$2:$C$73,3,FALSE()), VLOOKUP(A259,Internal_lists_bugs!$A$2:$C$73,3,FALSE())&amp;Char(10) &amp; Char(10) &amp; VLOOKUP(A259,Internal_lists_bugs!$A$2:$Z$73,26,FALSE())),"please select a BUG ID")</f>
        <v>
</v>
      </c>
      <c r="C259" s="39" t="str">
        <f>IFERROR(VLOOKUP(A259,Internal_lists_bugs!$A$2:$G2011,7,FALSE()),"please select a BUG ID")</f>
        <v>https://opendev.org/openstack/nova/commit/c1dae06f1e366e7681fbffc776153b3ed3af2618</v>
      </c>
      <c r="D259" s="16" t="s">
        <v>1206</v>
      </c>
      <c r="E259" s="50"/>
      <c r="F259" s="43"/>
      <c r="G259" s="50"/>
      <c r="H259" s="43"/>
    </row>
    <row r="260">
      <c r="A260" s="16" t="s">
        <v>49</v>
      </c>
      <c r="B260" s="59" t="str">
        <f>IFERROR(HYPERLINK(VLOOKUP(A260,Internal_lists_bugs!$A$2:$C$73,3,FALSE()), VLOOKUP(A260,Internal_lists_bugs!$A$2:$C$73,3,FALSE())&amp;Char(10) &amp; Char(10) &amp; VLOOKUP(A260,Internal_lists_bugs!$A$2:$Z$73,26,FALSE())),"please select a BUG ID")</f>
        <v>
</v>
      </c>
      <c r="C260" s="39" t="str">
        <f>IFERROR(VLOOKUP(A260,Internal_lists_bugs!$A$2:$G2011,7,FALSE()),"please select a BUG ID")</f>
        <v>https://opendev.org/openstack/nova/commit/c1dae06f1e366e7681fbffc776153b3ed3af2618</v>
      </c>
      <c r="D260" s="16" t="s">
        <v>1213</v>
      </c>
      <c r="E260" s="50"/>
      <c r="F260" s="43"/>
      <c r="G260" s="50"/>
      <c r="H260" s="43"/>
    </row>
    <row r="261">
      <c r="A261" s="16" t="s">
        <v>49</v>
      </c>
      <c r="B261" s="59" t="str">
        <f>IFERROR(HYPERLINK(VLOOKUP(A261,Internal_lists_bugs!$A$2:$C$73,3,FALSE()), VLOOKUP(A261,Internal_lists_bugs!$A$2:$C$73,3,FALSE())&amp;Char(10) &amp; Char(10) &amp; VLOOKUP(A261,Internal_lists_bugs!$A$2:$Z$73,26,FALSE())),"please select a BUG ID")</f>
        <v>
</v>
      </c>
      <c r="C261" s="39" t="str">
        <f>IFERROR(VLOOKUP(A261,Internal_lists_bugs!$A$2:$G2011,7,FALSE()),"please select a BUG ID")</f>
        <v>https://opendev.org/openstack/nova/commit/c1dae06f1e366e7681fbffc776153b3ed3af2618</v>
      </c>
      <c r="D261" s="16" t="s">
        <v>1223</v>
      </c>
      <c r="E261" s="50"/>
      <c r="F261" s="43"/>
      <c r="G261" s="50"/>
      <c r="H261" s="43"/>
    </row>
    <row r="262">
      <c r="A262" s="16" t="s">
        <v>49</v>
      </c>
      <c r="B262" s="59" t="str">
        <f>IFERROR(HYPERLINK(VLOOKUP(A262,Internal_lists_bugs!$A$2:$C$73,3,FALSE()), VLOOKUP(A262,Internal_lists_bugs!$A$2:$C$73,3,FALSE())&amp;Char(10) &amp; Char(10) &amp; VLOOKUP(A262,Internal_lists_bugs!$A$2:$Z$73,26,FALSE())),"please select a BUG ID")</f>
        <v>
</v>
      </c>
      <c r="C262" s="39" t="str">
        <f>IFERROR(VLOOKUP(A262,Internal_lists_bugs!$A$2:$G2011,7,FALSE()),"please select a BUG ID")</f>
        <v>https://opendev.org/openstack/nova/commit/c1dae06f1e366e7681fbffc776153b3ed3af2618</v>
      </c>
      <c r="D262" s="16" t="s">
        <v>1214</v>
      </c>
      <c r="E262" s="50"/>
      <c r="F262" s="43"/>
      <c r="G262" s="50"/>
      <c r="H262" s="43"/>
    </row>
    <row r="263">
      <c r="A263" s="16" t="s">
        <v>45</v>
      </c>
      <c r="B263" s="59" t="str">
        <f>IFERROR(HYPERLINK(VLOOKUP(A263,Internal_lists_bugs!$A$2:$C$73,3,FALSE()), VLOOKUP(A263,Internal_lists_bugs!$A$2:$C$73,3,FALSE())&amp;Char(10) &amp; Char(10) &amp; VLOOKUP(A263,Internal_lists_bugs!$A$2:$Z$73,26,FALSE())),"please select a BUG ID")</f>
        <v>
</v>
      </c>
      <c r="C263" s="39" t="str">
        <f>IFERROR(VLOOKUP(A263,Internal_lists_bugs!$A$2:$G2011,7,FALSE()),"please select a BUG ID")</f>
        <v>https://opendev.org/openstack/nova/commit/6ed6be8435284daf39ef1b8323e213c7885852c6</v>
      </c>
      <c r="D263" s="16" t="s">
        <v>1220</v>
      </c>
      <c r="E263" s="50"/>
      <c r="F263" s="16" t="s">
        <v>1174</v>
      </c>
      <c r="G263" s="50"/>
      <c r="H263" s="16" t="s">
        <v>1221</v>
      </c>
    </row>
    <row r="264">
      <c r="A264" s="16" t="s">
        <v>45</v>
      </c>
      <c r="B264" s="59" t="str">
        <f>IFERROR(HYPERLINK(VLOOKUP(A264,Internal_lists_bugs!$A$2:$C$73,3,FALSE()), VLOOKUP(A264,Internal_lists_bugs!$A$2:$C$73,3,FALSE())&amp;Char(10) &amp; Char(10) &amp; VLOOKUP(A264,Internal_lists_bugs!$A$2:$Z$73,26,FALSE())),"please select a BUG ID")</f>
        <v>
</v>
      </c>
      <c r="C264" s="39" t="str">
        <f>IFERROR(VLOOKUP(A264,Internal_lists_bugs!$A$2:$G2011,7,FALSE()),"please select a BUG ID")</f>
        <v>https://opendev.org/openstack/nova/commit/6ed6be8435284daf39ef1b8323e213c7885852c6</v>
      </c>
      <c r="D264" s="16" t="s">
        <v>1209</v>
      </c>
      <c r="E264" s="50"/>
      <c r="F264" s="43"/>
      <c r="G264" s="50"/>
      <c r="H264" s="16" t="s">
        <v>1203</v>
      </c>
    </row>
    <row r="265">
      <c r="A265" s="16" t="s">
        <v>45</v>
      </c>
      <c r="B265" s="59" t="str">
        <f>IFERROR(HYPERLINK(VLOOKUP(A265,Internal_lists_bugs!$A$2:$C$73,3,FALSE()), VLOOKUP(A265,Internal_lists_bugs!$A$2:$C$73,3,FALSE())&amp;Char(10) &amp; Char(10) &amp; VLOOKUP(A265,Internal_lists_bugs!$A$2:$Z$73,26,FALSE())),"please select a BUG ID")</f>
        <v>
</v>
      </c>
      <c r="C265" s="39" t="str">
        <f>IFERROR(VLOOKUP(A265,Internal_lists_bugs!$A$2:$G2011,7,FALSE()),"please select a BUG ID")</f>
        <v>https://opendev.org/openstack/nova/commit/6ed6be8435284daf39ef1b8323e213c7885852c6</v>
      </c>
      <c r="D265" s="16" t="s">
        <v>1178</v>
      </c>
      <c r="E265" s="50"/>
      <c r="F265" s="43"/>
      <c r="G265" s="50"/>
      <c r="H265" s="16" t="s">
        <v>1212</v>
      </c>
    </row>
    <row r="266">
      <c r="A266" s="16" t="s">
        <v>45</v>
      </c>
      <c r="B266" s="59" t="str">
        <f>IFERROR(HYPERLINK(VLOOKUP(A266,Internal_lists_bugs!$A$2:$C$73,3,FALSE()), VLOOKUP(A266,Internal_lists_bugs!$A$2:$C$73,3,FALSE())&amp;Char(10) &amp; Char(10) &amp; VLOOKUP(A266,Internal_lists_bugs!$A$2:$Z$73,26,FALSE())),"please select a BUG ID")</f>
        <v>
</v>
      </c>
      <c r="C266" s="39" t="str">
        <f>IFERROR(VLOOKUP(A266,Internal_lists_bugs!$A$2:$G2011,7,FALSE()),"please select a BUG ID")</f>
        <v>https://opendev.org/openstack/nova/commit/6ed6be8435284daf39ef1b8323e213c7885852c6</v>
      </c>
      <c r="D266" s="16" t="s">
        <v>1182</v>
      </c>
      <c r="E266" s="50"/>
      <c r="F266" s="43"/>
      <c r="G266" s="50"/>
      <c r="H266" s="16" t="s">
        <v>1175</v>
      </c>
    </row>
    <row r="267">
      <c r="A267" s="16" t="s">
        <v>45</v>
      </c>
      <c r="B267" s="59" t="str">
        <f>IFERROR(HYPERLINK(VLOOKUP(A267,Internal_lists_bugs!$A$2:$C$73,3,FALSE()), VLOOKUP(A267,Internal_lists_bugs!$A$2:$C$73,3,FALSE())&amp;Char(10) &amp; Char(10) &amp; VLOOKUP(A267,Internal_lists_bugs!$A$2:$Z$73,26,FALSE())),"please select a BUG ID")</f>
        <v>
</v>
      </c>
      <c r="C267" s="39" t="str">
        <f>IFERROR(VLOOKUP(A267,Internal_lists_bugs!$A$2:$G2011,7,FALSE()),"please select a BUG ID")</f>
        <v>https://opendev.org/openstack/nova/commit/6ed6be8435284daf39ef1b8323e213c7885852c6</v>
      </c>
      <c r="D267" s="16" t="s">
        <v>1191</v>
      </c>
      <c r="E267" s="50"/>
      <c r="F267" s="43"/>
      <c r="G267" s="50"/>
      <c r="H267" s="16" t="s">
        <v>1179</v>
      </c>
    </row>
    <row r="268">
      <c r="A268" s="16" t="s">
        <v>45</v>
      </c>
      <c r="B268" s="59" t="str">
        <f>IFERROR(HYPERLINK(VLOOKUP(A268,Internal_lists_bugs!$A$2:$C$73,3,FALSE()), VLOOKUP(A268,Internal_lists_bugs!$A$2:$C$73,3,FALSE())&amp;Char(10) &amp; Char(10) &amp; VLOOKUP(A268,Internal_lists_bugs!$A$2:$Z$73,26,FALSE())),"please select a BUG ID")</f>
        <v>
</v>
      </c>
      <c r="C268" s="39" t="str">
        <f>IFERROR(VLOOKUP(A268,Internal_lists_bugs!$A$2:$G2011,7,FALSE()),"please select a BUG ID")</f>
        <v>https://opendev.org/openstack/nova/commit/6ed6be8435284daf39ef1b8323e213c7885852c6</v>
      </c>
      <c r="D268" s="16" t="s">
        <v>1218</v>
      </c>
      <c r="E268" s="50"/>
      <c r="F268" s="43"/>
      <c r="G268" s="50"/>
      <c r="H268" s="16" t="s">
        <v>1197</v>
      </c>
    </row>
    <row r="269">
      <c r="A269" s="16" t="s">
        <v>45</v>
      </c>
      <c r="B269" s="59" t="str">
        <f>IFERROR(HYPERLINK(VLOOKUP(A269,Internal_lists_bugs!$A$2:$C$73,3,FALSE()), VLOOKUP(A269,Internal_lists_bugs!$A$2:$C$73,3,FALSE())&amp;Char(10) &amp; Char(10) &amp; VLOOKUP(A269,Internal_lists_bugs!$A$2:$Z$73,26,FALSE())),"please select a BUG ID")</f>
        <v>
</v>
      </c>
      <c r="C269" s="39" t="str">
        <f>IFERROR(VLOOKUP(A269,Internal_lists_bugs!$A$2:$G2011,7,FALSE()),"please select a BUG ID")</f>
        <v>https://opendev.org/openstack/nova/commit/6ed6be8435284daf39ef1b8323e213c7885852c6</v>
      </c>
      <c r="D269" s="16" t="s">
        <v>1219</v>
      </c>
      <c r="E269" s="50"/>
      <c r="F269" s="43"/>
      <c r="G269" s="50"/>
      <c r="H269" s="16" t="s">
        <v>1198</v>
      </c>
    </row>
    <row r="270">
      <c r="A270" s="16" t="s">
        <v>45</v>
      </c>
      <c r="B270" s="59" t="str">
        <f>IFERROR(HYPERLINK(VLOOKUP(A270,Internal_lists_bugs!$A$2:$C$73,3,FALSE()), VLOOKUP(A270,Internal_lists_bugs!$A$2:$C$73,3,FALSE())&amp;Char(10) &amp; Char(10) &amp; VLOOKUP(A270,Internal_lists_bugs!$A$2:$Z$73,26,FALSE())),"please select a BUG ID")</f>
        <v>
</v>
      </c>
      <c r="C270" s="39" t="str">
        <f>IFERROR(VLOOKUP(A270,Internal_lists_bugs!$A$2:$G2011,7,FALSE()),"please select a BUG ID")</f>
        <v>https://opendev.org/openstack/nova/commit/6ed6be8435284daf39ef1b8323e213c7885852c6</v>
      </c>
      <c r="D270" s="16" t="s">
        <v>1199</v>
      </c>
      <c r="E270" s="50"/>
      <c r="F270" s="43"/>
      <c r="G270" s="50"/>
      <c r="H270" s="16" t="s">
        <v>1200</v>
      </c>
    </row>
    <row r="271">
      <c r="A271" s="16" t="s">
        <v>45</v>
      </c>
      <c r="B271" s="59" t="str">
        <f>IFERROR(HYPERLINK(VLOOKUP(A271,Internal_lists_bugs!$A$2:$C$73,3,FALSE()), VLOOKUP(A271,Internal_lists_bugs!$A$2:$C$73,3,FALSE())&amp;Char(10) &amp; Char(10) &amp; VLOOKUP(A271,Internal_lists_bugs!$A$2:$Z$73,26,FALSE())),"please select a BUG ID")</f>
        <v>
</v>
      </c>
      <c r="C271" s="39" t="str">
        <f>IFERROR(VLOOKUP(A271,Internal_lists_bugs!$A$2:$G2011,7,FALSE()),"please select a BUG ID")</f>
        <v>https://opendev.org/openstack/nova/commit/6ed6be8435284daf39ef1b8323e213c7885852c6</v>
      </c>
      <c r="D271" s="16" t="s">
        <v>1201</v>
      </c>
      <c r="E271" s="50"/>
      <c r="F271" s="43"/>
      <c r="G271" s="50"/>
      <c r="H271" s="16" t="s">
        <v>1215</v>
      </c>
    </row>
    <row r="272">
      <c r="A272" s="16" t="s">
        <v>45</v>
      </c>
      <c r="B272" s="59" t="str">
        <f>IFERROR(HYPERLINK(VLOOKUP(A272,Internal_lists_bugs!$A$2:$C$73,3,FALSE()), VLOOKUP(A272,Internal_lists_bugs!$A$2:$C$73,3,FALSE())&amp;Char(10) &amp; Char(10) &amp; VLOOKUP(A272,Internal_lists_bugs!$A$2:$Z$73,26,FALSE())),"please select a BUG ID")</f>
        <v>
</v>
      </c>
      <c r="C272" s="39" t="str">
        <f>IFERROR(VLOOKUP(A272,Internal_lists_bugs!$A$2:$G2011,7,FALSE()),"please select a BUG ID")</f>
        <v>https://opendev.org/openstack/nova/commit/6ed6be8435284daf39ef1b8323e213c7885852c6</v>
      </c>
      <c r="D272" s="16" t="s">
        <v>1202</v>
      </c>
      <c r="E272" s="50"/>
      <c r="F272" s="43"/>
      <c r="G272" s="50"/>
      <c r="H272" s="16" t="s">
        <v>1210</v>
      </c>
    </row>
    <row r="273">
      <c r="A273" s="16" t="s">
        <v>45</v>
      </c>
      <c r="B273" s="59" t="str">
        <f>IFERROR(HYPERLINK(VLOOKUP(A273,Internal_lists_bugs!$A$2:$C$73,3,FALSE()), VLOOKUP(A273,Internal_lists_bugs!$A$2:$C$73,3,FALSE())&amp;Char(10) &amp; Char(10) &amp; VLOOKUP(A273,Internal_lists_bugs!$A$2:$Z$73,26,FALSE())),"please select a BUG ID")</f>
        <v>
</v>
      </c>
      <c r="C273" s="39" t="str">
        <f>IFERROR(VLOOKUP(A273,Internal_lists_bugs!$A$2:$G2011,7,FALSE()),"please select a BUG ID")</f>
        <v>https://opendev.org/openstack/nova/commit/6ed6be8435284daf39ef1b8323e213c7885852c6</v>
      </c>
      <c r="D273" s="16" t="s">
        <v>1173</v>
      </c>
      <c r="E273" s="50"/>
      <c r="F273" s="43"/>
      <c r="G273" s="50"/>
      <c r="H273" s="16" t="s">
        <v>1177</v>
      </c>
    </row>
    <row r="274">
      <c r="A274" s="16" t="s">
        <v>45</v>
      </c>
      <c r="B274" s="59" t="str">
        <f>IFERROR(HYPERLINK(VLOOKUP(A274,Internal_lists_bugs!$A$2:$C$73,3,FALSE()), VLOOKUP(A274,Internal_lists_bugs!$A$2:$C$73,3,FALSE())&amp;Char(10) &amp; Char(10) &amp; VLOOKUP(A274,Internal_lists_bugs!$A$2:$Z$73,26,FALSE())),"please select a BUG ID")</f>
        <v>
</v>
      </c>
      <c r="C274" s="39" t="str">
        <f>IFERROR(VLOOKUP(A274,Internal_lists_bugs!$A$2:$G2011,7,FALSE()),"please select a BUG ID")</f>
        <v>https://opendev.org/openstack/nova/commit/6ed6be8435284daf39ef1b8323e213c7885852c6</v>
      </c>
      <c r="D274" s="16" t="s">
        <v>1211</v>
      </c>
      <c r="E274" s="50"/>
      <c r="F274" s="43"/>
      <c r="G274" s="50"/>
      <c r="H274" s="16" t="s">
        <v>1222</v>
      </c>
    </row>
    <row r="275">
      <c r="A275" s="16" t="s">
        <v>45</v>
      </c>
      <c r="B275" s="59" t="str">
        <f>IFERROR(HYPERLINK(VLOOKUP(A275,Internal_lists_bugs!$A$2:$C$73,3,FALSE()), VLOOKUP(A275,Internal_lists_bugs!$A$2:$C$73,3,FALSE())&amp;Char(10) &amp; Char(10) &amp; VLOOKUP(A275,Internal_lists_bugs!$A$2:$Z$73,26,FALSE())),"please select a BUG ID")</f>
        <v>
</v>
      </c>
      <c r="C275" s="39" t="str">
        <f>IFERROR(VLOOKUP(A275,Internal_lists_bugs!$A$2:$G2011,7,FALSE()),"please select a BUG ID")</f>
        <v>https://opendev.org/openstack/nova/commit/6ed6be8435284daf39ef1b8323e213c7885852c6</v>
      </c>
      <c r="D275" s="16" t="s">
        <v>1205</v>
      </c>
      <c r="E275" s="50"/>
      <c r="F275" s="43"/>
      <c r="G275" s="50"/>
      <c r="H275" s="43"/>
    </row>
    <row r="276">
      <c r="A276" s="16" t="s">
        <v>45</v>
      </c>
      <c r="B276" s="59" t="str">
        <f>IFERROR(HYPERLINK(VLOOKUP(A276,Internal_lists_bugs!$A$2:$C$73,3,FALSE()), VLOOKUP(A276,Internal_lists_bugs!$A$2:$C$73,3,FALSE())&amp;Char(10) &amp; Char(10) &amp; VLOOKUP(A276,Internal_lists_bugs!$A$2:$Z$73,26,FALSE())),"please select a BUG ID")</f>
        <v>
</v>
      </c>
      <c r="C276" s="39" t="str">
        <f>IFERROR(VLOOKUP(A276,Internal_lists_bugs!$A$2:$G2011,7,FALSE()),"please select a BUG ID")</f>
        <v>https://opendev.org/openstack/nova/commit/6ed6be8435284daf39ef1b8323e213c7885852c6</v>
      </c>
      <c r="D276" s="16" t="s">
        <v>1183</v>
      </c>
      <c r="E276" s="50"/>
      <c r="F276" s="43"/>
      <c r="G276" s="50"/>
      <c r="H276" s="43"/>
    </row>
    <row r="277">
      <c r="A277" s="16" t="s">
        <v>45</v>
      </c>
      <c r="B277" s="59" t="str">
        <f>IFERROR(HYPERLINK(VLOOKUP(A277,Internal_lists_bugs!$A$2:$C$73,3,FALSE()), VLOOKUP(A277,Internal_lists_bugs!$A$2:$C$73,3,FALSE())&amp;Char(10) &amp; Char(10) &amp; VLOOKUP(A277,Internal_lists_bugs!$A$2:$Z$73,26,FALSE())),"please select a BUG ID")</f>
        <v>
</v>
      </c>
      <c r="C277" s="39" t="str">
        <f>IFERROR(VLOOKUP(A277,Internal_lists_bugs!$A$2:$G2011,7,FALSE()),"please select a BUG ID")</f>
        <v>https://opendev.org/openstack/nova/commit/6ed6be8435284daf39ef1b8323e213c7885852c6</v>
      </c>
      <c r="D277" s="16" t="s">
        <v>1184</v>
      </c>
      <c r="E277" s="50"/>
      <c r="F277" s="43"/>
      <c r="G277" s="50"/>
      <c r="H277" s="43"/>
    </row>
    <row r="278">
      <c r="A278" s="16" t="s">
        <v>45</v>
      </c>
      <c r="B278" s="59" t="str">
        <f>IFERROR(HYPERLINK(VLOOKUP(A278,Internal_lists_bugs!$A$2:$C$73,3,FALSE()), VLOOKUP(A278,Internal_lists_bugs!$A$2:$C$73,3,FALSE())&amp;Char(10) &amp; Char(10) &amp; VLOOKUP(A278,Internal_lists_bugs!$A$2:$Z$73,26,FALSE())),"please select a BUG ID")</f>
        <v>
</v>
      </c>
      <c r="C278" s="39" t="str">
        <f>IFERROR(VLOOKUP(A278,Internal_lists_bugs!$A$2:$G2011,7,FALSE()),"please select a BUG ID")</f>
        <v>https://opendev.org/openstack/nova/commit/6ed6be8435284daf39ef1b8323e213c7885852c6</v>
      </c>
      <c r="D278" s="16" t="s">
        <v>1185</v>
      </c>
      <c r="E278" s="50"/>
      <c r="F278" s="43"/>
      <c r="G278" s="50"/>
      <c r="H278" s="43"/>
    </row>
    <row r="279">
      <c r="A279" s="16" t="s">
        <v>45</v>
      </c>
      <c r="B279" s="59" t="str">
        <f>IFERROR(HYPERLINK(VLOOKUP(A279,Internal_lists_bugs!$A$2:$C$73,3,FALSE()), VLOOKUP(A279,Internal_lists_bugs!$A$2:$C$73,3,FALSE())&amp;Char(10) &amp; Char(10) &amp; VLOOKUP(A279,Internal_lists_bugs!$A$2:$Z$73,26,FALSE())),"please select a BUG ID")</f>
        <v>
</v>
      </c>
      <c r="C279" s="39" t="str">
        <f>IFERROR(VLOOKUP(A279,Internal_lists_bugs!$A$2:$G2011,7,FALSE()),"please select a BUG ID")</f>
        <v>https://opendev.org/openstack/nova/commit/6ed6be8435284daf39ef1b8323e213c7885852c6</v>
      </c>
      <c r="D279" s="16" t="s">
        <v>1196</v>
      </c>
      <c r="E279" s="50"/>
      <c r="F279" s="43"/>
      <c r="G279" s="50"/>
      <c r="H279" s="43"/>
    </row>
    <row r="280">
      <c r="A280" s="16" t="s">
        <v>45</v>
      </c>
      <c r="B280" s="59" t="str">
        <f>IFERROR(HYPERLINK(VLOOKUP(A280,Internal_lists_bugs!$A$2:$C$73,3,FALSE()), VLOOKUP(A280,Internal_lists_bugs!$A$2:$C$73,3,FALSE())&amp;Char(10) &amp; Char(10) &amp; VLOOKUP(A280,Internal_lists_bugs!$A$2:$Z$73,26,FALSE())),"please select a BUG ID")</f>
        <v>
</v>
      </c>
      <c r="C280" s="39" t="str">
        <f>IFERROR(VLOOKUP(A280,Internal_lists_bugs!$A$2:$G2011,7,FALSE()),"please select a BUG ID")</f>
        <v>https://opendev.org/openstack/nova/commit/6ed6be8435284daf39ef1b8323e213c7885852c6</v>
      </c>
      <c r="D280" s="16" t="s">
        <v>1187</v>
      </c>
      <c r="E280" s="50"/>
      <c r="F280" s="43"/>
      <c r="G280" s="50"/>
      <c r="H280" s="43"/>
    </row>
    <row r="281">
      <c r="A281" s="16" t="s">
        <v>45</v>
      </c>
      <c r="B281" s="59" t="str">
        <f>IFERROR(HYPERLINK(VLOOKUP(A281,Internal_lists_bugs!$A$2:$C$73,3,FALSE()), VLOOKUP(A281,Internal_lists_bugs!$A$2:$C$73,3,FALSE())&amp;Char(10) &amp; Char(10) &amp; VLOOKUP(A281,Internal_lists_bugs!$A$2:$Z$73,26,FALSE())),"please select a BUG ID")</f>
        <v>
</v>
      </c>
      <c r="C281" s="39" t="str">
        <f>IFERROR(VLOOKUP(A281,Internal_lists_bugs!$A$2:$G2011,7,FALSE()),"please select a BUG ID")</f>
        <v>https://opendev.org/openstack/nova/commit/6ed6be8435284daf39ef1b8323e213c7885852c6</v>
      </c>
      <c r="D281" s="16" t="s">
        <v>1206</v>
      </c>
      <c r="E281" s="50"/>
      <c r="F281" s="43"/>
      <c r="G281" s="50"/>
      <c r="H281" s="43"/>
    </row>
    <row r="282">
      <c r="A282" s="16" t="s">
        <v>45</v>
      </c>
      <c r="B282" s="59" t="str">
        <f>IFERROR(HYPERLINK(VLOOKUP(A282,Internal_lists_bugs!$A$2:$C$73,3,FALSE()), VLOOKUP(A282,Internal_lists_bugs!$A$2:$C$73,3,FALSE())&amp;Char(10) &amp; Char(10) &amp; VLOOKUP(A282,Internal_lists_bugs!$A$2:$Z$73,26,FALSE())),"please select a BUG ID")</f>
        <v>
</v>
      </c>
      <c r="C282" s="39" t="str">
        <f>IFERROR(VLOOKUP(A282,Internal_lists_bugs!$A$2:$G2011,7,FALSE()),"please select a BUG ID")</f>
        <v>https://opendev.org/openstack/nova/commit/6ed6be8435284daf39ef1b8323e213c7885852c6</v>
      </c>
      <c r="D282" s="16" t="s">
        <v>1213</v>
      </c>
      <c r="E282" s="50"/>
      <c r="F282" s="43"/>
      <c r="G282" s="50"/>
      <c r="H282" s="43"/>
    </row>
    <row r="283">
      <c r="A283" s="16" t="s">
        <v>45</v>
      </c>
      <c r="B283" s="59" t="str">
        <f>IFERROR(HYPERLINK(VLOOKUP(A283,Internal_lists_bugs!$A$2:$C$73,3,FALSE()), VLOOKUP(A283,Internal_lists_bugs!$A$2:$C$73,3,FALSE())&amp;Char(10) &amp; Char(10) &amp; VLOOKUP(A283,Internal_lists_bugs!$A$2:$Z$73,26,FALSE())),"please select a BUG ID")</f>
        <v>
</v>
      </c>
      <c r="C283" s="39" t="str">
        <f>IFERROR(VLOOKUP(A283,Internal_lists_bugs!$A$2:$G2011,7,FALSE()),"please select a BUG ID")</f>
        <v>https://opendev.org/openstack/nova/commit/6ed6be8435284daf39ef1b8323e213c7885852c6</v>
      </c>
      <c r="D283" s="16" t="s">
        <v>1216</v>
      </c>
      <c r="E283" s="50"/>
      <c r="F283" s="43"/>
      <c r="G283" s="50"/>
      <c r="H283" s="43"/>
    </row>
    <row r="284">
      <c r="A284" s="16" t="s">
        <v>45</v>
      </c>
      <c r="B284" s="59" t="str">
        <f>IFERROR(HYPERLINK(VLOOKUP(A284,Internal_lists_bugs!$A$2:$C$73,3,FALSE()), VLOOKUP(A284,Internal_lists_bugs!$A$2:$C$73,3,FALSE())&amp;Char(10) &amp; Char(10) &amp; VLOOKUP(A284,Internal_lists_bugs!$A$2:$Z$73,26,FALSE())),"please select a BUG ID")</f>
        <v>
</v>
      </c>
      <c r="C284" s="39" t="str">
        <f>IFERROR(VLOOKUP(A284,Internal_lists_bugs!$A$2:$G2011,7,FALSE()),"please select a BUG ID")</f>
        <v>https://opendev.org/openstack/nova/commit/6ed6be8435284daf39ef1b8323e213c7885852c6</v>
      </c>
      <c r="D284" s="16" t="s">
        <v>1214</v>
      </c>
      <c r="E284" s="50"/>
      <c r="F284" s="43"/>
      <c r="G284" s="50"/>
      <c r="H284" s="43"/>
    </row>
    <row r="285">
      <c r="A285" s="16" t="s">
        <v>35</v>
      </c>
      <c r="B285" s="59" t="str">
        <f>IFERROR(HYPERLINK(VLOOKUP(A285,Internal_lists_bugs!$A$2:$C$73,3,FALSE()), VLOOKUP(A285,Internal_lists_bugs!$A$2:$C$73,3,FALSE())&amp;Char(10) &amp; Char(10) &amp; VLOOKUP(A285,Internal_lists_bugs!$A$2:$Z$73,26,FALSE())),"please select a BUG ID")</f>
        <v>
</v>
      </c>
      <c r="C285" s="39" t="str">
        <f>IFERROR(VLOOKUP(A285,Internal_lists_bugs!$A$2:$G2011,7,FALSE()),"please select a BUG ID")</f>
        <v>https://opendev.org/openstack/nova/commit/6982d8534d78d9732fc8d6e05c8f3bb432d62264</v>
      </c>
      <c r="D285" s="16" t="s">
        <v>1220</v>
      </c>
      <c r="E285" s="50"/>
      <c r="F285" s="16" t="s">
        <v>1174</v>
      </c>
      <c r="G285" s="50"/>
      <c r="H285" s="16" t="s">
        <v>1221</v>
      </c>
    </row>
    <row r="286">
      <c r="A286" s="16" t="s">
        <v>35</v>
      </c>
      <c r="B286" s="59" t="str">
        <f>IFERROR(HYPERLINK(VLOOKUP(A286,Internal_lists_bugs!$A$2:$C$73,3,FALSE()), VLOOKUP(A286,Internal_lists_bugs!$A$2:$C$73,3,FALSE())&amp;Char(10) &amp; Char(10) &amp; VLOOKUP(A286,Internal_lists_bugs!$A$2:$Z$73,26,FALSE())),"please select a BUG ID")</f>
        <v>
</v>
      </c>
      <c r="C286" s="39" t="str">
        <f>IFERROR(VLOOKUP(A286,Internal_lists_bugs!$A$2:$G2011,7,FALSE()),"please select a BUG ID")</f>
        <v>https://opendev.org/openstack/nova/commit/6982d8534d78d9732fc8d6e05c8f3bb432d62264</v>
      </c>
      <c r="D286" s="16" t="s">
        <v>1209</v>
      </c>
      <c r="E286" s="50"/>
      <c r="F286" s="43"/>
      <c r="G286" s="50"/>
      <c r="H286" s="16" t="s">
        <v>1175</v>
      </c>
    </row>
    <row r="287">
      <c r="A287" s="16" t="s">
        <v>35</v>
      </c>
      <c r="B287" s="59" t="str">
        <f>IFERROR(HYPERLINK(VLOOKUP(A287,Internal_lists_bugs!$A$2:$C$73,3,FALSE()), VLOOKUP(A287,Internal_lists_bugs!$A$2:$C$73,3,FALSE())&amp;Char(10) &amp; Char(10) &amp; VLOOKUP(A287,Internal_lists_bugs!$A$2:$Z$73,26,FALSE())),"please select a BUG ID")</f>
        <v>
</v>
      </c>
      <c r="C287" s="39" t="str">
        <f>IFERROR(VLOOKUP(A287,Internal_lists_bugs!$A$2:$G2011,7,FALSE()),"please select a BUG ID")</f>
        <v>https://opendev.org/openstack/nova/commit/6982d8534d78d9732fc8d6e05c8f3bb432d62264</v>
      </c>
      <c r="D287" s="16" t="s">
        <v>1178</v>
      </c>
      <c r="E287" s="50"/>
      <c r="F287" s="43"/>
      <c r="G287" s="50"/>
      <c r="H287" s="16" t="s">
        <v>1203</v>
      </c>
    </row>
    <row r="288">
      <c r="A288" s="16" t="s">
        <v>35</v>
      </c>
      <c r="B288" s="59" t="str">
        <f>IFERROR(HYPERLINK(VLOOKUP(A288,Internal_lists_bugs!$A$2:$C$73,3,FALSE()), VLOOKUP(A288,Internal_lists_bugs!$A$2:$C$73,3,FALSE())&amp;Char(10) &amp; Char(10) &amp; VLOOKUP(A288,Internal_lists_bugs!$A$2:$Z$73,26,FALSE())),"please select a BUG ID")</f>
        <v>
</v>
      </c>
      <c r="C288" s="39" t="str">
        <f>IFERROR(VLOOKUP(A288,Internal_lists_bugs!$A$2:$G2011,7,FALSE()),"please select a BUG ID")</f>
        <v>https://opendev.org/openstack/nova/commit/6982d8534d78d9732fc8d6e05c8f3bb432d62264</v>
      </c>
      <c r="D288" s="16" t="s">
        <v>1182</v>
      </c>
      <c r="E288" s="50"/>
      <c r="F288" s="43"/>
      <c r="G288" s="50"/>
      <c r="H288" s="16" t="s">
        <v>1212</v>
      </c>
    </row>
    <row r="289">
      <c r="A289" s="16" t="s">
        <v>35</v>
      </c>
      <c r="B289" s="59" t="str">
        <f>IFERROR(HYPERLINK(VLOOKUP(A289,Internal_lists_bugs!$A$2:$C$73,3,FALSE()), VLOOKUP(A289,Internal_lists_bugs!$A$2:$C$73,3,FALSE())&amp;Char(10) &amp; Char(10) &amp; VLOOKUP(A289,Internal_lists_bugs!$A$2:$Z$73,26,FALSE())),"please select a BUG ID")</f>
        <v>
</v>
      </c>
      <c r="C289" s="39" t="str">
        <f>IFERROR(VLOOKUP(A289,Internal_lists_bugs!$A$2:$G2011,7,FALSE()),"please select a BUG ID")</f>
        <v>https://opendev.org/openstack/nova/commit/6982d8534d78d9732fc8d6e05c8f3bb432d62264</v>
      </c>
      <c r="D289" s="16" t="s">
        <v>1191</v>
      </c>
      <c r="E289" s="50"/>
      <c r="F289" s="43"/>
      <c r="G289" s="50"/>
      <c r="H289" s="16" t="s">
        <v>1222</v>
      </c>
    </row>
    <row r="290">
      <c r="A290" s="16" t="s">
        <v>35</v>
      </c>
      <c r="B290" s="59" t="str">
        <f>IFERROR(HYPERLINK(VLOOKUP(A290,Internal_lists_bugs!$A$2:$C$73,3,FALSE()), VLOOKUP(A290,Internal_lists_bugs!$A$2:$C$73,3,FALSE())&amp;Char(10) &amp; Char(10) &amp; VLOOKUP(A290,Internal_lists_bugs!$A$2:$Z$73,26,FALSE())),"please select a BUG ID")</f>
        <v>
</v>
      </c>
      <c r="C290" s="39" t="str">
        <f>IFERROR(VLOOKUP(A290,Internal_lists_bugs!$A$2:$G2011,7,FALSE()),"please select a BUG ID")</f>
        <v>https://opendev.org/openstack/nova/commit/6982d8534d78d9732fc8d6e05c8f3bb432d62264</v>
      </c>
      <c r="D290" s="16" t="s">
        <v>1218</v>
      </c>
      <c r="E290" s="50"/>
      <c r="F290" s="43"/>
      <c r="G290" s="50"/>
      <c r="H290" s="16" t="s">
        <v>1179</v>
      </c>
    </row>
    <row r="291">
      <c r="A291" s="16" t="s">
        <v>35</v>
      </c>
      <c r="B291" s="59" t="str">
        <f>IFERROR(HYPERLINK(VLOOKUP(A291,Internal_lists_bugs!$A$2:$C$73,3,FALSE()), VLOOKUP(A291,Internal_lists_bugs!$A$2:$C$73,3,FALSE())&amp;Char(10) &amp; Char(10) &amp; VLOOKUP(A291,Internal_lists_bugs!$A$2:$Z$73,26,FALSE())),"please select a BUG ID")</f>
        <v>
</v>
      </c>
      <c r="C291" s="39" t="str">
        <f>IFERROR(VLOOKUP(A291,Internal_lists_bugs!$A$2:$G2011,7,FALSE()),"please select a BUG ID")</f>
        <v>https://opendev.org/openstack/nova/commit/6982d8534d78d9732fc8d6e05c8f3bb432d62264</v>
      </c>
      <c r="D291" s="16" t="s">
        <v>1219</v>
      </c>
      <c r="E291" s="50"/>
      <c r="F291" s="43"/>
      <c r="G291" s="50"/>
      <c r="H291" s="16" t="s">
        <v>1197</v>
      </c>
    </row>
    <row r="292">
      <c r="A292" s="16" t="s">
        <v>35</v>
      </c>
      <c r="B292" s="59" t="str">
        <f>IFERROR(HYPERLINK(VLOOKUP(A292,Internal_lists_bugs!$A$2:$C$73,3,FALSE()), VLOOKUP(A292,Internal_lists_bugs!$A$2:$C$73,3,FALSE())&amp;Char(10) &amp; Char(10) &amp; VLOOKUP(A292,Internal_lists_bugs!$A$2:$Z$73,26,FALSE())),"please select a BUG ID")</f>
        <v>
</v>
      </c>
      <c r="C292" s="39" t="str">
        <f>IFERROR(VLOOKUP(A292,Internal_lists_bugs!$A$2:$G2011,7,FALSE()),"please select a BUG ID")</f>
        <v>https://opendev.org/openstack/nova/commit/6982d8534d78d9732fc8d6e05c8f3bb432d62264</v>
      </c>
      <c r="D292" s="16" t="s">
        <v>1199</v>
      </c>
      <c r="E292" s="50"/>
      <c r="F292" s="43"/>
      <c r="G292" s="50"/>
      <c r="H292" s="16" t="s">
        <v>1198</v>
      </c>
    </row>
    <row r="293">
      <c r="A293" s="16" t="s">
        <v>35</v>
      </c>
      <c r="B293" s="59" t="str">
        <f>IFERROR(HYPERLINK(VLOOKUP(A293,Internal_lists_bugs!$A$2:$C$73,3,FALSE()), VLOOKUP(A293,Internal_lists_bugs!$A$2:$C$73,3,FALSE())&amp;Char(10) &amp; Char(10) &amp; VLOOKUP(A293,Internal_lists_bugs!$A$2:$Z$73,26,FALSE())),"please select a BUG ID")</f>
        <v>
</v>
      </c>
      <c r="C293" s="39" t="str">
        <f>IFERROR(VLOOKUP(A293,Internal_lists_bugs!$A$2:$G2011,7,FALSE()),"please select a BUG ID")</f>
        <v>https://opendev.org/openstack/nova/commit/6982d8534d78d9732fc8d6e05c8f3bb432d62264</v>
      </c>
      <c r="D293" s="16" t="s">
        <v>1201</v>
      </c>
      <c r="E293" s="50"/>
      <c r="F293" s="43"/>
      <c r="G293" s="50"/>
      <c r="H293" s="16" t="s">
        <v>1200</v>
      </c>
    </row>
    <row r="294">
      <c r="A294" s="16" t="s">
        <v>35</v>
      </c>
      <c r="B294" s="59" t="str">
        <f>IFERROR(HYPERLINK(VLOOKUP(A294,Internal_lists_bugs!$A$2:$C$73,3,FALSE()), VLOOKUP(A294,Internal_lists_bugs!$A$2:$C$73,3,FALSE())&amp;Char(10) &amp; Char(10) &amp; VLOOKUP(A294,Internal_lists_bugs!$A$2:$Z$73,26,FALSE())),"please select a BUG ID")</f>
        <v>
</v>
      </c>
      <c r="C294" s="39" t="str">
        <f>IFERROR(VLOOKUP(A294,Internal_lists_bugs!$A$2:$G2011,7,FALSE()),"please select a BUG ID")</f>
        <v>https://opendev.org/openstack/nova/commit/6982d8534d78d9732fc8d6e05c8f3bb432d62264</v>
      </c>
      <c r="D294" s="16" t="s">
        <v>1202</v>
      </c>
      <c r="E294" s="50"/>
      <c r="F294" s="43"/>
      <c r="G294" s="50"/>
      <c r="H294" s="43"/>
    </row>
    <row r="295">
      <c r="A295" s="16" t="s">
        <v>35</v>
      </c>
      <c r="B295" s="59" t="str">
        <f>IFERROR(HYPERLINK(VLOOKUP(A295,Internal_lists_bugs!$A$2:$C$73,3,FALSE()), VLOOKUP(A295,Internal_lists_bugs!$A$2:$C$73,3,FALSE())&amp;Char(10) &amp; Char(10) &amp; VLOOKUP(A295,Internal_lists_bugs!$A$2:$Z$73,26,FALSE())),"please select a BUG ID")</f>
        <v>
</v>
      </c>
      <c r="C295" s="39" t="str">
        <f>IFERROR(VLOOKUP(A295,Internal_lists_bugs!$A$2:$G2011,7,FALSE()),"please select a BUG ID")</f>
        <v>https://opendev.org/openstack/nova/commit/6982d8534d78d9732fc8d6e05c8f3bb432d62264</v>
      </c>
      <c r="D295" s="16" t="s">
        <v>1173</v>
      </c>
      <c r="E295" s="50"/>
      <c r="F295" s="43"/>
      <c r="G295" s="50"/>
      <c r="H295" s="16" t="s">
        <v>1210</v>
      </c>
    </row>
    <row r="296">
      <c r="A296" s="16" t="s">
        <v>35</v>
      </c>
      <c r="B296" s="59" t="str">
        <f>IFERROR(HYPERLINK(VLOOKUP(A296,Internal_lists_bugs!$A$2:$C$73,3,FALSE()), VLOOKUP(A296,Internal_lists_bugs!$A$2:$C$73,3,FALSE())&amp;Char(10) &amp; Char(10) &amp; VLOOKUP(A296,Internal_lists_bugs!$A$2:$Z$73,26,FALSE())),"please select a BUG ID")</f>
        <v>
</v>
      </c>
      <c r="C296" s="39" t="str">
        <f>IFERROR(VLOOKUP(A296,Internal_lists_bugs!$A$2:$G2011,7,FALSE()),"please select a BUG ID")</f>
        <v>https://opendev.org/openstack/nova/commit/6982d8534d78d9732fc8d6e05c8f3bb432d62264</v>
      </c>
      <c r="D296" s="16" t="s">
        <v>1211</v>
      </c>
      <c r="E296" s="50"/>
      <c r="F296" s="43"/>
      <c r="G296" s="50"/>
      <c r="H296" s="16" t="s">
        <v>1215</v>
      </c>
    </row>
    <row r="297">
      <c r="A297" s="16" t="s">
        <v>35</v>
      </c>
      <c r="B297" s="59" t="str">
        <f>IFERROR(HYPERLINK(VLOOKUP(A297,Internal_lists_bugs!$A$2:$C$73,3,FALSE()), VLOOKUP(A297,Internal_lists_bugs!$A$2:$C$73,3,FALSE())&amp;Char(10) &amp; Char(10) &amp; VLOOKUP(A297,Internal_lists_bugs!$A$2:$Z$73,26,FALSE())),"please select a BUG ID")</f>
        <v>
</v>
      </c>
      <c r="C297" s="39" t="str">
        <f>IFERROR(VLOOKUP(A297,Internal_lists_bugs!$A$2:$G2011,7,FALSE()),"please select a BUG ID")</f>
        <v>https://opendev.org/openstack/nova/commit/6982d8534d78d9732fc8d6e05c8f3bb432d62264</v>
      </c>
      <c r="D297" s="16" t="s">
        <v>1205</v>
      </c>
      <c r="E297" s="50"/>
      <c r="F297" s="43"/>
      <c r="G297" s="50"/>
      <c r="H297" s="43"/>
    </row>
    <row r="298">
      <c r="A298" s="16" t="s">
        <v>35</v>
      </c>
      <c r="B298" s="59" t="str">
        <f>IFERROR(HYPERLINK(VLOOKUP(A298,Internal_lists_bugs!$A$2:$C$73,3,FALSE()), VLOOKUP(A298,Internal_lists_bugs!$A$2:$C$73,3,FALSE())&amp;Char(10) &amp; Char(10) &amp; VLOOKUP(A298,Internal_lists_bugs!$A$2:$Z$73,26,FALSE())),"please select a BUG ID")</f>
        <v>
</v>
      </c>
      <c r="C298" s="39" t="str">
        <f>IFERROR(VLOOKUP(A298,Internal_lists_bugs!$A$2:$G2011,7,FALSE()),"please select a BUG ID")</f>
        <v>https://opendev.org/openstack/nova/commit/6982d8534d78d9732fc8d6e05c8f3bb432d62264</v>
      </c>
      <c r="D298" s="16" t="s">
        <v>1183</v>
      </c>
      <c r="E298" s="50"/>
      <c r="F298" s="43"/>
      <c r="G298" s="50"/>
      <c r="H298" s="43"/>
    </row>
    <row r="299">
      <c r="A299" s="16" t="s">
        <v>35</v>
      </c>
      <c r="B299" s="59" t="str">
        <f>IFERROR(HYPERLINK(VLOOKUP(A299,Internal_lists_bugs!$A$2:$C$73,3,FALSE()), VLOOKUP(A299,Internal_lists_bugs!$A$2:$C$73,3,FALSE())&amp;Char(10) &amp; Char(10) &amp; VLOOKUP(A299,Internal_lists_bugs!$A$2:$Z$73,26,FALSE())),"please select a BUG ID")</f>
        <v>
</v>
      </c>
      <c r="C299" s="39" t="str">
        <f>IFERROR(VLOOKUP(A299,Internal_lists_bugs!$A$2:$G2011,7,FALSE()),"please select a BUG ID")</f>
        <v>https://opendev.org/openstack/nova/commit/6982d8534d78d9732fc8d6e05c8f3bb432d62264</v>
      </c>
      <c r="D299" s="16" t="s">
        <v>1184</v>
      </c>
      <c r="E299" s="50"/>
      <c r="F299" s="43"/>
      <c r="G299" s="50"/>
      <c r="H299" s="43"/>
    </row>
    <row r="300">
      <c r="A300" s="16" t="s">
        <v>35</v>
      </c>
      <c r="B300" s="59" t="str">
        <f>IFERROR(HYPERLINK(VLOOKUP(A300,Internal_lists_bugs!$A$2:$C$73,3,FALSE()), VLOOKUP(A300,Internal_lists_bugs!$A$2:$C$73,3,FALSE())&amp;Char(10) &amp; Char(10) &amp; VLOOKUP(A300,Internal_lists_bugs!$A$2:$Z$73,26,FALSE())),"please select a BUG ID")</f>
        <v>
</v>
      </c>
      <c r="C300" s="39" t="str">
        <f>IFERROR(VLOOKUP(A300,Internal_lists_bugs!$A$2:$G2011,7,FALSE()),"please select a BUG ID")</f>
        <v>https://opendev.org/openstack/nova/commit/6982d8534d78d9732fc8d6e05c8f3bb432d62264</v>
      </c>
      <c r="D300" s="16" t="s">
        <v>1185</v>
      </c>
      <c r="E300" s="50"/>
      <c r="F300" s="43"/>
      <c r="G300" s="50"/>
      <c r="H300" s="43"/>
    </row>
    <row r="301">
      <c r="A301" s="16" t="s">
        <v>35</v>
      </c>
      <c r="B301" s="59" t="str">
        <f>IFERROR(HYPERLINK(VLOOKUP(A301,Internal_lists_bugs!$A$2:$C$73,3,FALSE()), VLOOKUP(A301,Internal_lists_bugs!$A$2:$C$73,3,FALSE())&amp;Char(10) &amp; Char(10) &amp; VLOOKUP(A301,Internal_lists_bugs!$A$2:$Z$73,26,FALSE())),"please select a BUG ID")</f>
        <v>
</v>
      </c>
      <c r="C301" s="39" t="str">
        <f>IFERROR(VLOOKUP(A301,Internal_lists_bugs!$A$2:$G2011,7,FALSE()),"please select a BUG ID")</f>
        <v>https://opendev.org/openstack/nova/commit/6982d8534d78d9732fc8d6e05c8f3bb432d62264</v>
      </c>
      <c r="D301" s="16" t="s">
        <v>1196</v>
      </c>
      <c r="E301" s="50"/>
      <c r="F301" s="43"/>
      <c r="G301" s="50"/>
      <c r="H301" s="43"/>
    </row>
    <row r="302">
      <c r="A302" s="16" t="s">
        <v>35</v>
      </c>
      <c r="B302" s="59" t="str">
        <f>IFERROR(HYPERLINK(VLOOKUP(A302,Internal_lists_bugs!$A$2:$C$73,3,FALSE()), VLOOKUP(A302,Internal_lists_bugs!$A$2:$C$73,3,FALSE())&amp;Char(10) &amp; Char(10) &amp; VLOOKUP(A302,Internal_lists_bugs!$A$2:$Z$73,26,FALSE())),"please select a BUG ID")</f>
        <v>
</v>
      </c>
      <c r="C302" s="39" t="str">
        <f>IFERROR(VLOOKUP(A302,Internal_lists_bugs!$A$2:$G2011,7,FALSE()),"please select a BUG ID")</f>
        <v>https://opendev.org/openstack/nova/commit/6982d8534d78d9732fc8d6e05c8f3bb432d62264</v>
      </c>
      <c r="D302" s="16" t="s">
        <v>1187</v>
      </c>
      <c r="E302" s="50"/>
      <c r="F302" s="43"/>
      <c r="G302" s="50"/>
      <c r="H302" s="43"/>
    </row>
    <row r="303">
      <c r="A303" s="16" t="s">
        <v>35</v>
      </c>
      <c r="B303" s="59" t="str">
        <f>IFERROR(HYPERLINK(VLOOKUP(A303,Internal_lists_bugs!$A$2:$C$73,3,FALSE()), VLOOKUP(A303,Internal_lists_bugs!$A$2:$C$73,3,FALSE())&amp;Char(10) &amp; Char(10) &amp; VLOOKUP(A303,Internal_lists_bugs!$A$2:$Z$73,26,FALSE())),"please select a BUG ID")</f>
        <v>
</v>
      </c>
      <c r="C303" s="39" t="str">
        <f>IFERROR(VLOOKUP(A303,Internal_lists_bugs!$A$2:$G2011,7,FALSE()),"please select a BUG ID")</f>
        <v>https://opendev.org/openstack/nova/commit/6982d8534d78d9732fc8d6e05c8f3bb432d62264</v>
      </c>
      <c r="D303" s="16" t="s">
        <v>1206</v>
      </c>
      <c r="E303" s="50"/>
      <c r="F303" s="43"/>
      <c r="G303" s="50"/>
      <c r="H303" s="43"/>
    </row>
    <row r="304">
      <c r="A304" s="16" t="s">
        <v>35</v>
      </c>
      <c r="B304" s="59" t="str">
        <f>IFERROR(HYPERLINK(VLOOKUP(A304,Internal_lists_bugs!$A$2:$C$73,3,FALSE()), VLOOKUP(A304,Internal_lists_bugs!$A$2:$C$73,3,FALSE())&amp;Char(10) &amp; Char(10) &amp; VLOOKUP(A304,Internal_lists_bugs!$A$2:$Z$73,26,FALSE())),"please select a BUG ID")</f>
        <v>
</v>
      </c>
      <c r="C304" s="39" t="str">
        <f>IFERROR(VLOOKUP(A304,Internal_lists_bugs!$A$2:$G2011,7,FALSE()),"please select a BUG ID")</f>
        <v>https://opendev.org/openstack/nova/commit/6982d8534d78d9732fc8d6e05c8f3bb432d62264</v>
      </c>
      <c r="D304" s="16" t="s">
        <v>1213</v>
      </c>
      <c r="E304" s="50"/>
      <c r="F304" s="43"/>
      <c r="G304" s="50"/>
      <c r="H304" s="43"/>
    </row>
    <row r="305">
      <c r="A305" s="16" t="s">
        <v>35</v>
      </c>
      <c r="B305" s="59" t="str">
        <f>IFERROR(HYPERLINK(VLOOKUP(A305,Internal_lists_bugs!$A$2:$C$73,3,FALSE()), VLOOKUP(A305,Internal_lists_bugs!$A$2:$C$73,3,FALSE())&amp;Char(10) &amp; Char(10) &amp; VLOOKUP(A305,Internal_lists_bugs!$A$2:$Z$73,26,FALSE())),"please select a BUG ID")</f>
        <v>
</v>
      </c>
      <c r="C305" s="39" t="str">
        <f>IFERROR(VLOOKUP(A305,Internal_lists_bugs!$A$2:$G2011,7,FALSE()),"please select a BUG ID")</f>
        <v>https://opendev.org/openstack/nova/commit/6982d8534d78d9732fc8d6e05c8f3bb432d62264</v>
      </c>
      <c r="D305" s="16" t="s">
        <v>1223</v>
      </c>
      <c r="E305" s="50"/>
      <c r="F305" s="43"/>
      <c r="G305" s="50"/>
      <c r="H305" s="43"/>
    </row>
    <row r="306">
      <c r="A306" s="16" t="s">
        <v>35</v>
      </c>
      <c r="B306" s="59" t="str">
        <f>IFERROR(HYPERLINK(VLOOKUP(A306,Internal_lists_bugs!$A$2:$C$73,3,FALSE()), VLOOKUP(A306,Internal_lists_bugs!$A$2:$C$73,3,FALSE())&amp;Char(10) &amp; Char(10) &amp; VLOOKUP(A306,Internal_lists_bugs!$A$2:$Z$73,26,FALSE())),"please select a BUG ID")</f>
        <v>
</v>
      </c>
      <c r="C306" s="39" t="str">
        <f>IFERROR(VLOOKUP(A306,Internal_lists_bugs!$A$2:$G2011,7,FALSE()),"please select a BUG ID")</f>
        <v>https://opendev.org/openstack/nova/commit/6982d8534d78d9732fc8d6e05c8f3bb432d62264</v>
      </c>
      <c r="D306" s="16" t="s">
        <v>1214</v>
      </c>
      <c r="E306" s="50"/>
      <c r="F306" s="43"/>
      <c r="G306" s="50"/>
      <c r="H306" s="43"/>
    </row>
    <row r="307">
      <c r="A307" s="16" t="s">
        <v>37</v>
      </c>
      <c r="B307" s="59" t="str">
        <f>IFERROR(HYPERLINK(VLOOKUP(A307,Internal_lists_bugs!$A$2:$C$73,3,FALSE()), VLOOKUP(A307,Internal_lists_bugs!$A$2:$C$73,3,FALSE())&amp;Char(10) &amp; Char(10) &amp; VLOOKUP(A307,Internal_lists_bugs!$A$2:$Z$73,26,FALSE())),"please select a BUG ID")</f>
        <v>
</v>
      </c>
      <c r="C307" s="39" t="str">
        <f>IFERROR(VLOOKUP(A307,Internal_lists_bugs!$A$2:$G2011,7,FALSE()),"please select a BUG ID")</f>
        <v>https://opendev.org/openstack/nova/commit/8218a86dedd50301252598667171d17d874bb36d</v>
      </c>
      <c r="D307" s="16" t="s">
        <v>1220</v>
      </c>
      <c r="E307" s="50"/>
      <c r="F307" s="16" t="s">
        <v>1174</v>
      </c>
      <c r="G307" s="50"/>
      <c r="H307" s="16" t="s">
        <v>1221</v>
      </c>
    </row>
    <row r="308">
      <c r="A308" s="16" t="s">
        <v>37</v>
      </c>
      <c r="B308" s="59" t="str">
        <f>IFERROR(HYPERLINK(VLOOKUP(A308,Internal_lists_bugs!$A$2:$C$73,3,FALSE()), VLOOKUP(A308,Internal_lists_bugs!$A$2:$C$73,3,FALSE())&amp;Char(10) &amp; Char(10) &amp; VLOOKUP(A308,Internal_lists_bugs!$A$2:$Z$73,26,FALSE())),"please select a BUG ID")</f>
        <v>
</v>
      </c>
      <c r="C308" s="39" t="str">
        <f>IFERROR(VLOOKUP(A308,Internal_lists_bugs!$A$2:$G2011,7,FALSE()),"please select a BUG ID")</f>
        <v>https://opendev.org/openstack/nova/commit/8218a86dedd50301252598667171d17d874bb36d</v>
      </c>
      <c r="D308" s="16" t="s">
        <v>1209</v>
      </c>
      <c r="E308" s="50"/>
      <c r="F308" s="43"/>
      <c r="G308" s="50"/>
      <c r="H308" s="16" t="s">
        <v>1212</v>
      </c>
    </row>
    <row r="309">
      <c r="A309" s="16" t="s">
        <v>37</v>
      </c>
      <c r="B309" s="59" t="str">
        <f>IFERROR(HYPERLINK(VLOOKUP(A309,Internal_lists_bugs!$A$2:$C$73,3,FALSE()), VLOOKUP(A309,Internal_lists_bugs!$A$2:$C$73,3,FALSE())&amp;Char(10) &amp; Char(10) &amp; VLOOKUP(A309,Internal_lists_bugs!$A$2:$Z$73,26,FALSE())),"please select a BUG ID")</f>
        <v>
</v>
      </c>
      <c r="C309" s="39" t="str">
        <f>IFERROR(VLOOKUP(A309,Internal_lists_bugs!$A$2:$G2011,7,FALSE()),"please select a BUG ID")</f>
        <v>https://opendev.org/openstack/nova/commit/8218a86dedd50301252598667171d17d874bb36d</v>
      </c>
      <c r="D309" s="16" t="s">
        <v>1178</v>
      </c>
      <c r="E309" s="50"/>
      <c r="F309" s="43"/>
      <c r="G309" s="50"/>
      <c r="H309" s="16" t="s">
        <v>1203</v>
      </c>
    </row>
    <row r="310">
      <c r="A310" s="16" t="s">
        <v>37</v>
      </c>
      <c r="B310" s="59" t="str">
        <f>IFERROR(HYPERLINK(VLOOKUP(A310,Internal_lists_bugs!$A$2:$C$73,3,FALSE()), VLOOKUP(A310,Internal_lists_bugs!$A$2:$C$73,3,FALSE())&amp;Char(10) &amp; Char(10) &amp; VLOOKUP(A310,Internal_lists_bugs!$A$2:$Z$73,26,FALSE())),"please select a BUG ID")</f>
        <v>
</v>
      </c>
      <c r="C310" s="39" t="str">
        <f>IFERROR(VLOOKUP(A310,Internal_lists_bugs!$A$2:$G2011,7,FALSE()),"please select a BUG ID")</f>
        <v>https://opendev.org/openstack/nova/commit/8218a86dedd50301252598667171d17d874bb36d</v>
      </c>
      <c r="D310" s="16" t="s">
        <v>1182</v>
      </c>
      <c r="E310" s="50"/>
      <c r="F310" s="43"/>
      <c r="G310" s="50"/>
      <c r="H310" s="16" t="s">
        <v>1175</v>
      </c>
    </row>
    <row r="311">
      <c r="A311" s="16" t="s">
        <v>37</v>
      </c>
      <c r="B311" s="59" t="str">
        <f>IFERROR(HYPERLINK(VLOOKUP(A311,Internal_lists_bugs!$A$2:$C$73,3,FALSE()), VLOOKUP(A311,Internal_lists_bugs!$A$2:$C$73,3,FALSE())&amp;Char(10) &amp; Char(10) &amp; VLOOKUP(A311,Internal_lists_bugs!$A$2:$Z$73,26,FALSE())),"please select a BUG ID")</f>
        <v>
</v>
      </c>
      <c r="C311" s="39" t="str">
        <f>IFERROR(VLOOKUP(A311,Internal_lists_bugs!$A$2:$G2011,7,FALSE()),"please select a BUG ID")</f>
        <v>https://opendev.org/openstack/nova/commit/8218a86dedd50301252598667171d17d874bb36d</v>
      </c>
      <c r="D311" s="16" t="s">
        <v>1191</v>
      </c>
      <c r="E311" s="50"/>
      <c r="F311" s="43"/>
      <c r="G311" s="50"/>
      <c r="H311" s="16" t="s">
        <v>1224</v>
      </c>
    </row>
    <row r="312">
      <c r="A312" s="16" t="s">
        <v>37</v>
      </c>
      <c r="B312" s="59" t="str">
        <f>IFERROR(HYPERLINK(VLOOKUP(A312,Internal_lists_bugs!$A$2:$C$73,3,FALSE()), VLOOKUP(A312,Internal_lists_bugs!$A$2:$C$73,3,FALSE())&amp;Char(10) &amp; Char(10) &amp; VLOOKUP(A312,Internal_lists_bugs!$A$2:$Z$73,26,FALSE())),"please select a BUG ID")</f>
        <v>
</v>
      </c>
      <c r="C312" s="39" t="str">
        <f>IFERROR(VLOOKUP(A312,Internal_lists_bugs!$A$2:$G2011,7,FALSE()),"please select a BUG ID")</f>
        <v>https://opendev.org/openstack/nova/commit/8218a86dedd50301252598667171d17d874bb36d</v>
      </c>
      <c r="D312" s="16" t="s">
        <v>1218</v>
      </c>
      <c r="E312" s="50"/>
      <c r="F312" s="43"/>
      <c r="G312" s="50"/>
      <c r="H312" s="16" t="s">
        <v>1222</v>
      </c>
    </row>
    <row r="313">
      <c r="A313" s="16" t="s">
        <v>37</v>
      </c>
      <c r="B313" s="59" t="str">
        <f>IFERROR(HYPERLINK(VLOOKUP(A313,Internal_lists_bugs!$A$2:$C$73,3,FALSE()), VLOOKUP(A313,Internal_lists_bugs!$A$2:$C$73,3,FALSE())&amp;Char(10) &amp; Char(10) &amp; VLOOKUP(A313,Internal_lists_bugs!$A$2:$Z$73,26,FALSE())),"please select a BUG ID")</f>
        <v>
</v>
      </c>
      <c r="C313" s="39" t="str">
        <f>IFERROR(VLOOKUP(A313,Internal_lists_bugs!$A$2:$G2011,7,FALSE()),"please select a BUG ID")</f>
        <v>https://opendev.org/openstack/nova/commit/8218a86dedd50301252598667171d17d874bb36d</v>
      </c>
      <c r="D313" s="16" t="s">
        <v>1219</v>
      </c>
      <c r="E313" s="50"/>
      <c r="F313" s="43"/>
      <c r="G313" s="50"/>
      <c r="H313" s="16" t="s">
        <v>1197</v>
      </c>
    </row>
    <row r="314">
      <c r="A314" s="16" t="s">
        <v>37</v>
      </c>
      <c r="B314" s="59" t="str">
        <f>IFERROR(HYPERLINK(VLOOKUP(A314,Internal_lists_bugs!$A$2:$C$73,3,FALSE()), VLOOKUP(A314,Internal_lists_bugs!$A$2:$C$73,3,FALSE())&amp;Char(10) &amp; Char(10) &amp; VLOOKUP(A314,Internal_lists_bugs!$A$2:$Z$73,26,FALSE())),"please select a BUG ID")</f>
        <v>
</v>
      </c>
      <c r="C314" s="39" t="str">
        <f>IFERROR(VLOOKUP(A314,Internal_lists_bugs!$A$2:$G2011,7,FALSE()),"please select a BUG ID")</f>
        <v>https://opendev.org/openstack/nova/commit/8218a86dedd50301252598667171d17d874bb36d</v>
      </c>
      <c r="D314" s="16" t="s">
        <v>1199</v>
      </c>
      <c r="E314" s="50"/>
      <c r="F314" s="43"/>
      <c r="G314" s="50"/>
      <c r="H314" s="16" t="s">
        <v>1179</v>
      </c>
    </row>
    <row r="315">
      <c r="A315" s="16" t="s">
        <v>37</v>
      </c>
      <c r="B315" s="59" t="str">
        <f>IFERROR(HYPERLINK(VLOOKUP(A315,Internal_lists_bugs!$A$2:$C$73,3,FALSE()), VLOOKUP(A315,Internal_lists_bugs!$A$2:$C$73,3,FALSE())&amp;Char(10) &amp; Char(10) &amp; VLOOKUP(A315,Internal_lists_bugs!$A$2:$Z$73,26,FALSE())),"please select a BUG ID")</f>
        <v>
</v>
      </c>
      <c r="C315" s="39" t="str">
        <f>IFERROR(VLOOKUP(A315,Internal_lists_bugs!$A$2:$G2011,7,FALSE()),"please select a BUG ID")</f>
        <v>https://opendev.org/openstack/nova/commit/8218a86dedd50301252598667171d17d874bb36d</v>
      </c>
      <c r="D315" s="16" t="s">
        <v>1201</v>
      </c>
      <c r="E315" s="50"/>
      <c r="F315" s="43"/>
      <c r="G315" s="50"/>
      <c r="H315" s="16" t="s">
        <v>1198</v>
      </c>
    </row>
    <row r="316">
      <c r="A316" s="16" t="s">
        <v>37</v>
      </c>
      <c r="B316" s="59" t="str">
        <f>IFERROR(HYPERLINK(VLOOKUP(A316,Internal_lists_bugs!$A$2:$C$73,3,FALSE()), VLOOKUP(A316,Internal_lists_bugs!$A$2:$C$73,3,FALSE())&amp;Char(10) &amp; Char(10) &amp; VLOOKUP(A316,Internal_lists_bugs!$A$2:$Z$73,26,FALSE())),"please select a BUG ID")</f>
        <v>
</v>
      </c>
      <c r="C316" s="39" t="str">
        <f>IFERROR(VLOOKUP(A316,Internal_lists_bugs!$A$2:$G2011,7,FALSE()),"please select a BUG ID")</f>
        <v>https://opendev.org/openstack/nova/commit/8218a86dedd50301252598667171d17d874bb36d</v>
      </c>
      <c r="D316" s="16" t="s">
        <v>1202</v>
      </c>
      <c r="E316" s="50"/>
      <c r="F316" s="43"/>
      <c r="G316" s="50"/>
      <c r="H316" s="16" t="s">
        <v>1210</v>
      </c>
    </row>
    <row r="317">
      <c r="A317" s="16" t="s">
        <v>37</v>
      </c>
      <c r="B317" s="59" t="str">
        <f>IFERROR(HYPERLINK(VLOOKUP(A317,Internal_lists_bugs!$A$2:$C$73,3,FALSE()), VLOOKUP(A317,Internal_lists_bugs!$A$2:$C$73,3,FALSE())&amp;Char(10) &amp; Char(10) &amp; VLOOKUP(A317,Internal_lists_bugs!$A$2:$Z$73,26,FALSE())),"please select a BUG ID")</f>
        <v>
</v>
      </c>
      <c r="C317" s="39" t="str">
        <f>IFERROR(VLOOKUP(A317,Internal_lists_bugs!$A$2:$G2011,7,FALSE()),"please select a BUG ID")</f>
        <v>https://opendev.org/openstack/nova/commit/8218a86dedd50301252598667171d17d874bb36d</v>
      </c>
      <c r="D317" s="16" t="s">
        <v>1173</v>
      </c>
      <c r="E317" s="50"/>
      <c r="F317" s="43"/>
      <c r="G317" s="50"/>
      <c r="H317" s="16" t="s">
        <v>1200</v>
      </c>
    </row>
    <row r="318">
      <c r="A318" s="16" t="s">
        <v>37</v>
      </c>
      <c r="B318" s="59" t="str">
        <f>IFERROR(HYPERLINK(VLOOKUP(A318,Internal_lists_bugs!$A$2:$C$73,3,FALSE()), VLOOKUP(A318,Internal_lists_bugs!$A$2:$C$73,3,FALSE())&amp;Char(10) &amp; Char(10) &amp; VLOOKUP(A318,Internal_lists_bugs!$A$2:$Z$73,26,FALSE())),"please select a BUG ID")</f>
        <v>
</v>
      </c>
      <c r="C318" s="39" t="str">
        <f>IFERROR(VLOOKUP(A318,Internal_lists_bugs!$A$2:$G2011,7,FALSE()),"please select a BUG ID")</f>
        <v>https://opendev.org/openstack/nova/commit/8218a86dedd50301252598667171d17d874bb36d</v>
      </c>
      <c r="D318" s="16" t="s">
        <v>1211</v>
      </c>
      <c r="E318" s="50"/>
      <c r="F318" s="43"/>
      <c r="G318" s="50"/>
      <c r="H318" s="16" t="s">
        <v>1215</v>
      </c>
    </row>
    <row r="319">
      <c r="A319" s="16" t="s">
        <v>37</v>
      </c>
      <c r="B319" s="59" t="str">
        <f>IFERROR(HYPERLINK(VLOOKUP(A319,Internal_lists_bugs!$A$2:$C$73,3,FALSE()), VLOOKUP(A319,Internal_lists_bugs!$A$2:$C$73,3,FALSE())&amp;Char(10) &amp; Char(10) &amp; VLOOKUP(A319,Internal_lists_bugs!$A$2:$Z$73,26,FALSE())),"please select a BUG ID")</f>
        <v>
</v>
      </c>
      <c r="C319" s="39" t="str">
        <f>IFERROR(VLOOKUP(A319,Internal_lists_bugs!$A$2:$G2011,7,FALSE()),"please select a BUG ID")</f>
        <v>https://opendev.org/openstack/nova/commit/8218a86dedd50301252598667171d17d874bb36d</v>
      </c>
      <c r="D319" s="16" t="s">
        <v>1214</v>
      </c>
      <c r="E319" s="50"/>
      <c r="F319" s="43"/>
      <c r="G319" s="50"/>
      <c r="H319" s="16" t="s">
        <v>1177</v>
      </c>
    </row>
    <row r="320">
      <c r="A320" s="16" t="s">
        <v>37</v>
      </c>
      <c r="B320" s="59" t="str">
        <f>IFERROR(HYPERLINK(VLOOKUP(A320,Internal_lists_bugs!$A$2:$C$73,3,FALSE()), VLOOKUP(A320,Internal_lists_bugs!$A$2:$C$73,3,FALSE())&amp;Char(10) &amp; Char(10) &amp; VLOOKUP(A320,Internal_lists_bugs!$A$2:$Z$73,26,FALSE())),"please select a BUG ID")</f>
        <v>
</v>
      </c>
      <c r="C320" s="39" t="str">
        <f>IFERROR(VLOOKUP(A320,Internal_lists_bugs!$A$2:$G2011,7,FALSE()),"please select a BUG ID")</f>
        <v>https://opendev.org/openstack/nova/commit/8218a86dedd50301252598667171d17d874bb36d</v>
      </c>
      <c r="D320" s="16" t="s">
        <v>1205</v>
      </c>
      <c r="E320" s="50"/>
      <c r="F320" s="43"/>
      <c r="G320" s="50"/>
      <c r="H320" s="16" t="s">
        <v>1225</v>
      </c>
    </row>
    <row r="321">
      <c r="A321" s="16" t="s">
        <v>37</v>
      </c>
      <c r="B321" s="59" t="str">
        <f>IFERROR(HYPERLINK(VLOOKUP(A321,Internal_lists_bugs!$A$2:$C$73,3,FALSE()), VLOOKUP(A321,Internal_lists_bugs!$A$2:$C$73,3,FALSE())&amp;Char(10) &amp; Char(10) &amp; VLOOKUP(A321,Internal_lists_bugs!$A$2:$Z$73,26,FALSE())),"please select a BUG ID")</f>
        <v>
</v>
      </c>
      <c r="C321" s="39" t="str">
        <f>IFERROR(VLOOKUP(A321,Internal_lists_bugs!$A$2:$G2011,7,FALSE()),"please select a BUG ID")</f>
        <v>https://opendev.org/openstack/nova/commit/8218a86dedd50301252598667171d17d874bb36d</v>
      </c>
      <c r="D321" s="16" t="s">
        <v>1183</v>
      </c>
      <c r="E321" s="50"/>
      <c r="F321" s="43"/>
      <c r="G321" s="50"/>
      <c r="H321" s="43"/>
    </row>
    <row r="322">
      <c r="A322" s="16" t="s">
        <v>37</v>
      </c>
      <c r="B322" s="59" t="str">
        <f>IFERROR(HYPERLINK(VLOOKUP(A322,Internal_lists_bugs!$A$2:$C$73,3,FALSE()), VLOOKUP(A322,Internal_lists_bugs!$A$2:$C$73,3,FALSE())&amp;Char(10) &amp; Char(10) &amp; VLOOKUP(A322,Internal_lists_bugs!$A$2:$Z$73,26,FALSE())),"please select a BUG ID")</f>
        <v>
</v>
      </c>
      <c r="C322" s="39" t="str">
        <f>IFERROR(VLOOKUP(A322,Internal_lists_bugs!$A$2:$G2011,7,FALSE()),"please select a BUG ID")</f>
        <v>https://opendev.org/openstack/nova/commit/8218a86dedd50301252598667171d17d874bb36d</v>
      </c>
      <c r="D322" s="16" t="s">
        <v>1184</v>
      </c>
      <c r="E322" s="50"/>
      <c r="F322" s="43"/>
      <c r="G322" s="50"/>
      <c r="H322" s="43"/>
    </row>
    <row r="323">
      <c r="A323" s="16" t="s">
        <v>37</v>
      </c>
      <c r="B323" s="59" t="str">
        <f>IFERROR(HYPERLINK(VLOOKUP(A323,Internal_lists_bugs!$A$2:$C$73,3,FALSE()), VLOOKUP(A323,Internal_lists_bugs!$A$2:$C$73,3,FALSE())&amp;Char(10) &amp; Char(10) &amp; VLOOKUP(A323,Internal_lists_bugs!$A$2:$Z$73,26,FALSE())),"please select a BUG ID")</f>
        <v>
</v>
      </c>
      <c r="C323" s="39" t="str">
        <f>IFERROR(VLOOKUP(A323,Internal_lists_bugs!$A$2:$G2011,7,FALSE()),"please select a BUG ID")</f>
        <v>https://opendev.org/openstack/nova/commit/8218a86dedd50301252598667171d17d874bb36d</v>
      </c>
      <c r="D323" s="16" t="s">
        <v>1185</v>
      </c>
      <c r="E323" s="50"/>
      <c r="F323" s="43"/>
      <c r="G323" s="50"/>
      <c r="H323" s="43"/>
    </row>
    <row r="324">
      <c r="A324" s="16" t="s">
        <v>37</v>
      </c>
      <c r="B324" s="59" t="str">
        <f>IFERROR(HYPERLINK(VLOOKUP(A324,Internal_lists_bugs!$A$2:$C$73,3,FALSE()), VLOOKUP(A324,Internal_lists_bugs!$A$2:$C$73,3,FALSE())&amp;Char(10) &amp; Char(10) &amp; VLOOKUP(A324,Internal_lists_bugs!$A$2:$Z$73,26,FALSE())),"please select a BUG ID")</f>
        <v>
</v>
      </c>
      <c r="C324" s="39" t="str">
        <f>IFERROR(VLOOKUP(A324,Internal_lists_bugs!$A$2:$G2011,7,FALSE()),"please select a BUG ID")</f>
        <v>https://opendev.org/openstack/nova/commit/8218a86dedd50301252598667171d17d874bb36d</v>
      </c>
      <c r="D324" s="16" t="s">
        <v>1196</v>
      </c>
      <c r="E324" s="50"/>
      <c r="F324" s="43"/>
      <c r="G324" s="50"/>
      <c r="H324" s="43"/>
    </row>
    <row r="325">
      <c r="A325" s="16" t="s">
        <v>37</v>
      </c>
      <c r="B325" s="59" t="str">
        <f>IFERROR(HYPERLINK(VLOOKUP(A325,Internal_lists_bugs!$A$2:$C$73,3,FALSE()), VLOOKUP(A325,Internal_lists_bugs!$A$2:$C$73,3,FALSE())&amp;Char(10) &amp; Char(10) &amp; VLOOKUP(A325,Internal_lists_bugs!$A$2:$Z$73,26,FALSE())),"please select a BUG ID")</f>
        <v>
</v>
      </c>
      <c r="C325" s="39" t="str">
        <f>IFERROR(VLOOKUP(A325,Internal_lists_bugs!$A$2:$G2011,7,FALSE()),"please select a BUG ID")</f>
        <v>https://opendev.org/openstack/nova/commit/8218a86dedd50301252598667171d17d874bb36d</v>
      </c>
      <c r="D325" s="16" t="s">
        <v>1187</v>
      </c>
      <c r="E325" s="50"/>
      <c r="F325" s="43"/>
      <c r="G325" s="50"/>
      <c r="H325" s="43"/>
    </row>
    <row r="326">
      <c r="A326" s="16" t="s">
        <v>37</v>
      </c>
      <c r="B326" s="59" t="str">
        <f>IFERROR(HYPERLINK(VLOOKUP(A326,Internal_lists_bugs!$A$2:$C$73,3,FALSE()), VLOOKUP(A326,Internal_lists_bugs!$A$2:$C$73,3,FALSE())&amp;Char(10) &amp; Char(10) &amp; VLOOKUP(A326,Internal_lists_bugs!$A$2:$Z$73,26,FALSE())),"please select a BUG ID")</f>
        <v>
</v>
      </c>
      <c r="C326" s="39" t="str">
        <f>IFERROR(VLOOKUP(A326,Internal_lists_bugs!$A$2:$G2011,7,FALSE()),"please select a BUG ID")</f>
        <v>https://opendev.org/openstack/nova/commit/8218a86dedd50301252598667171d17d874bb36d</v>
      </c>
      <c r="D326" s="16" t="s">
        <v>1206</v>
      </c>
      <c r="E326" s="50"/>
      <c r="F326" s="43"/>
      <c r="G326" s="50"/>
      <c r="H326" s="43"/>
    </row>
    <row r="327">
      <c r="A327" s="16" t="s">
        <v>37</v>
      </c>
      <c r="B327" s="59" t="str">
        <f>IFERROR(HYPERLINK(VLOOKUP(A327,Internal_lists_bugs!$A$2:$C$73,3,FALSE()), VLOOKUP(A327,Internal_lists_bugs!$A$2:$C$73,3,FALSE())&amp;Char(10) &amp; Char(10) &amp; VLOOKUP(A327,Internal_lists_bugs!$A$2:$Z$73,26,FALSE())),"please select a BUG ID")</f>
        <v>
</v>
      </c>
      <c r="C327" s="39" t="str">
        <f>IFERROR(VLOOKUP(A327,Internal_lists_bugs!$A$2:$G2011,7,FALSE()),"please select a BUG ID")</f>
        <v>https://opendev.org/openstack/nova/commit/8218a86dedd50301252598667171d17d874bb36d</v>
      </c>
      <c r="D327" s="16" t="s">
        <v>1213</v>
      </c>
      <c r="E327" s="50"/>
      <c r="F327" s="43"/>
      <c r="G327" s="50"/>
      <c r="H327" s="43"/>
    </row>
    <row r="328">
      <c r="A328" s="16" t="s">
        <v>37</v>
      </c>
      <c r="B328" s="59" t="str">
        <f>IFERROR(HYPERLINK(VLOOKUP(A328,Internal_lists_bugs!$A$2:$C$73,3,FALSE()), VLOOKUP(A328,Internal_lists_bugs!$A$2:$C$73,3,FALSE())&amp;Char(10) &amp; Char(10) &amp; VLOOKUP(A328,Internal_lists_bugs!$A$2:$Z$73,26,FALSE())),"please select a BUG ID")</f>
        <v>
</v>
      </c>
      <c r="C328" s="39" t="str">
        <f>IFERROR(VLOOKUP(A328,Internal_lists_bugs!$A$2:$G2011,7,FALSE()),"please select a BUG ID")</f>
        <v>https://opendev.org/openstack/nova/commit/8218a86dedd50301252598667171d17d874bb36d</v>
      </c>
      <c r="D328" s="16" t="s">
        <v>1226</v>
      </c>
      <c r="E328" s="50"/>
      <c r="F328" s="43"/>
      <c r="G328" s="50"/>
      <c r="H328" s="43"/>
    </row>
    <row r="329">
      <c r="A329" s="16" t="s">
        <v>37</v>
      </c>
      <c r="B329" s="59" t="str">
        <f>IFERROR(HYPERLINK(VLOOKUP(A329,Internal_lists_bugs!$A$2:$C$73,3,FALSE()), VLOOKUP(A329,Internal_lists_bugs!$A$2:$C$73,3,FALSE())&amp;Char(10) &amp; Char(10) &amp; VLOOKUP(A329,Internal_lists_bugs!$A$2:$Z$73,26,FALSE())),"please select a BUG ID")</f>
        <v>
</v>
      </c>
      <c r="C329" s="39" t="str">
        <f>IFERROR(VLOOKUP(A329,Internal_lists_bugs!$A$2:$G2011,7,FALSE()),"please select a BUG ID")</f>
        <v>https://opendev.org/openstack/nova/commit/8218a86dedd50301252598667171d17d874bb36d</v>
      </c>
      <c r="D329" s="16" t="s">
        <v>1223</v>
      </c>
      <c r="E329" s="50"/>
      <c r="F329" s="43"/>
      <c r="G329" s="50"/>
      <c r="H329" s="43"/>
    </row>
    <row r="330">
      <c r="A330" s="16" t="s">
        <v>37</v>
      </c>
      <c r="B330" s="59" t="str">
        <f>IFERROR(HYPERLINK(VLOOKUP(A330,Internal_lists_bugs!$A$2:$C$73,3,FALSE()), VLOOKUP(A330,Internal_lists_bugs!$A$2:$C$73,3,FALSE())&amp;Char(10) &amp; Char(10) &amp; VLOOKUP(A330,Internal_lists_bugs!$A$2:$Z$73,26,FALSE())),"please select a BUG ID")</f>
        <v>
</v>
      </c>
      <c r="C330" s="39" t="str">
        <f>IFERROR(VLOOKUP(A330,Internal_lists_bugs!$A$2:$G2011,7,FALSE()),"please select a BUG ID")</f>
        <v>https://opendev.org/openstack/nova/commit/8218a86dedd50301252598667171d17d874bb36d</v>
      </c>
      <c r="D330" s="16" t="s">
        <v>1227</v>
      </c>
      <c r="E330" s="50"/>
      <c r="F330" s="43"/>
      <c r="G330" s="50"/>
      <c r="H330" s="43"/>
    </row>
    <row r="331">
      <c r="A331" s="16" t="s">
        <v>37</v>
      </c>
      <c r="B331" s="59" t="str">
        <f>IFERROR(HYPERLINK(VLOOKUP(A331,Internal_lists_bugs!$A$2:$C$73,3,FALSE()), VLOOKUP(A331,Internal_lists_bugs!$A$2:$C$73,3,FALSE())&amp;Char(10) &amp; Char(10) &amp; VLOOKUP(A331,Internal_lists_bugs!$A$2:$Z$73,26,FALSE())),"please select a BUG ID")</f>
        <v>
</v>
      </c>
      <c r="C331" s="39" t="str">
        <f>IFERROR(VLOOKUP(A331,Internal_lists_bugs!$A$2:$G2011,7,FALSE()),"please select a BUG ID")</f>
        <v>https://opendev.org/openstack/nova/commit/8218a86dedd50301252598667171d17d874bb36d</v>
      </c>
      <c r="D331" s="16" t="s">
        <v>1216</v>
      </c>
      <c r="E331" s="50"/>
      <c r="F331" s="43"/>
      <c r="G331" s="50"/>
      <c r="H331" s="43"/>
    </row>
    <row r="332">
      <c r="A332" s="16" t="s">
        <v>58</v>
      </c>
      <c r="B332" s="59" t="str">
        <f>IFERROR(HYPERLINK(VLOOKUP(A332,Internal_lists_bugs!$A$2:$C$73,3,FALSE()), VLOOKUP(A332,Internal_lists_bugs!$A$2:$C$73,3,FALSE())&amp;Char(10) &amp; Char(10) &amp; VLOOKUP(A332,Internal_lists_bugs!$A$2:$Z$73,26,FALSE())),"please select a BUG ID")</f>
        <v>
</v>
      </c>
      <c r="C332" s="39" t="str">
        <f>IFERROR(VLOOKUP(A332,Internal_lists_bugs!$A$2:$G2011,7,FALSE()),"please select a BUG ID")</f>
        <v>https://opendev.org/openstack/nova/commit/1d551dc96658ade41c8e9fabc6d9b41a28d5ed15</v>
      </c>
      <c r="D332" s="16" t="s">
        <v>1220</v>
      </c>
      <c r="E332" s="50"/>
      <c r="F332" s="16" t="s">
        <v>1174</v>
      </c>
      <c r="G332" s="50"/>
      <c r="H332" s="16" t="s">
        <v>1221</v>
      </c>
    </row>
    <row r="333">
      <c r="A333" s="16" t="s">
        <v>58</v>
      </c>
      <c r="B333" s="59" t="str">
        <f>IFERROR(HYPERLINK(VLOOKUP(A333,Internal_lists_bugs!$A$2:$C$73,3,FALSE()), VLOOKUP(A333,Internal_lists_bugs!$A$2:$C$73,3,FALSE())&amp;Char(10) &amp; Char(10) &amp; VLOOKUP(A333,Internal_lists_bugs!$A$2:$Z$73,26,FALSE())),"please select a BUG ID")</f>
        <v>
</v>
      </c>
      <c r="C333" s="39" t="str">
        <f>IFERROR(VLOOKUP(A333,Internal_lists_bugs!$A$2:$G2011,7,FALSE()),"please select a BUG ID")</f>
        <v>https://opendev.org/openstack/nova/commit/1d551dc96658ade41c8e9fabc6d9b41a28d5ed15</v>
      </c>
      <c r="D333" s="16" t="s">
        <v>1209</v>
      </c>
      <c r="E333" s="50"/>
      <c r="F333" s="43"/>
      <c r="G333" s="50"/>
      <c r="H333" s="16" t="s">
        <v>1175</v>
      </c>
    </row>
    <row r="334">
      <c r="A334" s="16" t="s">
        <v>58</v>
      </c>
      <c r="B334" s="59" t="str">
        <f>IFERROR(HYPERLINK(VLOOKUP(A334,Internal_lists_bugs!$A$2:$C$73,3,FALSE()), VLOOKUP(A334,Internal_lists_bugs!$A$2:$C$73,3,FALSE())&amp;Char(10) &amp; Char(10) &amp; VLOOKUP(A334,Internal_lists_bugs!$A$2:$Z$73,26,FALSE())),"please select a BUG ID")</f>
        <v>
</v>
      </c>
      <c r="C334" s="39" t="str">
        <f>IFERROR(VLOOKUP(A334,Internal_lists_bugs!$A$2:$G2011,7,FALSE()),"please select a BUG ID")</f>
        <v>https://opendev.org/openstack/nova/commit/1d551dc96658ade41c8e9fabc6d9b41a28d5ed15</v>
      </c>
      <c r="D334" s="16" t="s">
        <v>1178</v>
      </c>
      <c r="E334" s="50"/>
      <c r="F334" s="43"/>
      <c r="G334" s="50"/>
      <c r="H334" s="16" t="s">
        <v>1203</v>
      </c>
    </row>
    <row r="335">
      <c r="A335" s="16" t="s">
        <v>58</v>
      </c>
      <c r="B335" s="59" t="str">
        <f>IFERROR(HYPERLINK(VLOOKUP(A335,Internal_lists_bugs!$A$2:$C$73,3,FALSE()), VLOOKUP(A335,Internal_lists_bugs!$A$2:$C$73,3,FALSE())&amp;Char(10) &amp; Char(10) &amp; VLOOKUP(A335,Internal_lists_bugs!$A$2:$Z$73,26,FALSE())),"please select a BUG ID")</f>
        <v>
</v>
      </c>
      <c r="C335" s="39" t="str">
        <f>IFERROR(VLOOKUP(A335,Internal_lists_bugs!$A$2:$G2011,7,FALSE()),"please select a BUG ID")</f>
        <v>https://opendev.org/openstack/nova/commit/1d551dc96658ade41c8e9fabc6d9b41a28d5ed15</v>
      </c>
      <c r="D335" s="16" t="s">
        <v>1182</v>
      </c>
      <c r="E335" s="50"/>
      <c r="F335" s="43"/>
      <c r="G335" s="50"/>
      <c r="H335" s="16" t="s">
        <v>1212</v>
      </c>
    </row>
    <row r="336">
      <c r="A336" s="16" t="s">
        <v>58</v>
      </c>
      <c r="B336" s="59" t="str">
        <f>IFERROR(HYPERLINK(VLOOKUP(A336,Internal_lists_bugs!$A$2:$C$73,3,FALSE()), VLOOKUP(A336,Internal_lists_bugs!$A$2:$C$73,3,FALSE())&amp;Char(10) &amp; Char(10) &amp; VLOOKUP(A336,Internal_lists_bugs!$A$2:$Z$73,26,FALSE())),"please select a BUG ID")</f>
        <v>
</v>
      </c>
      <c r="C336" s="39" t="str">
        <f>IFERROR(VLOOKUP(A336,Internal_lists_bugs!$A$2:$G2011,7,FALSE()),"please select a BUG ID")</f>
        <v>https://opendev.org/openstack/nova/commit/1d551dc96658ade41c8e9fabc6d9b41a28d5ed15</v>
      </c>
      <c r="D336" s="16" t="s">
        <v>1191</v>
      </c>
      <c r="E336" s="50"/>
      <c r="F336" s="43"/>
      <c r="G336" s="50"/>
      <c r="H336" s="16" t="s">
        <v>1179</v>
      </c>
    </row>
    <row r="337">
      <c r="A337" s="16" t="s">
        <v>58</v>
      </c>
      <c r="B337" s="59" t="str">
        <f>IFERROR(HYPERLINK(VLOOKUP(A337,Internal_lists_bugs!$A$2:$C$73,3,FALSE()), VLOOKUP(A337,Internal_lists_bugs!$A$2:$C$73,3,FALSE())&amp;Char(10) &amp; Char(10) &amp; VLOOKUP(A337,Internal_lists_bugs!$A$2:$Z$73,26,FALSE())),"please select a BUG ID")</f>
        <v>
</v>
      </c>
      <c r="C337" s="39" t="str">
        <f>IFERROR(VLOOKUP(A337,Internal_lists_bugs!$A$2:$G2011,7,FALSE()),"please select a BUG ID")</f>
        <v>https://opendev.org/openstack/nova/commit/1d551dc96658ade41c8e9fabc6d9b41a28d5ed15</v>
      </c>
      <c r="D337" s="16" t="s">
        <v>1218</v>
      </c>
      <c r="E337" s="50"/>
      <c r="F337" s="43"/>
      <c r="G337" s="50"/>
      <c r="H337" s="16" t="s">
        <v>1197</v>
      </c>
    </row>
    <row r="338">
      <c r="A338" s="16" t="s">
        <v>58</v>
      </c>
      <c r="B338" s="59" t="str">
        <f>IFERROR(HYPERLINK(VLOOKUP(A338,Internal_lists_bugs!$A$2:$C$73,3,FALSE()), VLOOKUP(A338,Internal_lists_bugs!$A$2:$C$73,3,FALSE())&amp;Char(10) &amp; Char(10) &amp; VLOOKUP(A338,Internal_lists_bugs!$A$2:$Z$73,26,FALSE())),"please select a BUG ID")</f>
        <v>
</v>
      </c>
      <c r="C338" s="39" t="str">
        <f>IFERROR(VLOOKUP(A338,Internal_lists_bugs!$A$2:$G2011,7,FALSE()),"please select a BUG ID")</f>
        <v>https://opendev.org/openstack/nova/commit/1d551dc96658ade41c8e9fabc6d9b41a28d5ed15</v>
      </c>
      <c r="D338" s="16" t="s">
        <v>1219</v>
      </c>
      <c r="E338" s="50"/>
      <c r="F338" s="43"/>
      <c r="G338" s="50"/>
      <c r="H338" s="16" t="s">
        <v>1198</v>
      </c>
    </row>
    <row r="339">
      <c r="A339" s="16" t="s">
        <v>58</v>
      </c>
      <c r="B339" s="59" t="str">
        <f>IFERROR(HYPERLINK(VLOOKUP(A339,Internal_lists_bugs!$A$2:$C$73,3,FALSE()), VLOOKUP(A339,Internal_lists_bugs!$A$2:$C$73,3,FALSE())&amp;Char(10) &amp; Char(10) &amp; VLOOKUP(A339,Internal_lists_bugs!$A$2:$Z$73,26,FALSE())),"please select a BUG ID")</f>
        <v>
</v>
      </c>
      <c r="C339" s="39" t="str">
        <f>IFERROR(VLOOKUP(A339,Internal_lists_bugs!$A$2:$G2011,7,FALSE()),"please select a BUG ID")</f>
        <v>https://opendev.org/openstack/nova/commit/1d551dc96658ade41c8e9fabc6d9b41a28d5ed15</v>
      </c>
      <c r="D339" s="16" t="s">
        <v>1199</v>
      </c>
      <c r="E339" s="50"/>
      <c r="F339" s="43"/>
      <c r="G339" s="50"/>
      <c r="H339" s="16" t="s">
        <v>1200</v>
      </c>
    </row>
    <row r="340">
      <c r="A340" s="16" t="s">
        <v>58</v>
      </c>
      <c r="B340" s="59" t="str">
        <f>IFERROR(HYPERLINK(VLOOKUP(A340,Internal_lists_bugs!$A$2:$C$73,3,FALSE()), VLOOKUP(A340,Internal_lists_bugs!$A$2:$C$73,3,FALSE())&amp;Char(10) &amp; Char(10) &amp; VLOOKUP(A340,Internal_lists_bugs!$A$2:$Z$73,26,FALSE())),"please select a BUG ID")</f>
        <v>
</v>
      </c>
      <c r="C340" s="39" t="str">
        <f>IFERROR(VLOOKUP(A340,Internal_lists_bugs!$A$2:$G2011,7,FALSE()),"please select a BUG ID")</f>
        <v>https://opendev.org/openstack/nova/commit/1d551dc96658ade41c8e9fabc6d9b41a28d5ed15</v>
      </c>
      <c r="D340" s="16" t="s">
        <v>1201</v>
      </c>
      <c r="E340" s="50"/>
      <c r="F340" s="43"/>
      <c r="G340" s="50"/>
      <c r="H340" s="16" t="s">
        <v>1215</v>
      </c>
    </row>
    <row r="341">
      <c r="A341" s="16" t="s">
        <v>58</v>
      </c>
      <c r="B341" s="59" t="str">
        <f>IFERROR(HYPERLINK(VLOOKUP(A341,Internal_lists_bugs!$A$2:$C$73,3,FALSE()), VLOOKUP(A341,Internal_lists_bugs!$A$2:$C$73,3,FALSE())&amp;Char(10) &amp; Char(10) &amp; VLOOKUP(A341,Internal_lists_bugs!$A$2:$Z$73,26,FALSE())),"please select a BUG ID")</f>
        <v>
</v>
      </c>
      <c r="C341" s="39" t="str">
        <f>IFERROR(VLOOKUP(A341,Internal_lists_bugs!$A$2:$G2011,7,FALSE()),"please select a BUG ID")</f>
        <v>https://opendev.org/openstack/nova/commit/1d551dc96658ade41c8e9fabc6d9b41a28d5ed15</v>
      </c>
      <c r="D341" s="16" t="s">
        <v>1202</v>
      </c>
      <c r="E341" s="50"/>
      <c r="F341" s="43"/>
      <c r="G341" s="50"/>
      <c r="H341" s="16" t="s">
        <v>1210</v>
      </c>
    </row>
    <row r="342">
      <c r="A342" s="16" t="s">
        <v>58</v>
      </c>
      <c r="B342" s="59" t="str">
        <f>IFERROR(HYPERLINK(VLOOKUP(A342,Internal_lists_bugs!$A$2:$C$73,3,FALSE()), VLOOKUP(A342,Internal_lists_bugs!$A$2:$C$73,3,FALSE())&amp;Char(10) &amp; Char(10) &amp; VLOOKUP(A342,Internal_lists_bugs!$A$2:$Z$73,26,FALSE())),"please select a BUG ID")</f>
        <v>
</v>
      </c>
      <c r="C342" s="39" t="str">
        <f>IFERROR(VLOOKUP(A342,Internal_lists_bugs!$A$2:$G2011,7,FALSE()),"please select a BUG ID")</f>
        <v>https://opendev.org/openstack/nova/commit/1d551dc96658ade41c8e9fabc6d9b41a28d5ed15</v>
      </c>
      <c r="D342" s="16" t="s">
        <v>1173</v>
      </c>
      <c r="E342" s="50"/>
      <c r="F342" s="43"/>
      <c r="G342" s="50"/>
      <c r="H342" s="16" t="s">
        <v>1177</v>
      </c>
    </row>
    <row r="343">
      <c r="A343" s="16" t="s">
        <v>58</v>
      </c>
      <c r="B343" s="59" t="str">
        <f>IFERROR(HYPERLINK(VLOOKUP(A343,Internal_lists_bugs!$A$2:$C$73,3,FALSE()), VLOOKUP(A343,Internal_lists_bugs!$A$2:$C$73,3,FALSE())&amp;Char(10) &amp; Char(10) &amp; VLOOKUP(A343,Internal_lists_bugs!$A$2:$Z$73,26,FALSE())),"please select a BUG ID")</f>
        <v>
</v>
      </c>
      <c r="C343" s="39" t="str">
        <f>IFERROR(VLOOKUP(A343,Internal_lists_bugs!$A$2:$G2011,7,FALSE()),"please select a BUG ID")</f>
        <v>https://opendev.org/openstack/nova/commit/1d551dc96658ade41c8e9fabc6d9b41a28d5ed15</v>
      </c>
      <c r="D343" s="16" t="s">
        <v>1211</v>
      </c>
      <c r="E343" s="50"/>
      <c r="F343" s="43"/>
      <c r="G343" s="50"/>
      <c r="H343" s="16" t="s">
        <v>1222</v>
      </c>
    </row>
    <row r="344">
      <c r="A344" s="16" t="s">
        <v>58</v>
      </c>
      <c r="B344" s="59" t="str">
        <f>IFERROR(HYPERLINK(VLOOKUP(A344,Internal_lists_bugs!$A$2:$C$73,3,FALSE()), VLOOKUP(A344,Internal_lists_bugs!$A$2:$C$73,3,FALSE())&amp;Char(10) &amp; Char(10) &amp; VLOOKUP(A344,Internal_lists_bugs!$A$2:$Z$73,26,FALSE())),"please select a BUG ID")</f>
        <v>
</v>
      </c>
      <c r="C344" s="39" t="str">
        <f>IFERROR(VLOOKUP(A344,Internal_lists_bugs!$A$2:$G2011,7,FALSE()),"please select a BUG ID")</f>
        <v>https://opendev.org/openstack/nova/commit/1d551dc96658ade41c8e9fabc6d9b41a28d5ed15</v>
      </c>
      <c r="D344" s="16" t="s">
        <v>1214</v>
      </c>
      <c r="E344" s="50"/>
      <c r="F344" s="43"/>
      <c r="G344" s="50"/>
      <c r="H344" s="16" t="s">
        <v>1224</v>
      </c>
    </row>
    <row r="345">
      <c r="A345" s="16" t="s">
        <v>58</v>
      </c>
      <c r="B345" s="59" t="str">
        <f>IFERROR(HYPERLINK(VLOOKUP(A345,Internal_lists_bugs!$A$2:$C$73,3,FALSE()), VLOOKUP(A345,Internal_lists_bugs!$A$2:$C$73,3,FALSE())&amp;Char(10) &amp; Char(10) &amp; VLOOKUP(A345,Internal_lists_bugs!$A$2:$Z$73,26,FALSE())),"please select a BUG ID")</f>
        <v>
</v>
      </c>
      <c r="C345" s="39" t="str">
        <f>IFERROR(VLOOKUP(A345,Internal_lists_bugs!$A$2:$G2011,7,FALSE()),"please select a BUG ID")</f>
        <v>https://opendev.org/openstack/nova/commit/1d551dc96658ade41c8e9fabc6d9b41a28d5ed15</v>
      </c>
      <c r="D345" s="16" t="s">
        <v>1205</v>
      </c>
      <c r="E345" s="50"/>
      <c r="F345" s="43"/>
      <c r="G345" s="50"/>
      <c r="H345" s="16" t="s">
        <v>1225</v>
      </c>
    </row>
    <row r="346">
      <c r="A346" s="16" t="s">
        <v>58</v>
      </c>
      <c r="B346" s="59" t="str">
        <f>IFERROR(HYPERLINK(VLOOKUP(A346,Internal_lists_bugs!$A$2:$C$73,3,FALSE()), VLOOKUP(A346,Internal_lists_bugs!$A$2:$C$73,3,FALSE())&amp;Char(10) &amp; Char(10) &amp; VLOOKUP(A346,Internal_lists_bugs!$A$2:$Z$73,26,FALSE())),"please select a BUG ID")</f>
        <v>
</v>
      </c>
      <c r="C346" s="39" t="str">
        <f>IFERROR(VLOOKUP(A346,Internal_lists_bugs!$A$2:$G2011,7,FALSE()),"please select a BUG ID")</f>
        <v>https://opendev.org/openstack/nova/commit/1d551dc96658ade41c8e9fabc6d9b41a28d5ed15</v>
      </c>
      <c r="D346" s="16" t="s">
        <v>1183</v>
      </c>
      <c r="E346" s="50"/>
      <c r="F346" s="43"/>
      <c r="G346" s="50"/>
      <c r="H346" s="43"/>
    </row>
    <row r="347">
      <c r="A347" s="16" t="s">
        <v>58</v>
      </c>
      <c r="B347" s="59" t="str">
        <f>IFERROR(HYPERLINK(VLOOKUP(A347,Internal_lists_bugs!$A$2:$C$73,3,FALSE()), VLOOKUP(A347,Internal_lists_bugs!$A$2:$C$73,3,FALSE())&amp;Char(10) &amp; Char(10) &amp; VLOOKUP(A347,Internal_lists_bugs!$A$2:$Z$73,26,FALSE())),"please select a BUG ID")</f>
        <v>
</v>
      </c>
      <c r="C347" s="39" t="str">
        <f>IFERROR(VLOOKUP(A347,Internal_lists_bugs!$A$2:$G2011,7,FALSE()),"please select a BUG ID")</f>
        <v>https://opendev.org/openstack/nova/commit/1d551dc96658ade41c8e9fabc6d9b41a28d5ed15</v>
      </c>
      <c r="D347" s="16" t="s">
        <v>1184</v>
      </c>
      <c r="E347" s="50"/>
      <c r="F347" s="43"/>
      <c r="G347" s="50"/>
      <c r="H347" s="43"/>
    </row>
    <row r="348">
      <c r="A348" s="16" t="s">
        <v>58</v>
      </c>
      <c r="B348" s="59" t="str">
        <f>IFERROR(HYPERLINK(VLOOKUP(A348,Internal_lists_bugs!$A$2:$C$73,3,FALSE()), VLOOKUP(A348,Internal_lists_bugs!$A$2:$C$73,3,FALSE())&amp;Char(10) &amp; Char(10) &amp; VLOOKUP(A348,Internal_lists_bugs!$A$2:$Z$73,26,FALSE())),"please select a BUG ID")</f>
        <v>
</v>
      </c>
      <c r="C348" s="39" t="str">
        <f>IFERROR(VLOOKUP(A348,Internal_lists_bugs!$A$2:$G2011,7,FALSE()),"please select a BUG ID")</f>
        <v>https://opendev.org/openstack/nova/commit/1d551dc96658ade41c8e9fabc6d9b41a28d5ed15</v>
      </c>
      <c r="D348" s="16" t="s">
        <v>1185</v>
      </c>
      <c r="E348" s="50"/>
      <c r="F348" s="43"/>
      <c r="G348" s="50"/>
      <c r="H348" s="43"/>
    </row>
    <row r="349">
      <c r="A349" s="16" t="s">
        <v>58</v>
      </c>
      <c r="B349" s="59" t="str">
        <f>IFERROR(HYPERLINK(VLOOKUP(A349,Internal_lists_bugs!$A$2:$C$73,3,FALSE()), VLOOKUP(A349,Internal_lists_bugs!$A$2:$C$73,3,FALSE())&amp;Char(10) &amp; Char(10) &amp; VLOOKUP(A349,Internal_lists_bugs!$A$2:$Z$73,26,FALSE())),"please select a BUG ID")</f>
        <v>
</v>
      </c>
      <c r="C349" s="39" t="str">
        <f>IFERROR(VLOOKUP(A349,Internal_lists_bugs!$A$2:$G2011,7,FALSE()),"please select a BUG ID")</f>
        <v>https://opendev.org/openstack/nova/commit/1d551dc96658ade41c8e9fabc6d9b41a28d5ed15</v>
      </c>
      <c r="D349" s="16" t="s">
        <v>1196</v>
      </c>
      <c r="E349" s="50"/>
      <c r="F349" s="43"/>
      <c r="G349" s="50"/>
      <c r="H349" s="43"/>
    </row>
    <row r="350">
      <c r="A350" s="16" t="s">
        <v>58</v>
      </c>
      <c r="B350" s="59" t="str">
        <f>IFERROR(HYPERLINK(VLOOKUP(A350,Internal_lists_bugs!$A$2:$C$73,3,FALSE()), VLOOKUP(A350,Internal_lists_bugs!$A$2:$C$73,3,FALSE())&amp;Char(10) &amp; Char(10) &amp; VLOOKUP(A350,Internal_lists_bugs!$A$2:$Z$73,26,FALSE())),"please select a BUG ID")</f>
        <v>
</v>
      </c>
      <c r="C350" s="39" t="str">
        <f>IFERROR(VLOOKUP(A350,Internal_lists_bugs!$A$2:$G2011,7,FALSE()),"please select a BUG ID")</f>
        <v>https://opendev.org/openstack/nova/commit/1d551dc96658ade41c8e9fabc6d9b41a28d5ed15</v>
      </c>
      <c r="D350" s="16" t="s">
        <v>1187</v>
      </c>
      <c r="E350" s="50"/>
      <c r="F350" s="43"/>
      <c r="G350" s="50"/>
      <c r="H350" s="43"/>
    </row>
    <row r="351">
      <c r="A351" s="16" t="s">
        <v>58</v>
      </c>
      <c r="B351" s="59" t="str">
        <f>IFERROR(HYPERLINK(VLOOKUP(A351,Internal_lists_bugs!$A$2:$C$73,3,FALSE()), VLOOKUP(A351,Internal_lists_bugs!$A$2:$C$73,3,FALSE())&amp;Char(10) &amp; Char(10) &amp; VLOOKUP(A351,Internal_lists_bugs!$A$2:$Z$73,26,FALSE())),"please select a BUG ID")</f>
        <v>
</v>
      </c>
      <c r="C351" s="39" t="str">
        <f>IFERROR(VLOOKUP(A351,Internal_lists_bugs!$A$2:$G2011,7,FALSE()),"please select a BUG ID")</f>
        <v>https://opendev.org/openstack/nova/commit/1d551dc96658ade41c8e9fabc6d9b41a28d5ed15</v>
      </c>
      <c r="D351" s="16" t="s">
        <v>1206</v>
      </c>
      <c r="E351" s="50"/>
      <c r="F351" s="43"/>
      <c r="G351" s="50"/>
      <c r="H351" s="43"/>
    </row>
    <row r="352">
      <c r="A352" s="16" t="s">
        <v>58</v>
      </c>
      <c r="B352" s="59" t="str">
        <f>IFERROR(HYPERLINK(VLOOKUP(A352,Internal_lists_bugs!$A$2:$C$73,3,FALSE()), VLOOKUP(A352,Internal_lists_bugs!$A$2:$C$73,3,FALSE())&amp;Char(10) &amp; Char(10) &amp; VLOOKUP(A352,Internal_lists_bugs!$A$2:$Z$73,26,FALSE())),"please select a BUG ID")</f>
        <v>
</v>
      </c>
      <c r="C352" s="39" t="str">
        <f>IFERROR(VLOOKUP(A352,Internal_lists_bugs!$A$2:$G2011,7,FALSE()),"please select a BUG ID")</f>
        <v>https://opendev.org/openstack/nova/commit/1d551dc96658ade41c8e9fabc6d9b41a28d5ed15</v>
      </c>
      <c r="D352" s="16" t="s">
        <v>1213</v>
      </c>
      <c r="E352" s="50"/>
      <c r="F352" s="43"/>
      <c r="G352" s="50"/>
      <c r="H352" s="43"/>
    </row>
    <row r="353">
      <c r="A353" s="16" t="s">
        <v>58</v>
      </c>
      <c r="B353" s="59" t="str">
        <f>IFERROR(HYPERLINK(VLOOKUP(A353,Internal_lists_bugs!$A$2:$C$73,3,FALSE()), VLOOKUP(A353,Internal_lists_bugs!$A$2:$C$73,3,FALSE())&amp;Char(10) &amp; Char(10) &amp; VLOOKUP(A353,Internal_lists_bugs!$A$2:$Z$73,26,FALSE())),"please select a BUG ID")</f>
        <v>
</v>
      </c>
      <c r="C353" s="39" t="str">
        <f>IFERROR(VLOOKUP(A353,Internal_lists_bugs!$A$2:$G2011,7,FALSE()),"please select a BUG ID")</f>
        <v>https://opendev.org/openstack/nova/commit/1d551dc96658ade41c8e9fabc6d9b41a28d5ed15</v>
      </c>
      <c r="D353" s="16" t="s">
        <v>1223</v>
      </c>
      <c r="E353" s="50"/>
      <c r="F353" s="43"/>
      <c r="G353" s="50"/>
      <c r="H353" s="43"/>
    </row>
    <row r="354">
      <c r="A354" s="16" t="s">
        <v>58</v>
      </c>
      <c r="B354" s="59" t="str">
        <f>IFERROR(HYPERLINK(VLOOKUP(A354,Internal_lists_bugs!$A$2:$C$73,3,FALSE()), VLOOKUP(A354,Internal_lists_bugs!$A$2:$C$73,3,FALSE())&amp;Char(10) &amp; Char(10) &amp; VLOOKUP(A354,Internal_lists_bugs!$A$2:$Z$73,26,FALSE())),"please select a BUG ID")</f>
        <v>
</v>
      </c>
      <c r="C354" s="39" t="str">
        <f>IFERROR(VLOOKUP(A354,Internal_lists_bugs!$A$2:$G2011,7,FALSE()),"please select a BUG ID")</f>
        <v>https://opendev.org/openstack/nova/commit/1d551dc96658ade41c8e9fabc6d9b41a28d5ed15</v>
      </c>
      <c r="D354" s="16" t="s">
        <v>1226</v>
      </c>
      <c r="E354" s="50"/>
      <c r="F354" s="43"/>
      <c r="G354" s="50"/>
      <c r="H354" s="43"/>
    </row>
    <row r="355">
      <c r="A355" s="16" t="s">
        <v>58</v>
      </c>
      <c r="B355" s="59" t="str">
        <f>IFERROR(HYPERLINK(VLOOKUP(A355,Internal_lists_bugs!$A$2:$C$73,3,FALSE()), VLOOKUP(A355,Internal_lists_bugs!$A$2:$C$73,3,FALSE())&amp;Char(10) &amp; Char(10) &amp; VLOOKUP(A355,Internal_lists_bugs!$A$2:$Z$73,26,FALSE())),"please select a BUG ID")</f>
        <v>
</v>
      </c>
      <c r="C355" s="39" t="str">
        <f>IFERROR(VLOOKUP(A355,Internal_lists_bugs!$A$2:$G2011,7,FALSE()),"please select a BUG ID")</f>
        <v>https://opendev.org/openstack/nova/commit/1d551dc96658ade41c8e9fabc6d9b41a28d5ed15</v>
      </c>
      <c r="D355" s="16" t="s">
        <v>1227</v>
      </c>
      <c r="E355" s="50"/>
      <c r="F355" s="43"/>
      <c r="G355" s="50"/>
      <c r="H355" s="43"/>
    </row>
    <row r="356">
      <c r="A356" s="16" t="s">
        <v>36</v>
      </c>
      <c r="B356" s="59" t="str">
        <f>IFERROR(HYPERLINK(VLOOKUP(A356,Internal_lists_bugs!$A$2:$C$73,3,FALSE()), VLOOKUP(A356,Internal_lists_bugs!$A$2:$C$73,3,FALSE())&amp;Char(10) &amp; Char(10) &amp; VLOOKUP(A356,Internal_lists_bugs!$A$2:$Z$73,26,FALSE())),"please select a BUG ID")</f>
        <v>
</v>
      </c>
      <c r="C356" s="39" t="str">
        <f>IFERROR(VLOOKUP(A356,Internal_lists_bugs!$A$2:$G2011,7,FALSE()),"please select a BUG ID")</f>
        <v>https://opendev.org/openstack/nova/commit/995ee643f3291157151d195552232d09d471d8c2</v>
      </c>
      <c r="D356" s="16" t="s">
        <v>1220</v>
      </c>
      <c r="E356" s="50"/>
      <c r="F356" s="16" t="s">
        <v>1174</v>
      </c>
      <c r="G356" s="50"/>
      <c r="H356" s="16" t="s">
        <v>1221</v>
      </c>
    </row>
    <row r="357">
      <c r="A357" s="16" t="s">
        <v>36</v>
      </c>
      <c r="B357" s="59" t="str">
        <f>IFERROR(HYPERLINK(VLOOKUP(A357,Internal_lists_bugs!$A$2:$C$73,3,FALSE()), VLOOKUP(A357,Internal_lists_bugs!$A$2:$C$73,3,FALSE())&amp;Char(10) &amp; Char(10) &amp; VLOOKUP(A357,Internal_lists_bugs!$A$2:$Z$73,26,FALSE())),"please select a BUG ID")</f>
        <v>
</v>
      </c>
      <c r="C357" s="39" t="str">
        <f>IFERROR(VLOOKUP(A357,Internal_lists_bugs!$A$2:$G2011,7,FALSE()),"please select a BUG ID")</f>
        <v>https://opendev.org/openstack/nova/commit/995ee643f3291157151d195552232d09d471d8c2</v>
      </c>
      <c r="D357" s="16" t="s">
        <v>1209</v>
      </c>
      <c r="E357" s="50"/>
      <c r="F357" s="43"/>
      <c r="G357" s="50"/>
      <c r="H357" s="16" t="s">
        <v>1175</v>
      </c>
    </row>
    <row r="358">
      <c r="A358" s="16" t="s">
        <v>36</v>
      </c>
      <c r="B358" s="59" t="str">
        <f>IFERROR(HYPERLINK(VLOOKUP(A358,Internal_lists_bugs!$A$2:$C$73,3,FALSE()), VLOOKUP(A358,Internal_lists_bugs!$A$2:$C$73,3,FALSE())&amp;Char(10) &amp; Char(10) &amp; VLOOKUP(A358,Internal_lists_bugs!$A$2:$Z$73,26,FALSE())),"please select a BUG ID")</f>
        <v>
</v>
      </c>
      <c r="C358" s="39" t="str">
        <f>IFERROR(VLOOKUP(A358,Internal_lists_bugs!$A$2:$G2011,7,FALSE()),"please select a BUG ID")</f>
        <v>https://opendev.org/openstack/nova/commit/995ee643f3291157151d195552232d09d471d8c2</v>
      </c>
      <c r="D358" s="16" t="s">
        <v>1178</v>
      </c>
      <c r="E358" s="50"/>
      <c r="F358" s="43"/>
      <c r="G358" s="50"/>
      <c r="H358" s="16" t="s">
        <v>1203</v>
      </c>
    </row>
    <row r="359">
      <c r="A359" s="16" t="s">
        <v>36</v>
      </c>
      <c r="B359" s="59" t="str">
        <f>IFERROR(HYPERLINK(VLOOKUP(A359,Internal_lists_bugs!$A$2:$C$73,3,FALSE()), VLOOKUP(A359,Internal_lists_bugs!$A$2:$C$73,3,FALSE())&amp;Char(10) &amp; Char(10) &amp; VLOOKUP(A359,Internal_lists_bugs!$A$2:$Z$73,26,FALSE())),"please select a BUG ID")</f>
        <v>
</v>
      </c>
      <c r="C359" s="39" t="str">
        <f>IFERROR(VLOOKUP(A359,Internal_lists_bugs!$A$2:$G2011,7,FALSE()),"please select a BUG ID")</f>
        <v>https://opendev.org/openstack/nova/commit/995ee643f3291157151d195552232d09d471d8c2</v>
      </c>
      <c r="D359" s="16" t="s">
        <v>1182</v>
      </c>
      <c r="E359" s="50"/>
      <c r="F359" s="43"/>
      <c r="G359" s="50"/>
      <c r="H359" s="16" t="s">
        <v>1212</v>
      </c>
    </row>
    <row r="360">
      <c r="A360" s="16" t="s">
        <v>36</v>
      </c>
      <c r="B360" s="59" t="str">
        <f>IFERROR(HYPERLINK(VLOOKUP(A360,Internal_lists_bugs!$A$2:$C$73,3,FALSE()), VLOOKUP(A360,Internal_lists_bugs!$A$2:$C$73,3,FALSE())&amp;Char(10) &amp; Char(10) &amp; VLOOKUP(A360,Internal_lists_bugs!$A$2:$Z$73,26,FALSE())),"please select a BUG ID")</f>
        <v>
</v>
      </c>
      <c r="C360" s="39" t="str">
        <f>IFERROR(VLOOKUP(A360,Internal_lists_bugs!$A$2:$G2011,7,FALSE()),"please select a BUG ID")</f>
        <v>https://opendev.org/openstack/nova/commit/995ee643f3291157151d195552232d09d471d8c2</v>
      </c>
      <c r="D360" s="16" t="s">
        <v>1191</v>
      </c>
      <c r="E360" s="50"/>
      <c r="F360" s="43"/>
      <c r="G360" s="50"/>
      <c r="H360" s="16" t="s">
        <v>1222</v>
      </c>
    </row>
    <row r="361">
      <c r="A361" s="16" t="s">
        <v>36</v>
      </c>
      <c r="B361" s="59" t="str">
        <f>IFERROR(HYPERLINK(VLOOKUP(A361,Internal_lists_bugs!$A$2:$C$73,3,FALSE()), VLOOKUP(A361,Internal_lists_bugs!$A$2:$C$73,3,FALSE())&amp;Char(10) &amp; Char(10) &amp; VLOOKUP(A361,Internal_lists_bugs!$A$2:$Z$73,26,FALSE())),"please select a BUG ID")</f>
        <v>
</v>
      </c>
      <c r="C361" s="39" t="str">
        <f>IFERROR(VLOOKUP(A361,Internal_lists_bugs!$A$2:$G2011,7,FALSE()),"please select a BUG ID")</f>
        <v>https://opendev.org/openstack/nova/commit/995ee643f3291157151d195552232d09d471d8c2</v>
      </c>
      <c r="D361" s="16" t="s">
        <v>1218</v>
      </c>
      <c r="E361" s="50"/>
      <c r="F361" s="43"/>
      <c r="G361" s="50"/>
      <c r="H361" s="16" t="s">
        <v>1224</v>
      </c>
    </row>
    <row r="362">
      <c r="A362" s="16" t="s">
        <v>36</v>
      </c>
      <c r="B362" s="59" t="str">
        <f>IFERROR(HYPERLINK(VLOOKUP(A362,Internal_lists_bugs!$A$2:$C$73,3,FALSE()), VLOOKUP(A362,Internal_lists_bugs!$A$2:$C$73,3,FALSE())&amp;Char(10) &amp; Char(10) &amp; VLOOKUP(A362,Internal_lists_bugs!$A$2:$Z$73,26,FALSE())),"please select a BUG ID")</f>
        <v>
</v>
      </c>
      <c r="C362" s="39" t="str">
        <f>IFERROR(VLOOKUP(A362,Internal_lists_bugs!$A$2:$G2011,7,FALSE()),"please select a BUG ID")</f>
        <v>https://opendev.org/openstack/nova/commit/995ee643f3291157151d195552232d09d471d8c2</v>
      </c>
      <c r="D362" s="16" t="s">
        <v>1219</v>
      </c>
      <c r="E362" s="50"/>
      <c r="F362" s="43"/>
      <c r="G362" s="50"/>
      <c r="H362" s="16" t="s">
        <v>1225</v>
      </c>
    </row>
    <row r="363">
      <c r="A363" s="16" t="s">
        <v>36</v>
      </c>
      <c r="B363" s="59" t="str">
        <f>IFERROR(HYPERLINK(VLOOKUP(A363,Internal_lists_bugs!$A$2:$C$73,3,FALSE()), VLOOKUP(A363,Internal_lists_bugs!$A$2:$C$73,3,FALSE())&amp;Char(10) &amp; Char(10) &amp; VLOOKUP(A363,Internal_lists_bugs!$A$2:$Z$73,26,FALSE())),"please select a BUG ID")</f>
        <v>
</v>
      </c>
      <c r="C363" s="39" t="str">
        <f>IFERROR(VLOOKUP(A363,Internal_lists_bugs!$A$2:$G2011,7,FALSE()),"please select a BUG ID")</f>
        <v>https://opendev.org/openstack/nova/commit/995ee643f3291157151d195552232d09d471d8c2</v>
      </c>
      <c r="D363" s="16" t="s">
        <v>1199</v>
      </c>
      <c r="E363" s="50"/>
      <c r="F363" s="43"/>
      <c r="G363" s="50"/>
      <c r="H363" s="16" t="s">
        <v>1228</v>
      </c>
    </row>
    <row r="364">
      <c r="A364" s="16" t="s">
        <v>36</v>
      </c>
      <c r="B364" s="59" t="str">
        <f>IFERROR(HYPERLINK(VLOOKUP(A364,Internal_lists_bugs!$A$2:$C$73,3,FALSE()), VLOOKUP(A364,Internal_lists_bugs!$A$2:$C$73,3,FALSE())&amp;Char(10) &amp; Char(10) &amp; VLOOKUP(A364,Internal_lists_bugs!$A$2:$Z$73,26,FALSE())),"please select a BUG ID")</f>
        <v>
</v>
      </c>
      <c r="C364" s="39" t="str">
        <f>IFERROR(VLOOKUP(A364,Internal_lists_bugs!$A$2:$G2011,7,FALSE()),"please select a BUG ID")</f>
        <v>https://opendev.org/openstack/nova/commit/995ee643f3291157151d195552232d09d471d8c2</v>
      </c>
      <c r="D364" s="16" t="s">
        <v>1201</v>
      </c>
      <c r="E364" s="50"/>
      <c r="F364" s="43"/>
      <c r="G364" s="50"/>
      <c r="H364" s="16" t="s">
        <v>1179</v>
      </c>
    </row>
    <row r="365">
      <c r="A365" s="16" t="s">
        <v>36</v>
      </c>
      <c r="B365" s="59" t="str">
        <f>IFERROR(HYPERLINK(VLOOKUP(A365,Internal_lists_bugs!$A$2:$C$73,3,FALSE()), VLOOKUP(A365,Internal_lists_bugs!$A$2:$C$73,3,FALSE())&amp;Char(10) &amp; Char(10) &amp; VLOOKUP(A365,Internal_lists_bugs!$A$2:$Z$73,26,FALSE())),"please select a BUG ID")</f>
        <v>
</v>
      </c>
      <c r="C365" s="39" t="str">
        <f>IFERROR(VLOOKUP(A365,Internal_lists_bugs!$A$2:$G2011,7,FALSE()),"please select a BUG ID")</f>
        <v>https://opendev.org/openstack/nova/commit/995ee643f3291157151d195552232d09d471d8c2</v>
      </c>
      <c r="D365" s="16" t="s">
        <v>1202</v>
      </c>
      <c r="E365" s="50"/>
      <c r="F365" s="43"/>
      <c r="G365" s="50"/>
      <c r="H365" s="16" t="s">
        <v>1197</v>
      </c>
    </row>
    <row r="366">
      <c r="A366" s="16" t="s">
        <v>36</v>
      </c>
      <c r="B366" s="59" t="str">
        <f>IFERROR(HYPERLINK(VLOOKUP(A366,Internal_lists_bugs!$A$2:$C$73,3,FALSE()), VLOOKUP(A366,Internal_lists_bugs!$A$2:$C$73,3,FALSE())&amp;Char(10) &amp; Char(10) &amp; VLOOKUP(A366,Internal_lists_bugs!$A$2:$Z$73,26,FALSE())),"please select a BUG ID")</f>
        <v>
</v>
      </c>
      <c r="C366" s="39" t="str">
        <f>IFERROR(VLOOKUP(A366,Internal_lists_bugs!$A$2:$G2011,7,FALSE()),"please select a BUG ID")</f>
        <v>https://opendev.org/openstack/nova/commit/995ee643f3291157151d195552232d09d471d8c2</v>
      </c>
      <c r="D366" s="16" t="s">
        <v>1173</v>
      </c>
      <c r="E366" s="50"/>
      <c r="F366" s="43"/>
      <c r="G366" s="50"/>
      <c r="H366" s="16" t="s">
        <v>1198</v>
      </c>
    </row>
    <row r="367">
      <c r="A367" s="16" t="s">
        <v>36</v>
      </c>
      <c r="B367" s="59" t="str">
        <f>IFERROR(HYPERLINK(VLOOKUP(A367,Internal_lists_bugs!$A$2:$C$73,3,FALSE()), VLOOKUP(A367,Internal_lists_bugs!$A$2:$C$73,3,FALSE())&amp;Char(10) &amp; Char(10) &amp; VLOOKUP(A367,Internal_lists_bugs!$A$2:$Z$73,26,FALSE())),"please select a BUG ID")</f>
        <v>
</v>
      </c>
      <c r="C367" s="39" t="str">
        <f>IFERROR(VLOOKUP(A367,Internal_lists_bugs!$A$2:$G2011,7,FALSE()),"please select a BUG ID")</f>
        <v>https://opendev.org/openstack/nova/commit/995ee643f3291157151d195552232d09d471d8c2</v>
      </c>
      <c r="D367" s="16" t="s">
        <v>1211</v>
      </c>
      <c r="E367" s="50"/>
      <c r="F367" s="43"/>
      <c r="G367" s="50"/>
      <c r="H367" s="16" t="s">
        <v>1200</v>
      </c>
    </row>
    <row r="368">
      <c r="A368" s="16" t="s">
        <v>36</v>
      </c>
      <c r="B368" s="59" t="str">
        <f>IFERROR(HYPERLINK(VLOOKUP(A368,Internal_lists_bugs!$A$2:$C$73,3,FALSE()), VLOOKUP(A368,Internal_lists_bugs!$A$2:$C$73,3,FALSE())&amp;Char(10) &amp; Char(10) &amp; VLOOKUP(A368,Internal_lists_bugs!$A$2:$Z$73,26,FALSE())),"please select a BUG ID")</f>
        <v>
</v>
      </c>
      <c r="C368" s="39" t="str">
        <f>IFERROR(VLOOKUP(A368,Internal_lists_bugs!$A$2:$G2011,7,FALSE()),"please select a BUG ID")</f>
        <v>https://opendev.org/openstack/nova/commit/995ee643f3291157151d195552232d09d471d8c2</v>
      </c>
      <c r="D368" s="16" t="s">
        <v>1214</v>
      </c>
      <c r="E368" s="50"/>
      <c r="F368" s="43"/>
      <c r="G368" s="50"/>
      <c r="H368" s="16" t="s">
        <v>1215</v>
      </c>
    </row>
    <row r="369">
      <c r="A369" s="16" t="s">
        <v>36</v>
      </c>
      <c r="B369" s="59" t="str">
        <f>IFERROR(HYPERLINK(VLOOKUP(A369,Internal_lists_bugs!$A$2:$C$73,3,FALSE()), VLOOKUP(A369,Internal_lists_bugs!$A$2:$C$73,3,FALSE())&amp;Char(10) &amp; Char(10) &amp; VLOOKUP(A369,Internal_lists_bugs!$A$2:$Z$73,26,FALSE())),"please select a BUG ID")</f>
        <v>
</v>
      </c>
      <c r="C369" s="39" t="str">
        <f>IFERROR(VLOOKUP(A369,Internal_lists_bugs!$A$2:$G2011,7,FALSE()),"please select a BUG ID")</f>
        <v>https://opendev.org/openstack/nova/commit/995ee643f3291157151d195552232d09d471d8c2</v>
      </c>
      <c r="D369" s="16" t="s">
        <v>1205</v>
      </c>
      <c r="E369" s="50"/>
      <c r="F369" s="43"/>
      <c r="G369" s="50"/>
      <c r="H369" s="16" t="s">
        <v>1210</v>
      </c>
    </row>
    <row r="370">
      <c r="A370" s="16" t="s">
        <v>36</v>
      </c>
      <c r="B370" s="59" t="str">
        <f>IFERROR(HYPERLINK(VLOOKUP(A370,Internal_lists_bugs!$A$2:$C$73,3,FALSE()), VLOOKUP(A370,Internal_lists_bugs!$A$2:$C$73,3,FALSE())&amp;Char(10) &amp; Char(10) &amp; VLOOKUP(A370,Internal_lists_bugs!$A$2:$Z$73,26,FALSE())),"please select a BUG ID")</f>
        <v>
</v>
      </c>
      <c r="C370" s="39" t="str">
        <f>IFERROR(VLOOKUP(A370,Internal_lists_bugs!$A$2:$G2011,7,FALSE()),"please select a BUG ID")</f>
        <v>https://opendev.org/openstack/nova/commit/995ee643f3291157151d195552232d09d471d8c2</v>
      </c>
      <c r="D370" s="16" t="s">
        <v>1183</v>
      </c>
      <c r="E370" s="50"/>
      <c r="F370" s="43"/>
      <c r="G370" s="50"/>
      <c r="H370" s="16" t="s">
        <v>1177</v>
      </c>
    </row>
    <row r="371">
      <c r="A371" s="16" t="s">
        <v>36</v>
      </c>
      <c r="B371" s="59" t="str">
        <f>IFERROR(HYPERLINK(VLOOKUP(A371,Internal_lists_bugs!$A$2:$C$73,3,FALSE()), VLOOKUP(A371,Internal_lists_bugs!$A$2:$C$73,3,FALSE())&amp;Char(10) &amp; Char(10) &amp; VLOOKUP(A371,Internal_lists_bugs!$A$2:$Z$73,26,FALSE())),"please select a BUG ID")</f>
        <v>
</v>
      </c>
      <c r="C371" s="39" t="str">
        <f>IFERROR(VLOOKUP(A371,Internal_lists_bugs!$A$2:$G2011,7,FALSE()),"please select a BUG ID")</f>
        <v>https://opendev.org/openstack/nova/commit/995ee643f3291157151d195552232d09d471d8c2</v>
      </c>
      <c r="D371" s="16" t="s">
        <v>1184</v>
      </c>
      <c r="E371" s="50"/>
      <c r="F371" s="43"/>
      <c r="G371" s="50"/>
      <c r="H371" s="43"/>
    </row>
    <row r="372">
      <c r="A372" s="16" t="s">
        <v>36</v>
      </c>
      <c r="B372" s="59" t="str">
        <f>IFERROR(HYPERLINK(VLOOKUP(A372,Internal_lists_bugs!$A$2:$C$73,3,FALSE()), VLOOKUP(A372,Internal_lists_bugs!$A$2:$C$73,3,FALSE())&amp;Char(10) &amp; Char(10) &amp; VLOOKUP(A372,Internal_lists_bugs!$A$2:$Z$73,26,FALSE())),"please select a BUG ID")</f>
        <v>
</v>
      </c>
      <c r="C372" s="39" t="str">
        <f>IFERROR(VLOOKUP(A372,Internal_lists_bugs!$A$2:$G2011,7,FALSE()),"please select a BUG ID")</f>
        <v>https://opendev.org/openstack/nova/commit/995ee643f3291157151d195552232d09d471d8c2</v>
      </c>
      <c r="D372" s="16" t="s">
        <v>1185</v>
      </c>
      <c r="E372" s="50"/>
      <c r="F372" s="43"/>
      <c r="G372" s="50"/>
      <c r="H372" s="43"/>
    </row>
    <row r="373">
      <c r="A373" s="16" t="s">
        <v>36</v>
      </c>
      <c r="B373" s="59" t="str">
        <f>IFERROR(HYPERLINK(VLOOKUP(A373,Internal_lists_bugs!$A$2:$C$73,3,FALSE()), VLOOKUP(A373,Internal_lists_bugs!$A$2:$C$73,3,FALSE())&amp;Char(10) &amp; Char(10) &amp; VLOOKUP(A373,Internal_lists_bugs!$A$2:$Z$73,26,FALSE())),"please select a BUG ID")</f>
        <v>
</v>
      </c>
      <c r="C373" s="39" t="str">
        <f>IFERROR(VLOOKUP(A373,Internal_lists_bugs!$A$2:$G2011,7,FALSE()),"please select a BUG ID")</f>
        <v>https://opendev.org/openstack/nova/commit/995ee643f3291157151d195552232d09d471d8c2</v>
      </c>
      <c r="D373" s="16" t="s">
        <v>1196</v>
      </c>
      <c r="E373" s="50"/>
      <c r="F373" s="43"/>
      <c r="G373" s="50"/>
      <c r="H373" s="43"/>
    </row>
    <row r="374">
      <c r="A374" s="16" t="s">
        <v>36</v>
      </c>
      <c r="B374" s="59" t="str">
        <f>IFERROR(HYPERLINK(VLOOKUP(A374,Internal_lists_bugs!$A$2:$C$73,3,FALSE()), VLOOKUP(A374,Internal_lists_bugs!$A$2:$C$73,3,FALSE())&amp;Char(10) &amp; Char(10) &amp; VLOOKUP(A374,Internal_lists_bugs!$A$2:$Z$73,26,FALSE())),"please select a BUG ID")</f>
        <v>
</v>
      </c>
      <c r="C374" s="39" t="str">
        <f>IFERROR(VLOOKUP(A374,Internal_lists_bugs!$A$2:$G2011,7,FALSE()),"please select a BUG ID")</f>
        <v>https://opendev.org/openstack/nova/commit/995ee643f3291157151d195552232d09d471d8c2</v>
      </c>
      <c r="D374" s="16" t="s">
        <v>1187</v>
      </c>
      <c r="E374" s="50"/>
      <c r="F374" s="43"/>
      <c r="G374" s="50"/>
      <c r="H374" s="43"/>
    </row>
    <row r="375">
      <c r="A375" s="16" t="s">
        <v>36</v>
      </c>
      <c r="B375" s="59" t="str">
        <f>IFERROR(HYPERLINK(VLOOKUP(A375,Internal_lists_bugs!$A$2:$C$73,3,FALSE()), VLOOKUP(A375,Internal_lists_bugs!$A$2:$C$73,3,FALSE())&amp;Char(10) &amp; Char(10) &amp; VLOOKUP(A375,Internal_lists_bugs!$A$2:$Z$73,26,FALSE())),"please select a BUG ID")</f>
        <v>
</v>
      </c>
      <c r="C375" s="39" t="str">
        <f>IFERROR(VLOOKUP(A375,Internal_lists_bugs!$A$2:$G2011,7,FALSE()),"please select a BUG ID")</f>
        <v>https://opendev.org/openstack/nova/commit/995ee643f3291157151d195552232d09d471d8c2</v>
      </c>
      <c r="D375" s="16" t="s">
        <v>1206</v>
      </c>
      <c r="E375" s="50"/>
      <c r="F375" s="43"/>
      <c r="G375" s="50"/>
      <c r="H375" s="43"/>
    </row>
    <row r="376">
      <c r="A376" s="16" t="s">
        <v>36</v>
      </c>
      <c r="B376" s="59" t="str">
        <f>IFERROR(HYPERLINK(VLOOKUP(A376,Internal_lists_bugs!$A$2:$C$73,3,FALSE()), VLOOKUP(A376,Internal_lists_bugs!$A$2:$C$73,3,FALSE())&amp;Char(10) &amp; Char(10) &amp; VLOOKUP(A376,Internal_lists_bugs!$A$2:$Z$73,26,FALSE())),"please select a BUG ID")</f>
        <v>
</v>
      </c>
      <c r="C376" s="39" t="str">
        <f>IFERROR(VLOOKUP(A376,Internal_lists_bugs!$A$2:$G2011,7,FALSE()),"please select a BUG ID")</f>
        <v>https://opendev.org/openstack/nova/commit/995ee643f3291157151d195552232d09d471d8c2</v>
      </c>
      <c r="D376" s="16" t="s">
        <v>1213</v>
      </c>
      <c r="E376" s="50"/>
      <c r="F376" s="43"/>
      <c r="G376" s="50"/>
      <c r="H376" s="43"/>
    </row>
    <row r="377">
      <c r="A377" s="16" t="s">
        <v>36</v>
      </c>
      <c r="B377" s="59" t="str">
        <f>IFERROR(HYPERLINK(VLOOKUP(A377,Internal_lists_bugs!$A$2:$C$73,3,FALSE()), VLOOKUP(A377,Internal_lists_bugs!$A$2:$C$73,3,FALSE())&amp;Char(10) &amp; Char(10) &amp; VLOOKUP(A377,Internal_lists_bugs!$A$2:$Z$73,26,FALSE())),"please select a BUG ID")</f>
        <v>
</v>
      </c>
      <c r="C377" s="39" t="str">
        <f>IFERROR(VLOOKUP(A377,Internal_lists_bugs!$A$2:$G2011,7,FALSE()),"please select a BUG ID")</f>
        <v>https://opendev.org/openstack/nova/commit/995ee643f3291157151d195552232d09d471d8c2</v>
      </c>
      <c r="D377" s="16" t="s">
        <v>1223</v>
      </c>
      <c r="E377" s="50"/>
      <c r="F377" s="43"/>
      <c r="G377" s="50"/>
      <c r="H377" s="43"/>
    </row>
    <row r="378">
      <c r="A378" s="16" t="s">
        <v>36</v>
      </c>
      <c r="B378" s="59" t="str">
        <f>IFERROR(HYPERLINK(VLOOKUP(A378,Internal_lists_bugs!$A$2:$C$73,3,FALSE()), VLOOKUP(A378,Internal_lists_bugs!$A$2:$C$73,3,FALSE())&amp;Char(10) &amp; Char(10) &amp; VLOOKUP(A378,Internal_lists_bugs!$A$2:$Z$73,26,FALSE())),"please select a BUG ID")</f>
        <v>
</v>
      </c>
      <c r="C378" s="39" t="str">
        <f>IFERROR(VLOOKUP(A378,Internal_lists_bugs!$A$2:$G2011,7,FALSE()),"please select a BUG ID")</f>
        <v>https://opendev.org/openstack/nova/commit/995ee643f3291157151d195552232d09d471d8c2</v>
      </c>
      <c r="D378" s="16" t="s">
        <v>1226</v>
      </c>
      <c r="E378" s="50"/>
      <c r="F378" s="43"/>
      <c r="G378" s="50"/>
      <c r="H378" s="43"/>
    </row>
    <row r="379">
      <c r="A379" s="16" t="s">
        <v>36</v>
      </c>
      <c r="B379" s="59" t="str">
        <f>IFERROR(HYPERLINK(VLOOKUP(A379,Internal_lists_bugs!$A$2:$C$73,3,FALSE()), VLOOKUP(A379,Internal_lists_bugs!$A$2:$C$73,3,FALSE())&amp;Char(10) &amp; Char(10) &amp; VLOOKUP(A379,Internal_lists_bugs!$A$2:$Z$73,26,FALSE())),"please select a BUG ID")</f>
        <v>
</v>
      </c>
      <c r="C379" s="39" t="str">
        <f>IFERROR(VLOOKUP(A379,Internal_lists_bugs!$A$2:$G2011,7,FALSE()),"please select a BUG ID")</f>
        <v>https://opendev.org/openstack/nova/commit/995ee643f3291157151d195552232d09d471d8c2</v>
      </c>
      <c r="D379" s="16" t="s">
        <v>1229</v>
      </c>
      <c r="E379" s="50"/>
      <c r="F379" s="43"/>
      <c r="G379" s="50"/>
      <c r="H379" s="43"/>
    </row>
    <row r="380">
      <c r="A380" s="16" t="s">
        <v>36</v>
      </c>
      <c r="B380" s="59" t="str">
        <f>IFERROR(HYPERLINK(VLOOKUP(A380,Internal_lists_bugs!$A$2:$C$73,3,FALSE()), VLOOKUP(A380,Internal_lists_bugs!$A$2:$C$73,3,FALSE())&amp;Char(10) &amp; Char(10) &amp; VLOOKUP(A380,Internal_lists_bugs!$A$2:$Z$73,26,FALSE())),"please select a BUG ID")</f>
        <v>
</v>
      </c>
      <c r="C380" s="39" t="str">
        <f>IFERROR(VLOOKUP(A380,Internal_lists_bugs!$A$2:$G2011,7,FALSE()),"please select a BUG ID")</f>
        <v>https://opendev.org/openstack/nova/commit/995ee643f3291157151d195552232d09d471d8c2</v>
      </c>
      <c r="D380" s="16" t="s">
        <v>1230</v>
      </c>
      <c r="E380" s="50"/>
      <c r="F380" s="43"/>
      <c r="G380" s="50"/>
      <c r="H380" s="43"/>
    </row>
    <row r="381">
      <c r="A381" s="16" t="s">
        <v>36</v>
      </c>
      <c r="B381" s="59" t="str">
        <f>IFERROR(HYPERLINK(VLOOKUP(A381,Internal_lists_bugs!$A$2:$C$73,3,FALSE()), VLOOKUP(A381,Internal_lists_bugs!$A$2:$C$73,3,FALSE())&amp;Char(10) &amp; Char(10) &amp; VLOOKUP(A381,Internal_lists_bugs!$A$2:$Z$73,26,FALSE())),"please select a BUG ID")</f>
        <v>
</v>
      </c>
      <c r="C381" s="39" t="str">
        <f>IFERROR(VLOOKUP(A381,Internal_lists_bugs!$A$2:$G2011,7,FALSE()),"please select a BUG ID")</f>
        <v>https://opendev.org/openstack/nova/commit/995ee643f3291157151d195552232d09d471d8c2</v>
      </c>
      <c r="D381" s="16" t="s">
        <v>1231</v>
      </c>
      <c r="E381" s="50"/>
      <c r="F381" s="43"/>
      <c r="G381" s="50"/>
      <c r="H381" s="43"/>
    </row>
    <row r="382">
      <c r="A382" s="16" t="s">
        <v>53</v>
      </c>
      <c r="B382" s="59" t="str">
        <f>IFERROR(HYPERLINK(VLOOKUP(A382,Internal_lists_bugs!$A$2:$C$73,3,FALSE()), VLOOKUP(A382,Internal_lists_bugs!$A$2:$C$73,3,FALSE())&amp;Char(10) &amp; Char(10) &amp; VLOOKUP(A382,Internal_lists_bugs!$A$2:$Z$73,26,FALSE())),"please select a BUG ID")</f>
        <v>
</v>
      </c>
      <c r="C382" s="39" t="str">
        <f>IFERROR(VLOOKUP(A382,Internal_lists_bugs!$A$2:$G2011,7,FALSE()),"please select a BUG ID")</f>
        <v>https://opendev.org/openstack/nova/commit/c363dae6a2b878db6801b502cced1fcc6aad2d0c</v>
      </c>
      <c r="D382" s="16" t="s">
        <v>1220</v>
      </c>
      <c r="E382" s="50"/>
      <c r="F382" s="16" t="s">
        <v>1174</v>
      </c>
      <c r="G382" s="50"/>
      <c r="H382" s="16" t="s">
        <v>1221</v>
      </c>
    </row>
    <row r="383">
      <c r="A383" s="16" t="s">
        <v>53</v>
      </c>
      <c r="B383" s="59" t="str">
        <f>IFERROR(HYPERLINK(VLOOKUP(A383,Internal_lists_bugs!$A$2:$C$73,3,FALSE()), VLOOKUP(A383,Internal_lists_bugs!$A$2:$C$73,3,FALSE())&amp;Char(10) &amp; Char(10) &amp; VLOOKUP(A383,Internal_lists_bugs!$A$2:$Z$73,26,FALSE())),"please select a BUG ID")</f>
        <v>
</v>
      </c>
      <c r="C383" s="39" t="str">
        <f>IFERROR(VLOOKUP(A383,Internal_lists_bugs!$A$2:$G2011,7,FALSE()),"please select a BUG ID")</f>
        <v>https://opendev.org/openstack/nova/commit/c363dae6a2b878db6801b502cced1fcc6aad2d0c</v>
      </c>
      <c r="D383" s="16" t="s">
        <v>1209</v>
      </c>
      <c r="E383" s="50"/>
      <c r="F383" s="43"/>
      <c r="G383" s="50"/>
      <c r="H383" s="16" t="s">
        <v>1175</v>
      </c>
    </row>
    <row r="384">
      <c r="A384" s="16" t="s">
        <v>53</v>
      </c>
      <c r="B384" s="59" t="str">
        <f>IFERROR(HYPERLINK(VLOOKUP(A384,Internal_lists_bugs!$A$2:$C$73,3,FALSE()), VLOOKUP(A384,Internal_lists_bugs!$A$2:$C$73,3,FALSE())&amp;Char(10) &amp; Char(10) &amp; VLOOKUP(A384,Internal_lists_bugs!$A$2:$Z$73,26,FALSE())),"please select a BUG ID")</f>
        <v>
</v>
      </c>
      <c r="C384" s="39" t="str">
        <f>IFERROR(VLOOKUP(A384,Internal_lists_bugs!$A$2:$G2011,7,FALSE()),"please select a BUG ID")</f>
        <v>https://opendev.org/openstack/nova/commit/c363dae6a2b878db6801b502cced1fcc6aad2d0c</v>
      </c>
      <c r="D384" s="16" t="s">
        <v>1178</v>
      </c>
      <c r="E384" s="50"/>
      <c r="F384" s="43"/>
      <c r="G384" s="50"/>
      <c r="H384" s="16" t="s">
        <v>1203</v>
      </c>
    </row>
    <row r="385">
      <c r="A385" s="16" t="s">
        <v>53</v>
      </c>
      <c r="B385" s="59" t="str">
        <f>IFERROR(HYPERLINK(VLOOKUP(A385,Internal_lists_bugs!$A$2:$C$73,3,FALSE()), VLOOKUP(A385,Internal_lists_bugs!$A$2:$C$73,3,FALSE())&amp;Char(10) &amp; Char(10) &amp; VLOOKUP(A385,Internal_lists_bugs!$A$2:$Z$73,26,FALSE())),"please select a BUG ID")</f>
        <v>
</v>
      </c>
      <c r="C385" s="39" t="str">
        <f>IFERROR(VLOOKUP(A385,Internal_lists_bugs!$A$2:$G2011,7,FALSE()),"please select a BUG ID")</f>
        <v>https://opendev.org/openstack/nova/commit/c363dae6a2b878db6801b502cced1fcc6aad2d0c</v>
      </c>
      <c r="D385" s="16" t="s">
        <v>1182</v>
      </c>
      <c r="E385" s="50"/>
      <c r="F385" s="43"/>
      <c r="G385" s="50"/>
      <c r="H385" s="16" t="s">
        <v>1212</v>
      </c>
    </row>
    <row r="386">
      <c r="A386" s="16" t="s">
        <v>53</v>
      </c>
      <c r="B386" s="59" t="str">
        <f>IFERROR(HYPERLINK(VLOOKUP(A386,Internal_lists_bugs!$A$2:$C$73,3,FALSE()), VLOOKUP(A386,Internal_lists_bugs!$A$2:$C$73,3,FALSE())&amp;Char(10) &amp; Char(10) &amp; VLOOKUP(A386,Internal_lists_bugs!$A$2:$Z$73,26,FALSE())),"please select a BUG ID")</f>
        <v>
</v>
      </c>
      <c r="C386" s="39" t="str">
        <f>IFERROR(VLOOKUP(A386,Internal_lists_bugs!$A$2:$G2011,7,FALSE()),"please select a BUG ID")</f>
        <v>https://opendev.org/openstack/nova/commit/c363dae6a2b878db6801b502cced1fcc6aad2d0c</v>
      </c>
      <c r="D386" s="16" t="s">
        <v>1191</v>
      </c>
      <c r="E386" s="50"/>
      <c r="F386" s="43"/>
      <c r="G386" s="50"/>
      <c r="H386" s="16" t="s">
        <v>1222</v>
      </c>
    </row>
    <row r="387">
      <c r="A387" s="16" t="s">
        <v>53</v>
      </c>
      <c r="B387" s="59" t="str">
        <f>IFERROR(HYPERLINK(VLOOKUP(A387,Internal_lists_bugs!$A$2:$C$73,3,FALSE()), VLOOKUP(A387,Internal_lists_bugs!$A$2:$C$73,3,FALSE())&amp;Char(10) &amp; Char(10) &amp; VLOOKUP(A387,Internal_lists_bugs!$A$2:$Z$73,26,FALSE())),"please select a BUG ID")</f>
        <v>
</v>
      </c>
      <c r="C387" s="39" t="str">
        <f>IFERROR(VLOOKUP(A387,Internal_lists_bugs!$A$2:$G2011,7,FALSE()),"please select a BUG ID")</f>
        <v>https://opendev.org/openstack/nova/commit/c363dae6a2b878db6801b502cced1fcc6aad2d0c</v>
      </c>
      <c r="D387" s="16" t="s">
        <v>1218</v>
      </c>
      <c r="E387" s="50"/>
      <c r="F387" s="43"/>
      <c r="G387" s="50"/>
      <c r="H387" s="16" t="s">
        <v>1224</v>
      </c>
    </row>
    <row r="388">
      <c r="A388" s="16" t="s">
        <v>53</v>
      </c>
      <c r="B388" s="59" t="str">
        <f>IFERROR(HYPERLINK(VLOOKUP(A388,Internal_lists_bugs!$A$2:$C$73,3,FALSE()), VLOOKUP(A388,Internal_lists_bugs!$A$2:$C$73,3,FALSE())&amp;Char(10) &amp; Char(10) &amp; VLOOKUP(A388,Internal_lists_bugs!$A$2:$Z$73,26,FALSE())),"please select a BUG ID")</f>
        <v>
</v>
      </c>
      <c r="C388" s="39" t="str">
        <f>IFERROR(VLOOKUP(A388,Internal_lists_bugs!$A$2:$G2011,7,FALSE()),"please select a BUG ID")</f>
        <v>https://opendev.org/openstack/nova/commit/c363dae6a2b878db6801b502cced1fcc6aad2d0c</v>
      </c>
      <c r="D388" s="16" t="s">
        <v>1219</v>
      </c>
      <c r="E388" s="50"/>
      <c r="F388" s="43"/>
      <c r="G388" s="50"/>
      <c r="H388" s="16" t="s">
        <v>1225</v>
      </c>
    </row>
    <row r="389">
      <c r="A389" s="16" t="s">
        <v>53</v>
      </c>
      <c r="B389" s="59" t="str">
        <f>IFERROR(HYPERLINK(VLOOKUP(A389,Internal_lists_bugs!$A$2:$C$73,3,FALSE()), VLOOKUP(A389,Internal_lists_bugs!$A$2:$C$73,3,FALSE())&amp;Char(10) &amp; Char(10) &amp; VLOOKUP(A389,Internal_lists_bugs!$A$2:$Z$73,26,FALSE())),"please select a BUG ID")</f>
        <v>
</v>
      </c>
      <c r="C389" s="39" t="str">
        <f>IFERROR(VLOOKUP(A389,Internal_lists_bugs!$A$2:$G2011,7,FALSE()),"please select a BUG ID")</f>
        <v>https://opendev.org/openstack/nova/commit/c363dae6a2b878db6801b502cced1fcc6aad2d0c</v>
      </c>
      <c r="D389" s="16" t="s">
        <v>1199</v>
      </c>
      <c r="E389" s="50"/>
      <c r="F389" s="43"/>
      <c r="G389" s="50"/>
      <c r="H389" s="16" t="s">
        <v>1228</v>
      </c>
    </row>
    <row r="390">
      <c r="A390" s="16" t="s">
        <v>53</v>
      </c>
      <c r="B390" s="59" t="str">
        <f>IFERROR(HYPERLINK(VLOOKUP(A390,Internal_lists_bugs!$A$2:$C$73,3,FALSE()), VLOOKUP(A390,Internal_lists_bugs!$A$2:$C$73,3,FALSE())&amp;Char(10) &amp; Char(10) &amp; VLOOKUP(A390,Internal_lists_bugs!$A$2:$Z$73,26,FALSE())),"please select a BUG ID")</f>
        <v>
</v>
      </c>
      <c r="C390" s="39" t="str">
        <f>IFERROR(VLOOKUP(A390,Internal_lists_bugs!$A$2:$G2011,7,FALSE()),"please select a BUG ID")</f>
        <v>https://opendev.org/openstack/nova/commit/c363dae6a2b878db6801b502cced1fcc6aad2d0c</v>
      </c>
      <c r="D390" s="16" t="s">
        <v>1201</v>
      </c>
      <c r="E390" s="50"/>
      <c r="F390" s="43"/>
      <c r="G390" s="50"/>
      <c r="H390" s="16" t="s">
        <v>1179</v>
      </c>
    </row>
    <row r="391">
      <c r="A391" s="16" t="s">
        <v>53</v>
      </c>
      <c r="B391" s="59" t="str">
        <f>IFERROR(HYPERLINK(VLOOKUP(A391,Internal_lists_bugs!$A$2:$C$73,3,FALSE()), VLOOKUP(A391,Internal_lists_bugs!$A$2:$C$73,3,FALSE())&amp;Char(10) &amp; Char(10) &amp; VLOOKUP(A391,Internal_lists_bugs!$A$2:$Z$73,26,FALSE())),"please select a BUG ID")</f>
        <v>
</v>
      </c>
      <c r="C391" s="39" t="str">
        <f>IFERROR(VLOOKUP(A391,Internal_lists_bugs!$A$2:$G2011,7,FALSE()),"please select a BUG ID")</f>
        <v>https://opendev.org/openstack/nova/commit/c363dae6a2b878db6801b502cced1fcc6aad2d0c</v>
      </c>
      <c r="D391" s="16" t="s">
        <v>1202</v>
      </c>
      <c r="E391" s="50"/>
      <c r="F391" s="43"/>
      <c r="G391" s="50"/>
      <c r="H391" s="16" t="s">
        <v>1197</v>
      </c>
    </row>
    <row r="392">
      <c r="A392" s="16" t="s">
        <v>53</v>
      </c>
      <c r="B392" s="59" t="str">
        <f>IFERROR(HYPERLINK(VLOOKUP(A392,Internal_lists_bugs!$A$2:$C$73,3,FALSE()), VLOOKUP(A392,Internal_lists_bugs!$A$2:$C$73,3,FALSE())&amp;Char(10) &amp; Char(10) &amp; VLOOKUP(A392,Internal_lists_bugs!$A$2:$Z$73,26,FALSE())),"please select a BUG ID")</f>
        <v>
</v>
      </c>
      <c r="C392" s="39" t="str">
        <f>IFERROR(VLOOKUP(A392,Internal_lists_bugs!$A$2:$G2011,7,FALSE()),"please select a BUG ID")</f>
        <v>https://opendev.org/openstack/nova/commit/c363dae6a2b878db6801b502cced1fcc6aad2d0c</v>
      </c>
      <c r="D392" s="16" t="s">
        <v>1173</v>
      </c>
      <c r="E392" s="50"/>
      <c r="F392" s="43"/>
      <c r="G392" s="50"/>
      <c r="H392" s="16" t="s">
        <v>1198</v>
      </c>
    </row>
    <row r="393">
      <c r="A393" s="16" t="s">
        <v>53</v>
      </c>
      <c r="B393" s="59" t="str">
        <f>IFERROR(HYPERLINK(VLOOKUP(A393,Internal_lists_bugs!$A$2:$C$73,3,FALSE()), VLOOKUP(A393,Internal_lists_bugs!$A$2:$C$73,3,FALSE())&amp;Char(10) &amp; Char(10) &amp; VLOOKUP(A393,Internal_lists_bugs!$A$2:$Z$73,26,FALSE())),"please select a BUG ID")</f>
        <v>
</v>
      </c>
      <c r="C393" s="39" t="str">
        <f>IFERROR(VLOOKUP(A393,Internal_lists_bugs!$A$2:$G2011,7,FALSE()),"please select a BUG ID")</f>
        <v>https://opendev.org/openstack/nova/commit/c363dae6a2b878db6801b502cced1fcc6aad2d0c</v>
      </c>
      <c r="D393" s="16" t="s">
        <v>1211</v>
      </c>
      <c r="E393" s="50"/>
      <c r="F393" s="43"/>
      <c r="G393" s="50"/>
      <c r="H393" s="16" t="s">
        <v>1200</v>
      </c>
    </row>
    <row r="394">
      <c r="A394" s="16" t="s">
        <v>53</v>
      </c>
      <c r="B394" s="59" t="str">
        <f>IFERROR(HYPERLINK(VLOOKUP(A394,Internal_lists_bugs!$A$2:$C$73,3,FALSE()), VLOOKUP(A394,Internal_lists_bugs!$A$2:$C$73,3,FALSE())&amp;Char(10) &amp; Char(10) &amp; VLOOKUP(A394,Internal_lists_bugs!$A$2:$Z$73,26,FALSE())),"please select a BUG ID")</f>
        <v>
</v>
      </c>
      <c r="C394" s="39" t="str">
        <f>IFERROR(VLOOKUP(A394,Internal_lists_bugs!$A$2:$G2011,7,FALSE()),"please select a BUG ID")</f>
        <v>https://opendev.org/openstack/nova/commit/c363dae6a2b878db6801b502cced1fcc6aad2d0c</v>
      </c>
      <c r="D394" s="16" t="s">
        <v>1214</v>
      </c>
      <c r="E394" s="50"/>
      <c r="F394" s="43"/>
      <c r="G394" s="50"/>
      <c r="H394" s="16" t="s">
        <v>1215</v>
      </c>
    </row>
    <row r="395">
      <c r="A395" s="16" t="s">
        <v>53</v>
      </c>
      <c r="B395" s="59" t="str">
        <f>IFERROR(HYPERLINK(VLOOKUP(A395,Internal_lists_bugs!$A$2:$C$73,3,FALSE()), VLOOKUP(A395,Internal_lists_bugs!$A$2:$C$73,3,FALSE())&amp;Char(10) &amp; Char(10) &amp; VLOOKUP(A395,Internal_lists_bugs!$A$2:$Z$73,26,FALSE())),"please select a BUG ID")</f>
        <v>
</v>
      </c>
      <c r="C395" s="39" t="str">
        <f>IFERROR(VLOOKUP(A395,Internal_lists_bugs!$A$2:$G2011,7,FALSE()),"please select a BUG ID")</f>
        <v>https://opendev.org/openstack/nova/commit/c363dae6a2b878db6801b502cced1fcc6aad2d0c</v>
      </c>
      <c r="D395" s="16" t="s">
        <v>1205</v>
      </c>
      <c r="E395" s="50"/>
      <c r="F395" s="43"/>
      <c r="G395" s="50"/>
      <c r="H395" s="16" t="s">
        <v>1210</v>
      </c>
    </row>
    <row r="396">
      <c r="A396" s="16" t="s">
        <v>53</v>
      </c>
      <c r="B396" s="59" t="str">
        <f>IFERROR(HYPERLINK(VLOOKUP(A396,Internal_lists_bugs!$A$2:$C$73,3,FALSE()), VLOOKUP(A396,Internal_lists_bugs!$A$2:$C$73,3,FALSE())&amp;Char(10) &amp; Char(10) &amp; VLOOKUP(A396,Internal_lists_bugs!$A$2:$Z$73,26,FALSE())),"please select a BUG ID")</f>
        <v>
</v>
      </c>
      <c r="C396" s="39" t="str">
        <f>IFERROR(VLOOKUP(A396,Internal_lists_bugs!$A$2:$G2011,7,FALSE()),"please select a BUG ID")</f>
        <v>https://opendev.org/openstack/nova/commit/c363dae6a2b878db6801b502cced1fcc6aad2d0c</v>
      </c>
      <c r="D396" s="16" t="s">
        <v>1183</v>
      </c>
      <c r="E396" s="50"/>
      <c r="F396" s="43"/>
      <c r="G396" s="50"/>
      <c r="H396" s="16" t="s">
        <v>1177</v>
      </c>
    </row>
    <row r="397">
      <c r="A397" s="16" t="s">
        <v>53</v>
      </c>
      <c r="B397" s="59" t="str">
        <f>IFERROR(HYPERLINK(VLOOKUP(A397,Internal_lists_bugs!$A$2:$C$73,3,FALSE()), VLOOKUP(A397,Internal_lists_bugs!$A$2:$C$73,3,FALSE())&amp;Char(10) &amp; Char(10) &amp; VLOOKUP(A397,Internal_lists_bugs!$A$2:$Z$73,26,FALSE())),"please select a BUG ID")</f>
        <v>
</v>
      </c>
      <c r="C397" s="39" t="str">
        <f>IFERROR(VLOOKUP(A397,Internal_lists_bugs!$A$2:$G2011,7,FALSE()),"please select a BUG ID")</f>
        <v>https://opendev.org/openstack/nova/commit/c363dae6a2b878db6801b502cced1fcc6aad2d0c</v>
      </c>
      <c r="D397" s="16" t="s">
        <v>1184</v>
      </c>
      <c r="E397" s="50"/>
      <c r="F397" s="43"/>
      <c r="G397" s="50"/>
      <c r="H397" s="43"/>
    </row>
    <row r="398">
      <c r="A398" s="16" t="s">
        <v>53</v>
      </c>
      <c r="B398" s="59" t="str">
        <f>IFERROR(HYPERLINK(VLOOKUP(A398,Internal_lists_bugs!$A$2:$C$73,3,FALSE()), VLOOKUP(A398,Internal_lists_bugs!$A$2:$C$73,3,FALSE())&amp;Char(10) &amp; Char(10) &amp; VLOOKUP(A398,Internal_lists_bugs!$A$2:$Z$73,26,FALSE())),"please select a BUG ID")</f>
        <v>
</v>
      </c>
      <c r="C398" s="39" t="str">
        <f>IFERROR(VLOOKUP(A398,Internal_lists_bugs!$A$2:$G2011,7,FALSE()),"please select a BUG ID")</f>
        <v>https://opendev.org/openstack/nova/commit/c363dae6a2b878db6801b502cced1fcc6aad2d0c</v>
      </c>
      <c r="D398" s="16" t="s">
        <v>1185</v>
      </c>
      <c r="E398" s="50"/>
      <c r="F398" s="43"/>
      <c r="G398" s="50"/>
      <c r="H398" s="43"/>
    </row>
    <row r="399">
      <c r="A399" s="16" t="s">
        <v>53</v>
      </c>
      <c r="B399" s="59" t="str">
        <f>IFERROR(HYPERLINK(VLOOKUP(A399,Internal_lists_bugs!$A$2:$C$73,3,FALSE()), VLOOKUP(A399,Internal_lists_bugs!$A$2:$C$73,3,FALSE())&amp;Char(10) &amp; Char(10) &amp; VLOOKUP(A399,Internal_lists_bugs!$A$2:$Z$73,26,FALSE())),"please select a BUG ID")</f>
        <v>
</v>
      </c>
      <c r="C399" s="39" t="str">
        <f>IFERROR(VLOOKUP(A399,Internal_lists_bugs!$A$2:$G2011,7,FALSE()),"please select a BUG ID")</f>
        <v>https://opendev.org/openstack/nova/commit/c363dae6a2b878db6801b502cced1fcc6aad2d0c</v>
      </c>
      <c r="D399" s="16" t="s">
        <v>1196</v>
      </c>
      <c r="E399" s="50"/>
      <c r="F399" s="43"/>
      <c r="G399" s="50"/>
      <c r="H399" s="43"/>
    </row>
    <row r="400">
      <c r="A400" s="16" t="s">
        <v>53</v>
      </c>
      <c r="B400" s="59" t="str">
        <f>IFERROR(HYPERLINK(VLOOKUP(A400,Internal_lists_bugs!$A$2:$C$73,3,FALSE()), VLOOKUP(A400,Internal_lists_bugs!$A$2:$C$73,3,FALSE())&amp;Char(10) &amp; Char(10) &amp; VLOOKUP(A400,Internal_lists_bugs!$A$2:$Z$73,26,FALSE())),"please select a BUG ID")</f>
        <v>
</v>
      </c>
      <c r="C400" s="39" t="str">
        <f>IFERROR(VLOOKUP(A400,Internal_lists_bugs!$A$2:$G2011,7,FALSE()),"please select a BUG ID")</f>
        <v>https://opendev.org/openstack/nova/commit/c363dae6a2b878db6801b502cced1fcc6aad2d0c</v>
      </c>
      <c r="D400" s="16" t="s">
        <v>1187</v>
      </c>
      <c r="E400" s="50"/>
      <c r="F400" s="43"/>
      <c r="G400" s="50"/>
      <c r="H400" s="43"/>
    </row>
    <row r="401">
      <c r="A401" s="16" t="s">
        <v>53</v>
      </c>
      <c r="B401" s="59" t="str">
        <f>IFERROR(HYPERLINK(VLOOKUP(A401,Internal_lists_bugs!$A$2:$C$73,3,FALSE()), VLOOKUP(A401,Internal_lists_bugs!$A$2:$C$73,3,FALSE())&amp;Char(10) &amp; Char(10) &amp; VLOOKUP(A401,Internal_lists_bugs!$A$2:$Z$73,26,FALSE())),"please select a BUG ID")</f>
        <v>
</v>
      </c>
      <c r="C401" s="39" t="str">
        <f>IFERROR(VLOOKUP(A401,Internal_lists_bugs!$A$2:$G2011,7,FALSE()),"please select a BUG ID")</f>
        <v>https://opendev.org/openstack/nova/commit/c363dae6a2b878db6801b502cced1fcc6aad2d0c</v>
      </c>
      <c r="D401" s="16" t="s">
        <v>1206</v>
      </c>
      <c r="E401" s="50"/>
      <c r="F401" s="43"/>
      <c r="G401" s="50"/>
      <c r="H401" s="43"/>
    </row>
    <row r="402">
      <c r="A402" s="16" t="s">
        <v>53</v>
      </c>
      <c r="B402" s="59" t="str">
        <f>IFERROR(HYPERLINK(VLOOKUP(A402,Internal_lists_bugs!$A$2:$C$73,3,FALSE()), VLOOKUP(A402,Internal_lists_bugs!$A$2:$C$73,3,FALSE())&amp;Char(10) &amp; Char(10) &amp; VLOOKUP(A402,Internal_lists_bugs!$A$2:$Z$73,26,FALSE())),"please select a BUG ID")</f>
        <v>
</v>
      </c>
      <c r="C402" s="39" t="str">
        <f>IFERROR(VLOOKUP(A402,Internal_lists_bugs!$A$2:$G2011,7,FALSE()),"please select a BUG ID")</f>
        <v>https://opendev.org/openstack/nova/commit/c363dae6a2b878db6801b502cced1fcc6aad2d0c</v>
      </c>
      <c r="D402" s="16" t="s">
        <v>1213</v>
      </c>
      <c r="E402" s="50"/>
      <c r="F402" s="43"/>
      <c r="G402" s="50"/>
      <c r="H402" s="43"/>
    </row>
    <row r="403">
      <c r="A403" s="16" t="s">
        <v>53</v>
      </c>
      <c r="B403" s="59" t="str">
        <f>IFERROR(HYPERLINK(VLOOKUP(A403,Internal_lists_bugs!$A$2:$C$73,3,FALSE()), VLOOKUP(A403,Internal_lists_bugs!$A$2:$C$73,3,FALSE())&amp;Char(10) &amp; Char(10) &amp; VLOOKUP(A403,Internal_lists_bugs!$A$2:$Z$73,26,FALSE())),"please select a BUG ID")</f>
        <v>
</v>
      </c>
      <c r="C403" s="39" t="str">
        <f>IFERROR(VLOOKUP(A403,Internal_lists_bugs!$A$2:$G2011,7,FALSE()),"please select a BUG ID")</f>
        <v>https://opendev.org/openstack/nova/commit/c363dae6a2b878db6801b502cced1fcc6aad2d0c</v>
      </c>
      <c r="D403" s="16" t="s">
        <v>1223</v>
      </c>
      <c r="E403" s="50"/>
      <c r="F403" s="43"/>
      <c r="G403" s="50"/>
      <c r="H403" s="43"/>
    </row>
    <row r="404">
      <c r="A404" s="16" t="s">
        <v>53</v>
      </c>
      <c r="B404" s="59" t="str">
        <f>IFERROR(HYPERLINK(VLOOKUP(A404,Internal_lists_bugs!$A$2:$C$73,3,FALSE()), VLOOKUP(A404,Internal_lists_bugs!$A$2:$C$73,3,FALSE())&amp;Char(10) &amp; Char(10) &amp; VLOOKUP(A404,Internal_lists_bugs!$A$2:$Z$73,26,FALSE())),"please select a BUG ID")</f>
        <v>
</v>
      </c>
      <c r="C404" s="39" t="str">
        <f>IFERROR(VLOOKUP(A404,Internal_lists_bugs!$A$2:$G2011,7,FALSE()),"please select a BUG ID")</f>
        <v>https://opendev.org/openstack/nova/commit/c363dae6a2b878db6801b502cced1fcc6aad2d0c</v>
      </c>
      <c r="D404" s="16" t="s">
        <v>1226</v>
      </c>
      <c r="E404" s="50"/>
      <c r="F404" s="43"/>
      <c r="G404" s="50"/>
      <c r="H404" s="43"/>
    </row>
    <row r="405">
      <c r="A405" s="16" t="s">
        <v>53</v>
      </c>
      <c r="B405" s="59" t="str">
        <f>IFERROR(HYPERLINK(VLOOKUP(A405,Internal_lists_bugs!$A$2:$C$73,3,FALSE()), VLOOKUP(A405,Internal_lists_bugs!$A$2:$C$73,3,FALSE())&amp;Char(10) &amp; Char(10) &amp; VLOOKUP(A405,Internal_lists_bugs!$A$2:$Z$73,26,FALSE())),"please select a BUG ID")</f>
        <v>
</v>
      </c>
      <c r="C405" s="39" t="str">
        <f>IFERROR(VLOOKUP(A405,Internal_lists_bugs!$A$2:$G2011,7,FALSE()),"please select a BUG ID")</f>
        <v>https://opendev.org/openstack/nova/commit/c363dae6a2b878db6801b502cced1fcc6aad2d0c</v>
      </c>
      <c r="D405" s="16" t="s">
        <v>1229</v>
      </c>
      <c r="E405" s="50"/>
      <c r="F405" s="43"/>
      <c r="G405" s="50"/>
      <c r="H405" s="43"/>
    </row>
    <row r="406">
      <c r="A406" s="16" t="s">
        <v>53</v>
      </c>
      <c r="B406" s="59" t="str">
        <f>IFERROR(HYPERLINK(VLOOKUP(A406,Internal_lists_bugs!$A$2:$C$73,3,FALSE()), VLOOKUP(A406,Internal_lists_bugs!$A$2:$C$73,3,FALSE())&amp;Char(10) &amp; Char(10) &amp; VLOOKUP(A406,Internal_lists_bugs!$A$2:$Z$73,26,FALSE())),"please select a BUG ID")</f>
        <v>
</v>
      </c>
      <c r="C406" s="39" t="str">
        <f>IFERROR(VLOOKUP(A406,Internal_lists_bugs!$A$2:$G2011,7,FALSE()),"please select a BUG ID")</f>
        <v>https://opendev.org/openstack/nova/commit/c363dae6a2b878db6801b502cced1fcc6aad2d0c</v>
      </c>
      <c r="D406" s="16" t="s">
        <v>1230</v>
      </c>
      <c r="E406" s="50"/>
      <c r="F406" s="43"/>
      <c r="G406" s="50"/>
      <c r="H406" s="43"/>
    </row>
    <row r="407">
      <c r="A407" s="16" t="s">
        <v>53</v>
      </c>
      <c r="B407" s="59" t="str">
        <f>IFERROR(HYPERLINK(VLOOKUP(A407,Internal_lists_bugs!$A$2:$C$73,3,FALSE()), VLOOKUP(A407,Internal_lists_bugs!$A$2:$C$73,3,FALSE())&amp;Char(10) &amp; Char(10) &amp; VLOOKUP(A407,Internal_lists_bugs!$A$2:$Z$73,26,FALSE())),"please select a BUG ID")</f>
        <v>
</v>
      </c>
      <c r="C407" s="39" t="str">
        <f>IFERROR(VLOOKUP(A407,Internal_lists_bugs!$A$2:$G2011,7,FALSE()),"please select a BUG ID")</f>
        <v>https://opendev.org/openstack/nova/commit/c363dae6a2b878db6801b502cced1fcc6aad2d0c</v>
      </c>
      <c r="D407" s="16" t="s">
        <v>1231</v>
      </c>
      <c r="E407" s="50"/>
      <c r="F407" s="43"/>
      <c r="G407" s="50"/>
      <c r="H407" s="43"/>
    </row>
    <row r="408">
      <c r="A408" s="16" t="s">
        <v>53</v>
      </c>
      <c r="B408" s="59" t="str">
        <f>IFERROR(HYPERLINK(VLOOKUP(A408,Internal_lists_bugs!$A$2:$C$73,3,FALSE()), VLOOKUP(A408,Internal_lists_bugs!$A$2:$C$73,3,FALSE())&amp;Char(10) &amp; Char(10) &amp; VLOOKUP(A408,Internal_lists_bugs!$A$2:$Z$73,26,FALSE())),"please select a BUG ID")</f>
        <v>
</v>
      </c>
      <c r="C408" s="39" t="str">
        <f>IFERROR(VLOOKUP(A408,Internal_lists_bugs!$A$2:$G2011,7,FALSE()),"please select a BUG ID")</f>
        <v>https://opendev.org/openstack/nova/commit/c363dae6a2b878db6801b502cced1fcc6aad2d0c</v>
      </c>
      <c r="D408" s="16" t="s">
        <v>1216</v>
      </c>
      <c r="E408" s="50"/>
      <c r="F408" s="43"/>
      <c r="G408" s="50"/>
      <c r="H408" s="43"/>
    </row>
    <row r="409">
      <c r="A409" s="16" t="s">
        <v>31</v>
      </c>
      <c r="B409" s="59" t="str">
        <f>IFERROR(HYPERLINK(VLOOKUP(A409,Internal_lists_bugs!$A$2:$C$73,3,FALSE()), VLOOKUP(A409,Internal_lists_bugs!$A$2:$C$73,3,FALSE())&amp;Char(10) &amp; Char(10) &amp; VLOOKUP(A409,Internal_lists_bugs!$A$2:$Z$73,26,FALSE())),"please select a BUG ID")</f>
        <v>
</v>
      </c>
      <c r="C409" s="39" t="str">
        <f>IFERROR(VLOOKUP(A409,Internal_lists_bugs!$A$2:$G2011,7,FALSE()),"please select a BUG ID")</f>
        <v>https://opendev.org/openstack/nova/commit/5876827d92bad3c408651184d9fea835639d8db8</v>
      </c>
      <c r="D409" s="16" t="s">
        <v>1220</v>
      </c>
      <c r="E409" s="50"/>
      <c r="F409" s="16" t="s">
        <v>1174</v>
      </c>
      <c r="G409" s="50"/>
      <c r="H409" s="16" t="s">
        <v>1221</v>
      </c>
    </row>
    <row r="410">
      <c r="A410" s="16" t="s">
        <v>31</v>
      </c>
      <c r="B410" s="59" t="str">
        <f>IFERROR(HYPERLINK(VLOOKUP(A410,Internal_lists_bugs!$A$2:$C$73,3,FALSE()), VLOOKUP(A410,Internal_lists_bugs!$A$2:$C$73,3,FALSE())&amp;Char(10) &amp; Char(10) &amp; VLOOKUP(A410,Internal_lists_bugs!$A$2:$Z$73,26,FALSE())),"please select a BUG ID")</f>
        <v>
</v>
      </c>
      <c r="C410" s="39" t="str">
        <f>IFERROR(VLOOKUP(A410,Internal_lists_bugs!$A$2:$G2011,7,FALSE()),"please select a BUG ID")</f>
        <v>https://opendev.org/openstack/nova/commit/5876827d92bad3c408651184d9fea835639d8db8</v>
      </c>
      <c r="D410" s="16" t="s">
        <v>1209</v>
      </c>
      <c r="E410" s="50"/>
      <c r="F410" s="43"/>
      <c r="G410" s="50"/>
      <c r="H410" s="16" t="s">
        <v>1175</v>
      </c>
    </row>
    <row r="411">
      <c r="A411" s="16" t="s">
        <v>31</v>
      </c>
      <c r="B411" s="59" t="str">
        <f>IFERROR(HYPERLINK(VLOOKUP(A411,Internal_lists_bugs!$A$2:$C$73,3,FALSE()), VLOOKUP(A411,Internal_lists_bugs!$A$2:$C$73,3,FALSE())&amp;Char(10) &amp; Char(10) &amp; VLOOKUP(A411,Internal_lists_bugs!$A$2:$Z$73,26,FALSE())),"please select a BUG ID")</f>
        <v>
</v>
      </c>
      <c r="C411" s="39" t="str">
        <f>IFERROR(VLOOKUP(A411,Internal_lists_bugs!$A$2:$G2011,7,FALSE()),"please select a BUG ID")</f>
        <v>https://opendev.org/openstack/nova/commit/5876827d92bad3c408651184d9fea835639d8db8</v>
      </c>
      <c r="D411" s="16" t="s">
        <v>1178</v>
      </c>
      <c r="E411" s="50"/>
      <c r="F411" s="43"/>
      <c r="G411" s="50"/>
      <c r="H411" s="16" t="s">
        <v>1203</v>
      </c>
    </row>
    <row r="412">
      <c r="A412" s="16" t="s">
        <v>31</v>
      </c>
      <c r="B412" s="59" t="str">
        <f>IFERROR(HYPERLINK(VLOOKUP(A412,Internal_lists_bugs!$A$2:$C$73,3,FALSE()), VLOOKUP(A412,Internal_lists_bugs!$A$2:$C$73,3,FALSE())&amp;Char(10) &amp; Char(10) &amp; VLOOKUP(A412,Internal_lists_bugs!$A$2:$Z$73,26,FALSE())),"please select a BUG ID")</f>
        <v>
</v>
      </c>
      <c r="C412" s="39" t="str">
        <f>IFERROR(VLOOKUP(A412,Internal_lists_bugs!$A$2:$G2011,7,FALSE()),"please select a BUG ID")</f>
        <v>https://opendev.org/openstack/nova/commit/5876827d92bad3c408651184d9fea835639d8db8</v>
      </c>
      <c r="D412" s="16" t="s">
        <v>1182</v>
      </c>
      <c r="E412" s="50"/>
      <c r="F412" s="43"/>
      <c r="G412" s="50"/>
      <c r="H412" s="16" t="s">
        <v>1212</v>
      </c>
    </row>
    <row r="413">
      <c r="A413" s="16" t="s">
        <v>31</v>
      </c>
      <c r="B413" s="59" t="str">
        <f>IFERROR(HYPERLINK(VLOOKUP(A413,Internal_lists_bugs!$A$2:$C$73,3,FALSE()), VLOOKUP(A413,Internal_lists_bugs!$A$2:$C$73,3,FALSE())&amp;Char(10) &amp; Char(10) &amp; VLOOKUP(A413,Internal_lists_bugs!$A$2:$Z$73,26,FALSE())),"please select a BUG ID")</f>
        <v>
</v>
      </c>
      <c r="C413" s="39" t="str">
        <f>IFERROR(VLOOKUP(A413,Internal_lists_bugs!$A$2:$G2011,7,FALSE()),"please select a BUG ID")</f>
        <v>https://opendev.org/openstack/nova/commit/5876827d92bad3c408651184d9fea835639d8db8</v>
      </c>
      <c r="D413" s="16" t="s">
        <v>1191</v>
      </c>
      <c r="E413" s="50"/>
      <c r="F413" s="43"/>
      <c r="G413" s="50"/>
      <c r="H413" s="16" t="s">
        <v>1222</v>
      </c>
    </row>
    <row r="414">
      <c r="A414" s="16" t="s">
        <v>31</v>
      </c>
      <c r="B414" s="59" t="str">
        <f>IFERROR(HYPERLINK(VLOOKUP(A414,Internal_lists_bugs!$A$2:$C$73,3,FALSE()), VLOOKUP(A414,Internal_lists_bugs!$A$2:$C$73,3,FALSE())&amp;Char(10) &amp; Char(10) &amp; VLOOKUP(A414,Internal_lists_bugs!$A$2:$Z$73,26,FALSE())),"please select a BUG ID")</f>
        <v>
</v>
      </c>
      <c r="C414" s="39" t="str">
        <f>IFERROR(VLOOKUP(A414,Internal_lists_bugs!$A$2:$G2011,7,FALSE()),"please select a BUG ID")</f>
        <v>https://opendev.org/openstack/nova/commit/5876827d92bad3c408651184d9fea835639d8db8</v>
      </c>
      <c r="D414" s="16" t="s">
        <v>1218</v>
      </c>
      <c r="E414" s="50"/>
      <c r="F414" s="43"/>
      <c r="G414" s="50"/>
      <c r="H414" s="16" t="s">
        <v>1225</v>
      </c>
    </row>
    <row r="415">
      <c r="A415" s="16" t="s">
        <v>31</v>
      </c>
      <c r="B415" s="59" t="str">
        <f>IFERROR(HYPERLINK(VLOOKUP(A415,Internal_lists_bugs!$A$2:$C$73,3,FALSE()), VLOOKUP(A415,Internal_lists_bugs!$A$2:$C$73,3,FALSE())&amp;Char(10) &amp; Char(10) &amp; VLOOKUP(A415,Internal_lists_bugs!$A$2:$Z$73,26,FALSE())),"please select a BUG ID")</f>
        <v>
</v>
      </c>
      <c r="C415" s="39" t="str">
        <f>IFERROR(VLOOKUP(A415,Internal_lists_bugs!$A$2:$G2011,7,FALSE()),"please select a BUG ID")</f>
        <v>https://opendev.org/openstack/nova/commit/5876827d92bad3c408651184d9fea835639d8db8</v>
      </c>
      <c r="D415" s="16" t="s">
        <v>1219</v>
      </c>
      <c r="E415" s="50"/>
      <c r="F415" s="43"/>
      <c r="G415" s="50"/>
      <c r="H415" s="16" t="s">
        <v>1224</v>
      </c>
    </row>
    <row r="416">
      <c r="A416" s="16" t="s">
        <v>31</v>
      </c>
      <c r="B416" s="59" t="str">
        <f>IFERROR(HYPERLINK(VLOOKUP(A416,Internal_lists_bugs!$A$2:$C$73,3,FALSE()), VLOOKUP(A416,Internal_lists_bugs!$A$2:$C$73,3,FALSE())&amp;Char(10) &amp; Char(10) &amp; VLOOKUP(A416,Internal_lists_bugs!$A$2:$Z$73,26,FALSE())),"please select a BUG ID")</f>
        <v>
</v>
      </c>
      <c r="C416" s="39" t="str">
        <f>IFERROR(VLOOKUP(A416,Internal_lists_bugs!$A$2:$G2011,7,FALSE()),"please select a BUG ID")</f>
        <v>https://opendev.org/openstack/nova/commit/5876827d92bad3c408651184d9fea835639d8db8</v>
      </c>
      <c r="D416" s="16" t="s">
        <v>1199</v>
      </c>
      <c r="E416" s="50"/>
      <c r="F416" s="43"/>
      <c r="G416" s="50"/>
      <c r="H416" s="16" t="s">
        <v>1228</v>
      </c>
    </row>
    <row r="417">
      <c r="A417" s="16" t="s">
        <v>31</v>
      </c>
      <c r="B417" s="59" t="str">
        <f>IFERROR(HYPERLINK(VLOOKUP(A417,Internal_lists_bugs!$A$2:$C$73,3,FALSE()), VLOOKUP(A417,Internal_lists_bugs!$A$2:$C$73,3,FALSE())&amp;Char(10) &amp; Char(10) &amp; VLOOKUP(A417,Internal_lists_bugs!$A$2:$Z$73,26,FALSE())),"please select a BUG ID")</f>
        <v>
</v>
      </c>
      <c r="C417" s="39" t="str">
        <f>IFERROR(VLOOKUP(A417,Internal_lists_bugs!$A$2:$G2011,7,FALSE()),"please select a BUG ID")</f>
        <v>https://opendev.org/openstack/nova/commit/5876827d92bad3c408651184d9fea835639d8db8</v>
      </c>
      <c r="D417" s="16" t="s">
        <v>1201</v>
      </c>
      <c r="E417" s="50"/>
      <c r="F417" s="43"/>
      <c r="G417" s="50"/>
      <c r="H417" s="16" t="s">
        <v>1179</v>
      </c>
    </row>
    <row r="418">
      <c r="A418" s="16" t="s">
        <v>31</v>
      </c>
      <c r="B418" s="59" t="str">
        <f>IFERROR(HYPERLINK(VLOOKUP(A418,Internal_lists_bugs!$A$2:$C$73,3,FALSE()), VLOOKUP(A418,Internal_lists_bugs!$A$2:$C$73,3,FALSE())&amp;Char(10) &amp; Char(10) &amp; VLOOKUP(A418,Internal_lists_bugs!$A$2:$Z$73,26,FALSE())),"please select a BUG ID")</f>
        <v>
</v>
      </c>
      <c r="C418" s="39" t="str">
        <f>IFERROR(VLOOKUP(A418,Internal_lists_bugs!$A$2:$G2011,7,FALSE()),"please select a BUG ID")</f>
        <v>https://opendev.org/openstack/nova/commit/5876827d92bad3c408651184d9fea835639d8db8</v>
      </c>
      <c r="D418" s="16" t="s">
        <v>1202</v>
      </c>
      <c r="E418" s="50"/>
      <c r="F418" s="43"/>
      <c r="G418" s="50"/>
      <c r="H418" s="16" t="s">
        <v>1197</v>
      </c>
    </row>
    <row r="419">
      <c r="A419" s="16" t="s">
        <v>31</v>
      </c>
      <c r="B419" s="59" t="str">
        <f>IFERROR(HYPERLINK(VLOOKUP(A419,Internal_lists_bugs!$A$2:$C$73,3,FALSE()), VLOOKUP(A419,Internal_lists_bugs!$A$2:$C$73,3,FALSE())&amp;Char(10) &amp; Char(10) &amp; VLOOKUP(A419,Internal_lists_bugs!$A$2:$Z$73,26,FALSE())),"please select a BUG ID")</f>
        <v>
</v>
      </c>
      <c r="C419" s="39" t="str">
        <f>IFERROR(VLOOKUP(A419,Internal_lists_bugs!$A$2:$G2011,7,FALSE()),"please select a BUG ID")</f>
        <v>https://opendev.org/openstack/nova/commit/5876827d92bad3c408651184d9fea835639d8db8</v>
      </c>
      <c r="D419" s="16" t="s">
        <v>1173</v>
      </c>
      <c r="E419" s="50"/>
      <c r="F419" s="43"/>
      <c r="G419" s="50"/>
      <c r="H419" s="16" t="s">
        <v>1198</v>
      </c>
    </row>
    <row r="420">
      <c r="A420" s="16" t="s">
        <v>31</v>
      </c>
      <c r="B420" s="59" t="str">
        <f>IFERROR(HYPERLINK(VLOOKUP(A420,Internal_lists_bugs!$A$2:$C$73,3,FALSE()), VLOOKUP(A420,Internal_lists_bugs!$A$2:$C$73,3,FALSE())&amp;Char(10) &amp; Char(10) &amp; VLOOKUP(A420,Internal_lists_bugs!$A$2:$Z$73,26,FALSE())),"please select a BUG ID")</f>
        <v>
</v>
      </c>
      <c r="C420" s="39" t="str">
        <f>IFERROR(VLOOKUP(A420,Internal_lists_bugs!$A$2:$G2011,7,FALSE()),"please select a BUG ID")</f>
        <v>https://opendev.org/openstack/nova/commit/5876827d92bad3c408651184d9fea835639d8db8</v>
      </c>
      <c r="D420" s="16" t="s">
        <v>1211</v>
      </c>
      <c r="E420" s="50"/>
      <c r="F420" s="43"/>
      <c r="G420" s="50"/>
      <c r="H420" s="16" t="s">
        <v>1200</v>
      </c>
    </row>
    <row r="421">
      <c r="A421" s="16" t="s">
        <v>31</v>
      </c>
      <c r="B421" s="59" t="str">
        <f>IFERROR(HYPERLINK(VLOOKUP(A421,Internal_lists_bugs!$A$2:$C$73,3,FALSE()), VLOOKUP(A421,Internal_lists_bugs!$A$2:$C$73,3,FALSE())&amp;Char(10) &amp; Char(10) &amp; VLOOKUP(A421,Internal_lists_bugs!$A$2:$Z$73,26,FALSE())),"please select a BUG ID")</f>
        <v>
</v>
      </c>
      <c r="C421" s="39" t="str">
        <f>IFERROR(VLOOKUP(A421,Internal_lists_bugs!$A$2:$G2011,7,FALSE()),"please select a BUG ID")</f>
        <v>https://opendev.org/openstack/nova/commit/5876827d92bad3c408651184d9fea835639d8db8</v>
      </c>
      <c r="D421" s="16" t="s">
        <v>1214</v>
      </c>
      <c r="E421" s="50"/>
      <c r="F421" s="43"/>
      <c r="G421" s="50"/>
      <c r="H421" s="16" t="s">
        <v>1215</v>
      </c>
    </row>
    <row r="422">
      <c r="A422" s="16" t="s">
        <v>31</v>
      </c>
      <c r="B422" s="59" t="str">
        <f>IFERROR(HYPERLINK(VLOOKUP(A422,Internal_lists_bugs!$A$2:$C$73,3,FALSE()), VLOOKUP(A422,Internal_lists_bugs!$A$2:$C$73,3,FALSE())&amp;Char(10) &amp; Char(10) &amp; VLOOKUP(A422,Internal_lists_bugs!$A$2:$Z$73,26,FALSE())),"please select a BUG ID")</f>
        <v>
</v>
      </c>
      <c r="C422" s="39" t="str">
        <f>IFERROR(VLOOKUP(A422,Internal_lists_bugs!$A$2:$G2011,7,FALSE()),"please select a BUG ID")</f>
        <v>https://opendev.org/openstack/nova/commit/5876827d92bad3c408651184d9fea835639d8db8</v>
      </c>
      <c r="D422" s="16" t="s">
        <v>1205</v>
      </c>
      <c r="E422" s="50"/>
      <c r="F422" s="43"/>
      <c r="G422" s="50"/>
      <c r="H422" s="16" t="s">
        <v>1210</v>
      </c>
    </row>
    <row r="423">
      <c r="A423" s="16" t="s">
        <v>31</v>
      </c>
      <c r="B423" s="59" t="str">
        <f>IFERROR(HYPERLINK(VLOOKUP(A423,Internal_lists_bugs!$A$2:$C$73,3,FALSE()), VLOOKUP(A423,Internal_lists_bugs!$A$2:$C$73,3,FALSE())&amp;Char(10) &amp; Char(10) &amp; VLOOKUP(A423,Internal_lists_bugs!$A$2:$Z$73,26,FALSE())),"please select a BUG ID")</f>
        <v>
</v>
      </c>
      <c r="C423" s="39" t="str">
        <f>IFERROR(VLOOKUP(A423,Internal_lists_bugs!$A$2:$G2011,7,FALSE()),"please select a BUG ID")</f>
        <v>https://opendev.org/openstack/nova/commit/5876827d92bad3c408651184d9fea835639d8db8</v>
      </c>
      <c r="D423" s="16" t="s">
        <v>1183</v>
      </c>
      <c r="E423" s="50"/>
      <c r="F423" s="43"/>
      <c r="G423" s="50"/>
      <c r="H423" s="16" t="s">
        <v>1177</v>
      </c>
    </row>
    <row r="424">
      <c r="A424" s="16" t="s">
        <v>31</v>
      </c>
      <c r="B424" s="59" t="str">
        <f>IFERROR(HYPERLINK(VLOOKUP(A424,Internal_lists_bugs!$A$2:$C$73,3,FALSE()), VLOOKUP(A424,Internal_lists_bugs!$A$2:$C$73,3,FALSE())&amp;Char(10) &amp; Char(10) &amp; VLOOKUP(A424,Internal_lists_bugs!$A$2:$Z$73,26,FALSE())),"please select a BUG ID")</f>
        <v>
</v>
      </c>
      <c r="C424" s="39" t="str">
        <f>IFERROR(VLOOKUP(A424,Internal_lists_bugs!$A$2:$G2011,7,FALSE()),"please select a BUG ID")</f>
        <v>https://opendev.org/openstack/nova/commit/5876827d92bad3c408651184d9fea835639d8db8</v>
      </c>
      <c r="D424" s="16" t="s">
        <v>1184</v>
      </c>
      <c r="E424" s="50"/>
      <c r="F424" s="43"/>
      <c r="G424" s="50"/>
      <c r="H424" s="43"/>
    </row>
    <row r="425">
      <c r="A425" s="16" t="s">
        <v>31</v>
      </c>
      <c r="B425" s="59" t="str">
        <f>IFERROR(HYPERLINK(VLOOKUP(A425,Internal_lists_bugs!$A$2:$C$73,3,FALSE()), VLOOKUP(A425,Internal_lists_bugs!$A$2:$C$73,3,FALSE())&amp;Char(10) &amp; Char(10) &amp; VLOOKUP(A425,Internal_lists_bugs!$A$2:$Z$73,26,FALSE())),"please select a BUG ID")</f>
        <v>
</v>
      </c>
      <c r="C425" s="39" t="str">
        <f>IFERROR(VLOOKUP(A425,Internal_lists_bugs!$A$2:$G2011,7,FALSE()),"please select a BUG ID")</f>
        <v>https://opendev.org/openstack/nova/commit/5876827d92bad3c408651184d9fea835639d8db8</v>
      </c>
      <c r="D425" s="16" t="s">
        <v>1185</v>
      </c>
      <c r="E425" s="50"/>
      <c r="F425" s="43"/>
      <c r="G425" s="50"/>
      <c r="H425" s="43"/>
    </row>
    <row r="426">
      <c r="A426" s="16" t="s">
        <v>31</v>
      </c>
      <c r="B426" s="59" t="str">
        <f>IFERROR(HYPERLINK(VLOOKUP(A426,Internal_lists_bugs!$A$2:$C$73,3,FALSE()), VLOOKUP(A426,Internal_lists_bugs!$A$2:$C$73,3,FALSE())&amp;Char(10) &amp; Char(10) &amp; VLOOKUP(A426,Internal_lists_bugs!$A$2:$Z$73,26,FALSE())),"please select a BUG ID")</f>
        <v>
</v>
      </c>
      <c r="C426" s="39" t="str">
        <f>IFERROR(VLOOKUP(A426,Internal_lists_bugs!$A$2:$G2011,7,FALSE()),"please select a BUG ID")</f>
        <v>https://opendev.org/openstack/nova/commit/5876827d92bad3c408651184d9fea835639d8db8</v>
      </c>
      <c r="D426" s="16" t="s">
        <v>1196</v>
      </c>
      <c r="E426" s="50"/>
      <c r="F426" s="43"/>
      <c r="G426" s="50"/>
      <c r="H426" s="43"/>
    </row>
    <row r="427">
      <c r="A427" s="16" t="s">
        <v>31</v>
      </c>
      <c r="B427" s="59" t="str">
        <f>IFERROR(HYPERLINK(VLOOKUP(A427,Internal_lists_bugs!$A$2:$C$73,3,FALSE()), VLOOKUP(A427,Internal_lists_bugs!$A$2:$C$73,3,FALSE())&amp;Char(10) &amp; Char(10) &amp; VLOOKUP(A427,Internal_lists_bugs!$A$2:$Z$73,26,FALSE())),"please select a BUG ID")</f>
        <v>
</v>
      </c>
      <c r="C427" s="39" t="str">
        <f>IFERROR(VLOOKUP(A427,Internal_lists_bugs!$A$2:$G2011,7,FALSE()),"please select a BUG ID")</f>
        <v>https://opendev.org/openstack/nova/commit/5876827d92bad3c408651184d9fea835639d8db8</v>
      </c>
      <c r="D427" s="16" t="s">
        <v>1187</v>
      </c>
      <c r="E427" s="50"/>
      <c r="F427" s="43"/>
      <c r="G427" s="50"/>
      <c r="H427" s="43"/>
    </row>
    <row r="428">
      <c r="A428" s="16" t="s">
        <v>31</v>
      </c>
      <c r="B428" s="59" t="str">
        <f>IFERROR(HYPERLINK(VLOOKUP(A428,Internal_lists_bugs!$A$2:$C$73,3,FALSE()), VLOOKUP(A428,Internal_lists_bugs!$A$2:$C$73,3,FALSE())&amp;Char(10) &amp; Char(10) &amp; VLOOKUP(A428,Internal_lists_bugs!$A$2:$Z$73,26,FALSE())),"please select a BUG ID")</f>
        <v>
</v>
      </c>
      <c r="C428" s="39" t="str">
        <f>IFERROR(VLOOKUP(A428,Internal_lists_bugs!$A$2:$G2011,7,FALSE()),"please select a BUG ID")</f>
        <v>https://opendev.org/openstack/nova/commit/5876827d92bad3c408651184d9fea835639d8db8</v>
      </c>
      <c r="D428" s="16" t="s">
        <v>1206</v>
      </c>
      <c r="E428" s="50"/>
      <c r="F428" s="43"/>
      <c r="G428" s="50"/>
      <c r="H428" s="43"/>
    </row>
    <row r="429">
      <c r="A429" s="16" t="s">
        <v>31</v>
      </c>
      <c r="B429" s="59" t="str">
        <f>IFERROR(HYPERLINK(VLOOKUP(A429,Internal_lists_bugs!$A$2:$C$73,3,FALSE()), VLOOKUP(A429,Internal_lists_bugs!$A$2:$C$73,3,FALSE())&amp;Char(10) &amp; Char(10) &amp; VLOOKUP(A429,Internal_lists_bugs!$A$2:$Z$73,26,FALSE())),"please select a BUG ID")</f>
        <v>
</v>
      </c>
      <c r="C429" s="39" t="str">
        <f>IFERROR(VLOOKUP(A429,Internal_lists_bugs!$A$2:$G2011,7,FALSE()),"please select a BUG ID")</f>
        <v>https://opendev.org/openstack/nova/commit/5876827d92bad3c408651184d9fea835639d8db8</v>
      </c>
      <c r="D429" s="16" t="s">
        <v>1213</v>
      </c>
      <c r="E429" s="50"/>
      <c r="F429" s="43"/>
      <c r="G429" s="50"/>
      <c r="H429" s="43"/>
    </row>
    <row r="430">
      <c r="A430" s="16" t="s">
        <v>31</v>
      </c>
      <c r="B430" s="59" t="str">
        <f>IFERROR(HYPERLINK(VLOOKUP(A430,Internal_lists_bugs!$A$2:$C$73,3,FALSE()), VLOOKUP(A430,Internal_lists_bugs!$A$2:$C$73,3,FALSE())&amp;Char(10) &amp; Char(10) &amp; VLOOKUP(A430,Internal_lists_bugs!$A$2:$Z$73,26,FALSE())),"please select a BUG ID")</f>
        <v>
</v>
      </c>
      <c r="C430" s="39" t="str">
        <f>IFERROR(VLOOKUP(A430,Internal_lists_bugs!$A$2:$G2011,7,FALSE()),"please select a BUG ID")</f>
        <v>https://opendev.org/openstack/nova/commit/5876827d92bad3c408651184d9fea835639d8db8</v>
      </c>
      <c r="D430" s="16" t="s">
        <v>1223</v>
      </c>
      <c r="E430" s="50"/>
      <c r="F430" s="43"/>
      <c r="G430" s="50"/>
      <c r="H430" s="43"/>
    </row>
    <row r="431">
      <c r="A431" s="16" t="s">
        <v>31</v>
      </c>
      <c r="B431" s="59" t="str">
        <f>IFERROR(HYPERLINK(VLOOKUP(A431,Internal_lists_bugs!$A$2:$C$73,3,FALSE()), VLOOKUP(A431,Internal_lists_bugs!$A$2:$C$73,3,FALSE())&amp;Char(10) &amp; Char(10) &amp; VLOOKUP(A431,Internal_lists_bugs!$A$2:$Z$73,26,FALSE())),"please select a BUG ID")</f>
        <v>
</v>
      </c>
      <c r="C431" s="39" t="str">
        <f>IFERROR(VLOOKUP(A431,Internal_lists_bugs!$A$2:$G2011,7,FALSE()),"please select a BUG ID")</f>
        <v>https://opendev.org/openstack/nova/commit/5876827d92bad3c408651184d9fea835639d8db8</v>
      </c>
      <c r="D431" s="16" t="s">
        <v>1226</v>
      </c>
      <c r="E431" s="50"/>
      <c r="F431" s="43"/>
      <c r="G431" s="50"/>
      <c r="H431" s="43"/>
    </row>
    <row r="432">
      <c r="A432" s="16" t="s">
        <v>31</v>
      </c>
      <c r="B432" s="59" t="str">
        <f>IFERROR(HYPERLINK(VLOOKUP(A432,Internal_lists_bugs!$A$2:$C$73,3,FALSE()), VLOOKUP(A432,Internal_lists_bugs!$A$2:$C$73,3,FALSE())&amp;Char(10) &amp; Char(10) &amp; VLOOKUP(A432,Internal_lists_bugs!$A$2:$Z$73,26,FALSE())),"please select a BUG ID")</f>
        <v>
</v>
      </c>
      <c r="C432" s="39" t="str">
        <f>IFERROR(VLOOKUP(A432,Internal_lists_bugs!$A$2:$G2011,7,FALSE()),"please select a BUG ID")</f>
        <v>https://opendev.org/openstack/nova/commit/5876827d92bad3c408651184d9fea835639d8db8</v>
      </c>
      <c r="D432" s="16" t="s">
        <v>1230</v>
      </c>
      <c r="E432" s="50"/>
      <c r="F432" s="43"/>
      <c r="G432" s="50"/>
      <c r="H432" s="43"/>
    </row>
    <row r="433">
      <c r="A433" s="16" t="s">
        <v>31</v>
      </c>
      <c r="B433" s="59" t="str">
        <f>IFERROR(HYPERLINK(VLOOKUP(A433,Internal_lists_bugs!$A$2:$C$73,3,FALSE()), VLOOKUP(A433,Internal_lists_bugs!$A$2:$C$73,3,FALSE())&amp;Char(10) &amp; Char(10) &amp; VLOOKUP(A433,Internal_lists_bugs!$A$2:$Z$73,26,FALSE())),"please select a BUG ID")</f>
        <v>
</v>
      </c>
      <c r="C433" s="39" t="str">
        <f>IFERROR(VLOOKUP(A433,Internal_lists_bugs!$A$2:$G2011,7,FALSE()),"please select a BUG ID")</f>
        <v>https://opendev.org/openstack/nova/commit/5876827d92bad3c408651184d9fea835639d8db8</v>
      </c>
      <c r="D433" s="16" t="s">
        <v>1229</v>
      </c>
      <c r="E433" s="50"/>
      <c r="F433" s="43"/>
      <c r="G433" s="50"/>
      <c r="H433" s="43"/>
    </row>
    <row r="434">
      <c r="A434" s="16" t="s">
        <v>31</v>
      </c>
      <c r="B434" s="59" t="str">
        <f>IFERROR(HYPERLINK(VLOOKUP(A434,Internal_lists_bugs!$A$2:$C$73,3,FALSE()), VLOOKUP(A434,Internal_lists_bugs!$A$2:$C$73,3,FALSE())&amp;Char(10) &amp; Char(10) &amp; VLOOKUP(A434,Internal_lists_bugs!$A$2:$Z$73,26,FALSE())),"please select a BUG ID")</f>
        <v>
</v>
      </c>
      <c r="C434" s="39" t="str">
        <f>IFERROR(VLOOKUP(A434,Internal_lists_bugs!$A$2:$G2011,7,FALSE()),"please select a BUG ID")</f>
        <v>https://opendev.org/openstack/nova/commit/5876827d92bad3c408651184d9fea835639d8db8</v>
      </c>
      <c r="D434" s="16" t="s">
        <v>1231</v>
      </c>
      <c r="E434" s="50"/>
      <c r="F434" s="43"/>
      <c r="G434" s="50"/>
      <c r="H434" s="43"/>
    </row>
    <row r="435">
      <c r="A435" s="16" t="s">
        <v>41</v>
      </c>
      <c r="B435" s="59" t="str">
        <f>IFERROR(HYPERLINK(VLOOKUP(A435,Internal_lists_bugs!$A$2:$C$73,3,FALSE()), VLOOKUP(A435,Internal_lists_bugs!$A$2:$C$73,3,FALSE())&amp;Char(10) &amp; Char(10) &amp; VLOOKUP(A435,Internal_lists_bugs!$A$2:$Z$73,26,FALSE())),"please select a BUG ID")</f>
        <v>
</v>
      </c>
      <c r="C435" s="39" t="str">
        <f>IFERROR(VLOOKUP(A435,Internal_lists_bugs!$A$2:$G2011,7,FALSE()),"please select a BUG ID")</f>
        <v>https://opendev.org/openstack/nova/commit/b826fba1cd61f7ddbee091c220eaef7ea5317c1b</v>
      </c>
      <c r="D435" s="16" t="s">
        <v>1220</v>
      </c>
      <c r="E435" s="50"/>
      <c r="F435" s="16" t="s">
        <v>1174</v>
      </c>
      <c r="G435" s="50"/>
      <c r="H435" s="16" t="s">
        <v>1221</v>
      </c>
    </row>
    <row r="436">
      <c r="A436" s="16" t="s">
        <v>41</v>
      </c>
      <c r="B436" s="59" t="str">
        <f>IFERROR(HYPERLINK(VLOOKUP(A436,Internal_lists_bugs!$A$2:$C$73,3,FALSE()), VLOOKUP(A436,Internal_lists_bugs!$A$2:$C$73,3,FALSE())&amp;Char(10) &amp; Char(10) &amp; VLOOKUP(A436,Internal_lists_bugs!$A$2:$Z$73,26,FALSE())),"please select a BUG ID")</f>
        <v>
</v>
      </c>
      <c r="C436" s="39" t="str">
        <f>IFERROR(VLOOKUP(A436,Internal_lists_bugs!$A$2:$G2011,7,FALSE()),"please select a BUG ID")</f>
        <v>https://opendev.org/openstack/nova/commit/b826fba1cd61f7ddbee091c220eaef7ea5317c1b</v>
      </c>
      <c r="D436" s="16" t="s">
        <v>1209</v>
      </c>
      <c r="E436" s="50"/>
      <c r="F436" s="43"/>
      <c r="G436" s="50"/>
      <c r="H436" s="16" t="s">
        <v>1175</v>
      </c>
    </row>
    <row r="437">
      <c r="A437" s="16" t="s">
        <v>41</v>
      </c>
      <c r="B437" s="59" t="str">
        <f>IFERROR(HYPERLINK(VLOOKUP(A437,Internal_lists_bugs!$A$2:$C$73,3,FALSE()), VLOOKUP(A437,Internal_lists_bugs!$A$2:$C$73,3,FALSE())&amp;Char(10) &amp; Char(10) &amp; VLOOKUP(A437,Internal_lists_bugs!$A$2:$Z$73,26,FALSE())),"please select a BUG ID")</f>
        <v>
</v>
      </c>
      <c r="C437" s="39" t="str">
        <f>IFERROR(VLOOKUP(A437,Internal_lists_bugs!$A$2:$G2011,7,FALSE()),"please select a BUG ID")</f>
        <v>https://opendev.org/openstack/nova/commit/b826fba1cd61f7ddbee091c220eaef7ea5317c1b</v>
      </c>
      <c r="D437" s="16" t="s">
        <v>1178</v>
      </c>
      <c r="E437" s="50"/>
      <c r="F437" s="43"/>
      <c r="G437" s="50"/>
      <c r="H437" s="16" t="s">
        <v>1203</v>
      </c>
    </row>
    <row r="438">
      <c r="A438" s="16" t="s">
        <v>41</v>
      </c>
      <c r="B438" s="59" t="str">
        <f>IFERROR(HYPERLINK(VLOOKUP(A438,Internal_lists_bugs!$A$2:$C$73,3,FALSE()), VLOOKUP(A438,Internal_lists_bugs!$A$2:$C$73,3,FALSE())&amp;Char(10) &amp; Char(10) &amp; VLOOKUP(A438,Internal_lists_bugs!$A$2:$Z$73,26,FALSE())),"please select a BUG ID")</f>
        <v>
</v>
      </c>
      <c r="C438" s="39" t="str">
        <f>IFERROR(VLOOKUP(A438,Internal_lists_bugs!$A$2:$G2011,7,FALSE()),"please select a BUG ID")</f>
        <v>https://opendev.org/openstack/nova/commit/b826fba1cd61f7ddbee091c220eaef7ea5317c1b</v>
      </c>
      <c r="D438" s="16" t="s">
        <v>1182</v>
      </c>
      <c r="E438" s="50"/>
      <c r="F438" s="43"/>
      <c r="G438" s="50"/>
      <c r="H438" s="16" t="s">
        <v>1212</v>
      </c>
    </row>
    <row r="439">
      <c r="A439" s="16" t="s">
        <v>41</v>
      </c>
      <c r="B439" s="59" t="str">
        <f>IFERROR(HYPERLINK(VLOOKUP(A439,Internal_lists_bugs!$A$2:$C$73,3,FALSE()), VLOOKUP(A439,Internal_lists_bugs!$A$2:$C$73,3,FALSE())&amp;Char(10) &amp; Char(10) &amp; VLOOKUP(A439,Internal_lists_bugs!$A$2:$Z$73,26,FALSE())),"please select a BUG ID")</f>
        <v>
</v>
      </c>
      <c r="C439" s="39" t="str">
        <f>IFERROR(VLOOKUP(A439,Internal_lists_bugs!$A$2:$G2011,7,FALSE()),"please select a BUG ID")</f>
        <v>https://opendev.org/openstack/nova/commit/b826fba1cd61f7ddbee091c220eaef7ea5317c1b</v>
      </c>
      <c r="D439" s="16" t="s">
        <v>1191</v>
      </c>
      <c r="E439" s="50"/>
      <c r="F439" s="43"/>
      <c r="G439" s="50"/>
      <c r="H439" s="16" t="s">
        <v>1224</v>
      </c>
    </row>
    <row r="440">
      <c r="A440" s="16" t="s">
        <v>41</v>
      </c>
      <c r="B440" s="59" t="str">
        <f>IFERROR(HYPERLINK(VLOOKUP(A440,Internal_lists_bugs!$A$2:$C$73,3,FALSE()), VLOOKUP(A440,Internal_lists_bugs!$A$2:$C$73,3,FALSE())&amp;Char(10) &amp; Char(10) &amp; VLOOKUP(A440,Internal_lists_bugs!$A$2:$Z$73,26,FALSE())),"please select a BUG ID")</f>
        <v>
</v>
      </c>
      <c r="C440" s="39" t="str">
        <f>IFERROR(VLOOKUP(A440,Internal_lists_bugs!$A$2:$G2011,7,FALSE()),"please select a BUG ID")</f>
        <v>https://opendev.org/openstack/nova/commit/b826fba1cd61f7ddbee091c220eaef7ea5317c1b</v>
      </c>
      <c r="D440" s="16" t="s">
        <v>1218</v>
      </c>
      <c r="E440" s="50"/>
      <c r="F440" s="43"/>
      <c r="G440" s="50"/>
      <c r="H440" s="16" t="s">
        <v>1225</v>
      </c>
    </row>
    <row r="441">
      <c r="A441" s="16" t="s">
        <v>41</v>
      </c>
      <c r="B441" s="59" t="str">
        <f>IFERROR(HYPERLINK(VLOOKUP(A441,Internal_lists_bugs!$A$2:$C$73,3,FALSE()), VLOOKUP(A441,Internal_lists_bugs!$A$2:$C$73,3,FALSE())&amp;Char(10) &amp; Char(10) &amp; VLOOKUP(A441,Internal_lists_bugs!$A$2:$Z$73,26,FALSE())),"please select a BUG ID")</f>
        <v>
</v>
      </c>
      <c r="C441" s="39" t="str">
        <f>IFERROR(VLOOKUP(A441,Internal_lists_bugs!$A$2:$G2011,7,FALSE()),"please select a BUG ID")</f>
        <v>https://opendev.org/openstack/nova/commit/b826fba1cd61f7ddbee091c220eaef7ea5317c1b</v>
      </c>
      <c r="D441" s="16" t="s">
        <v>1219</v>
      </c>
      <c r="E441" s="50"/>
      <c r="F441" s="43"/>
      <c r="G441" s="50"/>
      <c r="H441" s="16" t="s">
        <v>1222</v>
      </c>
    </row>
    <row r="442">
      <c r="A442" s="16" t="s">
        <v>41</v>
      </c>
      <c r="B442" s="59" t="str">
        <f>IFERROR(HYPERLINK(VLOOKUP(A442,Internal_lists_bugs!$A$2:$C$73,3,FALSE()), VLOOKUP(A442,Internal_lists_bugs!$A$2:$C$73,3,FALSE())&amp;Char(10) &amp; Char(10) &amp; VLOOKUP(A442,Internal_lists_bugs!$A$2:$Z$73,26,FALSE())),"please select a BUG ID")</f>
        <v>
</v>
      </c>
      <c r="C442" s="39" t="str">
        <f>IFERROR(VLOOKUP(A442,Internal_lists_bugs!$A$2:$G2011,7,FALSE()),"please select a BUG ID")</f>
        <v>https://opendev.org/openstack/nova/commit/b826fba1cd61f7ddbee091c220eaef7ea5317c1b</v>
      </c>
      <c r="D442" s="16" t="s">
        <v>1199</v>
      </c>
      <c r="E442" s="50"/>
      <c r="F442" s="43"/>
      <c r="G442" s="50"/>
      <c r="H442" s="16" t="s">
        <v>1228</v>
      </c>
    </row>
    <row r="443">
      <c r="A443" s="16" t="s">
        <v>41</v>
      </c>
      <c r="B443" s="59" t="str">
        <f>IFERROR(HYPERLINK(VLOOKUP(A443,Internal_lists_bugs!$A$2:$C$73,3,FALSE()), VLOOKUP(A443,Internal_lists_bugs!$A$2:$C$73,3,FALSE())&amp;Char(10) &amp; Char(10) &amp; VLOOKUP(A443,Internal_lists_bugs!$A$2:$Z$73,26,FALSE())),"please select a BUG ID")</f>
        <v>
</v>
      </c>
      <c r="C443" s="39" t="str">
        <f>IFERROR(VLOOKUP(A443,Internal_lists_bugs!$A$2:$G2011,7,FALSE()),"please select a BUG ID")</f>
        <v>https://opendev.org/openstack/nova/commit/b826fba1cd61f7ddbee091c220eaef7ea5317c1b</v>
      </c>
      <c r="D443" s="16" t="s">
        <v>1201</v>
      </c>
      <c r="E443" s="50"/>
      <c r="F443" s="43"/>
      <c r="G443" s="50"/>
      <c r="H443" s="16" t="s">
        <v>1179</v>
      </c>
    </row>
    <row r="444">
      <c r="A444" s="16" t="s">
        <v>41</v>
      </c>
      <c r="B444" s="59" t="str">
        <f>IFERROR(HYPERLINK(VLOOKUP(A444,Internal_lists_bugs!$A$2:$C$73,3,FALSE()), VLOOKUP(A444,Internal_lists_bugs!$A$2:$C$73,3,FALSE())&amp;Char(10) &amp; Char(10) &amp; VLOOKUP(A444,Internal_lists_bugs!$A$2:$Z$73,26,FALSE())),"please select a BUG ID")</f>
        <v>
</v>
      </c>
      <c r="C444" s="39" t="str">
        <f>IFERROR(VLOOKUP(A444,Internal_lists_bugs!$A$2:$G2011,7,FALSE()),"please select a BUG ID")</f>
        <v>https://opendev.org/openstack/nova/commit/b826fba1cd61f7ddbee091c220eaef7ea5317c1b</v>
      </c>
      <c r="D444" s="16" t="s">
        <v>1202</v>
      </c>
      <c r="E444" s="50"/>
      <c r="F444" s="43"/>
      <c r="G444" s="50"/>
      <c r="H444" s="16" t="s">
        <v>1197</v>
      </c>
    </row>
    <row r="445">
      <c r="A445" s="16" t="s">
        <v>41</v>
      </c>
      <c r="B445" s="59" t="str">
        <f>IFERROR(HYPERLINK(VLOOKUP(A445,Internal_lists_bugs!$A$2:$C$73,3,FALSE()), VLOOKUP(A445,Internal_lists_bugs!$A$2:$C$73,3,FALSE())&amp;Char(10) &amp; Char(10) &amp; VLOOKUP(A445,Internal_lists_bugs!$A$2:$Z$73,26,FALSE())),"please select a BUG ID")</f>
        <v>
</v>
      </c>
      <c r="C445" s="39" t="str">
        <f>IFERROR(VLOOKUP(A445,Internal_lists_bugs!$A$2:$G2011,7,FALSE()),"please select a BUG ID")</f>
        <v>https://opendev.org/openstack/nova/commit/b826fba1cd61f7ddbee091c220eaef7ea5317c1b</v>
      </c>
      <c r="D445" s="16" t="s">
        <v>1173</v>
      </c>
      <c r="E445" s="50"/>
      <c r="F445" s="43"/>
      <c r="G445" s="50"/>
      <c r="H445" s="16" t="s">
        <v>1198</v>
      </c>
    </row>
    <row r="446">
      <c r="A446" s="16" t="s">
        <v>41</v>
      </c>
      <c r="B446" s="59" t="str">
        <f>IFERROR(HYPERLINK(VLOOKUP(A446,Internal_lists_bugs!$A$2:$C$73,3,FALSE()), VLOOKUP(A446,Internal_lists_bugs!$A$2:$C$73,3,FALSE())&amp;Char(10) &amp; Char(10) &amp; VLOOKUP(A446,Internal_lists_bugs!$A$2:$Z$73,26,FALSE())),"please select a BUG ID")</f>
        <v>
</v>
      </c>
      <c r="C446" s="39" t="str">
        <f>IFERROR(VLOOKUP(A446,Internal_lists_bugs!$A$2:$G2011,7,FALSE()),"please select a BUG ID")</f>
        <v>https://opendev.org/openstack/nova/commit/b826fba1cd61f7ddbee091c220eaef7ea5317c1b</v>
      </c>
      <c r="D446" s="16" t="s">
        <v>1211</v>
      </c>
      <c r="E446" s="50"/>
      <c r="F446" s="43"/>
      <c r="G446" s="50"/>
      <c r="H446" s="16" t="s">
        <v>1200</v>
      </c>
    </row>
    <row r="447">
      <c r="A447" s="16" t="s">
        <v>41</v>
      </c>
      <c r="B447" s="59" t="str">
        <f>IFERROR(HYPERLINK(VLOOKUP(A447,Internal_lists_bugs!$A$2:$C$73,3,FALSE()), VLOOKUP(A447,Internal_lists_bugs!$A$2:$C$73,3,FALSE())&amp;Char(10) &amp; Char(10) &amp; VLOOKUP(A447,Internal_lists_bugs!$A$2:$Z$73,26,FALSE())),"please select a BUG ID")</f>
        <v>
</v>
      </c>
      <c r="C447" s="39" t="str">
        <f>IFERROR(VLOOKUP(A447,Internal_lists_bugs!$A$2:$G2011,7,FALSE()),"please select a BUG ID")</f>
        <v>https://opendev.org/openstack/nova/commit/b826fba1cd61f7ddbee091c220eaef7ea5317c1b</v>
      </c>
      <c r="D447" s="16" t="s">
        <v>1214</v>
      </c>
      <c r="E447" s="50"/>
      <c r="F447" s="43"/>
      <c r="G447" s="50"/>
      <c r="H447" s="16" t="s">
        <v>1215</v>
      </c>
    </row>
    <row r="448">
      <c r="A448" s="16" t="s">
        <v>41</v>
      </c>
      <c r="B448" s="59" t="str">
        <f>IFERROR(HYPERLINK(VLOOKUP(A448,Internal_lists_bugs!$A$2:$C$73,3,FALSE()), VLOOKUP(A448,Internal_lists_bugs!$A$2:$C$73,3,FALSE())&amp;Char(10) &amp; Char(10) &amp; VLOOKUP(A448,Internal_lists_bugs!$A$2:$Z$73,26,FALSE())),"please select a BUG ID")</f>
        <v>
</v>
      </c>
      <c r="C448" s="39" t="str">
        <f>IFERROR(VLOOKUP(A448,Internal_lists_bugs!$A$2:$G2011,7,FALSE()),"please select a BUG ID")</f>
        <v>https://opendev.org/openstack/nova/commit/b826fba1cd61f7ddbee091c220eaef7ea5317c1b</v>
      </c>
      <c r="D448" s="16" t="s">
        <v>1205</v>
      </c>
      <c r="E448" s="50"/>
      <c r="F448" s="43"/>
      <c r="G448" s="50"/>
      <c r="H448" s="16" t="s">
        <v>1210</v>
      </c>
    </row>
    <row r="449">
      <c r="A449" s="16" t="s">
        <v>41</v>
      </c>
      <c r="B449" s="59" t="str">
        <f>IFERROR(HYPERLINK(VLOOKUP(A449,Internal_lists_bugs!$A$2:$C$73,3,FALSE()), VLOOKUP(A449,Internal_lists_bugs!$A$2:$C$73,3,FALSE())&amp;Char(10) &amp; Char(10) &amp; VLOOKUP(A449,Internal_lists_bugs!$A$2:$Z$73,26,FALSE())),"please select a BUG ID")</f>
        <v>
</v>
      </c>
      <c r="C449" s="39" t="str">
        <f>IFERROR(VLOOKUP(A449,Internal_lists_bugs!$A$2:$G2011,7,FALSE()),"please select a BUG ID")</f>
        <v>https://opendev.org/openstack/nova/commit/b826fba1cd61f7ddbee091c220eaef7ea5317c1b</v>
      </c>
      <c r="D449" s="16" t="s">
        <v>1183</v>
      </c>
      <c r="E449" s="50"/>
      <c r="F449" s="43"/>
      <c r="G449" s="50"/>
      <c r="H449" s="16" t="s">
        <v>1177</v>
      </c>
    </row>
    <row r="450">
      <c r="A450" s="16" t="s">
        <v>41</v>
      </c>
      <c r="B450" s="59" t="str">
        <f>IFERROR(HYPERLINK(VLOOKUP(A450,Internal_lists_bugs!$A$2:$C$73,3,FALSE()), VLOOKUP(A450,Internal_lists_bugs!$A$2:$C$73,3,FALSE())&amp;Char(10) &amp; Char(10) &amp; VLOOKUP(A450,Internal_lists_bugs!$A$2:$Z$73,26,FALSE())),"please select a BUG ID")</f>
        <v>
</v>
      </c>
      <c r="C450" s="39" t="str">
        <f>IFERROR(VLOOKUP(A450,Internal_lists_bugs!$A$2:$G2011,7,FALSE()),"please select a BUG ID")</f>
        <v>https://opendev.org/openstack/nova/commit/b826fba1cd61f7ddbee091c220eaef7ea5317c1b</v>
      </c>
      <c r="D450" s="16" t="s">
        <v>1184</v>
      </c>
      <c r="E450" s="50"/>
      <c r="F450" s="43"/>
      <c r="G450" s="50"/>
      <c r="H450" s="43"/>
    </row>
    <row r="451">
      <c r="A451" s="16" t="s">
        <v>41</v>
      </c>
      <c r="B451" s="59" t="str">
        <f>IFERROR(HYPERLINK(VLOOKUP(A451,Internal_lists_bugs!$A$2:$C$73,3,FALSE()), VLOOKUP(A451,Internal_lists_bugs!$A$2:$C$73,3,FALSE())&amp;Char(10) &amp; Char(10) &amp; VLOOKUP(A451,Internal_lists_bugs!$A$2:$Z$73,26,FALSE())),"please select a BUG ID")</f>
        <v>
</v>
      </c>
      <c r="C451" s="39" t="str">
        <f>IFERROR(VLOOKUP(A451,Internal_lists_bugs!$A$2:$G2011,7,FALSE()),"please select a BUG ID")</f>
        <v>https://opendev.org/openstack/nova/commit/b826fba1cd61f7ddbee091c220eaef7ea5317c1b</v>
      </c>
      <c r="D451" s="16" t="s">
        <v>1185</v>
      </c>
      <c r="E451" s="50"/>
      <c r="F451" s="43"/>
      <c r="G451" s="50"/>
      <c r="H451" s="43"/>
    </row>
    <row r="452">
      <c r="A452" s="16" t="s">
        <v>41</v>
      </c>
      <c r="B452" s="59" t="str">
        <f>IFERROR(HYPERLINK(VLOOKUP(A452,Internal_lists_bugs!$A$2:$C$73,3,FALSE()), VLOOKUP(A452,Internal_lists_bugs!$A$2:$C$73,3,FALSE())&amp;Char(10) &amp; Char(10) &amp; VLOOKUP(A452,Internal_lists_bugs!$A$2:$Z$73,26,FALSE())),"please select a BUG ID")</f>
        <v>
</v>
      </c>
      <c r="C452" s="39" t="str">
        <f>IFERROR(VLOOKUP(A452,Internal_lists_bugs!$A$2:$G2011,7,FALSE()),"please select a BUG ID")</f>
        <v>https://opendev.org/openstack/nova/commit/b826fba1cd61f7ddbee091c220eaef7ea5317c1b</v>
      </c>
      <c r="D452" s="16" t="s">
        <v>1196</v>
      </c>
      <c r="E452" s="50"/>
      <c r="F452" s="43"/>
      <c r="G452" s="50"/>
      <c r="H452" s="43"/>
    </row>
    <row r="453">
      <c r="A453" s="16" t="s">
        <v>41</v>
      </c>
      <c r="B453" s="59" t="str">
        <f>IFERROR(HYPERLINK(VLOOKUP(A453,Internal_lists_bugs!$A$2:$C$73,3,FALSE()), VLOOKUP(A453,Internal_lists_bugs!$A$2:$C$73,3,FALSE())&amp;Char(10) &amp; Char(10) &amp; VLOOKUP(A453,Internal_lists_bugs!$A$2:$Z$73,26,FALSE())),"please select a BUG ID")</f>
        <v>
</v>
      </c>
      <c r="C453" s="39" t="str">
        <f>IFERROR(VLOOKUP(A453,Internal_lists_bugs!$A$2:$G2011,7,FALSE()),"please select a BUG ID")</f>
        <v>https://opendev.org/openstack/nova/commit/b826fba1cd61f7ddbee091c220eaef7ea5317c1b</v>
      </c>
      <c r="D453" s="16" t="s">
        <v>1187</v>
      </c>
      <c r="E453" s="50"/>
      <c r="F453" s="43"/>
      <c r="G453" s="50"/>
      <c r="H453" s="43"/>
    </row>
    <row r="454">
      <c r="A454" s="16" t="s">
        <v>41</v>
      </c>
      <c r="B454" s="59" t="str">
        <f>IFERROR(HYPERLINK(VLOOKUP(A454,Internal_lists_bugs!$A$2:$C$73,3,FALSE()), VLOOKUP(A454,Internal_lists_bugs!$A$2:$C$73,3,FALSE())&amp;Char(10) &amp; Char(10) &amp; VLOOKUP(A454,Internal_lists_bugs!$A$2:$Z$73,26,FALSE())),"please select a BUG ID")</f>
        <v>
</v>
      </c>
      <c r="C454" s="39" t="str">
        <f>IFERROR(VLOOKUP(A454,Internal_lists_bugs!$A$2:$G2011,7,FALSE()),"please select a BUG ID")</f>
        <v>https://opendev.org/openstack/nova/commit/b826fba1cd61f7ddbee091c220eaef7ea5317c1b</v>
      </c>
      <c r="D454" s="16" t="s">
        <v>1206</v>
      </c>
      <c r="E454" s="50"/>
      <c r="F454" s="43"/>
      <c r="G454" s="50"/>
      <c r="H454" s="43"/>
    </row>
    <row r="455">
      <c r="A455" s="16" t="s">
        <v>41</v>
      </c>
      <c r="B455" s="59" t="str">
        <f>IFERROR(HYPERLINK(VLOOKUP(A455,Internal_lists_bugs!$A$2:$C$73,3,FALSE()), VLOOKUP(A455,Internal_lists_bugs!$A$2:$C$73,3,FALSE())&amp;Char(10) &amp; Char(10) &amp; VLOOKUP(A455,Internal_lists_bugs!$A$2:$Z$73,26,FALSE())),"please select a BUG ID")</f>
        <v>
</v>
      </c>
      <c r="C455" s="39" t="str">
        <f>IFERROR(VLOOKUP(A455,Internal_lists_bugs!$A$2:$G2011,7,FALSE()),"please select a BUG ID")</f>
        <v>https://opendev.org/openstack/nova/commit/b826fba1cd61f7ddbee091c220eaef7ea5317c1b</v>
      </c>
      <c r="D455" s="16" t="s">
        <v>1213</v>
      </c>
      <c r="E455" s="50"/>
      <c r="F455" s="43"/>
      <c r="G455" s="50"/>
      <c r="H455" s="43"/>
    </row>
    <row r="456">
      <c r="A456" s="16" t="s">
        <v>41</v>
      </c>
      <c r="B456" s="59" t="str">
        <f>IFERROR(HYPERLINK(VLOOKUP(A456,Internal_lists_bugs!$A$2:$C$73,3,FALSE()), VLOOKUP(A456,Internal_lists_bugs!$A$2:$C$73,3,FALSE())&amp;Char(10) &amp; Char(10) &amp; VLOOKUP(A456,Internal_lists_bugs!$A$2:$Z$73,26,FALSE())),"please select a BUG ID")</f>
        <v>
</v>
      </c>
      <c r="C456" s="39" t="str">
        <f>IFERROR(VLOOKUP(A456,Internal_lists_bugs!$A$2:$G2011,7,FALSE()),"please select a BUG ID")</f>
        <v>https://opendev.org/openstack/nova/commit/b826fba1cd61f7ddbee091c220eaef7ea5317c1b</v>
      </c>
      <c r="D456" s="16" t="s">
        <v>1223</v>
      </c>
      <c r="E456" s="50"/>
      <c r="F456" s="43"/>
      <c r="G456" s="50"/>
      <c r="H456" s="43"/>
    </row>
    <row r="457">
      <c r="A457" s="16" t="s">
        <v>41</v>
      </c>
      <c r="B457" s="59" t="str">
        <f>IFERROR(HYPERLINK(VLOOKUP(A457,Internal_lists_bugs!$A$2:$C$73,3,FALSE()), VLOOKUP(A457,Internal_lists_bugs!$A$2:$C$73,3,FALSE())&amp;Char(10) &amp; Char(10) &amp; VLOOKUP(A457,Internal_lists_bugs!$A$2:$Z$73,26,FALSE())),"please select a BUG ID")</f>
        <v>
</v>
      </c>
      <c r="C457" s="39" t="str">
        <f>IFERROR(VLOOKUP(A457,Internal_lists_bugs!$A$2:$G2011,7,FALSE()),"please select a BUG ID")</f>
        <v>https://opendev.org/openstack/nova/commit/b826fba1cd61f7ddbee091c220eaef7ea5317c1b</v>
      </c>
      <c r="D457" s="16" t="s">
        <v>1229</v>
      </c>
      <c r="E457" s="50"/>
      <c r="F457" s="43"/>
      <c r="G457" s="50"/>
      <c r="H457" s="43"/>
    </row>
    <row r="458">
      <c r="A458" s="16" t="s">
        <v>41</v>
      </c>
      <c r="B458" s="59" t="str">
        <f>IFERROR(HYPERLINK(VLOOKUP(A458,Internal_lists_bugs!$A$2:$C$73,3,FALSE()), VLOOKUP(A458,Internal_lists_bugs!$A$2:$C$73,3,FALSE())&amp;Char(10) &amp; Char(10) &amp; VLOOKUP(A458,Internal_lists_bugs!$A$2:$Z$73,26,FALSE())),"please select a BUG ID")</f>
        <v>
</v>
      </c>
      <c r="C458" s="39" t="str">
        <f>IFERROR(VLOOKUP(A458,Internal_lists_bugs!$A$2:$G2011,7,FALSE()),"please select a BUG ID")</f>
        <v>https://opendev.org/openstack/nova/commit/b826fba1cd61f7ddbee091c220eaef7ea5317c1b</v>
      </c>
      <c r="D458" s="16" t="s">
        <v>1230</v>
      </c>
      <c r="E458" s="50"/>
      <c r="F458" s="43"/>
      <c r="G458" s="50"/>
      <c r="H458" s="43"/>
    </row>
    <row r="459">
      <c r="A459" s="16" t="s">
        <v>41</v>
      </c>
      <c r="B459" s="59" t="str">
        <f>IFERROR(HYPERLINK(VLOOKUP(A459,Internal_lists_bugs!$A$2:$C$73,3,FALSE()), VLOOKUP(A459,Internal_lists_bugs!$A$2:$C$73,3,FALSE())&amp;Char(10) &amp; Char(10) &amp; VLOOKUP(A459,Internal_lists_bugs!$A$2:$Z$73,26,FALSE())),"please select a BUG ID")</f>
        <v>
</v>
      </c>
      <c r="C459" s="39" t="str">
        <f>IFERROR(VLOOKUP(A459,Internal_lists_bugs!$A$2:$G2011,7,FALSE()),"please select a BUG ID")</f>
        <v>https://opendev.org/openstack/nova/commit/b826fba1cd61f7ddbee091c220eaef7ea5317c1b</v>
      </c>
      <c r="D459" s="16" t="s">
        <v>1226</v>
      </c>
      <c r="E459" s="50"/>
      <c r="F459" s="43"/>
      <c r="G459" s="50"/>
      <c r="H459" s="43"/>
    </row>
    <row r="460">
      <c r="A460" s="16" t="s">
        <v>41</v>
      </c>
      <c r="B460" s="59" t="str">
        <f>IFERROR(HYPERLINK(VLOOKUP(A460,Internal_lists_bugs!$A$2:$C$73,3,FALSE()), VLOOKUP(A460,Internal_lists_bugs!$A$2:$C$73,3,FALSE())&amp;Char(10) &amp; Char(10) &amp; VLOOKUP(A460,Internal_lists_bugs!$A$2:$Z$73,26,FALSE())),"please select a BUG ID")</f>
        <v>
</v>
      </c>
      <c r="C460" s="39" t="str">
        <f>IFERROR(VLOOKUP(A460,Internal_lists_bugs!$A$2:$G2011,7,FALSE()),"please select a BUG ID")</f>
        <v>https://opendev.org/openstack/nova/commit/b826fba1cd61f7ddbee091c220eaef7ea5317c1b</v>
      </c>
      <c r="D460" s="16" t="s">
        <v>1231</v>
      </c>
      <c r="E460" s="50"/>
      <c r="F460" s="43"/>
      <c r="G460" s="50"/>
      <c r="H460" s="43"/>
    </row>
    <row r="461">
      <c r="A461" s="16" t="s">
        <v>43</v>
      </c>
      <c r="B461" s="59" t="str">
        <f>IFERROR(HYPERLINK(VLOOKUP(A461,Internal_lists_bugs!$A$2:$C$73,3,FALSE()), VLOOKUP(A461,Internal_lists_bugs!$A$2:$C$73,3,FALSE())&amp;Char(10) &amp; Char(10) &amp; VLOOKUP(A461,Internal_lists_bugs!$A$2:$Z$73,26,FALSE())),"please select a BUG ID")</f>
        <v>
</v>
      </c>
      <c r="C461" s="39" t="str">
        <f>IFERROR(VLOOKUP(A461,Internal_lists_bugs!$A$2:$G2011,7,FALSE()),"please select a BUG ID")</f>
        <v>https://opendev.org/openstack/nova/commit/e65a43837e9ccad8ca34da4d29824df591c685fe</v>
      </c>
      <c r="D461" s="16" t="s">
        <v>1220</v>
      </c>
      <c r="E461" s="50"/>
      <c r="F461" s="16" t="s">
        <v>1174</v>
      </c>
      <c r="G461" s="50"/>
      <c r="H461" s="16" t="s">
        <v>1221</v>
      </c>
    </row>
    <row r="462">
      <c r="A462" s="16" t="s">
        <v>43</v>
      </c>
      <c r="B462" s="59" t="str">
        <f>IFERROR(HYPERLINK(VLOOKUP(A462,Internal_lists_bugs!$A$2:$C$73,3,FALSE()), VLOOKUP(A462,Internal_lists_bugs!$A$2:$C$73,3,FALSE())&amp;Char(10) &amp; Char(10) &amp; VLOOKUP(A462,Internal_lists_bugs!$A$2:$Z$73,26,FALSE())),"please select a BUG ID")</f>
        <v>
</v>
      </c>
      <c r="C462" s="39" t="str">
        <f>IFERROR(VLOOKUP(A462,Internal_lists_bugs!$A$2:$G2011,7,FALSE()),"please select a BUG ID")</f>
        <v>https://opendev.org/openstack/nova/commit/e65a43837e9ccad8ca34da4d29824df591c685fe</v>
      </c>
      <c r="D462" s="16" t="s">
        <v>1209</v>
      </c>
      <c r="E462" s="50"/>
      <c r="F462" s="43"/>
      <c r="G462" s="50"/>
      <c r="H462" s="16" t="s">
        <v>1203</v>
      </c>
    </row>
    <row r="463">
      <c r="A463" s="16" t="s">
        <v>43</v>
      </c>
      <c r="B463" s="59" t="str">
        <f>IFERROR(HYPERLINK(VLOOKUP(A463,Internal_lists_bugs!$A$2:$C$73,3,FALSE()), VLOOKUP(A463,Internal_lists_bugs!$A$2:$C$73,3,FALSE())&amp;Char(10) &amp; Char(10) &amp; VLOOKUP(A463,Internal_lists_bugs!$A$2:$Z$73,26,FALSE())),"please select a BUG ID")</f>
        <v>
</v>
      </c>
      <c r="C463" s="39" t="str">
        <f>IFERROR(VLOOKUP(A463,Internal_lists_bugs!$A$2:$G2011,7,FALSE()),"please select a BUG ID")</f>
        <v>https://opendev.org/openstack/nova/commit/e65a43837e9ccad8ca34da4d29824df591c685fe</v>
      </c>
      <c r="D463" s="16" t="s">
        <v>1178</v>
      </c>
      <c r="E463" s="50"/>
      <c r="F463" s="43"/>
      <c r="G463" s="50"/>
      <c r="H463" s="16" t="s">
        <v>1175</v>
      </c>
    </row>
    <row r="464">
      <c r="A464" s="16" t="s">
        <v>43</v>
      </c>
      <c r="B464" s="59" t="str">
        <f>IFERROR(HYPERLINK(VLOOKUP(A464,Internal_lists_bugs!$A$2:$C$73,3,FALSE()), VLOOKUP(A464,Internal_lists_bugs!$A$2:$C$73,3,FALSE())&amp;Char(10) &amp; Char(10) &amp; VLOOKUP(A464,Internal_lists_bugs!$A$2:$Z$73,26,FALSE())),"please select a BUG ID")</f>
        <v>
</v>
      </c>
      <c r="C464" s="39" t="str">
        <f>IFERROR(VLOOKUP(A464,Internal_lists_bugs!$A$2:$G2011,7,FALSE()),"please select a BUG ID")</f>
        <v>https://opendev.org/openstack/nova/commit/e65a43837e9ccad8ca34da4d29824df591c685fe</v>
      </c>
      <c r="D464" s="16" t="s">
        <v>1182</v>
      </c>
      <c r="E464" s="50"/>
      <c r="F464" s="43"/>
      <c r="G464" s="50"/>
      <c r="H464" s="16" t="s">
        <v>1212</v>
      </c>
    </row>
    <row r="465">
      <c r="A465" s="16" t="s">
        <v>43</v>
      </c>
      <c r="B465" s="59" t="str">
        <f>IFERROR(HYPERLINK(VLOOKUP(A465,Internal_lists_bugs!$A$2:$C$73,3,FALSE()), VLOOKUP(A465,Internal_lists_bugs!$A$2:$C$73,3,FALSE())&amp;Char(10) &amp; Char(10) &amp; VLOOKUP(A465,Internal_lists_bugs!$A$2:$Z$73,26,FALSE())),"please select a BUG ID")</f>
        <v>
</v>
      </c>
      <c r="C465" s="39" t="str">
        <f>IFERROR(VLOOKUP(A465,Internal_lists_bugs!$A$2:$G2011,7,FALSE()),"please select a BUG ID")</f>
        <v>https://opendev.org/openstack/nova/commit/e65a43837e9ccad8ca34da4d29824df591c685fe</v>
      </c>
      <c r="D465" s="16" t="s">
        <v>1191</v>
      </c>
      <c r="E465" s="50"/>
      <c r="F465" s="43"/>
      <c r="G465" s="50"/>
      <c r="H465" s="16" t="s">
        <v>1222</v>
      </c>
    </row>
    <row r="466">
      <c r="A466" s="16" t="s">
        <v>43</v>
      </c>
      <c r="B466" s="59" t="str">
        <f>IFERROR(HYPERLINK(VLOOKUP(A466,Internal_lists_bugs!$A$2:$C$73,3,FALSE()), VLOOKUP(A466,Internal_lists_bugs!$A$2:$C$73,3,FALSE())&amp;Char(10) &amp; Char(10) &amp; VLOOKUP(A466,Internal_lists_bugs!$A$2:$Z$73,26,FALSE())),"please select a BUG ID")</f>
        <v>
</v>
      </c>
      <c r="C466" s="39" t="str">
        <f>IFERROR(VLOOKUP(A466,Internal_lists_bugs!$A$2:$G2011,7,FALSE()),"please select a BUG ID")</f>
        <v>https://opendev.org/openstack/nova/commit/e65a43837e9ccad8ca34da4d29824df591c685fe</v>
      </c>
      <c r="D466" s="16" t="s">
        <v>1218</v>
      </c>
      <c r="E466" s="50"/>
      <c r="F466" s="43"/>
      <c r="G466" s="50"/>
      <c r="H466" s="16" t="s">
        <v>1224</v>
      </c>
    </row>
    <row r="467">
      <c r="A467" s="16" t="s">
        <v>43</v>
      </c>
      <c r="B467" s="59" t="str">
        <f>IFERROR(HYPERLINK(VLOOKUP(A467,Internal_lists_bugs!$A$2:$C$73,3,FALSE()), VLOOKUP(A467,Internal_lists_bugs!$A$2:$C$73,3,FALSE())&amp;Char(10) &amp; Char(10) &amp; VLOOKUP(A467,Internal_lists_bugs!$A$2:$Z$73,26,FALSE())),"please select a BUG ID")</f>
        <v>
</v>
      </c>
      <c r="C467" s="39" t="str">
        <f>IFERROR(VLOOKUP(A467,Internal_lists_bugs!$A$2:$G2011,7,FALSE()),"please select a BUG ID")</f>
        <v>https://opendev.org/openstack/nova/commit/e65a43837e9ccad8ca34da4d29824df591c685fe</v>
      </c>
      <c r="D467" s="16" t="s">
        <v>1219</v>
      </c>
      <c r="E467" s="50"/>
      <c r="F467" s="43"/>
      <c r="G467" s="50"/>
      <c r="H467" s="16" t="s">
        <v>1225</v>
      </c>
    </row>
    <row r="468">
      <c r="A468" s="16" t="s">
        <v>43</v>
      </c>
      <c r="B468" s="59" t="str">
        <f>IFERROR(HYPERLINK(VLOOKUP(A468,Internal_lists_bugs!$A$2:$C$73,3,FALSE()), VLOOKUP(A468,Internal_lists_bugs!$A$2:$C$73,3,FALSE())&amp;Char(10) &amp; Char(10) &amp; VLOOKUP(A468,Internal_lists_bugs!$A$2:$Z$73,26,FALSE())),"please select a BUG ID")</f>
        <v>
</v>
      </c>
      <c r="C468" s="39" t="str">
        <f>IFERROR(VLOOKUP(A468,Internal_lists_bugs!$A$2:$G2011,7,FALSE()),"please select a BUG ID")</f>
        <v>https://opendev.org/openstack/nova/commit/e65a43837e9ccad8ca34da4d29824df591c685fe</v>
      </c>
      <c r="D468" s="16" t="s">
        <v>1199</v>
      </c>
      <c r="E468" s="50"/>
      <c r="F468" s="43"/>
      <c r="G468" s="50"/>
      <c r="H468" s="16" t="s">
        <v>1179</v>
      </c>
    </row>
    <row r="469">
      <c r="A469" s="16" t="s">
        <v>43</v>
      </c>
      <c r="B469" s="59" t="str">
        <f>IFERROR(HYPERLINK(VLOOKUP(A469,Internal_lists_bugs!$A$2:$C$73,3,FALSE()), VLOOKUP(A469,Internal_lists_bugs!$A$2:$C$73,3,FALSE())&amp;Char(10) &amp; Char(10) &amp; VLOOKUP(A469,Internal_lists_bugs!$A$2:$Z$73,26,FALSE())),"please select a BUG ID")</f>
        <v>
</v>
      </c>
      <c r="C469" s="39" t="str">
        <f>IFERROR(VLOOKUP(A469,Internal_lists_bugs!$A$2:$G2011,7,FALSE()),"please select a BUG ID")</f>
        <v>https://opendev.org/openstack/nova/commit/e65a43837e9ccad8ca34da4d29824df591c685fe</v>
      </c>
      <c r="D469" s="16" t="s">
        <v>1201</v>
      </c>
      <c r="E469" s="50"/>
      <c r="F469" s="43"/>
      <c r="G469" s="50"/>
      <c r="H469" s="16" t="s">
        <v>1197</v>
      </c>
    </row>
    <row r="470">
      <c r="A470" s="16" t="s">
        <v>43</v>
      </c>
      <c r="B470" s="59" t="str">
        <f>IFERROR(HYPERLINK(VLOOKUP(A470,Internal_lists_bugs!$A$2:$C$73,3,FALSE()), VLOOKUP(A470,Internal_lists_bugs!$A$2:$C$73,3,FALSE())&amp;Char(10) &amp; Char(10) &amp; VLOOKUP(A470,Internal_lists_bugs!$A$2:$Z$73,26,FALSE())),"please select a BUG ID")</f>
        <v>
</v>
      </c>
      <c r="C470" s="39" t="str">
        <f>IFERROR(VLOOKUP(A470,Internal_lists_bugs!$A$2:$G2011,7,FALSE()),"please select a BUG ID")</f>
        <v>https://opendev.org/openstack/nova/commit/e65a43837e9ccad8ca34da4d29824df591c685fe</v>
      </c>
      <c r="D470" s="16" t="s">
        <v>1202</v>
      </c>
      <c r="E470" s="50"/>
      <c r="F470" s="43"/>
      <c r="G470" s="50"/>
      <c r="H470" s="16" t="s">
        <v>1198</v>
      </c>
    </row>
    <row r="471">
      <c r="A471" s="16" t="s">
        <v>43</v>
      </c>
      <c r="B471" s="59" t="str">
        <f>IFERROR(HYPERLINK(VLOOKUP(A471,Internal_lists_bugs!$A$2:$C$73,3,FALSE()), VLOOKUP(A471,Internal_lists_bugs!$A$2:$C$73,3,FALSE())&amp;Char(10) &amp; Char(10) &amp; VLOOKUP(A471,Internal_lists_bugs!$A$2:$Z$73,26,FALSE())),"please select a BUG ID")</f>
        <v>
</v>
      </c>
      <c r="C471" s="39" t="str">
        <f>IFERROR(VLOOKUP(A471,Internal_lists_bugs!$A$2:$G2011,7,FALSE()),"please select a BUG ID")</f>
        <v>https://opendev.org/openstack/nova/commit/e65a43837e9ccad8ca34da4d29824df591c685fe</v>
      </c>
      <c r="D471" s="16" t="s">
        <v>1173</v>
      </c>
      <c r="E471" s="50"/>
      <c r="F471" s="43"/>
      <c r="G471" s="50"/>
      <c r="H471" s="16" t="s">
        <v>1200</v>
      </c>
    </row>
    <row r="472">
      <c r="A472" s="16" t="s">
        <v>43</v>
      </c>
      <c r="B472" s="59" t="str">
        <f>IFERROR(HYPERLINK(VLOOKUP(A472,Internal_lists_bugs!$A$2:$C$73,3,FALSE()), VLOOKUP(A472,Internal_lists_bugs!$A$2:$C$73,3,FALSE())&amp;Char(10) &amp; Char(10) &amp; VLOOKUP(A472,Internal_lists_bugs!$A$2:$Z$73,26,FALSE())),"please select a BUG ID")</f>
        <v>
</v>
      </c>
      <c r="C472" s="39" t="str">
        <f>IFERROR(VLOOKUP(A472,Internal_lists_bugs!$A$2:$G2011,7,FALSE()),"please select a BUG ID")</f>
        <v>https://opendev.org/openstack/nova/commit/e65a43837e9ccad8ca34da4d29824df591c685fe</v>
      </c>
      <c r="D472" s="16" t="s">
        <v>1211</v>
      </c>
      <c r="E472" s="50"/>
      <c r="F472" s="43"/>
      <c r="G472" s="50"/>
      <c r="H472" s="16" t="s">
        <v>1215</v>
      </c>
    </row>
    <row r="473">
      <c r="A473" s="16" t="s">
        <v>43</v>
      </c>
      <c r="B473" s="59" t="str">
        <f>IFERROR(HYPERLINK(VLOOKUP(A473,Internal_lists_bugs!$A$2:$C$73,3,FALSE()), VLOOKUP(A473,Internal_lists_bugs!$A$2:$C$73,3,FALSE())&amp;Char(10) &amp; Char(10) &amp; VLOOKUP(A473,Internal_lists_bugs!$A$2:$Z$73,26,FALSE())),"please select a BUG ID")</f>
        <v>
</v>
      </c>
      <c r="C473" s="39" t="str">
        <f>IFERROR(VLOOKUP(A473,Internal_lists_bugs!$A$2:$G2011,7,FALSE()),"please select a BUG ID")</f>
        <v>https://opendev.org/openstack/nova/commit/e65a43837e9ccad8ca34da4d29824df591c685fe</v>
      </c>
      <c r="D473" s="16" t="s">
        <v>1214</v>
      </c>
      <c r="E473" s="50"/>
      <c r="F473" s="43"/>
      <c r="G473" s="50"/>
      <c r="H473" s="16" t="s">
        <v>1210</v>
      </c>
    </row>
    <row r="474">
      <c r="A474" s="16" t="s">
        <v>43</v>
      </c>
      <c r="B474" s="59" t="str">
        <f>IFERROR(HYPERLINK(VLOOKUP(A474,Internal_lists_bugs!$A$2:$C$73,3,FALSE()), VLOOKUP(A474,Internal_lists_bugs!$A$2:$C$73,3,FALSE())&amp;Char(10) &amp; Char(10) &amp; VLOOKUP(A474,Internal_lists_bugs!$A$2:$Z$73,26,FALSE())),"please select a BUG ID")</f>
        <v>
</v>
      </c>
      <c r="C474" s="39" t="str">
        <f>IFERROR(VLOOKUP(A474,Internal_lists_bugs!$A$2:$G2011,7,FALSE()),"please select a BUG ID")</f>
        <v>https://opendev.org/openstack/nova/commit/e65a43837e9ccad8ca34da4d29824df591c685fe</v>
      </c>
      <c r="D474" s="16" t="s">
        <v>1205</v>
      </c>
      <c r="E474" s="50"/>
      <c r="F474" s="43"/>
      <c r="G474" s="50"/>
      <c r="H474" s="16" t="s">
        <v>1177</v>
      </c>
    </row>
    <row r="475">
      <c r="A475" s="16" t="s">
        <v>43</v>
      </c>
      <c r="B475" s="59" t="str">
        <f>IFERROR(HYPERLINK(VLOOKUP(A475,Internal_lists_bugs!$A$2:$C$73,3,FALSE()), VLOOKUP(A475,Internal_lists_bugs!$A$2:$C$73,3,FALSE())&amp;Char(10) &amp; Char(10) &amp; VLOOKUP(A475,Internal_lists_bugs!$A$2:$Z$73,26,FALSE())),"please select a BUG ID")</f>
        <v>
</v>
      </c>
      <c r="C475" s="39" t="str">
        <f>IFERROR(VLOOKUP(A475,Internal_lists_bugs!$A$2:$G2011,7,FALSE()),"please select a BUG ID")</f>
        <v>https://opendev.org/openstack/nova/commit/e65a43837e9ccad8ca34da4d29824df591c685fe</v>
      </c>
      <c r="D475" s="16" t="s">
        <v>1183</v>
      </c>
      <c r="E475" s="50"/>
      <c r="F475" s="43"/>
      <c r="G475" s="50"/>
      <c r="H475" s="43"/>
    </row>
    <row r="476">
      <c r="A476" s="16" t="s">
        <v>43</v>
      </c>
      <c r="B476" s="59" t="str">
        <f>IFERROR(HYPERLINK(VLOOKUP(A476,Internal_lists_bugs!$A$2:$C$73,3,FALSE()), VLOOKUP(A476,Internal_lists_bugs!$A$2:$C$73,3,FALSE())&amp;Char(10) &amp; Char(10) &amp; VLOOKUP(A476,Internal_lists_bugs!$A$2:$Z$73,26,FALSE())),"please select a BUG ID")</f>
        <v>
</v>
      </c>
      <c r="C476" s="39" t="str">
        <f>IFERROR(VLOOKUP(A476,Internal_lists_bugs!$A$2:$G2011,7,FALSE()),"please select a BUG ID")</f>
        <v>https://opendev.org/openstack/nova/commit/e65a43837e9ccad8ca34da4d29824df591c685fe</v>
      </c>
      <c r="D476" s="16" t="s">
        <v>1184</v>
      </c>
      <c r="E476" s="50"/>
      <c r="F476" s="43"/>
      <c r="G476" s="50"/>
      <c r="H476" s="43"/>
    </row>
    <row r="477">
      <c r="A477" s="16" t="s">
        <v>43</v>
      </c>
      <c r="B477" s="59" t="str">
        <f>IFERROR(HYPERLINK(VLOOKUP(A477,Internal_lists_bugs!$A$2:$C$73,3,FALSE()), VLOOKUP(A477,Internal_lists_bugs!$A$2:$C$73,3,FALSE())&amp;Char(10) &amp; Char(10) &amp; VLOOKUP(A477,Internal_lists_bugs!$A$2:$Z$73,26,FALSE())),"please select a BUG ID")</f>
        <v>
</v>
      </c>
      <c r="C477" s="39" t="str">
        <f>IFERROR(VLOOKUP(A477,Internal_lists_bugs!$A$2:$G2011,7,FALSE()),"please select a BUG ID")</f>
        <v>https://opendev.org/openstack/nova/commit/e65a43837e9ccad8ca34da4d29824df591c685fe</v>
      </c>
      <c r="D477" s="16" t="s">
        <v>1185</v>
      </c>
      <c r="E477" s="50"/>
      <c r="F477" s="43"/>
      <c r="G477" s="50"/>
      <c r="H477" s="43"/>
    </row>
    <row r="478">
      <c r="A478" s="16" t="s">
        <v>43</v>
      </c>
      <c r="B478" s="59" t="str">
        <f>IFERROR(HYPERLINK(VLOOKUP(A478,Internal_lists_bugs!$A$2:$C$73,3,FALSE()), VLOOKUP(A478,Internal_lists_bugs!$A$2:$C$73,3,FALSE())&amp;Char(10) &amp; Char(10) &amp; VLOOKUP(A478,Internal_lists_bugs!$A$2:$Z$73,26,FALSE())),"please select a BUG ID")</f>
        <v>
</v>
      </c>
      <c r="C478" s="39" t="str">
        <f>IFERROR(VLOOKUP(A478,Internal_lists_bugs!$A$2:$G2011,7,FALSE()),"please select a BUG ID")</f>
        <v>https://opendev.org/openstack/nova/commit/e65a43837e9ccad8ca34da4d29824df591c685fe</v>
      </c>
      <c r="D478" s="16" t="s">
        <v>1196</v>
      </c>
      <c r="E478" s="50"/>
      <c r="F478" s="43"/>
      <c r="G478" s="50"/>
      <c r="H478" s="43"/>
    </row>
    <row r="479">
      <c r="A479" s="16" t="s">
        <v>43</v>
      </c>
      <c r="B479" s="59" t="str">
        <f>IFERROR(HYPERLINK(VLOOKUP(A479,Internal_lists_bugs!$A$2:$C$73,3,FALSE()), VLOOKUP(A479,Internal_lists_bugs!$A$2:$C$73,3,FALSE())&amp;Char(10) &amp; Char(10) &amp; VLOOKUP(A479,Internal_lists_bugs!$A$2:$Z$73,26,FALSE())),"please select a BUG ID")</f>
        <v>
</v>
      </c>
      <c r="C479" s="39" t="str">
        <f>IFERROR(VLOOKUP(A479,Internal_lists_bugs!$A$2:$G2011,7,FALSE()),"please select a BUG ID")</f>
        <v>https://opendev.org/openstack/nova/commit/e65a43837e9ccad8ca34da4d29824df591c685fe</v>
      </c>
      <c r="D479" s="16" t="s">
        <v>1187</v>
      </c>
      <c r="E479" s="50"/>
      <c r="F479" s="43"/>
      <c r="G479" s="50"/>
      <c r="H479" s="43"/>
    </row>
    <row r="480">
      <c r="A480" s="16" t="s">
        <v>43</v>
      </c>
      <c r="B480" s="59" t="str">
        <f>IFERROR(HYPERLINK(VLOOKUP(A480,Internal_lists_bugs!$A$2:$C$73,3,FALSE()), VLOOKUP(A480,Internal_lists_bugs!$A$2:$C$73,3,FALSE())&amp;Char(10) &amp; Char(10) &amp; VLOOKUP(A480,Internal_lists_bugs!$A$2:$Z$73,26,FALSE())),"please select a BUG ID")</f>
        <v>
</v>
      </c>
      <c r="C480" s="39" t="str">
        <f>IFERROR(VLOOKUP(A480,Internal_lists_bugs!$A$2:$G2011,7,FALSE()),"please select a BUG ID")</f>
        <v>https://opendev.org/openstack/nova/commit/e65a43837e9ccad8ca34da4d29824df591c685fe</v>
      </c>
      <c r="D480" s="16" t="s">
        <v>1206</v>
      </c>
      <c r="E480" s="50"/>
      <c r="F480" s="43"/>
      <c r="G480" s="50"/>
      <c r="H480" s="43"/>
    </row>
    <row r="481">
      <c r="A481" s="16" t="s">
        <v>43</v>
      </c>
      <c r="B481" s="59" t="str">
        <f>IFERROR(HYPERLINK(VLOOKUP(A481,Internal_lists_bugs!$A$2:$C$73,3,FALSE()), VLOOKUP(A481,Internal_lists_bugs!$A$2:$C$73,3,FALSE())&amp;Char(10) &amp; Char(10) &amp; VLOOKUP(A481,Internal_lists_bugs!$A$2:$Z$73,26,FALSE())),"please select a BUG ID")</f>
        <v>
</v>
      </c>
      <c r="C481" s="39" t="str">
        <f>IFERROR(VLOOKUP(A481,Internal_lists_bugs!$A$2:$G2011,7,FALSE()),"please select a BUG ID")</f>
        <v>https://opendev.org/openstack/nova/commit/e65a43837e9ccad8ca34da4d29824df591c685fe</v>
      </c>
      <c r="D481" s="16" t="s">
        <v>1213</v>
      </c>
      <c r="E481" s="50"/>
      <c r="F481" s="43"/>
      <c r="G481" s="50"/>
      <c r="H481" s="43"/>
    </row>
    <row r="482">
      <c r="A482" s="16" t="s">
        <v>43</v>
      </c>
      <c r="B482" s="59" t="str">
        <f>IFERROR(HYPERLINK(VLOOKUP(A482,Internal_lists_bugs!$A$2:$C$73,3,FALSE()), VLOOKUP(A482,Internal_lists_bugs!$A$2:$C$73,3,FALSE())&amp;Char(10) &amp; Char(10) &amp; VLOOKUP(A482,Internal_lists_bugs!$A$2:$Z$73,26,FALSE())),"please select a BUG ID")</f>
        <v>
</v>
      </c>
      <c r="C482" s="39" t="str">
        <f>IFERROR(VLOOKUP(A482,Internal_lists_bugs!$A$2:$G2011,7,FALSE()),"please select a BUG ID")</f>
        <v>https://opendev.org/openstack/nova/commit/e65a43837e9ccad8ca34da4d29824df591c685fe</v>
      </c>
      <c r="D482" s="16" t="s">
        <v>1223</v>
      </c>
      <c r="E482" s="50"/>
      <c r="F482" s="43"/>
      <c r="G482" s="50"/>
      <c r="H482" s="43"/>
    </row>
    <row r="483">
      <c r="A483" s="16" t="s">
        <v>43</v>
      </c>
      <c r="B483" s="59" t="str">
        <f>IFERROR(HYPERLINK(VLOOKUP(A483,Internal_lists_bugs!$A$2:$C$73,3,FALSE()), VLOOKUP(A483,Internal_lists_bugs!$A$2:$C$73,3,FALSE())&amp;Char(10) &amp; Char(10) &amp; VLOOKUP(A483,Internal_lists_bugs!$A$2:$Z$73,26,FALSE())),"please select a BUG ID")</f>
        <v>
</v>
      </c>
      <c r="C483" s="39" t="str">
        <f>IFERROR(VLOOKUP(A483,Internal_lists_bugs!$A$2:$G2011,7,FALSE()),"please select a BUG ID")</f>
        <v>https://opendev.org/openstack/nova/commit/e65a43837e9ccad8ca34da4d29824df591c685fe</v>
      </c>
      <c r="D483" s="16" t="s">
        <v>1226</v>
      </c>
      <c r="E483" s="50"/>
      <c r="F483" s="43"/>
      <c r="G483" s="50"/>
      <c r="H483" s="43"/>
    </row>
    <row r="484">
      <c r="A484" s="16" t="s">
        <v>43</v>
      </c>
      <c r="B484" s="59" t="str">
        <f>IFERROR(HYPERLINK(VLOOKUP(A484,Internal_lists_bugs!$A$2:$C$73,3,FALSE()), VLOOKUP(A484,Internal_lists_bugs!$A$2:$C$73,3,FALSE())&amp;Char(10) &amp; Char(10) &amp; VLOOKUP(A484,Internal_lists_bugs!$A$2:$Z$73,26,FALSE())),"please select a BUG ID")</f>
        <v>
</v>
      </c>
      <c r="C484" s="39" t="str">
        <f>IFERROR(VLOOKUP(A484,Internal_lists_bugs!$A$2:$G2011,7,FALSE()),"please select a BUG ID")</f>
        <v>https://opendev.org/openstack/nova/commit/e65a43837e9ccad8ca34da4d29824df591c685fe</v>
      </c>
      <c r="D484" s="16" t="s">
        <v>1229</v>
      </c>
      <c r="E484" s="50"/>
      <c r="F484" s="43"/>
      <c r="G484" s="50"/>
      <c r="H484" s="43"/>
    </row>
    <row r="485">
      <c r="A485" s="16" t="s">
        <v>54</v>
      </c>
      <c r="B485" s="59" t="str">
        <f>IFERROR(HYPERLINK(VLOOKUP(A485,Internal_lists_bugs!$A$2:$C$73,3,FALSE()), VLOOKUP(A485,Internal_lists_bugs!$A$2:$C$73,3,FALSE())&amp;Char(10) &amp; Char(10) &amp; VLOOKUP(A485,Internal_lists_bugs!$A$2:$Z$73,26,FALSE())),"please select a BUG ID")</f>
        <v>
</v>
      </c>
      <c r="C485" s="39" t="str">
        <f>IFERROR(VLOOKUP(A485,Internal_lists_bugs!$A$2:$G2011,7,FALSE()),"please select a BUG ID")</f>
        <v>https://opendev.org/openstack/nova/commit/9340f6db7961824aabdf73cecf5e19892ce01c03</v>
      </c>
      <c r="D485" s="1" t="s">
        <v>1220</v>
      </c>
      <c r="E485" s="50"/>
      <c r="F485" s="16" t="s">
        <v>1174</v>
      </c>
      <c r="G485" s="50"/>
      <c r="H485" s="16" t="s">
        <v>1221</v>
      </c>
    </row>
    <row r="486">
      <c r="A486" s="16" t="s">
        <v>54</v>
      </c>
      <c r="B486" s="59" t="str">
        <f>IFERROR(HYPERLINK(VLOOKUP(A486,Internal_lists_bugs!$A$2:$C$73,3,FALSE()), VLOOKUP(A486,Internal_lists_bugs!$A$2:$C$73,3,FALSE())&amp;Char(10) &amp; Char(10) &amp; VLOOKUP(A486,Internal_lists_bugs!$A$2:$Z$73,26,FALSE())),"please select a BUG ID")</f>
        <v>
</v>
      </c>
      <c r="C486" s="39" t="str">
        <f>IFERROR(VLOOKUP(A486,Internal_lists_bugs!$A$2:$G2011,7,FALSE()),"please select a BUG ID")</f>
        <v>https://opendev.org/openstack/nova/commit/9340f6db7961824aabdf73cecf5e19892ce01c03</v>
      </c>
      <c r="D486" s="1" t="s">
        <v>1209</v>
      </c>
      <c r="E486" s="50"/>
      <c r="F486" s="43"/>
      <c r="G486" s="50"/>
      <c r="H486" s="16" t="s">
        <v>1175</v>
      </c>
    </row>
    <row r="487">
      <c r="A487" s="16" t="s">
        <v>54</v>
      </c>
      <c r="B487" s="59" t="str">
        <f>IFERROR(HYPERLINK(VLOOKUP(A487,Internal_lists_bugs!$A$2:$C$73,3,FALSE()), VLOOKUP(A487,Internal_lists_bugs!$A$2:$C$73,3,FALSE())&amp;Char(10) &amp; Char(10) &amp; VLOOKUP(A487,Internal_lists_bugs!$A$2:$Z$73,26,FALSE())),"please select a BUG ID")</f>
        <v>
</v>
      </c>
      <c r="C487" s="39" t="str">
        <f>IFERROR(VLOOKUP(A487,Internal_lists_bugs!$A$2:$G2011,7,FALSE()),"please select a BUG ID")</f>
        <v>https://opendev.org/openstack/nova/commit/9340f6db7961824aabdf73cecf5e19892ce01c03</v>
      </c>
      <c r="D487" s="1" t="s">
        <v>1178</v>
      </c>
      <c r="E487" s="50"/>
      <c r="F487" s="43"/>
      <c r="G487" s="50"/>
      <c r="H487" s="16" t="s">
        <v>1212</v>
      </c>
    </row>
    <row r="488">
      <c r="A488" s="16" t="s">
        <v>54</v>
      </c>
      <c r="B488" s="59" t="str">
        <f>IFERROR(HYPERLINK(VLOOKUP(A488,Internal_lists_bugs!$A$2:$C$73,3,FALSE()), VLOOKUP(A488,Internal_lists_bugs!$A$2:$C$73,3,FALSE())&amp;Char(10) &amp; Char(10) &amp; VLOOKUP(A488,Internal_lists_bugs!$A$2:$Z$73,26,FALSE())),"please select a BUG ID")</f>
        <v>
</v>
      </c>
      <c r="C488" s="39" t="str">
        <f>IFERROR(VLOOKUP(A488,Internal_lists_bugs!$A$2:$G2011,7,FALSE()),"please select a BUG ID")</f>
        <v>https://opendev.org/openstack/nova/commit/9340f6db7961824aabdf73cecf5e19892ce01c03</v>
      </c>
      <c r="D488" s="1" t="s">
        <v>1182</v>
      </c>
      <c r="E488" s="50"/>
      <c r="F488" s="43"/>
      <c r="G488" s="50"/>
      <c r="H488" s="16" t="s">
        <v>1203</v>
      </c>
    </row>
    <row r="489">
      <c r="A489" s="16" t="s">
        <v>54</v>
      </c>
      <c r="B489" s="59" t="str">
        <f>IFERROR(HYPERLINK(VLOOKUP(A489,Internal_lists_bugs!$A$2:$C$73,3,FALSE()), VLOOKUP(A489,Internal_lists_bugs!$A$2:$C$73,3,FALSE())&amp;Char(10) &amp; Char(10) &amp; VLOOKUP(A489,Internal_lists_bugs!$A$2:$Z$73,26,FALSE())),"please select a BUG ID")</f>
        <v>
</v>
      </c>
      <c r="C489" s="39" t="str">
        <f>IFERROR(VLOOKUP(A489,Internal_lists_bugs!$A$2:$G2011,7,FALSE()),"please select a BUG ID")</f>
        <v>https://opendev.org/openstack/nova/commit/9340f6db7961824aabdf73cecf5e19892ce01c03</v>
      </c>
      <c r="D489" s="1" t="s">
        <v>1191</v>
      </c>
      <c r="E489" s="50"/>
      <c r="F489" s="43"/>
      <c r="G489" s="50"/>
      <c r="H489" s="16" t="s">
        <v>1222</v>
      </c>
    </row>
    <row r="490">
      <c r="A490" s="16" t="s">
        <v>54</v>
      </c>
      <c r="B490" s="59" t="str">
        <f>IFERROR(HYPERLINK(VLOOKUP(A490,Internal_lists_bugs!$A$2:$C$73,3,FALSE()), VLOOKUP(A490,Internal_lists_bugs!$A$2:$C$73,3,FALSE())&amp;Char(10) &amp; Char(10) &amp; VLOOKUP(A490,Internal_lists_bugs!$A$2:$Z$73,26,FALSE())),"please select a BUG ID")</f>
        <v>
</v>
      </c>
      <c r="C490" s="39" t="str">
        <f>IFERROR(VLOOKUP(A490,Internal_lists_bugs!$A$2:$G2011,7,FALSE()),"please select a BUG ID")</f>
        <v>https://opendev.org/openstack/nova/commit/9340f6db7961824aabdf73cecf5e19892ce01c03</v>
      </c>
      <c r="D490" s="1" t="s">
        <v>1218</v>
      </c>
      <c r="E490" s="50"/>
      <c r="F490" s="43"/>
      <c r="G490" s="50"/>
      <c r="H490" s="16" t="s">
        <v>1224</v>
      </c>
    </row>
    <row r="491">
      <c r="A491" s="16" t="s">
        <v>54</v>
      </c>
      <c r="B491" s="59" t="str">
        <f>IFERROR(HYPERLINK(VLOOKUP(A491,Internal_lists_bugs!$A$2:$C$73,3,FALSE()), VLOOKUP(A491,Internal_lists_bugs!$A$2:$C$73,3,FALSE())&amp;Char(10) &amp; Char(10) &amp; VLOOKUP(A491,Internal_lists_bugs!$A$2:$Z$73,26,FALSE())),"please select a BUG ID")</f>
        <v>
</v>
      </c>
      <c r="C491" s="39" t="str">
        <f>IFERROR(VLOOKUP(A491,Internal_lists_bugs!$A$2:$G2011,7,FALSE()),"please select a BUG ID")</f>
        <v>https://opendev.org/openstack/nova/commit/9340f6db7961824aabdf73cecf5e19892ce01c03</v>
      </c>
      <c r="D491" s="1" t="s">
        <v>1219</v>
      </c>
      <c r="E491" s="50"/>
      <c r="F491" s="43"/>
      <c r="G491" s="50"/>
      <c r="H491" s="16" t="s">
        <v>1225</v>
      </c>
    </row>
    <row r="492">
      <c r="A492" s="16" t="s">
        <v>54</v>
      </c>
      <c r="B492" s="59" t="str">
        <f>IFERROR(HYPERLINK(VLOOKUP(A492,Internal_lists_bugs!$A$2:$C$73,3,FALSE()), VLOOKUP(A492,Internal_lists_bugs!$A$2:$C$73,3,FALSE())&amp;Char(10) &amp; Char(10) &amp; VLOOKUP(A492,Internal_lists_bugs!$A$2:$Z$73,26,FALSE())),"please select a BUG ID")</f>
        <v>
</v>
      </c>
      <c r="C492" s="39" t="str">
        <f>IFERROR(VLOOKUP(A492,Internal_lists_bugs!$A$2:$G2011,7,FALSE()),"please select a BUG ID")</f>
        <v>https://opendev.org/openstack/nova/commit/9340f6db7961824aabdf73cecf5e19892ce01c03</v>
      </c>
      <c r="D492" s="1" t="s">
        <v>1199</v>
      </c>
      <c r="E492" s="50"/>
      <c r="F492" s="43"/>
      <c r="G492" s="50"/>
      <c r="H492" s="16" t="s">
        <v>1197</v>
      </c>
    </row>
    <row r="493">
      <c r="A493" s="16" t="s">
        <v>54</v>
      </c>
      <c r="B493" s="59" t="str">
        <f>IFERROR(HYPERLINK(VLOOKUP(A493,Internal_lists_bugs!$A$2:$C$73,3,FALSE()), VLOOKUP(A493,Internal_lists_bugs!$A$2:$C$73,3,FALSE())&amp;Char(10) &amp; Char(10) &amp; VLOOKUP(A493,Internal_lists_bugs!$A$2:$Z$73,26,FALSE())),"please select a BUG ID")</f>
        <v>
</v>
      </c>
      <c r="C493" s="39" t="str">
        <f>IFERROR(VLOOKUP(A493,Internal_lists_bugs!$A$2:$G2011,7,FALSE()),"please select a BUG ID")</f>
        <v>https://opendev.org/openstack/nova/commit/9340f6db7961824aabdf73cecf5e19892ce01c03</v>
      </c>
      <c r="D493" s="1" t="s">
        <v>1201</v>
      </c>
      <c r="E493" s="50"/>
      <c r="F493" s="43"/>
      <c r="G493" s="50"/>
      <c r="H493" s="16" t="s">
        <v>1179</v>
      </c>
    </row>
    <row r="494">
      <c r="A494" s="16" t="s">
        <v>54</v>
      </c>
      <c r="B494" s="59" t="str">
        <f>IFERROR(HYPERLINK(VLOOKUP(A494,Internal_lists_bugs!$A$2:$C$73,3,FALSE()), VLOOKUP(A494,Internal_lists_bugs!$A$2:$C$73,3,FALSE())&amp;Char(10) &amp; Char(10) &amp; VLOOKUP(A494,Internal_lists_bugs!$A$2:$Z$73,26,FALSE())),"please select a BUG ID")</f>
        <v>
</v>
      </c>
      <c r="C494" s="39" t="str">
        <f>IFERROR(VLOOKUP(A494,Internal_lists_bugs!$A$2:$G2011,7,FALSE()),"please select a BUG ID")</f>
        <v>https://opendev.org/openstack/nova/commit/9340f6db7961824aabdf73cecf5e19892ce01c03</v>
      </c>
      <c r="D494" s="1" t="s">
        <v>1202</v>
      </c>
      <c r="E494" s="50"/>
      <c r="F494" s="43"/>
      <c r="G494" s="50"/>
      <c r="H494" s="16" t="s">
        <v>1198</v>
      </c>
    </row>
    <row r="495">
      <c r="A495" s="16" t="s">
        <v>54</v>
      </c>
      <c r="B495" s="59" t="str">
        <f>IFERROR(HYPERLINK(VLOOKUP(A495,Internal_lists_bugs!$A$2:$C$73,3,FALSE()), VLOOKUP(A495,Internal_lists_bugs!$A$2:$C$73,3,FALSE())&amp;Char(10) &amp; Char(10) &amp; VLOOKUP(A495,Internal_lists_bugs!$A$2:$Z$73,26,FALSE())),"please select a BUG ID")</f>
        <v>
</v>
      </c>
      <c r="C495" s="39" t="str">
        <f>IFERROR(VLOOKUP(A495,Internal_lists_bugs!$A$2:$G2011,7,FALSE()),"please select a BUG ID")</f>
        <v>https://opendev.org/openstack/nova/commit/9340f6db7961824aabdf73cecf5e19892ce01c03</v>
      </c>
      <c r="D495" s="1" t="s">
        <v>1173</v>
      </c>
      <c r="E495" s="50"/>
      <c r="F495" s="43"/>
      <c r="G495" s="50"/>
      <c r="H495" s="16" t="s">
        <v>1200</v>
      </c>
    </row>
    <row r="496">
      <c r="A496" s="16" t="s">
        <v>54</v>
      </c>
      <c r="B496" s="59" t="str">
        <f>IFERROR(HYPERLINK(VLOOKUP(A496,Internal_lists_bugs!$A$2:$C$73,3,FALSE()), VLOOKUP(A496,Internal_lists_bugs!$A$2:$C$73,3,FALSE())&amp;Char(10) &amp; Char(10) &amp; VLOOKUP(A496,Internal_lists_bugs!$A$2:$Z$73,26,FALSE())),"please select a BUG ID")</f>
        <v>
</v>
      </c>
      <c r="C496" s="39" t="str">
        <f>IFERROR(VLOOKUP(A496,Internal_lists_bugs!$A$2:$G2011,7,FALSE()),"please select a BUG ID")</f>
        <v>https://opendev.org/openstack/nova/commit/9340f6db7961824aabdf73cecf5e19892ce01c03</v>
      </c>
      <c r="D496" s="1" t="s">
        <v>1211</v>
      </c>
      <c r="E496" s="50"/>
      <c r="F496" s="43"/>
      <c r="G496" s="50"/>
      <c r="H496" s="16" t="s">
        <v>1215</v>
      </c>
    </row>
    <row r="497">
      <c r="A497" s="16" t="s">
        <v>54</v>
      </c>
      <c r="B497" s="59" t="str">
        <f>IFERROR(HYPERLINK(VLOOKUP(A497,Internal_lists_bugs!$A$2:$C$73,3,FALSE()), VLOOKUP(A497,Internal_lists_bugs!$A$2:$C$73,3,FALSE())&amp;Char(10) &amp; Char(10) &amp; VLOOKUP(A497,Internal_lists_bugs!$A$2:$Z$73,26,FALSE())),"please select a BUG ID")</f>
        <v>
</v>
      </c>
      <c r="C497" s="39" t="str">
        <f>IFERROR(VLOOKUP(A497,Internal_lists_bugs!$A$2:$G2011,7,FALSE()),"please select a BUG ID")</f>
        <v>https://opendev.org/openstack/nova/commit/9340f6db7961824aabdf73cecf5e19892ce01c03</v>
      </c>
      <c r="D497" s="1" t="s">
        <v>1214</v>
      </c>
      <c r="E497" s="50"/>
      <c r="F497" s="43"/>
      <c r="G497" s="50"/>
      <c r="H497" s="16" t="s">
        <v>1210</v>
      </c>
    </row>
    <row r="498">
      <c r="A498" s="16" t="s">
        <v>54</v>
      </c>
      <c r="B498" s="59" t="str">
        <f>IFERROR(HYPERLINK(VLOOKUP(A498,Internal_lists_bugs!$A$2:$C$73,3,FALSE()), VLOOKUP(A498,Internal_lists_bugs!$A$2:$C$73,3,FALSE())&amp;Char(10) &amp; Char(10) &amp; VLOOKUP(A498,Internal_lists_bugs!$A$2:$Z$73,26,FALSE())),"please select a BUG ID")</f>
        <v>
</v>
      </c>
      <c r="C498" s="39" t="str">
        <f>IFERROR(VLOOKUP(A498,Internal_lists_bugs!$A$2:$G2011,7,FALSE()),"please select a BUG ID")</f>
        <v>https://opendev.org/openstack/nova/commit/9340f6db7961824aabdf73cecf5e19892ce01c03</v>
      </c>
      <c r="D498" s="1" t="s">
        <v>1205</v>
      </c>
      <c r="E498" s="50"/>
      <c r="F498" s="43"/>
      <c r="G498" s="50"/>
      <c r="H498" s="16" t="s">
        <v>1177</v>
      </c>
    </row>
    <row r="499">
      <c r="A499" s="16" t="s">
        <v>54</v>
      </c>
      <c r="B499" s="59" t="str">
        <f>IFERROR(HYPERLINK(VLOOKUP(A499,Internal_lists_bugs!$A$2:$C$73,3,FALSE()), VLOOKUP(A499,Internal_lists_bugs!$A$2:$C$73,3,FALSE())&amp;Char(10) &amp; Char(10) &amp; VLOOKUP(A499,Internal_lists_bugs!$A$2:$Z$73,26,FALSE())),"please select a BUG ID")</f>
        <v>
</v>
      </c>
      <c r="C499" s="39" t="str">
        <f>IFERROR(VLOOKUP(A499,Internal_lists_bugs!$A$2:$G2011,7,FALSE()),"please select a BUG ID")</f>
        <v>https://opendev.org/openstack/nova/commit/9340f6db7961824aabdf73cecf5e19892ce01c03</v>
      </c>
      <c r="D499" s="1" t="s">
        <v>1183</v>
      </c>
      <c r="E499" s="50"/>
      <c r="F499" s="43"/>
      <c r="G499" s="50"/>
      <c r="H499" s="43"/>
    </row>
    <row r="500">
      <c r="A500" s="16" t="s">
        <v>54</v>
      </c>
      <c r="B500" s="59" t="str">
        <f>IFERROR(HYPERLINK(VLOOKUP(A500,Internal_lists_bugs!$A$2:$C$73,3,FALSE()), VLOOKUP(A500,Internal_lists_bugs!$A$2:$C$73,3,FALSE())&amp;Char(10) &amp; Char(10) &amp; VLOOKUP(A500,Internal_lists_bugs!$A$2:$Z$73,26,FALSE())),"please select a BUG ID")</f>
        <v>
</v>
      </c>
      <c r="C500" s="39" t="str">
        <f>IFERROR(VLOOKUP(A500,Internal_lists_bugs!$A$2:$G2011,7,FALSE()),"please select a BUG ID")</f>
        <v>https://opendev.org/openstack/nova/commit/9340f6db7961824aabdf73cecf5e19892ce01c03</v>
      </c>
      <c r="D500" s="1" t="s">
        <v>1184</v>
      </c>
      <c r="E500" s="50"/>
      <c r="F500" s="43"/>
      <c r="G500" s="50"/>
      <c r="H500" s="43"/>
    </row>
    <row r="501">
      <c r="A501" s="16" t="s">
        <v>54</v>
      </c>
      <c r="B501" s="59" t="str">
        <f>IFERROR(HYPERLINK(VLOOKUP(A501,Internal_lists_bugs!$A$2:$C$73,3,FALSE()), VLOOKUP(A501,Internal_lists_bugs!$A$2:$C$73,3,FALSE())&amp;Char(10) &amp; Char(10) &amp; VLOOKUP(A501,Internal_lists_bugs!$A$2:$Z$73,26,FALSE())),"please select a BUG ID")</f>
        <v>
</v>
      </c>
      <c r="C501" s="39" t="str">
        <f>IFERROR(VLOOKUP(A501,Internal_lists_bugs!$A$2:$G2011,7,FALSE()),"please select a BUG ID")</f>
        <v>https://opendev.org/openstack/nova/commit/9340f6db7961824aabdf73cecf5e19892ce01c03</v>
      </c>
      <c r="D501" s="1" t="s">
        <v>1185</v>
      </c>
      <c r="E501" s="50"/>
      <c r="F501" s="43"/>
      <c r="G501" s="50"/>
      <c r="H501" s="43"/>
    </row>
    <row r="502">
      <c r="A502" s="16" t="s">
        <v>54</v>
      </c>
      <c r="B502" s="59" t="str">
        <f>IFERROR(HYPERLINK(VLOOKUP(A502,Internal_lists_bugs!$A$2:$C$73,3,FALSE()), VLOOKUP(A502,Internal_lists_bugs!$A$2:$C$73,3,FALSE())&amp;Char(10) &amp; Char(10) &amp; VLOOKUP(A502,Internal_lists_bugs!$A$2:$Z$73,26,FALSE())),"please select a BUG ID")</f>
        <v>
</v>
      </c>
      <c r="C502" s="39" t="str">
        <f>IFERROR(VLOOKUP(A502,Internal_lists_bugs!$A$2:$G2011,7,FALSE()),"please select a BUG ID")</f>
        <v>https://opendev.org/openstack/nova/commit/9340f6db7961824aabdf73cecf5e19892ce01c03</v>
      </c>
      <c r="D502" s="1" t="s">
        <v>1196</v>
      </c>
      <c r="E502" s="50"/>
      <c r="F502" s="43"/>
      <c r="G502" s="50"/>
      <c r="H502" s="43"/>
    </row>
    <row r="503">
      <c r="A503" s="16" t="s">
        <v>54</v>
      </c>
      <c r="B503" s="59" t="str">
        <f>IFERROR(HYPERLINK(VLOOKUP(A503,Internal_lists_bugs!$A$2:$C$73,3,FALSE()), VLOOKUP(A503,Internal_lists_bugs!$A$2:$C$73,3,FALSE())&amp;Char(10) &amp; Char(10) &amp; VLOOKUP(A503,Internal_lists_bugs!$A$2:$Z$73,26,FALSE())),"please select a BUG ID")</f>
        <v>
</v>
      </c>
      <c r="C503" s="39" t="str">
        <f>IFERROR(VLOOKUP(A503,Internal_lists_bugs!$A$2:$G2011,7,FALSE()),"please select a BUG ID")</f>
        <v>https://opendev.org/openstack/nova/commit/9340f6db7961824aabdf73cecf5e19892ce01c03</v>
      </c>
      <c r="D503" s="1" t="s">
        <v>1187</v>
      </c>
      <c r="E503" s="50"/>
      <c r="F503" s="43"/>
      <c r="G503" s="50"/>
      <c r="H503" s="43"/>
    </row>
    <row r="504">
      <c r="A504" s="16" t="s">
        <v>54</v>
      </c>
      <c r="B504" s="59" t="str">
        <f>IFERROR(HYPERLINK(VLOOKUP(A504,Internal_lists_bugs!$A$2:$C$73,3,FALSE()), VLOOKUP(A504,Internal_lists_bugs!$A$2:$C$73,3,FALSE())&amp;Char(10) &amp; Char(10) &amp; VLOOKUP(A504,Internal_lists_bugs!$A$2:$Z$73,26,FALSE())),"please select a BUG ID")</f>
        <v>
</v>
      </c>
      <c r="C504" s="39" t="str">
        <f>IFERROR(VLOOKUP(A504,Internal_lists_bugs!$A$2:$G2011,7,FALSE()),"please select a BUG ID")</f>
        <v>https://opendev.org/openstack/nova/commit/9340f6db7961824aabdf73cecf5e19892ce01c03</v>
      </c>
      <c r="D504" s="1" t="s">
        <v>1206</v>
      </c>
      <c r="E504" s="50"/>
      <c r="F504" s="43"/>
      <c r="G504" s="50"/>
      <c r="H504" s="43"/>
    </row>
    <row r="505">
      <c r="A505" s="16" t="s">
        <v>54</v>
      </c>
      <c r="B505" s="59" t="str">
        <f>IFERROR(HYPERLINK(VLOOKUP(A505,Internal_lists_bugs!$A$2:$C$73,3,FALSE()), VLOOKUP(A505,Internal_lists_bugs!$A$2:$C$73,3,FALSE())&amp;Char(10) &amp; Char(10) &amp; VLOOKUP(A505,Internal_lists_bugs!$A$2:$Z$73,26,FALSE())),"please select a BUG ID")</f>
        <v>
</v>
      </c>
      <c r="C505" s="39" t="str">
        <f>IFERROR(VLOOKUP(A505,Internal_lists_bugs!$A$2:$G2011,7,FALSE()),"please select a BUG ID")</f>
        <v>https://opendev.org/openstack/nova/commit/9340f6db7961824aabdf73cecf5e19892ce01c03</v>
      </c>
      <c r="D505" s="1" t="s">
        <v>1213</v>
      </c>
      <c r="E505" s="50"/>
      <c r="F505" s="43"/>
      <c r="G505" s="50"/>
      <c r="H505" s="43"/>
    </row>
    <row r="506">
      <c r="A506" s="16" t="s">
        <v>54</v>
      </c>
      <c r="B506" s="59" t="str">
        <f>IFERROR(HYPERLINK(VLOOKUP(A506,Internal_lists_bugs!$A$2:$C$73,3,FALSE()), VLOOKUP(A506,Internal_lists_bugs!$A$2:$C$73,3,FALSE())&amp;Char(10) &amp; Char(10) &amp; VLOOKUP(A506,Internal_lists_bugs!$A$2:$Z$73,26,FALSE())),"please select a BUG ID")</f>
        <v>
</v>
      </c>
      <c r="C506" s="39" t="str">
        <f>IFERROR(VLOOKUP(A506,Internal_lists_bugs!$A$2:$G2011,7,FALSE()),"please select a BUG ID")</f>
        <v>https://opendev.org/openstack/nova/commit/9340f6db7961824aabdf73cecf5e19892ce01c03</v>
      </c>
      <c r="D506" s="1" t="s">
        <v>1223</v>
      </c>
      <c r="E506" s="50"/>
      <c r="F506" s="43"/>
      <c r="G506" s="50"/>
      <c r="H506" s="43"/>
    </row>
    <row r="507">
      <c r="A507" s="16" t="s">
        <v>54</v>
      </c>
      <c r="B507" s="59" t="str">
        <f>IFERROR(HYPERLINK(VLOOKUP(A507,Internal_lists_bugs!$A$2:$C$73,3,FALSE()), VLOOKUP(A507,Internal_lists_bugs!$A$2:$C$73,3,FALSE())&amp;Char(10) &amp; Char(10) &amp; VLOOKUP(A507,Internal_lists_bugs!$A$2:$Z$73,26,FALSE())),"please select a BUG ID")</f>
        <v>
</v>
      </c>
      <c r="C507" s="39" t="str">
        <f>IFERROR(VLOOKUP(A507,Internal_lists_bugs!$A$2:$G2011,7,FALSE()),"please select a BUG ID")</f>
        <v>https://opendev.org/openstack/nova/commit/9340f6db7961824aabdf73cecf5e19892ce01c03</v>
      </c>
      <c r="D507" s="1" t="s">
        <v>1229</v>
      </c>
      <c r="E507" s="50"/>
      <c r="F507" s="43"/>
      <c r="G507" s="50"/>
      <c r="H507" s="43"/>
    </row>
    <row r="508">
      <c r="A508" s="16" t="s">
        <v>54</v>
      </c>
      <c r="B508" s="59" t="str">
        <f>IFERROR(HYPERLINK(VLOOKUP(A508,Internal_lists_bugs!$A$2:$C$73,3,FALSE()), VLOOKUP(A508,Internal_lists_bugs!$A$2:$C$73,3,FALSE())&amp;Char(10) &amp; Char(10) &amp; VLOOKUP(A508,Internal_lists_bugs!$A$2:$Z$73,26,FALSE())),"please select a BUG ID")</f>
        <v>
</v>
      </c>
      <c r="C508" s="39" t="str">
        <f>IFERROR(VLOOKUP(A508,Internal_lists_bugs!$A$2:$G2011,7,FALSE()),"please select a BUG ID")</f>
        <v>https://opendev.org/openstack/nova/commit/9340f6db7961824aabdf73cecf5e19892ce01c03</v>
      </c>
      <c r="D508" s="1" t="s">
        <v>1226</v>
      </c>
      <c r="E508" s="50"/>
      <c r="F508" s="43"/>
      <c r="G508" s="50"/>
      <c r="H508" s="43"/>
    </row>
    <row r="509">
      <c r="A509" s="16" t="s">
        <v>54</v>
      </c>
      <c r="B509" s="59" t="str">
        <f>IFERROR(HYPERLINK(VLOOKUP(A509,Internal_lists_bugs!$A$2:$C$73,3,FALSE()), VLOOKUP(A509,Internal_lists_bugs!$A$2:$C$73,3,FALSE())&amp;Char(10) &amp; Char(10) &amp; VLOOKUP(A509,Internal_lists_bugs!$A$2:$Z$73,26,FALSE())),"please select a BUG ID")</f>
        <v>
</v>
      </c>
      <c r="C509" s="39" t="str">
        <f>IFERROR(VLOOKUP(A509,Internal_lists_bugs!$A$2:$G2011,7,FALSE()),"please select a BUG ID")</f>
        <v>https://opendev.org/openstack/nova/commit/9340f6db7961824aabdf73cecf5e19892ce01c03</v>
      </c>
      <c r="D509" s="1" t="s">
        <v>1230</v>
      </c>
      <c r="E509" s="50"/>
      <c r="F509" s="43"/>
      <c r="G509" s="50"/>
      <c r="H509" s="43"/>
    </row>
    <row r="510">
      <c r="A510" s="16" t="s">
        <v>54</v>
      </c>
      <c r="B510" s="59" t="str">
        <f>IFERROR(HYPERLINK(VLOOKUP(A510,Internal_lists_bugs!$A$2:$C$73,3,FALSE()), VLOOKUP(A510,Internal_lists_bugs!$A$2:$C$73,3,FALSE())&amp;Char(10) &amp; Char(10) &amp; VLOOKUP(A510,Internal_lists_bugs!$A$2:$Z$73,26,FALSE())),"please select a BUG ID")</f>
        <v>
</v>
      </c>
      <c r="C510" s="39" t="str">
        <f>IFERROR(VLOOKUP(A510,Internal_lists_bugs!$A$2:$G2011,7,FALSE()),"please select a BUG ID")</f>
        <v>https://opendev.org/openstack/nova/commit/9340f6db7961824aabdf73cecf5e19892ce01c03</v>
      </c>
      <c r="D510" s="1" t="s">
        <v>1227</v>
      </c>
      <c r="E510" s="50"/>
      <c r="F510" s="43"/>
      <c r="G510" s="50"/>
      <c r="H510" s="43"/>
    </row>
    <row r="511">
      <c r="A511" s="16" t="s">
        <v>54</v>
      </c>
      <c r="B511" s="59" t="str">
        <f>IFERROR(HYPERLINK(VLOOKUP(A511,Internal_lists_bugs!$A$2:$C$73,3,FALSE()), VLOOKUP(A511,Internal_lists_bugs!$A$2:$C$73,3,FALSE())&amp;Char(10) &amp; Char(10) &amp; VLOOKUP(A511,Internal_lists_bugs!$A$2:$Z$73,26,FALSE())),"please select a BUG ID")</f>
        <v>
</v>
      </c>
      <c r="C511" s="39" t="str">
        <f>IFERROR(VLOOKUP(A511,Internal_lists_bugs!$A$2:$G2011,7,FALSE()),"please select a BUG ID")</f>
        <v>https://opendev.org/openstack/nova/commit/9340f6db7961824aabdf73cecf5e19892ce01c03</v>
      </c>
      <c r="D511" s="1" t="s">
        <v>1226</v>
      </c>
      <c r="E511" s="50"/>
      <c r="F511" s="43"/>
      <c r="G511" s="50"/>
      <c r="H511" s="43"/>
    </row>
    <row r="512">
      <c r="A512" s="43"/>
      <c r="B512" s="59" t="str">
        <f>IFERROR(HYPERLINK(VLOOKUP(A512,Internal_lists_bugs!$A$2:$C$73,3,FALSE()), VLOOKUP(A512,Internal_lists_bugs!$A$2:$C$73,3,FALSE())&amp;Char(10) &amp; Char(10) &amp; VLOOKUP(A512,Internal_lists_bugs!$A$2:$Z$73,26,FALSE())),"please select a BUG ID")</f>
        <v>please select a BUG ID</v>
      </c>
      <c r="C512" s="51" t="str">
        <f>IFERROR(VLOOKUP(A512,Internal_lists_bugs!$A$2:$G2011,7,FALSE()),"please select a BUG ID")</f>
        <v>please select a BUG ID</v>
      </c>
      <c r="D512" s="43"/>
      <c r="E512" s="50"/>
      <c r="F512" s="43"/>
      <c r="G512" s="50"/>
      <c r="H512" s="43"/>
    </row>
    <row r="513">
      <c r="A513" s="16" t="s">
        <v>32</v>
      </c>
      <c r="B513" s="59" t="str">
        <f>IFERROR(HYPERLINK(VLOOKUP(A513,Internal_lists_bugs!$A$2:$C$73,3,FALSE()), VLOOKUP(A513,Internal_lists_bugs!$A$2:$C$73,3,FALSE())&amp;Char(10) &amp; Char(10) &amp; VLOOKUP(A513,Internal_lists_bugs!$A$2:$Z$73,26,FALSE())),"please select a BUG ID")</f>
        <v>
</v>
      </c>
      <c r="C513" s="39" t="str">
        <f>IFERROR(VLOOKUP(A513,Internal_lists_bugs!$A$2:$G2011,7,FALSE()),"please select a BUG ID")</f>
        <v>https://opendev.org/openstack/nova/commit/990561227d1cdadc1ae91fdcc74286a47f0ddf2c</v>
      </c>
      <c r="D513" s="1" t="s">
        <v>1220</v>
      </c>
      <c r="E513" s="50"/>
      <c r="F513" s="16" t="s">
        <v>1174</v>
      </c>
      <c r="G513" s="50"/>
      <c r="H513" s="16" t="s">
        <v>1221</v>
      </c>
    </row>
    <row r="514">
      <c r="A514" s="16" t="s">
        <v>32</v>
      </c>
      <c r="B514" s="59" t="str">
        <f>IFERROR(HYPERLINK(VLOOKUP(A514,Internal_lists_bugs!$A$2:$C$73,3,FALSE()), VLOOKUP(A514,Internal_lists_bugs!$A$2:$C$73,3,FALSE())&amp;Char(10) &amp; Char(10) &amp; VLOOKUP(A514,Internal_lists_bugs!$A$2:$Z$73,26,FALSE())),"please select a BUG ID")</f>
        <v>
</v>
      </c>
      <c r="C514" s="39" t="str">
        <f>IFERROR(VLOOKUP(A514,Internal_lists_bugs!$A$2:$G2011,7,FALSE()),"please select a BUG ID")</f>
        <v>https://opendev.org/openstack/nova/commit/990561227d1cdadc1ae91fdcc74286a47f0ddf2c</v>
      </c>
      <c r="D514" s="1" t="s">
        <v>1209</v>
      </c>
      <c r="E514" s="50"/>
      <c r="F514" s="43"/>
      <c r="G514" s="50"/>
      <c r="H514" s="16" t="s">
        <v>1203</v>
      </c>
    </row>
    <row r="515">
      <c r="A515" s="16" t="s">
        <v>32</v>
      </c>
      <c r="B515" s="59" t="str">
        <f>IFERROR(HYPERLINK(VLOOKUP(A515,Internal_lists_bugs!$A$2:$C$73,3,FALSE()), VLOOKUP(A515,Internal_lists_bugs!$A$2:$C$73,3,FALSE())&amp;Char(10) &amp; Char(10) &amp; VLOOKUP(A515,Internal_lists_bugs!$A$2:$Z$73,26,FALSE())),"please select a BUG ID")</f>
        <v>
</v>
      </c>
      <c r="C515" s="39" t="str">
        <f>IFERROR(VLOOKUP(A515,Internal_lists_bugs!$A$2:$G2011,7,FALSE()),"please select a BUG ID")</f>
        <v>https://opendev.org/openstack/nova/commit/990561227d1cdadc1ae91fdcc74286a47f0ddf2c</v>
      </c>
      <c r="D515" s="1" t="s">
        <v>1178</v>
      </c>
      <c r="E515" s="50"/>
      <c r="F515" s="43"/>
      <c r="G515" s="50"/>
      <c r="H515" s="16" t="s">
        <v>1212</v>
      </c>
    </row>
    <row r="516">
      <c r="A516" s="16" t="s">
        <v>32</v>
      </c>
      <c r="B516" s="59" t="str">
        <f>IFERROR(HYPERLINK(VLOOKUP(A516,Internal_lists_bugs!$A$2:$C$73,3,FALSE()), VLOOKUP(A516,Internal_lists_bugs!$A$2:$C$73,3,FALSE())&amp;Char(10) &amp; Char(10) &amp; VLOOKUP(A516,Internal_lists_bugs!$A$2:$Z$73,26,FALSE())),"please select a BUG ID")</f>
        <v>
</v>
      </c>
      <c r="C516" s="39" t="str">
        <f>IFERROR(VLOOKUP(A516,Internal_lists_bugs!$A$2:$G2011,7,FALSE()),"please select a BUG ID")</f>
        <v>https://opendev.org/openstack/nova/commit/990561227d1cdadc1ae91fdcc74286a47f0ddf2c</v>
      </c>
      <c r="D516" s="1" t="s">
        <v>1182</v>
      </c>
      <c r="E516" s="50"/>
      <c r="F516" s="43"/>
      <c r="G516" s="50"/>
      <c r="H516" s="16" t="s">
        <v>1175</v>
      </c>
    </row>
    <row r="517">
      <c r="A517" s="16" t="s">
        <v>32</v>
      </c>
      <c r="B517" s="59" t="str">
        <f>IFERROR(HYPERLINK(VLOOKUP(A517,Internal_lists_bugs!$A$2:$C$73,3,FALSE()), VLOOKUP(A517,Internal_lists_bugs!$A$2:$C$73,3,FALSE())&amp;Char(10) &amp; Char(10) &amp; VLOOKUP(A517,Internal_lists_bugs!$A$2:$Z$73,26,FALSE())),"please select a BUG ID")</f>
        <v>
</v>
      </c>
      <c r="C517" s="39" t="str">
        <f>IFERROR(VLOOKUP(A517,Internal_lists_bugs!$A$2:$G2011,7,FALSE()),"please select a BUG ID")</f>
        <v>https://opendev.org/openstack/nova/commit/990561227d1cdadc1ae91fdcc74286a47f0ddf2c</v>
      </c>
      <c r="D517" s="1" t="s">
        <v>1191</v>
      </c>
      <c r="E517" s="50"/>
      <c r="F517" s="43"/>
      <c r="G517" s="50"/>
      <c r="H517" s="16" t="s">
        <v>1222</v>
      </c>
    </row>
    <row r="518">
      <c r="A518" s="16" t="s">
        <v>32</v>
      </c>
      <c r="B518" s="59" t="str">
        <f>IFERROR(HYPERLINK(VLOOKUP(A518,Internal_lists_bugs!$A$2:$C$73,3,FALSE()), VLOOKUP(A518,Internal_lists_bugs!$A$2:$C$73,3,FALSE())&amp;Char(10) &amp; Char(10) &amp; VLOOKUP(A518,Internal_lists_bugs!$A$2:$Z$73,26,FALSE())),"please select a BUG ID")</f>
        <v>
</v>
      </c>
      <c r="C518" s="39" t="str">
        <f>IFERROR(VLOOKUP(A518,Internal_lists_bugs!$A$2:$G2011,7,FALSE()),"please select a BUG ID")</f>
        <v>https://opendev.org/openstack/nova/commit/990561227d1cdadc1ae91fdcc74286a47f0ddf2c</v>
      </c>
      <c r="D518" s="1" t="s">
        <v>1218</v>
      </c>
      <c r="E518" s="50"/>
      <c r="F518" s="43"/>
      <c r="G518" s="50"/>
      <c r="H518" s="16" t="s">
        <v>1224</v>
      </c>
    </row>
    <row r="519">
      <c r="A519" s="16" t="s">
        <v>32</v>
      </c>
      <c r="B519" s="59" t="str">
        <f>IFERROR(HYPERLINK(VLOOKUP(A519,Internal_lists_bugs!$A$2:$C$73,3,FALSE()), VLOOKUP(A519,Internal_lists_bugs!$A$2:$C$73,3,FALSE())&amp;Char(10) &amp; Char(10) &amp; VLOOKUP(A519,Internal_lists_bugs!$A$2:$Z$73,26,FALSE())),"please select a BUG ID")</f>
        <v>
</v>
      </c>
      <c r="C519" s="39" t="str">
        <f>IFERROR(VLOOKUP(A519,Internal_lists_bugs!$A$2:$G2011,7,FALSE()),"please select a BUG ID")</f>
        <v>https://opendev.org/openstack/nova/commit/990561227d1cdadc1ae91fdcc74286a47f0ddf2c</v>
      </c>
      <c r="D519" s="1" t="s">
        <v>1219</v>
      </c>
      <c r="E519" s="50"/>
      <c r="F519" s="43"/>
      <c r="G519" s="50"/>
      <c r="H519" s="16" t="s">
        <v>1225</v>
      </c>
    </row>
    <row r="520">
      <c r="A520" s="16" t="s">
        <v>32</v>
      </c>
      <c r="B520" s="59" t="str">
        <f>IFERROR(HYPERLINK(VLOOKUP(A520,Internal_lists_bugs!$A$2:$C$73,3,FALSE()), VLOOKUP(A520,Internal_lists_bugs!$A$2:$C$73,3,FALSE())&amp;Char(10) &amp; Char(10) &amp; VLOOKUP(A520,Internal_lists_bugs!$A$2:$Z$73,26,FALSE())),"please select a BUG ID")</f>
        <v>
</v>
      </c>
      <c r="C520" s="39" t="str">
        <f>IFERROR(VLOOKUP(A520,Internal_lists_bugs!$A$2:$G2011,7,FALSE()),"please select a BUG ID")</f>
        <v>https://opendev.org/openstack/nova/commit/990561227d1cdadc1ae91fdcc74286a47f0ddf2c</v>
      </c>
      <c r="D520" s="1" t="s">
        <v>1199</v>
      </c>
      <c r="E520" s="50"/>
      <c r="F520" s="43"/>
      <c r="G520" s="50"/>
      <c r="H520" s="16" t="s">
        <v>1197</v>
      </c>
    </row>
    <row r="521">
      <c r="A521" s="16" t="s">
        <v>32</v>
      </c>
      <c r="B521" s="59" t="str">
        <f>IFERROR(HYPERLINK(VLOOKUP(A521,Internal_lists_bugs!$A$2:$C$73,3,FALSE()), VLOOKUP(A521,Internal_lists_bugs!$A$2:$C$73,3,FALSE())&amp;Char(10) &amp; Char(10) &amp; VLOOKUP(A521,Internal_lists_bugs!$A$2:$Z$73,26,FALSE())),"please select a BUG ID")</f>
        <v>
</v>
      </c>
      <c r="C521" s="39" t="str">
        <f>IFERROR(VLOOKUP(A521,Internal_lists_bugs!$A$2:$G2011,7,FALSE()),"please select a BUG ID")</f>
        <v>https://opendev.org/openstack/nova/commit/990561227d1cdadc1ae91fdcc74286a47f0ddf2c</v>
      </c>
      <c r="D521" s="1" t="s">
        <v>1201</v>
      </c>
      <c r="E521" s="50"/>
      <c r="F521" s="43"/>
      <c r="G521" s="50"/>
      <c r="H521" s="16" t="s">
        <v>1179</v>
      </c>
    </row>
    <row r="522">
      <c r="A522" s="16" t="s">
        <v>32</v>
      </c>
      <c r="B522" s="59" t="str">
        <f>IFERROR(HYPERLINK(VLOOKUP(A522,Internal_lists_bugs!$A$2:$C$73,3,FALSE()), VLOOKUP(A522,Internal_lists_bugs!$A$2:$C$73,3,FALSE())&amp;Char(10) &amp; Char(10) &amp; VLOOKUP(A522,Internal_lists_bugs!$A$2:$Z$73,26,FALSE())),"please select a BUG ID")</f>
        <v>
</v>
      </c>
      <c r="C522" s="39" t="str">
        <f>IFERROR(VLOOKUP(A522,Internal_lists_bugs!$A$2:$G2011,7,FALSE()),"please select a BUG ID")</f>
        <v>https://opendev.org/openstack/nova/commit/990561227d1cdadc1ae91fdcc74286a47f0ddf2c</v>
      </c>
      <c r="D522" s="1" t="s">
        <v>1202</v>
      </c>
      <c r="E522" s="50"/>
      <c r="F522" s="43"/>
      <c r="G522" s="50"/>
      <c r="H522" s="16" t="s">
        <v>1198</v>
      </c>
    </row>
    <row r="523">
      <c r="A523" s="16" t="s">
        <v>32</v>
      </c>
      <c r="B523" s="59" t="str">
        <f>IFERROR(HYPERLINK(VLOOKUP(A523,Internal_lists_bugs!$A$2:$C$73,3,FALSE()), VLOOKUP(A523,Internal_lists_bugs!$A$2:$C$73,3,FALSE())&amp;Char(10) &amp; Char(10) &amp; VLOOKUP(A523,Internal_lists_bugs!$A$2:$Z$73,26,FALSE())),"please select a BUG ID")</f>
        <v>
</v>
      </c>
      <c r="C523" s="39" t="str">
        <f>IFERROR(VLOOKUP(A523,Internal_lists_bugs!$A$2:$G2011,7,FALSE()),"please select a BUG ID")</f>
        <v>https://opendev.org/openstack/nova/commit/990561227d1cdadc1ae91fdcc74286a47f0ddf2c</v>
      </c>
      <c r="D523" s="1" t="s">
        <v>1173</v>
      </c>
      <c r="E523" s="50"/>
      <c r="F523" s="43"/>
      <c r="G523" s="50"/>
      <c r="H523" s="16" t="s">
        <v>1200</v>
      </c>
    </row>
    <row r="524">
      <c r="A524" s="16" t="s">
        <v>32</v>
      </c>
      <c r="B524" s="59" t="str">
        <f>IFERROR(HYPERLINK(VLOOKUP(A524,Internal_lists_bugs!$A$2:$C$73,3,FALSE()), VLOOKUP(A524,Internal_lists_bugs!$A$2:$C$73,3,FALSE())&amp;Char(10) &amp; Char(10) &amp; VLOOKUP(A524,Internal_lists_bugs!$A$2:$Z$73,26,FALSE())),"please select a BUG ID")</f>
        <v>
</v>
      </c>
      <c r="C524" s="39" t="str">
        <f>IFERROR(VLOOKUP(A524,Internal_lists_bugs!$A$2:$G2011,7,FALSE()),"please select a BUG ID")</f>
        <v>https://opendev.org/openstack/nova/commit/990561227d1cdadc1ae91fdcc74286a47f0ddf2c</v>
      </c>
      <c r="D524" s="1" t="s">
        <v>1211</v>
      </c>
      <c r="E524" s="50"/>
      <c r="F524" s="43"/>
      <c r="G524" s="50"/>
      <c r="H524" s="16" t="s">
        <v>1215</v>
      </c>
    </row>
    <row r="525">
      <c r="A525" s="16" t="s">
        <v>32</v>
      </c>
      <c r="B525" s="59" t="str">
        <f>IFERROR(HYPERLINK(VLOOKUP(A525,Internal_lists_bugs!$A$2:$C$73,3,FALSE()), VLOOKUP(A525,Internal_lists_bugs!$A$2:$C$73,3,FALSE())&amp;Char(10) &amp; Char(10) &amp; VLOOKUP(A525,Internal_lists_bugs!$A$2:$Z$73,26,FALSE())),"please select a BUG ID")</f>
        <v>
</v>
      </c>
      <c r="C525" s="39" t="str">
        <f>IFERROR(VLOOKUP(A525,Internal_lists_bugs!$A$2:$G2011,7,FALSE()),"please select a BUG ID")</f>
        <v>https://opendev.org/openstack/nova/commit/990561227d1cdadc1ae91fdcc74286a47f0ddf2c</v>
      </c>
      <c r="D525" s="1" t="s">
        <v>1214</v>
      </c>
      <c r="E525" s="50"/>
      <c r="F525" s="43"/>
      <c r="G525" s="50"/>
      <c r="H525" s="16" t="s">
        <v>1210</v>
      </c>
    </row>
    <row r="526">
      <c r="A526" s="16" t="s">
        <v>32</v>
      </c>
      <c r="B526" s="59" t="str">
        <f>IFERROR(HYPERLINK(VLOOKUP(A526,Internal_lists_bugs!$A$2:$C$73,3,FALSE()), VLOOKUP(A526,Internal_lists_bugs!$A$2:$C$73,3,FALSE())&amp;Char(10) &amp; Char(10) &amp; VLOOKUP(A526,Internal_lists_bugs!$A$2:$Z$73,26,FALSE())),"please select a BUG ID")</f>
        <v>
</v>
      </c>
      <c r="C526" s="39" t="str">
        <f>IFERROR(VLOOKUP(A526,Internal_lists_bugs!$A$2:$G2011,7,FALSE()),"please select a BUG ID")</f>
        <v>https://opendev.org/openstack/nova/commit/990561227d1cdadc1ae91fdcc74286a47f0ddf2c</v>
      </c>
      <c r="D526" s="1" t="s">
        <v>1205</v>
      </c>
      <c r="E526" s="50"/>
      <c r="F526" s="43"/>
      <c r="G526" s="50"/>
      <c r="H526" s="16" t="s">
        <v>1177</v>
      </c>
    </row>
    <row r="527">
      <c r="A527" s="16" t="s">
        <v>32</v>
      </c>
      <c r="B527" s="59" t="str">
        <f>IFERROR(HYPERLINK(VLOOKUP(A527,Internal_lists_bugs!$A$2:$C$73,3,FALSE()), VLOOKUP(A527,Internal_lists_bugs!$A$2:$C$73,3,FALSE())&amp;Char(10) &amp; Char(10) &amp; VLOOKUP(A527,Internal_lists_bugs!$A$2:$Z$73,26,FALSE())),"please select a BUG ID")</f>
        <v>
</v>
      </c>
      <c r="C527" s="39" t="str">
        <f>IFERROR(VLOOKUP(A527,Internal_lists_bugs!$A$2:$G2011,7,FALSE()),"please select a BUG ID")</f>
        <v>https://opendev.org/openstack/nova/commit/990561227d1cdadc1ae91fdcc74286a47f0ddf2c</v>
      </c>
      <c r="D527" s="1" t="s">
        <v>1183</v>
      </c>
      <c r="E527" s="50"/>
      <c r="F527" s="43"/>
      <c r="G527" s="50"/>
      <c r="H527" s="43"/>
    </row>
    <row r="528">
      <c r="A528" s="16" t="s">
        <v>32</v>
      </c>
      <c r="B528" s="59" t="str">
        <f>IFERROR(HYPERLINK(VLOOKUP(A528,Internal_lists_bugs!$A$2:$C$73,3,FALSE()), VLOOKUP(A528,Internal_lists_bugs!$A$2:$C$73,3,FALSE())&amp;Char(10) &amp; Char(10) &amp; VLOOKUP(A528,Internal_lists_bugs!$A$2:$Z$73,26,FALSE())),"please select a BUG ID")</f>
        <v>
</v>
      </c>
      <c r="C528" s="39" t="str">
        <f>IFERROR(VLOOKUP(A528,Internal_lists_bugs!$A$2:$G2011,7,FALSE()),"please select a BUG ID")</f>
        <v>https://opendev.org/openstack/nova/commit/990561227d1cdadc1ae91fdcc74286a47f0ddf2c</v>
      </c>
      <c r="D528" s="1" t="s">
        <v>1184</v>
      </c>
      <c r="E528" s="50"/>
      <c r="F528" s="43"/>
      <c r="G528" s="50"/>
      <c r="H528" s="43"/>
    </row>
    <row r="529">
      <c r="A529" s="16" t="s">
        <v>32</v>
      </c>
      <c r="B529" s="59" t="str">
        <f>IFERROR(HYPERLINK(VLOOKUP(A529,Internal_lists_bugs!$A$2:$C$73,3,FALSE()), VLOOKUP(A529,Internal_lists_bugs!$A$2:$C$73,3,FALSE())&amp;Char(10) &amp; Char(10) &amp; VLOOKUP(A529,Internal_lists_bugs!$A$2:$Z$73,26,FALSE())),"please select a BUG ID")</f>
        <v>
</v>
      </c>
      <c r="C529" s="39" t="str">
        <f>IFERROR(VLOOKUP(A529,Internal_lists_bugs!$A$2:$G2011,7,FALSE()),"please select a BUG ID")</f>
        <v>https://opendev.org/openstack/nova/commit/990561227d1cdadc1ae91fdcc74286a47f0ddf2c</v>
      </c>
      <c r="D529" s="1" t="s">
        <v>1185</v>
      </c>
      <c r="E529" s="50"/>
      <c r="F529" s="43"/>
      <c r="G529" s="50"/>
      <c r="H529" s="43"/>
    </row>
    <row r="530">
      <c r="A530" s="16" t="s">
        <v>32</v>
      </c>
      <c r="B530" s="59" t="str">
        <f>IFERROR(HYPERLINK(VLOOKUP(A530,Internal_lists_bugs!$A$2:$C$73,3,FALSE()), VLOOKUP(A530,Internal_lists_bugs!$A$2:$C$73,3,FALSE())&amp;Char(10) &amp; Char(10) &amp; VLOOKUP(A530,Internal_lists_bugs!$A$2:$Z$73,26,FALSE())),"please select a BUG ID")</f>
        <v>
</v>
      </c>
      <c r="C530" s="39" t="str">
        <f>IFERROR(VLOOKUP(A530,Internal_lists_bugs!$A$2:$G2011,7,FALSE()),"please select a BUG ID")</f>
        <v>https://opendev.org/openstack/nova/commit/990561227d1cdadc1ae91fdcc74286a47f0ddf2c</v>
      </c>
      <c r="D530" s="1" t="s">
        <v>1196</v>
      </c>
      <c r="E530" s="50"/>
      <c r="F530" s="43"/>
      <c r="G530" s="50"/>
      <c r="H530" s="43"/>
    </row>
    <row r="531">
      <c r="A531" s="16" t="s">
        <v>32</v>
      </c>
      <c r="B531" s="59" t="str">
        <f>IFERROR(HYPERLINK(VLOOKUP(A531,Internal_lists_bugs!$A$2:$C$73,3,FALSE()), VLOOKUP(A531,Internal_lists_bugs!$A$2:$C$73,3,FALSE())&amp;Char(10) &amp; Char(10) &amp; VLOOKUP(A531,Internal_lists_bugs!$A$2:$Z$73,26,FALSE())),"please select a BUG ID")</f>
        <v>
</v>
      </c>
      <c r="C531" s="39" t="str">
        <f>IFERROR(VLOOKUP(A531,Internal_lists_bugs!$A$2:$G2011,7,FALSE()),"please select a BUG ID")</f>
        <v>https://opendev.org/openstack/nova/commit/990561227d1cdadc1ae91fdcc74286a47f0ddf2c</v>
      </c>
      <c r="D531" s="1" t="s">
        <v>1187</v>
      </c>
      <c r="E531" s="50"/>
      <c r="F531" s="43"/>
      <c r="G531" s="50"/>
      <c r="H531" s="43"/>
    </row>
    <row r="532">
      <c r="A532" s="16" t="s">
        <v>32</v>
      </c>
      <c r="B532" s="59" t="str">
        <f>IFERROR(HYPERLINK(VLOOKUP(A532,Internal_lists_bugs!$A$2:$C$73,3,FALSE()), VLOOKUP(A532,Internal_lists_bugs!$A$2:$C$73,3,FALSE())&amp;Char(10) &amp; Char(10) &amp; VLOOKUP(A532,Internal_lists_bugs!$A$2:$Z$73,26,FALSE())),"please select a BUG ID")</f>
        <v>
</v>
      </c>
      <c r="C532" s="39" t="str">
        <f>IFERROR(VLOOKUP(A532,Internal_lists_bugs!$A$2:$G2011,7,FALSE()),"please select a BUG ID")</f>
        <v>https://opendev.org/openstack/nova/commit/990561227d1cdadc1ae91fdcc74286a47f0ddf2c</v>
      </c>
      <c r="D532" s="1" t="s">
        <v>1206</v>
      </c>
      <c r="E532" s="50"/>
      <c r="F532" s="43"/>
      <c r="G532" s="50"/>
      <c r="H532" s="43"/>
    </row>
    <row r="533">
      <c r="A533" s="16" t="s">
        <v>32</v>
      </c>
      <c r="B533" s="59" t="str">
        <f>IFERROR(HYPERLINK(VLOOKUP(A533,Internal_lists_bugs!$A$2:$C$73,3,FALSE()), VLOOKUP(A533,Internal_lists_bugs!$A$2:$C$73,3,FALSE())&amp;Char(10) &amp; Char(10) &amp; VLOOKUP(A533,Internal_lists_bugs!$A$2:$Z$73,26,FALSE())),"please select a BUG ID")</f>
        <v>
</v>
      </c>
      <c r="C533" s="39" t="str">
        <f>IFERROR(VLOOKUP(A533,Internal_lists_bugs!$A$2:$G2011,7,FALSE()),"please select a BUG ID")</f>
        <v>https://opendev.org/openstack/nova/commit/990561227d1cdadc1ae91fdcc74286a47f0ddf2c</v>
      </c>
      <c r="D533" s="1" t="s">
        <v>1213</v>
      </c>
      <c r="E533" s="50"/>
      <c r="F533" s="43"/>
      <c r="G533" s="50"/>
      <c r="H533" s="43"/>
    </row>
    <row r="534">
      <c r="A534" s="16" t="s">
        <v>32</v>
      </c>
      <c r="B534" s="59" t="str">
        <f>IFERROR(HYPERLINK(VLOOKUP(A534,Internal_lists_bugs!$A$2:$C$73,3,FALSE()), VLOOKUP(A534,Internal_lists_bugs!$A$2:$C$73,3,FALSE())&amp;Char(10) &amp; Char(10) &amp; VLOOKUP(A534,Internal_lists_bugs!$A$2:$Z$73,26,FALSE())),"please select a BUG ID")</f>
        <v>
</v>
      </c>
      <c r="C534" s="39" t="str">
        <f>IFERROR(VLOOKUP(A534,Internal_lists_bugs!$A$2:$G2011,7,FALSE()),"please select a BUG ID")</f>
        <v>https://opendev.org/openstack/nova/commit/990561227d1cdadc1ae91fdcc74286a47f0ddf2c</v>
      </c>
      <c r="D534" s="1" t="s">
        <v>1223</v>
      </c>
      <c r="E534" s="50"/>
      <c r="F534" s="43"/>
      <c r="G534" s="50"/>
      <c r="H534" s="43"/>
    </row>
    <row r="535">
      <c r="A535" s="16" t="s">
        <v>32</v>
      </c>
      <c r="B535" s="59" t="str">
        <f>IFERROR(HYPERLINK(VLOOKUP(A535,Internal_lists_bugs!$A$2:$C$73,3,FALSE()), VLOOKUP(A535,Internal_lists_bugs!$A$2:$C$73,3,FALSE())&amp;Char(10) &amp; Char(10) &amp; VLOOKUP(A535,Internal_lists_bugs!$A$2:$Z$73,26,FALSE())),"please select a BUG ID")</f>
        <v>
</v>
      </c>
      <c r="C535" s="39" t="str">
        <f>IFERROR(VLOOKUP(A535,Internal_lists_bugs!$A$2:$G2011,7,FALSE()),"please select a BUG ID")</f>
        <v>https://opendev.org/openstack/nova/commit/990561227d1cdadc1ae91fdcc74286a47f0ddf2c</v>
      </c>
      <c r="D535" s="1" t="s">
        <v>1226</v>
      </c>
      <c r="E535" s="50"/>
      <c r="F535" s="43"/>
      <c r="G535" s="50"/>
      <c r="H535" s="43"/>
    </row>
    <row r="536">
      <c r="A536" s="16" t="s">
        <v>32</v>
      </c>
      <c r="B536" s="59" t="str">
        <f>IFERROR(HYPERLINK(VLOOKUP(A536,Internal_lists_bugs!$A$2:$C$73,3,FALSE()), VLOOKUP(A536,Internal_lists_bugs!$A$2:$C$73,3,FALSE())&amp;Char(10) &amp; Char(10) &amp; VLOOKUP(A536,Internal_lists_bugs!$A$2:$Z$73,26,FALSE())),"please select a BUG ID")</f>
        <v>
</v>
      </c>
      <c r="C536" s="39" t="str">
        <f>IFERROR(VLOOKUP(A536,Internal_lists_bugs!$A$2:$G2011,7,FALSE()),"please select a BUG ID")</f>
        <v>https://opendev.org/openstack/nova/commit/990561227d1cdadc1ae91fdcc74286a47f0ddf2c</v>
      </c>
      <c r="D536" s="1" t="s">
        <v>1229</v>
      </c>
      <c r="E536" s="50"/>
      <c r="F536" s="43"/>
      <c r="G536" s="50"/>
      <c r="H536" s="43"/>
    </row>
    <row r="537">
      <c r="A537" s="16" t="s">
        <v>32</v>
      </c>
      <c r="B537" s="59" t="str">
        <f>IFERROR(HYPERLINK(VLOOKUP(A537,Internal_lists_bugs!$A$2:$C$73,3,FALSE()), VLOOKUP(A537,Internal_lists_bugs!$A$2:$C$73,3,FALSE())&amp;Char(10) &amp; Char(10) &amp; VLOOKUP(A537,Internal_lists_bugs!$A$2:$Z$73,26,FALSE())),"please select a BUG ID")</f>
        <v>
</v>
      </c>
      <c r="C537" s="39" t="str">
        <f>IFERROR(VLOOKUP(A537,Internal_lists_bugs!$A$2:$G2011,7,FALSE()),"please select a BUG ID")</f>
        <v>https://opendev.org/openstack/nova/commit/990561227d1cdadc1ae91fdcc74286a47f0ddf2c</v>
      </c>
      <c r="D537" s="1" t="s">
        <v>1227</v>
      </c>
      <c r="E537" s="50"/>
      <c r="F537" s="43"/>
      <c r="G537" s="50"/>
      <c r="H537" s="43"/>
    </row>
    <row r="538">
      <c r="A538" s="16" t="s">
        <v>48</v>
      </c>
      <c r="B538" s="59" t="str">
        <f>IFERROR(HYPERLINK(VLOOKUP(A538,Internal_lists_bugs!$A$2:$C$73,3,FALSE()), VLOOKUP(A538,Internal_lists_bugs!$A$2:$C$73,3,FALSE())&amp;Char(10) &amp; Char(10) &amp; VLOOKUP(A538,Internal_lists_bugs!$A$2:$Z$73,26,FALSE())),"please select a BUG ID")</f>
        <v>
</v>
      </c>
      <c r="C538" s="39" t="str">
        <f>IFERROR(VLOOKUP(A538,Internal_lists_bugs!$A$2:$G2011,7,FALSE()),"please select a BUG ID")</f>
        <v>https://opendev.org/openstack/nova/commit/583d12f4fae620719b893cb7f9fbfc461ec8a124</v>
      </c>
      <c r="D538" s="1" t="s">
        <v>1220</v>
      </c>
      <c r="E538" s="50"/>
      <c r="F538" s="16" t="s">
        <v>1174</v>
      </c>
      <c r="G538" s="50"/>
      <c r="H538" s="16" t="s">
        <v>1221</v>
      </c>
    </row>
    <row r="539">
      <c r="A539" s="16" t="s">
        <v>48</v>
      </c>
      <c r="B539" s="59" t="str">
        <f>IFERROR(HYPERLINK(VLOOKUP(A539,Internal_lists_bugs!$A$2:$C$73,3,FALSE()), VLOOKUP(A539,Internal_lists_bugs!$A$2:$C$73,3,FALSE())&amp;Char(10) &amp; Char(10) &amp; VLOOKUP(A539,Internal_lists_bugs!$A$2:$Z$73,26,FALSE())),"please select a BUG ID")</f>
        <v>
</v>
      </c>
      <c r="C539" s="39" t="str">
        <f>IFERROR(VLOOKUP(A539,Internal_lists_bugs!$A$2:$G2011,7,FALSE()),"please select a BUG ID")</f>
        <v>https://opendev.org/openstack/nova/commit/583d12f4fae620719b893cb7f9fbfc461ec8a124</v>
      </c>
      <c r="D539" s="1" t="s">
        <v>1209</v>
      </c>
      <c r="E539" s="50"/>
      <c r="F539" s="43"/>
      <c r="G539" s="50"/>
      <c r="H539" s="16" t="s">
        <v>1175</v>
      </c>
    </row>
    <row r="540">
      <c r="A540" s="16" t="s">
        <v>48</v>
      </c>
      <c r="B540" s="59" t="str">
        <f>IFERROR(HYPERLINK(VLOOKUP(A540,Internal_lists_bugs!$A$2:$C$73,3,FALSE()), VLOOKUP(A540,Internal_lists_bugs!$A$2:$C$73,3,FALSE())&amp;Char(10) &amp; Char(10) &amp; VLOOKUP(A540,Internal_lists_bugs!$A$2:$Z$73,26,FALSE())),"please select a BUG ID")</f>
        <v>
</v>
      </c>
      <c r="C540" s="39" t="str">
        <f>IFERROR(VLOOKUP(A540,Internal_lists_bugs!$A$2:$G2011,7,FALSE()),"please select a BUG ID")</f>
        <v>https://opendev.org/openstack/nova/commit/583d12f4fae620719b893cb7f9fbfc461ec8a124</v>
      </c>
      <c r="D540" s="1" t="s">
        <v>1178</v>
      </c>
      <c r="E540" s="50"/>
      <c r="F540" s="43"/>
      <c r="G540" s="50"/>
      <c r="H540" s="16" t="s">
        <v>1212</v>
      </c>
    </row>
    <row r="541">
      <c r="A541" s="16" t="s">
        <v>48</v>
      </c>
      <c r="B541" s="59" t="str">
        <f>IFERROR(HYPERLINK(VLOOKUP(A541,Internal_lists_bugs!$A$2:$C$73,3,FALSE()), VLOOKUP(A541,Internal_lists_bugs!$A$2:$C$73,3,FALSE())&amp;Char(10) &amp; Char(10) &amp; VLOOKUP(A541,Internal_lists_bugs!$A$2:$Z$73,26,FALSE())),"please select a BUG ID")</f>
        <v>
</v>
      </c>
      <c r="C541" s="39" t="str">
        <f>IFERROR(VLOOKUP(A541,Internal_lists_bugs!$A$2:$G2011,7,FALSE()),"please select a BUG ID")</f>
        <v>https://opendev.org/openstack/nova/commit/583d12f4fae620719b893cb7f9fbfc461ec8a124</v>
      </c>
      <c r="D541" s="1" t="s">
        <v>1182</v>
      </c>
      <c r="E541" s="50"/>
      <c r="F541" s="43"/>
      <c r="G541" s="50"/>
      <c r="H541" s="16" t="s">
        <v>1203</v>
      </c>
    </row>
    <row r="542">
      <c r="A542" s="16" t="s">
        <v>48</v>
      </c>
      <c r="B542" s="59" t="str">
        <f>IFERROR(HYPERLINK(VLOOKUP(A542,Internal_lists_bugs!$A$2:$C$73,3,FALSE()), VLOOKUP(A542,Internal_lists_bugs!$A$2:$C$73,3,FALSE())&amp;Char(10) &amp; Char(10) &amp; VLOOKUP(A542,Internal_lists_bugs!$A$2:$Z$73,26,FALSE())),"please select a BUG ID")</f>
        <v>
</v>
      </c>
      <c r="C542" s="39" t="str">
        <f>IFERROR(VLOOKUP(A542,Internal_lists_bugs!$A$2:$G2011,7,FALSE()),"please select a BUG ID")</f>
        <v>https://opendev.org/openstack/nova/commit/583d12f4fae620719b893cb7f9fbfc461ec8a124</v>
      </c>
      <c r="D542" s="1" t="s">
        <v>1191</v>
      </c>
      <c r="E542" s="50"/>
      <c r="F542" s="43"/>
      <c r="G542" s="50"/>
      <c r="H542" s="16" t="s">
        <v>1179</v>
      </c>
    </row>
    <row r="543">
      <c r="A543" s="16" t="s">
        <v>48</v>
      </c>
      <c r="B543" s="59" t="str">
        <f>IFERROR(HYPERLINK(VLOOKUP(A543,Internal_lists_bugs!$A$2:$C$73,3,FALSE()), VLOOKUP(A543,Internal_lists_bugs!$A$2:$C$73,3,FALSE())&amp;Char(10) &amp; Char(10) &amp; VLOOKUP(A543,Internal_lists_bugs!$A$2:$Z$73,26,FALSE())),"please select a BUG ID")</f>
        <v>
</v>
      </c>
      <c r="C543" s="39" t="str">
        <f>IFERROR(VLOOKUP(A543,Internal_lists_bugs!$A$2:$G2011,7,FALSE()),"please select a BUG ID")</f>
        <v>https://opendev.org/openstack/nova/commit/583d12f4fae620719b893cb7f9fbfc461ec8a124</v>
      </c>
      <c r="D543" s="1" t="s">
        <v>1218</v>
      </c>
      <c r="E543" s="50"/>
      <c r="F543" s="43"/>
      <c r="G543" s="50"/>
      <c r="H543" s="16" t="s">
        <v>1197</v>
      </c>
    </row>
    <row r="544">
      <c r="A544" s="16" t="s">
        <v>48</v>
      </c>
      <c r="B544" s="59" t="str">
        <f>IFERROR(HYPERLINK(VLOOKUP(A544,Internal_lists_bugs!$A$2:$C$73,3,FALSE()), VLOOKUP(A544,Internal_lists_bugs!$A$2:$C$73,3,FALSE())&amp;Char(10) &amp; Char(10) &amp; VLOOKUP(A544,Internal_lists_bugs!$A$2:$Z$73,26,FALSE())),"please select a BUG ID")</f>
        <v>
</v>
      </c>
      <c r="C544" s="39" t="str">
        <f>IFERROR(VLOOKUP(A544,Internal_lists_bugs!$A$2:$G2011,7,FALSE()),"please select a BUG ID")</f>
        <v>https://opendev.org/openstack/nova/commit/583d12f4fae620719b893cb7f9fbfc461ec8a124</v>
      </c>
      <c r="D544" s="1" t="s">
        <v>1219</v>
      </c>
      <c r="E544" s="50"/>
      <c r="F544" s="43"/>
      <c r="G544" s="50"/>
      <c r="H544" s="16" t="s">
        <v>1198</v>
      </c>
    </row>
    <row r="545">
      <c r="A545" s="16" t="s">
        <v>48</v>
      </c>
      <c r="B545" s="59" t="str">
        <f>IFERROR(HYPERLINK(VLOOKUP(A545,Internal_lists_bugs!$A$2:$C$73,3,FALSE()), VLOOKUP(A545,Internal_lists_bugs!$A$2:$C$73,3,FALSE())&amp;Char(10) &amp; Char(10) &amp; VLOOKUP(A545,Internal_lists_bugs!$A$2:$Z$73,26,FALSE())),"please select a BUG ID")</f>
        <v>
</v>
      </c>
      <c r="C545" s="39" t="str">
        <f>IFERROR(VLOOKUP(A545,Internal_lists_bugs!$A$2:$G2011,7,FALSE()),"please select a BUG ID")</f>
        <v>https://opendev.org/openstack/nova/commit/583d12f4fae620719b893cb7f9fbfc461ec8a124</v>
      </c>
      <c r="D545" s="1" t="s">
        <v>1199</v>
      </c>
      <c r="E545" s="50"/>
      <c r="F545" s="43"/>
      <c r="G545" s="50"/>
      <c r="H545" s="16" t="s">
        <v>1200</v>
      </c>
    </row>
    <row r="546">
      <c r="A546" s="16" t="s">
        <v>48</v>
      </c>
      <c r="B546" s="59" t="str">
        <f>IFERROR(HYPERLINK(VLOOKUP(A546,Internal_lists_bugs!$A$2:$C$73,3,FALSE()), VLOOKUP(A546,Internal_lists_bugs!$A$2:$C$73,3,FALSE())&amp;Char(10) &amp; Char(10) &amp; VLOOKUP(A546,Internal_lists_bugs!$A$2:$Z$73,26,FALSE())),"please select a BUG ID")</f>
        <v>
</v>
      </c>
      <c r="C546" s="39" t="str">
        <f>IFERROR(VLOOKUP(A546,Internal_lists_bugs!$A$2:$G2011,7,FALSE()),"please select a BUG ID")</f>
        <v>https://opendev.org/openstack/nova/commit/583d12f4fae620719b893cb7f9fbfc461ec8a124</v>
      </c>
      <c r="D546" s="1" t="s">
        <v>1201</v>
      </c>
      <c r="E546" s="50"/>
      <c r="F546" s="43"/>
      <c r="G546" s="50"/>
      <c r="H546" s="16" t="s">
        <v>1215</v>
      </c>
    </row>
    <row r="547">
      <c r="A547" s="16" t="s">
        <v>48</v>
      </c>
      <c r="B547" s="59" t="str">
        <f>IFERROR(HYPERLINK(VLOOKUP(A547,Internal_lists_bugs!$A$2:$C$73,3,FALSE()), VLOOKUP(A547,Internal_lists_bugs!$A$2:$C$73,3,FALSE())&amp;Char(10) &amp; Char(10) &amp; VLOOKUP(A547,Internal_lists_bugs!$A$2:$Z$73,26,FALSE())),"please select a BUG ID")</f>
        <v>
</v>
      </c>
      <c r="C547" s="39" t="str">
        <f>IFERROR(VLOOKUP(A547,Internal_lists_bugs!$A$2:$G2011,7,FALSE()),"please select a BUG ID")</f>
        <v>https://opendev.org/openstack/nova/commit/583d12f4fae620719b893cb7f9fbfc461ec8a124</v>
      </c>
      <c r="D547" s="1" t="s">
        <v>1202</v>
      </c>
      <c r="E547" s="50"/>
      <c r="F547" s="43"/>
      <c r="G547" s="50"/>
      <c r="H547" s="16" t="s">
        <v>1210</v>
      </c>
    </row>
    <row r="548">
      <c r="A548" s="16" t="s">
        <v>48</v>
      </c>
      <c r="B548" s="59" t="str">
        <f>IFERROR(HYPERLINK(VLOOKUP(A548,Internal_lists_bugs!$A$2:$C$73,3,FALSE()), VLOOKUP(A548,Internal_lists_bugs!$A$2:$C$73,3,FALSE())&amp;Char(10) &amp; Char(10) &amp; VLOOKUP(A548,Internal_lists_bugs!$A$2:$Z$73,26,FALSE())),"please select a BUG ID")</f>
        <v>
</v>
      </c>
      <c r="C548" s="39" t="str">
        <f>IFERROR(VLOOKUP(A548,Internal_lists_bugs!$A$2:$G2011,7,FALSE()),"please select a BUG ID")</f>
        <v>https://opendev.org/openstack/nova/commit/583d12f4fae620719b893cb7f9fbfc461ec8a124</v>
      </c>
      <c r="D548" s="1" t="s">
        <v>1173</v>
      </c>
      <c r="E548" s="50"/>
      <c r="F548" s="43"/>
      <c r="G548" s="50"/>
      <c r="H548" s="16" t="s">
        <v>1177</v>
      </c>
    </row>
    <row r="549">
      <c r="A549" s="16" t="s">
        <v>48</v>
      </c>
      <c r="B549" s="59" t="str">
        <f>IFERROR(HYPERLINK(VLOOKUP(A549,Internal_lists_bugs!$A$2:$C$73,3,FALSE()), VLOOKUP(A549,Internal_lists_bugs!$A$2:$C$73,3,FALSE())&amp;Char(10) &amp; Char(10) &amp; VLOOKUP(A549,Internal_lists_bugs!$A$2:$Z$73,26,FALSE())),"please select a BUG ID")</f>
        <v>
</v>
      </c>
      <c r="C549" s="39" t="str">
        <f>IFERROR(VLOOKUP(A549,Internal_lists_bugs!$A$2:$G2011,7,FALSE()),"please select a BUG ID")</f>
        <v>https://opendev.org/openstack/nova/commit/583d12f4fae620719b893cb7f9fbfc461ec8a124</v>
      </c>
      <c r="D549" s="1" t="s">
        <v>1211</v>
      </c>
      <c r="E549" s="50"/>
      <c r="F549" s="43"/>
      <c r="G549" s="50"/>
      <c r="H549" s="16" t="s">
        <v>1224</v>
      </c>
    </row>
    <row r="550">
      <c r="A550" s="16" t="s">
        <v>48</v>
      </c>
      <c r="B550" s="59" t="str">
        <f>IFERROR(HYPERLINK(VLOOKUP(A550,Internal_lists_bugs!$A$2:$C$73,3,FALSE()), VLOOKUP(A550,Internal_lists_bugs!$A$2:$C$73,3,FALSE())&amp;Char(10) &amp; Char(10) &amp; VLOOKUP(A550,Internal_lists_bugs!$A$2:$Z$73,26,FALSE())),"please select a BUG ID")</f>
        <v>
</v>
      </c>
      <c r="C550" s="39" t="str">
        <f>IFERROR(VLOOKUP(A550,Internal_lists_bugs!$A$2:$G2011,7,FALSE()),"please select a BUG ID")</f>
        <v>https://opendev.org/openstack/nova/commit/583d12f4fae620719b893cb7f9fbfc461ec8a124</v>
      </c>
      <c r="D550" s="1" t="s">
        <v>1214</v>
      </c>
      <c r="E550" s="50"/>
      <c r="F550" s="43"/>
      <c r="G550" s="50"/>
      <c r="H550" s="16" t="s">
        <v>1222</v>
      </c>
    </row>
    <row r="551">
      <c r="A551" s="16" t="s">
        <v>48</v>
      </c>
      <c r="B551" s="59" t="str">
        <f>IFERROR(HYPERLINK(VLOOKUP(A551,Internal_lists_bugs!$A$2:$C$73,3,FALSE()), VLOOKUP(A551,Internal_lists_bugs!$A$2:$C$73,3,FALSE())&amp;Char(10) &amp; Char(10) &amp; VLOOKUP(A551,Internal_lists_bugs!$A$2:$Z$73,26,FALSE())),"please select a BUG ID")</f>
        <v>
</v>
      </c>
      <c r="C551" s="39" t="str">
        <f>IFERROR(VLOOKUP(A551,Internal_lists_bugs!$A$2:$G2011,7,FALSE()),"please select a BUG ID")</f>
        <v>https://opendev.org/openstack/nova/commit/583d12f4fae620719b893cb7f9fbfc461ec8a124</v>
      </c>
      <c r="D551" s="1" t="s">
        <v>1205</v>
      </c>
      <c r="E551" s="50"/>
      <c r="F551" s="43"/>
      <c r="G551" s="50"/>
      <c r="H551" s="43"/>
    </row>
    <row r="552">
      <c r="A552" s="16" t="s">
        <v>48</v>
      </c>
      <c r="B552" s="59" t="str">
        <f>IFERROR(HYPERLINK(VLOOKUP(A552,Internal_lists_bugs!$A$2:$C$73,3,FALSE()), VLOOKUP(A552,Internal_lists_bugs!$A$2:$C$73,3,FALSE())&amp;Char(10) &amp; Char(10) &amp; VLOOKUP(A552,Internal_lists_bugs!$A$2:$Z$73,26,FALSE())),"please select a BUG ID")</f>
        <v>
</v>
      </c>
      <c r="C552" s="39" t="str">
        <f>IFERROR(VLOOKUP(A552,Internal_lists_bugs!$A$2:$G2011,7,FALSE()),"please select a BUG ID")</f>
        <v>https://opendev.org/openstack/nova/commit/583d12f4fae620719b893cb7f9fbfc461ec8a124</v>
      </c>
      <c r="D552" s="1" t="s">
        <v>1183</v>
      </c>
      <c r="E552" s="50"/>
      <c r="F552" s="43"/>
      <c r="G552" s="50"/>
      <c r="H552" s="43"/>
    </row>
    <row r="553">
      <c r="A553" s="16" t="s">
        <v>48</v>
      </c>
      <c r="B553" s="59" t="str">
        <f>IFERROR(HYPERLINK(VLOOKUP(A553,Internal_lists_bugs!$A$2:$C$73,3,FALSE()), VLOOKUP(A553,Internal_lists_bugs!$A$2:$C$73,3,FALSE())&amp;Char(10) &amp; Char(10) &amp; VLOOKUP(A553,Internal_lists_bugs!$A$2:$Z$73,26,FALSE())),"please select a BUG ID")</f>
        <v>
</v>
      </c>
      <c r="C553" s="39" t="str">
        <f>IFERROR(VLOOKUP(A553,Internal_lists_bugs!$A$2:$G2011,7,FALSE()),"please select a BUG ID")</f>
        <v>https://opendev.org/openstack/nova/commit/583d12f4fae620719b893cb7f9fbfc461ec8a124</v>
      </c>
      <c r="D553" s="1" t="s">
        <v>1184</v>
      </c>
      <c r="E553" s="50"/>
      <c r="F553" s="43"/>
      <c r="G553" s="50"/>
      <c r="H553" s="43"/>
    </row>
    <row r="554">
      <c r="A554" s="16" t="s">
        <v>48</v>
      </c>
      <c r="B554" s="59" t="str">
        <f>IFERROR(HYPERLINK(VLOOKUP(A554,Internal_lists_bugs!$A$2:$C$73,3,FALSE()), VLOOKUP(A554,Internal_lists_bugs!$A$2:$C$73,3,FALSE())&amp;Char(10) &amp; Char(10) &amp; VLOOKUP(A554,Internal_lists_bugs!$A$2:$Z$73,26,FALSE())),"please select a BUG ID")</f>
        <v>
</v>
      </c>
      <c r="C554" s="39" t="str">
        <f>IFERROR(VLOOKUP(A554,Internal_lists_bugs!$A$2:$G2011,7,FALSE()),"please select a BUG ID")</f>
        <v>https://opendev.org/openstack/nova/commit/583d12f4fae620719b893cb7f9fbfc461ec8a124</v>
      </c>
      <c r="D554" s="1" t="s">
        <v>1185</v>
      </c>
      <c r="E554" s="50"/>
      <c r="F554" s="43"/>
      <c r="G554" s="50"/>
      <c r="H554" s="43"/>
    </row>
    <row r="555">
      <c r="A555" s="16" t="s">
        <v>48</v>
      </c>
      <c r="B555" s="59" t="str">
        <f>IFERROR(HYPERLINK(VLOOKUP(A555,Internal_lists_bugs!$A$2:$C$73,3,FALSE()), VLOOKUP(A555,Internal_lists_bugs!$A$2:$C$73,3,FALSE())&amp;Char(10) &amp; Char(10) &amp; VLOOKUP(A555,Internal_lists_bugs!$A$2:$Z$73,26,FALSE())),"please select a BUG ID")</f>
        <v>
</v>
      </c>
      <c r="C555" s="39" t="str">
        <f>IFERROR(VLOOKUP(A555,Internal_lists_bugs!$A$2:$G2011,7,FALSE()),"please select a BUG ID")</f>
        <v>https://opendev.org/openstack/nova/commit/583d12f4fae620719b893cb7f9fbfc461ec8a124</v>
      </c>
      <c r="D555" s="1" t="s">
        <v>1196</v>
      </c>
      <c r="E555" s="50"/>
      <c r="F555" s="43"/>
      <c r="G555" s="50"/>
      <c r="H555" s="43"/>
    </row>
    <row r="556">
      <c r="A556" s="16" t="s">
        <v>48</v>
      </c>
      <c r="B556" s="59" t="str">
        <f>IFERROR(HYPERLINK(VLOOKUP(A556,Internal_lists_bugs!$A$2:$C$73,3,FALSE()), VLOOKUP(A556,Internal_lists_bugs!$A$2:$C$73,3,FALSE())&amp;Char(10) &amp; Char(10) &amp; VLOOKUP(A556,Internal_lists_bugs!$A$2:$Z$73,26,FALSE())),"please select a BUG ID")</f>
        <v>
</v>
      </c>
      <c r="C556" s="39" t="str">
        <f>IFERROR(VLOOKUP(A556,Internal_lists_bugs!$A$2:$G2011,7,FALSE()),"please select a BUG ID")</f>
        <v>https://opendev.org/openstack/nova/commit/583d12f4fae620719b893cb7f9fbfc461ec8a124</v>
      </c>
      <c r="D556" s="1" t="s">
        <v>1187</v>
      </c>
      <c r="E556" s="50"/>
      <c r="F556" s="43"/>
      <c r="G556" s="50"/>
      <c r="H556" s="43"/>
    </row>
    <row r="557">
      <c r="A557" s="16" t="s">
        <v>48</v>
      </c>
      <c r="B557" s="59" t="str">
        <f>IFERROR(HYPERLINK(VLOOKUP(A557,Internal_lists_bugs!$A$2:$C$73,3,FALSE()), VLOOKUP(A557,Internal_lists_bugs!$A$2:$C$73,3,FALSE())&amp;Char(10) &amp; Char(10) &amp; VLOOKUP(A557,Internal_lists_bugs!$A$2:$Z$73,26,FALSE())),"please select a BUG ID")</f>
        <v>
</v>
      </c>
      <c r="C557" s="39" t="str">
        <f>IFERROR(VLOOKUP(A557,Internal_lists_bugs!$A$2:$G2011,7,FALSE()),"please select a BUG ID")</f>
        <v>https://opendev.org/openstack/nova/commit/583d12f4fae620719b893cb7f9fbfc461ec8a124</v>
      </c>
      <c r="D557" s="1" t="s">
        <v>1206</v>
      </c>
      <c r="E557" s="50"/>
      <c r="F557" s="43"/>
      <c r="G557" s="50"/>
      <c r="H557" s="43"/>
    </row>
    <row r="558">
      <c r="A558" s="16" t="s">
        <v>48</v>
      </c>
      <c r="B558" s="59" t="str">
        <f>IFERROR(HYPERLINK(VLOOKUP(A558,Internal_lists_bugs!$A$2:$C$73,3,FALSE()), VLOOKUP(A558,Internal_lists_bugs!$A$2:$C$73,3,FALSE())&amp;Char(10) &amp; Char(10) &amp; VLOOKUP(A558,Internal_lists_bugs!$A$2:$Z$73,26,FALSE())),"please select a BUG ID")</f>
        <v>
</v>
      </c>
      <c r="C558" s="39" t="str">
        <f>IFERROR(VLOOKUP(A558,Internal_lists_bugs!$A$2:$G2011,7,FALSE()),"please select a BUG ID")</f>
        <v>https://opendev.org/openstack/nova/commit/583d12f4fae620719b893cb7f9fbfc461ec8a124</v>
      </c>
      <c r="D558" s="1" t="s">
        <v>1213</v>
      </c>
      <c r="E558" s="50"/>
      <c r="F558" s="43"/>
      <c r="G558" s="50"/>
      <c r="H558" s="43"/>
    </row>
    <row r="559">
      <c r="A559" s="16" t="s">
        <v>48</v>
      </c>
      <c r="B559" s="59" t="str">
        <f>IFERROR(HYPERLINK(VLOOKUP(A559,Internal_lists_bugs!$A$2:$C$73,3,FALSE()), VLOOKUP(A559,Internal_lists_bugs!$A$2:$C$73,3,FALSE())&amp;Char(10) &amp; Char(10) &amp; VLOOKUP(A559,Internal_lists_bugs!$A$2:$Z$73,26,FALSE())),"please select a BUG ID")</f>
        <v>
</v>
      </c>
      <c r="C559" s="39" t="str">
        <f>IFERROR(VLOOKUP(A559,Internal_lists_bugs!$A$2:$G2011,7,FALSE()),"please select a BUG ID")</f>
        <v>https://opendev.org/openstack/nova/commit/583d12f4fae620719b893cb7f9fbfc461ec8a124</v>
      </c>
      <c r="D559" s="16" t="s">
        <v>1226</v>
      </c>
      <c r="E559" s="50"/>
      <c r="F559" s="43"/>
      <c r="G559" s="50"/>
      <c r="H559" s="43"/>
    </row>
    <row r="560">
      <c r="A560" s="16" t="s">
        <v>48</v>
      </c>
      <c r="B560" s="59" t="str">
        <f>IFERROR(HYPERLINK(VLOOKUP(A560,Internal_lists_bugs!$A$2:$C$73,3,FALSE()), VLOOKUP(A560,Internal_lists_bugs!$A$2:$C$73,3,FALSE())&amp;Char(10) &amp; Char(10) &amp; VLOOKUP(A560,Internal_lists_bugs!$A$2:$Z$73,26,FALSE())),"please select a BUG ID")</f>
        <v>
</v>
      </c>
      <c r="C560" s="39" t="str">
        <f>IFERROR(VLOOKUP(A560,Internal_lists_bugs!$A$2:$G2011,7,FALSE()),"please select a BUG ID")</f>
        <v>https://opendev.org/openstack/nova/commit/583d12f4fae620719b893cb7f9fbfc461ec8a124</v>
      </c>
      <c r="D560" s="16" t="s">
        <v>1227</v>
      </c>
      <c r="E560" s="50"/>
      <c r="F560" s="43"/>
      <c r="G560" s="50"/>
      <c r="H560" s="43"/>
    </row>
    <row r="561">
      <c r="A561" s="16" t="s">
        <v>52</v>
      </c>
      <c r="B561" s="59" t="str">
        <f>IFERROR(HYPERLINK(VLOOKUP(A561,Internal_lists_bugs!$A$2:$C$73,3,FALSE()), VLOOKUP(A561,Internal_lists_bugs!$A$2:$C$73,3,FALSE())&amp;Char(10) &amp; Char(10) &amp; VLOOKUP(A561,Internal_lists_bugs!$A$2:$Z$73,26,FALSE())),"please select a BUG ID")</f>
        <v>
</v>
      </c>
      <c r="C561" s="39" t="str">
        <f>IFERROR(VLOOKUP(A561,Internal_lists_bugs!$A$2:$G2011,7,FALSE()),"please select a BUG ID")</f>
        <v>https://opendev.org/openstack/nova/commit/c6088d94bfd11114c94b2bdf7bd51cb4b1989720</v>
      </c>
      <c r="D561" s="1" t="s">
        <v>1220</v>
      </c>
      <c r="E561" s="50"/>
      <c r="F561" s="16" t="s">
        <v>1174</v>
      </c>
      <c r="G561" s="50"/>
      <c r="H561" s="16" t="s">
        <v>1232</v>
      </c>
      <c r="I561" s="16" t="s">
        <v>1233</v>
      </c>
    </row>
    <row r="562">
      <c r="A562" s="16" t="s">
        <v>52</v>
      </c>
      <c r="B562" s="59" t="str">
        <f>IFERROR(HYPERLINK(VLOOKUP(A562,Internal_lists_bugs!$A$2:$C$73,3,FALSE()), VLOOKUP(A562,Internal_lists_bugs!$A$2:$C$73,3,FALSE())&amp;Char(10) &amp; Char(10) &amp; VLOOKUP(A562,Internal_lists_bugs!$A$2:$Z$73,26,FALSE())),"please select a BUG ID")</f>
        <v>
</v>
      </c>
      <c r="C562" s="39" t="str">
        <f>IFERROR(VLOOKUP(A562,Internal_lists_bugs!$A$2:$G2011,7,FALSE()),"please select a BUG ID")</f>
        <v>https://opendev.org/openstack/nova/commit/c6088d94bfd11114c94b2bdf7bd51cb4b1989720</v>
      </c>
      <c r="D562" s="1" t="s">
        <v>1209</v>
      </c>
      <c r="E562" s="50"/>
      <c r="F562" s="43"/>
      <c r="G562" s="50"/>
      <c r="H562" s="16" t="s">
        <v>1221</v>
      </c>
    </row>
    <row r="563">
      <c r="A563" s="16" t="s">
        <v>52</v>
      </c>
      <c r="B563" s="59" t="str">
        <f>IFERROR(HYPERLINK(VLOOKUP(A563,Internal_lists_bugs!$A$2:$C$73,3,FALSE()), VLOOKUP(A563,Internal_lists_bugs!$A$2:$C$73,3,FALSE())&amp;Char(10) &amp; Char(10) &amp; VLOOKUP(A563,Internal_lists_bugs!$A$2:$Z$73,26,FALSE())),"please select a BUG ID")</f>
        <v>
</v>
      </c>
      <c r="C563" s="39" t="str">
        <f>IFERROR(VLOOKUP(A563,Internal_lists_bugs!$A$2:$G2011,7,FALSE()),"please select a BUG ID")</f>
        <v>https://opendev.org/openstack/nova/commit/c6088d94bfd11114c94b2bdf7bd51cb4b1989720</v>
      </c>
      <c r="D563" s="1" t="s">
        <v>1178</v>
      </c>
      <c r="E563" s="50"/>
      <c r="F563" s="43"/>
      <c r="G563" s="50"/>
      <c r="H563" s="16" t="s">
        <v>1212</v>
      </c>
    </row>
    <row r="564">
      <c r="A564" s="16" t="s">
        <v>52</v>
      </c>
      <c r="B564" s="59" t="str">
        <f>IFERROR(HYPERLINK(VLOOKUP(A564,Internal_lists_bugs!$A$2:$C$73,3,FALSE()), VLOOKUP(A564,Internal_lists_bugs!$A$2:$C$73,3,FALSE())&amp;Char(10) &amp; Char(10) &amp; VLOOKUP(A564,Internal_lists_bugs!$A$2:$Z$73,26,FALSE())),"please select a BUG ID")</f>
        <v>
</v>
      </c>
      <c r="C564" s="39" t="str">
        <f>IFERROR(VLOOKUP(A564,Internal_lists_bugs!$A$2:$G2011,7,FALSE()),"please select a BUG ID")</f>
        <v>https://opendev.org/openstack/nova/commit/c6088d94bfd11114c94b2bdf7bd51cb4b1989720</v>
      </c>
      <c r="D564" s="1" t="s">
        <v>1182</v>
      </c>
      <c r="E564" s="50"/>
      <c r="F564" s="43"/>
      <c r="G564" s="50"/>
      <c r="H564" s="16" t="s">
        <v>1203</v>
      </c>
    </row>
    <row r="565">
      <c r="A565" s="16" t="s">
        <v>52</v>
      </c>
      <c r="B565" s="59" t="str">
        <f>IFERROR(HYPERLINK(VLOOKUP(A565,Internal_lists_bugs!$A$2:$C$73,3,FALSE()), VLOOKUP(A565,Internal_lists_bugs!$A$2:$C$73,3,FALSE())&amp;Char(10) &amp; Char(10) &amp; VLOOKUP(A565,Internal_lists_bugs!$A$2:$Z$73,26,FALSE())),"please select a BUG ID")</f>
        <v>
</v>
      </c>
      <c r="C565" s="39" t="str">
        <f>IFERROR(VLOOKUP(A565,Internal_lists_bugs!$A$2:$G2011,7,FALSE()),"please select a BUG ID")</f>
        <v>https://opendev.org/openstack/nova/commit/c6088d94bfd11114c94b2bdf7bd51cb4b1989720</v>
      </c>
      <c r="D565" s="1" t="s">
        <v>1191</v>
      </c>
      <c r="E565" s="50"/>
      <c r="F565" s="43"/>
      <c r="G565" s="50"/>
      <c r="H565" s="16" t="s">
        <v>1175</v>
      </c>
    </row>
    <row r="566">
      <c r="A566" s="16" t="s">
        <v>52</v>
      </c>
      <c r="B566" s="59" t="str">
        <f>IFERROR(HYPERLINK(VLOOKUP(A566,Internal_lists_bugs!$A$2:$C$73,3,FALSE()), VLOOKUP(A566,Internal_lists_bugs!$A$2:$C$73,3,FALSE())&amp;Char(10) &amp; Char(10) &amp; VLOOKUP(A566,Internal_lists_bugs!$A$2:$Z$73,26,FALSE())),"please select a BUG ID")</f>
        <v>
</v>
      </c>
      <c r="C566" s="39" t="str">
        <f>IFERROR(VLOOKUP(A566,Internal_lists_bugs!$A$2:$G2011,7,FALSE()),"please select a BUG ID")</f>
        <v>https://opendev.org/openstack/nova/commit/c6088d94bfd11114c94b2bdf7bd51cb4b1989720</v>
      </c>
      <c r="D566" s="1" t="s">
        <v>1218</v>
      </c>
      <c r="E566" s="50"/>
      <c r="F566" s="43"/>
      <c r="G566" s="50"/>
      <c r="H566" s="16" t="s">
        <v>1224</v>
      </c>
    </row>
    <row r="567">
      <c r="A567" s="16" t="s">
        <v>52</v>
      </c>
      <c r="B567" s="59" t="str">
        <f>IFERROR(HYPERLINK(VLOOKUP(A567,Internal_lists_bugs!$A$2:$C$73,3,FALSE()), VLOOKUP(A567,Internal_lists_bugs!$A$2:$C$73,3,FALSE())&amp;Char(10) &amp; Char(10) &amp; VLOOKUP(A567,Internal_lists_bugs!$A$2:$Z$73,26,FALSE())),"please select a BUG ID")</f>
        <v>
</v>
      </c>
      <c r="C567" s="39" t="str">
        <f>IFERROR(VLOOKUP(A567,Internal_lists_bugs!$A$2:$G2011,7,FALSE()),"please select a BUG ID")</f>
        <v>https://opendev.org/openstack/nova/commit/c6088d94bfd11114c94b2bdf7bd51cb4b1989720</v>
      </c>
      <c r="D567" s="1" t="s">
        <v>1219</v>
      </c>
      <c r="E567" s="50"/>
      <c r="F567" s="43"/>
      <c r="G567" s="50"/>
      <c r="H567" s="16" t="s">
        <v>1225</v>
      </c>
    </row>
    <row r="568">
      <c r="A568" s="16" t="s">
        <v>52</v>
      </c>
      <c r="B568" s="59" t="str">
        <f>IFERROR(HYPERLINK(VLOOKUP(A568,Internal_lists_bugs!$A$2:$C$73,3,FALSE()), VLOOKUP(A568,Internal_lists_bugs!$A$2:$C$73,3,FALSE())&amp;Char(10) &amp; Char(10) &amp; VLOOKUP(A568,Internal_lists_bugs!$A$2:$Z$73,26,FALSE())),"please select a BUG ID")</f>
        <v>
</v>
      </c>
      <c r="C568" s="39" t="str">
        <f>IFERROR(VLOOKUP(A568,Internal_lists_bugs!$A$2:$G2011,7,FALSE()),"please select a BUG ID")</f>
        <v>https://opendev.org/openstack/nova/commit/c6088d94bfd11114c94b2bdf7bd51cb4b1989720</v>
      </c>
      <c r="D568" s="1" t="s">
        <v>1199</v>
      </c>
      <c r="E568" s="50"/>
      <c r="F568" s="43"/>
      <c r="G568" s="50"/>
      <c r="H568" s="16" t="s">
        <v>1222</v>
      </c>
    </row>
    <row r="569">
      <c r="A569" s="16" t="s">
        <v>52</v>
      </c>
      <c r="B569" s="59" t="str">
        <f>IFERROR(HYPERLINK(VLOOKUP(A569,Internal_lists_bugs!$A$2:$C$73,3,FALSE()), VLOOKUP(A569,Internal_lists_bugs!$A$2:$C$73,3,FALSE())&amp;Char(10) &amp; Char(10) &amp; VLOOKUP(A569,Internal_lists_bugs!$A$2:$Z$73,26,FALSE())),"please select a BUG ID")</f>
        <v>
</v>
      </c>
      <c r="C569" s="39" t="str">
        <f>IFERROR(VLOOKUP(A569,Internal_lists_bugs!$A$2:$G2011,7,FALSE()),"please select a BUG ID")</f>
        <v>https://opendev.org/openstack/nova/commit/c6088d94bfd11114c94b2bdf7bd51cb4b1989720</v>
      </c>
      <c r="D569" s="1" t="s">
        <v>1201</v>
      </c>
      <c r="E569" s="50"/>
      <c r="F569" s="43"/>
      <c r="G569" s="50"/>
      <c r="H569" s="16" t="s">
        <v>1228</v>
      </c>
    </row>
    <row r="570">
      <c r="A570" s="16" t="s">
        <v>52</v>
      </c>
      <c r="B570" s="59" t="str">
        <f>IFERROR(HYPERLINK(VLOOKUP(A570,Internal_lists_bugs!$A$2:$C$73,3,FALSE()), VLOOKUP(A570,Internal_lists_bugs!$A$2:$C$73,3,FALSE())&amp;Char(10) &amp; Char(10) &amp; VLOOKUP(A570,Internal_lists_bugs!$A$2:$Z$73,26,FALSE())),"please select a BUG ID")</f>
        <v>
</v>
      </c>
      <c r="C570" s="39" t="str">
        <f>IFERROR(VLOOKUP(A570,Internal_lists_bugs!$A$2:$G2011,7,FALSE()),"please select a BUG ID")</f>
        <v>https://opendev.org/openstack/nova/commit/c6088d94bfd11114c94b2bdf7bd51cb4b1989720</v>
      </c>
      <c r="D570" s="1" t="s">
        <v>1202</v>
      </c>
      <c r="E570" s="50"/>
      <c r="F570" s="43"/>
      <c r="G570" s="50"/>
      <c r="H570" s="16" t="s">
        <v>1179</v>
      </c>
    </row>
    <row r="571">
      <c r="A571" s="16" t="s">
        <v>52</v>
      </c>
      <c r="B571" s="59" t="str">
        <f>IFERROR(HYPERLINK(VLOOKUP(A571,Internal_lists_bugs!$A$2:$C$73,3,FALSE()), VLOOKUP(A571,Internal_lists_bugs!$A$2:$C$73,3,FALSE())&amp;Char(10) &amp; Char(10) &amp; VLOOKUP(A571,Internal_lists_bugs!$A$2:$Z$73,26,FALSE())),"please select a BUG ID")</f>
        <v>
</v>
      </c>
      <c r="C571" s="39" t="str">
        <f>IFERROR(VLOOKUP(A571,Internal_lists_bugs!$A$2:$G2011,7,FALSE()),"please select a BUG ID")</f>
        <v>https://opendev.org/openstack/nova/commit/c6088d94bfd11114c94b2bdf7bd51cb4b1989720</v>
      </c>
      <c r="D571" s="1" t="s">
        <v>1173</v>
      </c>
      <c r="E571" s="50"/>
      <c r="F571" s="43"/>
      <c r="G571" s="50"/>
      <c r="H571" s="16" t="s">
        <v>1197</v>
      </c>
    </row>
    <row r="572">
      <c r="A572" s="16" t="s">
        <v>52</v>
      </c>
      <c r="B572" s="59" t="str">
        <f>IFERROR(HYPERLINK(VLOOKUP(A572,Internal_lists_bugs!$A$2:$C$73,3,FALSE()), VLOOKUP(A572,Internal_lists_bugs!$A$2:$C$73,3,FALSE())&amp;Char(10) &amp; Char(10) &amp; VLOOKUP(A572,Internal_lists_bugs!$A$2:$Z$73,26,FALSE())),"please select a BUG ID")</f>
        <v>
</v>
      </c>
      <c r="C572" s="39" t="str">
        <f>IFERROR(VLOOKUP(A572,Internal_lists_bugs!$A$2:$G2011,7,FALSE()),"please select a BUG ID")</f>
        <v>https://opendev.org/openstack/nova/commit/c6088d94bfd11114c94b2bdf7bd51cb4b1989720</v>
      </c>
      <c r="D572" s="1" t="s">
        <v>1211</v>
      </c>
      <c r="E572" s="50"/>
      <c r="F572" s="43"/>
      <c r="G572" s="50"/>
      <c r="H572" s="16" t="s">
        <v>1200</v>
      </c>
    </row>
    <row r="573">
      <c r="A573" s="16" t="s">
        <v>52</v>
      </c>
      <c r="B573" s="59" t="str">
        <f>IFERROR(HYPERLINK(VLOOKUP(A573,Internal_lists_bugs!$A$2:$C$73,3,FALSE()), VLOOKUP(A573,Internal_lists_bugs!$A$2:$C$73,3,FALSE())&amp;Char(10) &amp; Char(10) &amp; VLOOKUP(A573,Internal_lists_bugs!$A$2:$Z$73,26,FALSE())),"please select a BUG ID")</f>
        <v>
</v>
      </c>
      <c r="C573" s="39" t="str">
        <f>IFERROR(VLOOKUP(A573,Internal_lists_bugs!$A$2:$G2011,7,FALSE()),"please select a BUG ID")</f>
        <v>https://opendev.org/openstack/nova/commit/c6088d94bfd11114c94b2bdf7bd51cb4b1989720</v>
      </c>
      <c r="D573" s="1" t="s">
        <v>1214</v>
      </c>
      <c r="E573" s="50"/>
      <c r="F573" s="43"/>
      <c r="G573" s="50"/>
      <c r="H573" s="16" t="s">
        <v>1215</v>
      </c>
    </row>
    <row r="574">
      <c r="A574" s="16" t="s">
        <v>52</v>
      </c>
      <c r="B574" s="59" t="str">
        <f>IFERROR(HYPERLINK(VLOOKUP(A574,Internal_lists_bugs!$A$2:$C$73,3,FALSE()), VLOOKUP(A574,Internal_lists_bugs!$A$2:$C$73,3,FALSE())&amp;Char(10) &amp; Char(10) &amp; VLOOKUP(A574,Internal_lists_bugs!$A$2:$Z$73,26,FALSE())),"please select a BUG ID")</f>
        <v>
</v>
      </c>
      <c r="C574" s="39" t="str">
        <f>IFERROR(VLOOKUP(A574,Internal_lists_bugs!$A$2:$G2011,7,FALSE()),"please select a BUG ID")</f>
        <v>https://opendev.org/openstack/nova/commit/c6088d94bfd11114c94b2bdf7bd51cb4b1989720</v>
      </c>
      <c r="D574" s="1" t="s">
        <v>1205</v>
      </c>
      <c r="E574" s="50"/>
      <c r="F574" s="43"/>
      <c r="G574" s="50"/>
      <c r="H574" s="16" t="s">
        <v>1234</v>
      </c>
    </row>
    <row r="575">
      <c r="A575" s="16" t="s">
        <v>52</v>
      </c>
      <c r="B575" s="59" t="str">
        <f>IFERROR(HYPERLINK(VLOOKUP(A575,Internal_lists_bugs!$A$2:$C$73,3,FALSE()), VLOOKUP(A575,Internal_lists_bugs!$A$2:$C$73,3,FALSE())&amp;Char(10) &amp; Char(10) &amp; VLOOKUP(A575,Internal_lists_bugs!$A$2:$Z$73,26,FALSE())),"please select a BUG ID")</f>
        <v>
</v>
      </c>
      <c r="C575" s="39" t="str">
        <f>IFERROR(VLOOKUP(A575,Internal_lists_bugs!$A$2:$G2011,7,FALSE()),"please select a BUG ID")</f>
        <v>https://opendev.org/openstack/nova/commit/c6088d94bfd11114c94b2bdf7bd51cb4b1989720</v>
      </c>
      <c r="D575" s="1" t="s">
        <v>1183</v>
      </c>
      <c r="E575" s="50"/>
      <c r="F575" s="43"/>
      <c r="G575" s="50"/>
      <c r="H575" s="16" t="s">
        <v>1210</v>
      </c>
    </row>
    <row r="576">
      <c r="A576" s="16" t="s">
        <v>52</v>
      </c>
      <c r="B576" s="59" t="str">
        <f>IFERROR(HYPERLINK(VLOOKUP(A576,Internal_lists_bugs!$A$2:$C$73,3,FALSE()), VLOOKUP(A576,Internal_lists_bugs!$A$2:$C$73,3,FALSE())&amp;Char(10) &amp; Char(10) &amp; VLOOKUP(A576,Internal_lists_bugs!$A$2:$Z$73,26,FALSE())),"please select a BUG ID")</f>
        <v>
</v>
      </c>
      <c r="C576" s="39" t="str">
        <f>IFERROR(VLOOKUP(A576,Internal_lists_bugs!$A$2:$G2011,7,FALSE()),"please select a BUG ID")</f>
        <v>https://opendev.org/openstack/nova/commit/c6088d94bfd11114c94b2bdf7bd51cb4b1989720</v>
      </c>
      <c r="D576" s="1" t="s">
        <v>1184</v>
      </c>
      <c r="E576" s="50"/>
      <c r="F576" s="43"/>
      <c r="G576" s="50"/>
      <c r="H576" s="43"/>
    </row>
    <row r="577">
      <c r="A577" s="16" t="s">
        <v>52</v>
      </c>
      <c r="B577" s="59" t="str">
        <f>IFERROR(HYPERLINK(VLOOKUP(A577,Internal_lists_bugs!$A$2:$C$73,3,FALSE()), VLOOKUP(A577,Internal_lists_bugs!$A$2:$C$73,3,FALSE())&amp;Char(10) &amp; Char(10) &amp; VLOOKUP(A577,Internal_lists_bugs!$A$2:$Z$73,26,FALSE())),"please select a BUG ID")</f>
        <v>
</v>
      </c>
      <c r="C577" s="39" t="str">
        <f>IFERROR(VLOOKUP(A577,Internal_lists_bugs!$A$2:$G2011,7,FALSE()),"please select a BUG ID")</f>
        <v>https://opendev.org/openstack/nova/commit/c6088d94bfd11114c94b2bdf7bd51cb4b1989720</v>
      </c>
      <c r="D577" s="1" t="s">
        <v>1185</v>
      </c>
      <c r="E577" s="50"/>
      <c r="F577" s="43"/>
      <c r="G577" s="50"/>
      <c r="H577" s="43"/>
    </row>
    <row r="578">
      <c r="A578" s="16" t="s">
        <v>52</v>
      </c>
      <c r="B578" s="59" t="str">
        <f>IFERROR(HYPERLINK(VLOOKUP(A578,Internal_lists_bugs!$A$2:$C$73,3,FALSE()), VLOOKUP(A578,Internal_lists_bugs!$A$2:$C$73,3,FALSE())&amp;Char(10) &amp; Char(10) &amp; VLOOKUP(A578,Internal_lists_bugs!$A$2:$Z$73,26,FALSE())),"please select a BUG ID")</f>
        <v>
</v>
      </c>
      <c r="C578" s="39" t="str">
        <f>IFERROR(VLOOKUP(A578,Internal_lists_bugs!$A$2:$G2011,7,FALSE()),"please select a BUG ID")</f>
        <v>https://opendev.org/openstack/nova/commit/c6088d94bfd11114c94b2bdf7bd51cb4b1989720</v>
      </c>
      <c r="D578" s="1" t="s">
        <v>1196</v>
      </c>
      <c r="E578" s="50"/>
      <c r="F578" s="43"/>
      <c r="G578" s="50"/>
      <c r="H578" s="43"/>
    </row>
    <row r="579">
      <c r="A579" s="16" t="s">
        <v>52</v>
      </c>
      <c r="B579" s="59" t="str">
        <f>IFERROR(HYPERLINK(VLOOKUP(A579,Internal_lists_bugs!$A$2:$C$73,3,FALSE()), VLOOKUP(A579,Internal_lists_bugs!$A$2:$C$73,3,FALSE())&amp;Char(10) &amp; Char(10) &amp; VLOOKUP(A579,Internal_lists_bugs!$A$2:$Z$73,26,FALSE())),"please select a BUG ID")</f>
        <v>
</v>
      </c>
      <c r="C579" s="39" t="str">
        <f>IFERROR(VLOOKUP(A579,Internal_lists_bugs!$A$2:$G2011,7,FALSE()),"please select a BUG ID")</f>
        <v>https://opendev.org/openstack/nova/commit/c6088d94bfd11114c94b2bdf7bd51cb4b1989720</v>
      </c>
      <c r="D579" s="1" t="s">
        <v>1187</v>
      </c>
      <c r="E579" s="50"/>
      <c r="F579" s="43"/>
      <c r="G579" s="50"/>
      <c r="H579" s="43"/>
    </row>
    <row r="580">
      <c r="A580" s="16" t="s">
        <v>52</v>
      </c>
      <c r="B580" s="59" t="str">
        <f>IFERROR(HYPERLINK(VLOOKUP(A580,Internal_lists_bugs!$A$2:$C$73,3,FALSE()), VLOOKUP(A580,Internal_lists_bugs!$A$2:$C$73,3,FALSE())&amp;Char(10) &amp; Char(10) &amp; VLOOKUP(A580,Internal_lists_bugs!$A$2:$Z$73,26,FALSE())),"please select a BUG ID")</f>
        <v>
</v>
      </c>
      <c r="C580" s="39" t="str">
        <f>IFERROR(VLOOKUP(A580,Internal_lists_bugs!$A$2:$G2011,7,FALSE()),"please select a BUG ID")</f>
        <v>https://opendev.org/openstack/nova/commit/c6088d94bfd11114c94b2bdf7bd51cb4b1989720</v>
      </c>
      <c r="D580" s="1" t="s">
        <v>1206</v>
      </c>
      <c r="E580" s="50"/>
      <c r="F580" s="43"/>
      <c r="G580" s="50"/>
      <c r="H580" s="43"/>
    </row>
    <row r="581">
      <c r="A581" s="16" t="s">
        <v>52</v>
      </c>
      <c r="B581" s="59" t="str">
        <f>IFERROR(HYPERLINK(VLOOKUP(A581,Internal_lists_bugs!$A$2:$C$73,3,FALSE()), VLOOKUP(A581,Internal_lists_bugs!$A$2:$C$73,3,FALSE())&amp;Char(10) &amp; Char(10) &amp; VLOOKUP(A581,Internal_lists_bugs!$A$2:$Z$73,26,FALSE())),"please select a BUG ID")</f>
        <v>
</v>
      </c>
      <c r="C581" s="39" t="str">
        <f>IFERROR(VLOOKUP(A581,Internal_lists_bugs!$A$2:$G2011,7,FALSE()),"please select a BUG ID")</f>
        <v>https://opendev.org/openstack/nova/commit/c6088d94bfd11114c94b2bdf7bd51cb4b1989720</v>
      </c>
      <c r="D581" s="1" t="s">
        <v>1213</v>
      </c>
      <c r="E581" s="50"/>
      <c r="F581" s="43"/>
      <c r="G581" s="50"/>
      <c r="H581" s="43"/>
    </row>
    <row r="582">
      <c r="A582" s="16" t="s">
        <v>52</v>
      </c>
      <c r="B582" s="59" t="str">
        <f>IFERROR(HYPERLINK(VLOOKUP(A582,Internal_lists_bugs!$A$2:$C$73,3,FALSE()), VLOOKUP(A582,Internal_lists_bugs!$A$2:$C$73,3,FALSE())&amp;Char(10) &amp; Char(10) &amp; VLOOKUP(A582,Internal_lists_bugs!$A$2:$Z$73,26,FALSE())),"please select a BUG ID")</f>
        <v>
</v>
      </c>
      <c r="C582" s="39" t="str">
        <f>IFERROR(VLOOKUP(A582,Internal_lists_bugs!$A$2:$G2011,7,FALSE()),"please select a BUG ID")</f>
        <v>https://opendev.org/openstack/nova/commit/c6088d94bfd11114c94b2bdf7bd51cb4b1989720</v>
      </c>
      <c r="D582" s="16" t="s">
        <v>1229</v>
      </c>
      <c r="E582" s="50"/>
      <c r="F582" s="43"/>
      <c r="G582" s="50"/>
      <c r="H582" s="43"/>
    </row>
    <row r="583">
      <c r="A583" s="16" t="s">
        <v>52</v>
      </c>
      <c r="B583" s="59" t="str">
        <f>IFERROR(HYPERLINK(VLOOKUP(A583,Internal_lists_bugs!$A$2:$C$73,3,FALSE()), VLOOKUP(A583,Internal_lists_bugs!$A$2:$C$73,3,FALSE())&amp;Char(10) &amp; Char(10) &amp; VLOOKUP(A583,Internal_lists_bugs!$A$2:$Z$73,26,FALSE())),"please select a BUG ID")</f>
        <v>
</v>
      </c>
      <c r="C583" s="39" t="str">
        <f>IFERROR(VLOOKUP(A583,Internal_lists_bugs!$A$2:$G2011,7,FALSE()),"please select a BUG ID")</f>
        <v>https://opendev.org/openstack/nova/commit/c6088d94bfd11114c94b2bdf7bd51cb4b1989720</v>
      </c>
      <c r="D583" s="16" t="s">
        <v>1226</v>
      </c>
      <c r="E583" s="50"/>
      <c r="F583" s="43"/>
      <c r="G583" s="50"/>
      <c r="H583" s="43"/>
    </row>
    <row r="584">
      <c r="A584" s="16" t="s">
        <v>52</v>
      </c>
      <c r="B584" s="59" t="str">
        <f>IFERROR(HYPERLINK(VLOOKUP(A584,Internal_lists_bugs!$A$2:$C$73,3,FALSE()), VLOOKUP(A584,Internal_lists_bugs!$A$2:$C$73,3,FALSE())&amp;Char(10) &amp; Char(10) &amp; VLOOKUP(A584,Internal_lists_bugs!$A$2:$Z$73,26,FALSE())),"please select a BUG ID")</f>
        <v>
</v>
      </c>
      <c r="C584" s="39" t="str">
        <f>IFERROR(VLOOKUP(A584,Internal_lists_bugs!$A$2:$G2011,7,FALSE()),"please select a BUG ID")</f>
        <v>https://opendev.org/openstack/nova/commit/c6088d94bfd11114c94b2bdf7bd51cb4b1989720</v>
      </c>
      <c r="D584" s="16" t="s">
        <v>1230</v>
      </c>
      <c r="E584" s="50"/>
      <c r="F584" s="43"/>
      <c r="G584" s="50"/>
      <c r="H584" s="43"/>
    </row>
    <row r="585">
      <c r="A585" s="16" t="s">
        <v>52</v>
      </c>
      <c r="B585" s="59" t="str">
        <f>IFERROR(HYPERLINK(VLOOKUP(A585,Internal_lists_bugs!$A$2:$C$73,3,FALSE()), VLOOKUP(A585,Internal_lists_bugs!$A$2:$C$73,3,FALSE())&amp;Char(10) &amp; Char(10) &amp; VLOOKUP(A585,Internal_lists_bugs!$A$2:$Z$73,26,FALSE())),"please select a BUG ID")</f>
        <v>
</v>
      </c>
      <c r="C585" s="39" t="str">
        <f>IFERROR(VLOOKUP(A585,Internal_lists_bugs!$A$2:$G2011,7,FALSE()),"please select a BUG ID")</f>
        <v>https://opendev.org/openstack/nova/commit/c6088d94bfd11114c94b2bdf7bd51cb4b1989720</v>
      </c>
      <c r="D585" s="16" t="s">
        <v>1223</v>
      </c>
      <c r="E585" s="50"/>
      <c r="F585" s="43"/>
      <c r="G585" s="50"/>
      <c r="H585" s="43"/>
    </row>
    <row r="586">
      <c r="A586" s="16" t="s">
        <v>52</v>
      </c>
      <c r="B586" s="59" t="str">
        <f>IFERROR(HYPERLINK(VLOOKUP(A586,Internal_lists_bugs!$A$2:$C$73,3,FALSE()), VLOOKUP(A586,Internal_lists_bugs!$A$2:$C$73,3,FALSE())&amp;Char(10) &amp; Char(10) &amp; VLOOKUP(A586,Internal_lists_bugs!$A$2:$Z$73,26,FALSE())),"please select a BUG ID")</f>
        <v>
</v>
      </c>
      <c r="C586" s="39" t="str">
        <f>IFERROR(VLOOKUP(A586,Internal_lists_bugs!$A$2:$G2011,7,FALSE()),"please select a BUG ID")</f>
        <v>https://opendev.org/openstack/nova/commit/c6088d94bfd11114c94b2bdf7bd51cb4b1989720</v>
      </c>
      <c r="D586" s="16" t="s">
        <v>1231</v>
      </c>
      <c r="E586" s="50"/>
      <c r="F586" s="43"/>
      <c r="G586" s="50"/>
      <c r="H586" s="43"/>
    </row>
    <row r="587">
      <c r="A587" s="16" t="s">
        <v>60</v>
      </c>
      <c r="B587" s="59" t="str">
        <f>IFERROR(HYPERLINK(VLOOKUP(A587,Internal_lists_bugs!$A$2:$C$73,3,FALSE()), VLOOKUP(A587,Internal_lists_bugs!$A$2:$C$73,3,FALSE())&amp;Char(10) &amp; Char(10) &amp; VLOOKUP(A587,Internal_lists_bugs!$A$2:$Z$73,26,FALSE())),"please select a BUG ID")</f>
        <v>
</v>
      </c>
      <c r="C587" s="39" t="str">
        <f>IFERROR(VLOOKUP(A587,Internal_lists_bugs!$A$2:$G2011,7,FALSE()),"please select a BUG ID")</f>
        <v>https://opendev.org/openstack/nova/commit/ce28166dcf25a3d589e6f020b2dfa64705d15126</v>
      </c>
      <c r="D587" s="1" t="s">
        <v>1220</v>
      </c>
      <c r="E587" s="50"/>
      <c r="F587" s="16" t="s">
        <v>1174</v>
      </c>
      <c r="G587" s="50"/>
      <c r="H587" s="16" t="s">
        <v>1221</v>
      </c>
    </row>
    <row r="588">
      <c r="A588" s="16" t="s">
        <v>60</v>
      </c>
      <c r="B588" s="59" t="str">
        <f>IFERROR(HYPERLINK(VLOOKUP(A588,Internal_lists_bugs!$A$2:$C$73,3,FALSE()), VLOOKUP(A588,Internal_lists_bugs!$A$2:$C$73,3,FALSE())&amp;Char(10) &amp; Char(10) &amp; VLOOKUP(A588,Internal_lists_bugs!$A$2:$Z$73,26,FALSE())),"please select a BUG ID")</f>
        <v>
</v>
      </c>
      <c r="C588" s="39" t="str">
        <f>IFERROR(VLOOKUP(A588,Internal_lists_bugs!$A$2:$G2011,7,FALSE()),"please select a BUG ID")</f>
        <v>https://opendev.org/openstack/nova/commit/ce28166dcf25a3d589e6f020b2dfa64705d15126</v>
      </c>
      <c r="D588" s="1" t="s">
        <v>1209</v>
      </c>
      <c r="E588" s="50"/>
      <c r="F588" s="43"/>
      <c r="G588" s="50"/>
      <c r="H588" s="16" t="s">
        <v>1232</v>
      </c>
    </row>
    <row r="589">
      <c r="A589" s="16" t="s">
        <v>60</v>
      </c>
      <c r="B589" s="59" t="str">
        <f>IFERROR(HYPERLINK(VLOOKUP(A589,Internal_lists_bugs!$A$2:$C$73,3,FALSE()), VLOOKUP(A589,Internal_lists_bugs!$A$2:$C$73,3,FALSE())&amp;Char(10) &amp; Char(10) &amp; VLOOKUP(A589,Internal_lists_bugs!$A$2:$Z$73,26,FALSE())),"please select a BUG ID")</f>
        <v>
</v>
      </c>
      <c r="C589" s="39" t="str">
        <f>IFERROR(VLOOKUP(A589,Internal_lists_bugs!$A$2:$G2011,7,FALSE()),"please select a BUG ID")</f>
        <v>https://opendev.org/openstack/nova/commit/ce28166dcf25a3d589e6f020b2dfa64705d15126</v>
      </c>
      <c r="D589" s="1" t="s">
        <v>1178</v>
      </c>
      <c r="E589" s="50"/>
      <c r="F589" s="43"/>
      <c r="G589" s="50"/>
      <c r="H589" s="16" t="s">
        <v>1175</v>
      </c>
    </row>
    <row r="590">
      <c r="A590" s="16" t="s">
        <v>60</v>
      </c>
      <c r="B590" s="59" t="str">
        <f>IFERROR(HYPERLINK(VLOOKUP(A590,Internal_lists_bugs!$A$2:$C$73,3,FALSE()), VLOOKUP(A590,Internal_lists_bugs!$A$2:$C$73,3,FALSE())&amp;Char(10) &amp; Char(10) &amp; VLOOKUP(A590,Internal_lists_bugs!$A$2:$Z$73,26,FALSE())),"please select a BUG ID")</f>
        <v>
</v>
      </c>
      <c r="C590" s="39" t="str">
        <f>IFERROR(VLOOKUP(A590,Internal_lists_bugs!$A$2:$G2011,7,FALSE()),"please select a BUG ID")</f>
        <v>https://opendev.org/openstack/nova/commit/ce28166dcf25a3d589e6f020b2dfa64705d15126</v>
      </c>
      <c r="D590" s="1" t="s">
        <v>1182</v>
      </c>
      <c r="E590" s="50"/>
      <c r="F590" s="43"/>
      <c r="G590" s="50"/>
      <c r="H590" s="16" t="s">
        <v>1203</v>
      </c>
    </row>
    <row r="591">
      <c r="A591" s="16" t="s">
        <v>60</v>
      </c>
      <c r="B591" s="59" t="str">
        <f>IFERROR(HYPERLINK(VLOOKUP(A591,Internal_lists_bugs!$A$2:$C$73,3,FALSE()), VLOOKUP(A591,Internal_lists_bugs!$A$2:$C$73,3,FALSE())&amp;Char(10) &amp; Char(10) &amp; VLOOKUP(A591,Internal_lists_bugs!$A$2:$Z$73,26,FALSE())),"please select a BUG ID")</f>
        <v>
</v>
      </c>
      <c r="C591" s="39" t="str">
        <f>IFERROR(VLOOKUP(A591,Internal_lists_bugs!$A$2:$G2011,7,FALSE()),"please select a BUG ID")</f>
        <v>https://opendev.org/openstack/nova/commit/ce28166dcf25a3d589e6f020b2dfa64705d15126</v>
      </c>
      <c r="D591" s="1" t="s">
        <v>1191</v>
      </c>
      <c r="E591" s="50"/>
      <c r="F591" s="43"/>
      <c r="G591" s="50"/>
      <c r="H591" s="16" t="s">
        <v>1212</v>
      </c>
    </row>
    <row r="592">
      <c r="A592" s="16" t="s">
        <v>60</v>
      </c>
      <c r="B592" s="59" t="str">
        <f>IFERROR(HYPERLINK(VLOOKUP(A592,Internal_lists_bugs!$A$2:$C$73,3,FALSE()), VLOOKUP(A592,Internal_lists_bugs!$A$2:$C$73,3,FALSE())&amp;Char(10) &amp; Char(10) &amp; VLOOKUP(A592,Internal_lists_bugs!$A$2:$Z$73,26,FALSE())),"please select a BUG ID")</f>
        <v>
</v>
      </c>
      <c r="C592" s="39" t="str">
        <f>IFERROR(VLOOKUP(A592,Internal_lists_bugs!$A$2:$G2011,7,FALSE()),"please select a BUG ID")</f>
        <v>https://opendev.org/openstack/nova/commit/ce28166dcf25a3d589e6f020b2dfa64705d15126</v>
      </c>
      <c r="D592" s="1" t="s">
        <v>1218</v>
      </c>
      <c r="E592" s="50"/>
      <c r="F592" s="43"/>
      <c r="G592" s="50"/>
      <c r="H592" s="16" t="s">
        <v>1224</v>
      </c>
    </row>
    <row r="593">
      <c r="A593" s="16" t="s">
        <v>60</v>
      </c>
      <c r="B593" s="59" t="str">
        <f>IFERROR(HYPERLINK(VLOOKUP(A593,Internal_lists_bugs!$A$2:$C$73,3,FALSE()), VLOOKUP(A593,Internal_lists_bugs!$A$2:$C$73,3,FALSE())&amp;Char(10) &amp; Char(10) &amp; VLOOKUP(A593,Internal_lists_bugs!$A$2:$Z$73,26,FALSE())),"please select a BUG ID")</f>
        <v>
</v>
      </c>
      <c r="C593" s="39" t="str">
        <f>IFERROR(VLOOKUP(A593,Internal_lists_bugs!$A$2:$G2011,7,FALSE()),"please select a BUG ID")</f>
        <v>https://opendev.org/openstack/nova/commit/ce28166dcf25a3d589e6f020b2dfa64705d15126</v>
      </c>
      <c r="D593" s="1" t="s">
        <v>1219</v>
      </c>
      <c r="E593" s="50"/>
      <c r="F593" s="43"/>
      <c r="G593" s="50"/>
      <c r="H593" s="16" t="s">
        <v>1225</v>
      </c>
    </row>
    <row r="594">
      <c r="A594" s="16" t="s">
        <v>60</v>
      </c>
      <c r="B594" s="59" t="str">
        <f>IFERROR(HYPERLINK(VLOOKUP(A594,Internal_lists_bugs!$A$2:$C$73,3,FALSE()), VLOOKUP(A594,Internal_lists_bugs!$A$2:$C$73,3,FALSE())&amp;Char(10) &amp; Char(10) &amp; VLOOKUP(A594,Internal_lists_bugs!$A$2:$Z$73,26,FALSE())),"please select a BUG ID")</f>
        <v>
</v>
      </c>
      <c r="C594" s="39" t="str">
        <f>IFERROR(VLOOKUP(A594,Internal_lists_bugs!$A$2:$G2011,7,FALSE()),"please select a BUG ID")</f>
        <v>https://opendev.org/openstack/nova/commit/ce28166dcf25a3d589e6f020b2dfa64705d15126</v>
      </c>
      <c r="D594" s="1" t="s">
        <v>1199</v>
      </c>
      <c r="E594" s="50"/>
      <c r="F594" s="43"/>
      <c r="G594" s="50"/>
      <c r="H594" s="16" t="s">
        <v>1222</v>
      </c>
    </row>
    <row r="595">
      <c r="A595" s="16" t="s">
        <v>60</v>
      </c>
      <c r="B595" s="59" t="str">
        <f>IFERROR(HYPERLINK(VLOOKUP(A595,Internal_lists_bugs!$A$2:$C$73,3,FALSE()), VLOOKUP(A595,Internal_lists_bugs!$A$2:$C$73,3,FALSE())&amp;Char(10) &amp; Char(10) &amp; VLOOKUP(A595,Internal_lists_bugs!$A$2:$Z$73,26,FALSE())),"please select a BUG ID")</f>
        <v>
</v>
      </c>
      <c r="C595" s="39" t="str">
        <f>IFERROR(VLOOKUP(A595,Internal_lists_bugs!$A$2:$G2011,7,FALSE()),"please select a BUG ID")</f>
        <v>https://opendev.org/openstack/nova/commit/ce28166dcf25a3d589e6f020b2dfa64705d15126</v>
      </c>
      <c r="D595" s="1" t="s">
        <v>1201</v>
      </c>
      <c r="E595" s="50"/>
      <c r="F595" s="43"/>
      <c r="G595" s="50"/>
      <c r="H595" s="16" t="s">
        <v>1179</v>
      </c>
    </row>
    <row r="596">
      <c r="A596" s="16" t="s">
        <v>60</v>
      </c>
      <c r="B596" s="59" t="str">
        <f>IFERROR(HYPERLINK(VLOOKUP(A596,Internal_lists_bugs!$A$2:$C$73,3,FALSE()), VLOOKUP(A596,Internal_lists_bugs!$A$2:$C$73,3,FALSE())&amp;Char(10) &amp; Char(10) &amp; VLOOKUP(A596,Internal_lists_bugs!$A$2:$Z$73,26,FALSE())),"please select a BUG ID")</f>
        <v>
</v>
      </c>
      <c r="C596" s="39" t="str">
        <f>IFERROR(VLOOKUP(A596,Internal_lists_bugs!$A$2:$G2011,7,FALSE()),"please select a BUG ID")</f>
        <v>https://opendev.org/openstack/nova/commit/ce28166dcf25a3d589e6f020b2dfa64705d15126</v>
      </c>
      <c r="D596" s="1" t="s">
        <v>1202</v>
      </c>
      <c r="E596" s="50"/>
      <c r="F596" s="43"/>
      <c r="G596" s="50"/>
      <c r="H596" s="16" t="s">
        <v>1197</v>
      </c>
    </row>
    <row r="597">
      <c r="A597" s="16" t="s">
        <v>60</v>
      </c>
      <c r="B597" s="59" t="str">
        <f>IFERROR(HYPERLINK(VLOOKUP(A597,Internal_lists_bugs!$A$2:$C$73,3,FALSE()), VLOOKUP(A597,Internal_lists_bugs!$A$2:$C$73,3,FALSE())&amp;Char(10) &amp; Char(10) &amp; VLOOKUP(A597,Internal_lists_bugs!$A$2:$Z$73,26,FALSE())),"please select a BUG ID")</f>
        <v>
</v>
      </c>
      <c r="C597" s="39" t="str">
        <f>IFERROR(VLOOKUP(A597,Internal_lists_bugs!$A$2:$G2011,7,FALSE()),"please select a BUG ID")</f>
        <v>https://opendev.org/openstack/nova/commit/ce28166dcf25a3d589e6f020b2dfa64705d15126</v>
      </c>
      <c r="D597" s="1" t="s">
        <v>1173</v>
      </c>
      <c r="E597" s="50"/>
      <c r="F597" s="43"/>
      <c r="G597" s="50"/>
      <c r="H597" s="16" t="s">
        <v>1200</v>
      </c>
    </row>
    <row r="598">
      <c r="A598" s="16" t="s">
        <v>60</v>
      </c>
      <c r="B598" s="59" t="str">
        <f>IFERROR(HYPERLINK(VLOOKUP(A598,Internal_lists_bugs!$A$2:$C$73,3,FALSE()), VLOOKUP(A598,Internal_lists_bugs!$A$2:$C$73,3,FALSE())&amp;Char(10) &amp; Char(10) &amp; VLOOKUP(A598,Internal_lists_bugs!$A$2:$Z$73,26,FALSE())),"please select a BUG ID")</f>
        <v>
</v>
      </c>
      <c r="C598" s="39" t="str">
        <f>IFERROR(VLOOKUP(A598,Internal_lists_bugs!$A$2:$G2011,7,FALSE()),"please select a BUG ID")</f>
        <v>https://opendev.org/openstack/nova/commit/ce28166dcf25a3d589e6f020b2dfa64705d15126</v>
      </c>
      <c r="D598" s="1" t="s">
        <v>1211</v>
      </c>
      <c r="E598" s="50"/>
      <c r="F598" s="43"/>
      <c r="G598" s="50"/>
      <c r="H598" s="16" t="s">
        <v>1215</v>
      </c>
    </row>
    <row r="599">
      <c r="A599" s="16" t="s">
        <v>60</v>
      </c>
      <c r="B599" s="59" t="str">
        <f>IFERROR(HYPERLINK(VLOOKUP(A599,Internal_lists_bugs!$A$2:$C$73,3,FALSE()), VLOOKUP(A599,Internal_lists_bugs!$A$2:$C$73,3,FALSE())&amp;Char(10) &amp; Char(10) &amp; VLOOKUP(A599,Internal_lists_bugs!$A$2:$Z$73,26,FALSE())),"please select a BUG ID")</f>
        <v>
</v>
      </c>
      <c r="C599" s="39" t="str">
        <f>IFERROR(VLOOKUP(A599,Internal_lists_bugs!$A$2:$G2011,7,FALSE()),"please select a BUG ID")</f>
        <v>https://opendev.org/openstack/nova/commit/ce28166dcf25a3d589e6f020b2dfa64705d15126</v>
      </c>
      <c r="D599" s="1" t="s">
        <v>1214</v>
      </c>
      <c r="E599" s="50"/>
      <c r="F599" s="43"/>
      <c r="G599" s="50"/>
      <c r="H599" s="16" t="s">
        <v>1234</v>
      </c>
    </row>
    <row r="600">
      <c r="A600" s="16" t="s">
        <v>60</v>
      </c>
      <c r="B600" s="59" t="str">
        <f>IFERROR(HYPERLINK(VLOOKUP(A600,Internal_lists_bugs!$A$2:$C$73,3,FALSE()), VLOOKUP(A600,Internal_lists_bugs!$A$2:$C$73,3,FALSE())&amp;Char(10) &amp; Char(10) &amp; VLOOKUP(A600,Internal_lists_bugs!$A$2:$Z$73,26,FALSE())),"please select a BUG ID")</f>
        <v>
</v>
      </c>
      <c r="C600" s="39" t="str">
        <f>IFERROR(VLOOKUP(A600,Internal_lists_bugs!$A$2:$G2011,7,FALSE()),"please select a BUG ID")</f>
        <v>https://opendev.org/openstack/nova/commit/ce28166dcf25a3d589e6f020b2dfa64705d15126</v>
      </c>
      <c r="D600" s="1" t="s">
        <v>1205</v>
      </c>
      <c r="E600" s="50"/>
      <c r="F600" s="43"/>
      <c r="G600" s="50"/>
      <c r="H600" s="16" t="s">
        <v>1210</v>
      </c>
    </row>
    <row r="601">
      <c r="A601" s="16" t="s">
        <v>60</v>
      </c>
      <c r="B601" s="59" t="str">
        <f>IFERROR(HYPERLINK(VLOOKUP(A601,Internal_lists_bugs!$A$2:$C$73,3,FALSE()), VLOOKUP(A601,Internal_lists_bugs!$A$2:$C$73,3,FALSE())&amp;Char(10) &amp; Char(10) &amp; VLOOKUP(A601,Internal_lists_bugs!$A$2:$Z$73,26,FALSE())),"please select a BUG ID")</f>
        <v>
</v>
      </c>
      <c r="C601" s="39" t="str">
        <f>IFERROR(VLOOKUP(A601,Internal_lists_bugs!$A$2:$G2011,7,FALSE()),"please select a BUG ID")</f>
        <v>https://opendev.org/openstack/nova/commit/ce28166dcf25a3d589e6f020b2dfa64705d15126</v>
      </c>
      <c r="D601" s="1" t="s">
        <v>1183</v>
      </c>
      <c r="E601" s="50"/>
      <c r="F601" s="43"/>
      <c r="G601" s="50"/>
      <c r="H601" s="43"/>
    </row>
    <row r="602">
      <c r="A602" s="16" t="s">
        <v>60</v>
      </c>
      <c r="B602" s="59" t="str">
        <f>IFERROR(HYPERLINK(VLOOKUP(A602,Internal_lists_bugs!$A$2:$C$73,3,FALSE()), VLOOKUP(A602,Internal_lists_bugs!$A$2:$C$73,3,FALSE())&amp;Char(10) &amp; Char(10) &amp; VLOOKUP(A602,Internal_lists_bugs!$A$2:$Z$73,26,FALSE())),"please select a BUG ID")</f>
        <v>
</v>
      </c>
      <c r="C602" s="39" t="str">
        <f>IFERROR(VLOOKUP(A602,Internal_lists_bugs!$A$2:$G2011,7,FALSE()),"please select a BUG ID")</f>
        <v>https://opendev.org/openstack/nova/commit/ce28166dcf25a3d589e6f020b2dfa64705d15126</v>
      </c>
      <c r="D602" s="1" t="s">
        <v>1184</v>
      </c>
      <c r="E602" s="50"/>
      <c r="F602" s="43"/>
      <c r="G602" s="50"/>
      <c r="H602" s="43"/>
    </row>
    <row r="603">
      <c r="A603" s="16" t="s">
        <v>60</v>
      </c>
      <c r="B603" s="59" t="str">
        <f>IFERROR(HYPERLINK(VLOOKUP(A603,Internal_lists_bugs!$A$2:$C$73,3,FALSE()), VLOOKUP(A603,Internal_lists_bugs!$A$2:$C$73,3,FALSE())&amp;Char(10) &amp; Char(10) &amp; VLOOKUP(A603,Internal_lists_bugs!$A$2:$Z$73,26,FALSE())),"please select a BUG ID")</f>
        <v>
</v>
      </c>
      <c r="C603" s="39" t="str">
        <f>IFERROR(VLOOKUP(A603,Internal_lists_bugs!$A$2:$G2011,7,FALSE()),"please select a BUG ID")</f>
        <v>https://opendev.org/openstack/nova/commit/ce28166dcf25a3d589e6f020b2dfa64705d15126</v>
      </c>
      <c r="D603" s="1" t="s">
        <v>1185</v>
      </c>
      <c r="E603" s="50"/>
      <c r="F603" s="43"/>
      <c r="G603" s="50"/>
      <c r="H603" s="43"/>
    </row>
    <row r="604">
      <c r="A604" s="16" t="s">
        <v>60</v>
      </c>
      <c r="B604" s="59" t="str">
        <f>IFERROR(HYPERLINK(VLOOKUP(A604,Internal_lists_bugs!$A$2:$C$73,3,FALSE()), VLOOKUP(A604,Internal_lists_bugs!$A$2:$C$73,3,FALSE())&amp;Char(10) &amp; Char(10) &amp; VLOOKUP(A604,Internal_lists_bugs!$A$2:$Z$73,26,FALSE())),"please select a BUG ID")</f>
        <v>
</v>
      </c>
      <c r="C604" s="39" t="str">
        <f>IFERROR(VLOOKUP(A604,Internal_lists_bugs!$A$2:$G2011,7,FALSE()),"please select a BUG ID")</f>
        <v>https://opendev.org/openstack/nova/commit/ce28166dcf25a3d589e6f020b2dfa64705d15126</v>
      </c>
      <c r="D604" s="1" t="s">
        <v>1196</v>
      </c>
      <c r="E604" s="50"/>
      <c r="F604" s="43"/>
      <c r="G604" s="50"/>
      <c r="H604" s="43"/>
    </row>
    <row r="605">
      <c r="A605" s="16" t="s">
        <v>60</v>
      </c>
      <c r="B605" s="59" t="str">
        <f>IFERROR(HYPERLINK(VLOOKUP(A605,Internal_lists_bugs!$A$2:$C$73,3,FALSE()), VLOOKUP(A605,Internal_lists_bugs!$A$2:$C$73,3,FALSE())&amp;Char(10) &amp; Char(10) &amp; VLOOKUP(A605,Internal_lists_bugs!$A$2:$Z$73,26,FALSE())),"please select a BUG ID")</f>
        <v>
</v>
      </c>
      <c r="C605" s="39" t="str">
        <f>IFERROR(VLOOKUP(A605,Internal_lists_bugs!$A$2:$G2011,7,FALSE()),"please select a BUG ID")</f>
        <v>https://opendev.org/openstack/nova/commit/ce28166dcf25a3d589e6f020b2dfa64705d15126</v>
      </c>
      <c r="D605" s="1" t="s">
        <v>1187</v>
      </c>
      <c r="E605" s="50"/>
      <c r="F605" s="43"/>
      <c r="G605" s="50"/>
      <c r="H605" s="43"/>
    </row>
    <row r="606">
      <c r="A606" s="16" t="s">
        <v>60</v>
      </c>
      <c r="B606" s="59" t="str">
        <f>IFERROR(HYPERLINK(VLOOKUP(A606,Internal_lists_bugs!$A$2:$C$73,3,FALSE()), VLOOKUP(A606,Internal_lists_bugs!$A$2:$C$73,3,FALSE())&amp;Char(10) &amp; Char(10) &amp; VLOOKUP(A606,Internal_lists_bugs!$A$2:$Z$73,26,FALSE())),"please select a BUG ID")</f>
        <v>
</v>
      </c>
      <c r="C606" s="39" t="str">
        <f>IFERROR(VLOOKUP(A606,Internal_lists_bugs!$A$2:$G2011,7,FALSE()),"please select a BUG ID")</f>
        <v>https://opendev.org/openstack/nova/commit/ce28166dcf25a3d589e6f020b2dfa64705d15126</v>
      </c>
      <c r="D606" s="1" t="s">
        <v>1206</v>
      </c>
      <c r="E606" s="50"/>
      <c r="F606" s="43"/>
      <c r="G606" s="50"/>
      <c r="H606" s="43"/>
    </row>
    <row r="607">
      <c r="A607" s="16" t="s">
        <v>60</v>
      </c>
      <c r="B607" s="59" t="str">
        <f>IFERROR(HYPERLINK(VLOOKUP(A607,Internal_lists_bugs!$A$2:$C$73,3,FALSE()), VLOOKUP(A607,Internal_lists_bugs!$A$2:$C$73,3,FALSE())&amp;Char(10) &amp; Char(10) &amp; VLOOKUP(A607,Internal_lists_bugs!$A$2:$Z$73,26,FALSE())),"please select a BUG ID")</f>
        <v>
</v>
      </c>
      <c r="C607" s="39" t="str">
        <f>IFERROR(VLOOKUP(A607,Internal_lists_bugs!$A$2:$G2011,7,FALSE()),"please select a BUG ID")</f>
        <v>https://opendev.org/openstack/nova/commit/ce28166dcf25a3d589e6f020b2dfa64705d15126</v>
      </c>
      <c r="D607" s="1" t="s">
        <v>1213</v>
      </c>
      <c r="E607" s="50"/>
      <c r="F607" s="43"/>
      <c r="G607" s="50"/>
      <c r="H607" s="43"/>
    </row>
    <row r="608">
      <c r="A608" s="16" t="s">
        <v>60</v>
      </c>
      <c r="B608" s="59" t="str">
        <f>IFERROR(HYPERLINK(VLOOKUP(A608,Internal_lists_bugs!$A$2:$C$73,3,FALSE()), VLOOKUP(A608,Internal_lists_bugs!$A$2:$C$73,3,FALSE())&amp;Char(10) &amp; Char(10) &amp; VLOOKUP(A608,Internal_lists_bugs!$A$2:$Z$73,26,FALSE())),"please select a BUG ID")</f>
        <v>
</v>
      </c>
      <c r="C608" s="39" t="str">
        <f>IFERROR(VLOOKUP(A608,Internal_lists_bugs!$A$2:$G2011,7,FALSE()),"please select a BUG ID")</f>
        <v>https://opendev.org/openstack/nova/commit/ce28166dcf25a3d589e6f020b2dfa64705d15126</v>
      </c>
      <c r="D608" s="16" t="s">
        <v>1230</v>
      </c>
      <c r="E608" s="50"/>
      <c r="F608" s="43"/>
      <c r="G608" s="50"/>
      <c r="H608" s="43"/>
    </row>
    <row r="609">
      <c r="A609" s="16" t="s">
        <v>60</v>
      </c>
      <c r="B609" s="59" t="str">
        <f>IFERROR(HYPERLINK(VLOOKUP(A609,Internal_lists_bugs!$A$2:$C$73,3,FALSE()), VLOOKUP(A609,Internal_lists_bugs!$A$2:$C$73,3,FALSE())&amp;Char(10) &amp; Char(10) &amp; VLOOKUP(A609,Internal_lists_bugs!$A$2:$Z$73,26,FALSE())),"please select a BUG ID")</f>
        <v>
</v>
      </c>
      <c r="C609" s="39" t="str">
        <f>IFERROR(VLOOKUP(A609,Internal_lists_bugs!$A$2:$G2011,7,FALSE()),"please select a BUG ID")</f>
        <v>https://opendev.org/openstack/nova/commit/ce28166dcf25a3d589e6f020b2dfa64705d15126</v>
      </c>
      <c r="D609" s="16" t="s">
        <v>1229</v>
      </c>
      <c r="E609" s="50"/>
      <c r="F609" s="43"/>
      <c r="G609" s="50"/>
      <c r="H609" s="43"/>
    </row>
    <row r="610">
      <c r="A610" s="16" t="s">
        <v>60</v>
      </c>
      <c r="B610" s="59" t="str">
        <f>IFERROR(HYPERLINK(VLOOKUP(A610,Internal_lists_bugs!$A$2:$C$73,3,FALSE()), VLOOKUP(A610,Internal_lists_bugs!$A$2:$C$73,3,FALSE())&amp;Char(10) &amp; Char(10) &amp; VLOOKUP(A610,Internal_lists_bugs!$A$2:$Z$73,26,FALSE())),"please select a BUG ID")</f>
        <v>
</v>
      </c>
      <c r="C610" s="39" t="str">
        <f>IFERROR(VLOOKUP(A610,Internal_lists_bugs!$A$2:$G2011,7,FALSE()),"please select a BUG ID")</f>
        <v>https://opendev.org/openstack/nova/commit/ce28166dcf25a3d589e6f020b2dfa64705d15126</v>
      </c>
      <c r="D610" s="16" t="s">
        <v>1226</v>
      </c>
      <c r="E610" s="50"/>
      <c r="F610" s="43"/>
      <c r="G610" s="50"/>
      <c r="H610" s="43"/>
    </row>
    <row r="611">
      <c r="A611" s="16" t="s">
        <v>60</v>
      </c>
      <c r="B611" s="59" t="str">
        <f>IFERROR(HYPERLINK(VLOOKUP(A611,Internal_lists_bugs!$A$2:$C$73,3,FALSE()), VLOOKUP(A611,Internal_lists_bugs!$A$2:$C$73,3,FALSE())&amp;Char(10) &amp; Char(10) &amp; VLOOKUP(A611,Internal_lists_bugs!$A$2:$Z$73,26,FALSE())),"please select a BUG ID")</f>
        <v>
</v>
      </c>
      <c r="C611" s="39" t="str">
        <f>IFERROR(VLOOKUP(A611,Internal_lists_bugs!$A$2:$G2011,7,FALSE()),"please select a BUG ID")</f>
        <v>https://opendev.org/openstack/nova/commit/ce28166dcf25a3d589e6f020b2dfa64705d15126</v>
      </c>
      <c r="D611" s="16" t="s">
        <v>1223</v>
      </c>
      <c r="E611" s="50"/>
      <c r="F611" s="43"/>
      <c r="G611" s="50"/>
      <c r="H611" s="43"/>
    </row>
    <row r="612">
      <c r="A612" s="16" t="s">
        <v>60</v>
      </c>
      <c r="B612" s="59" t="str">
        <f>IFERROR(HYPERLINK(VLOOKUP(A612,Internal_lists_bugs!$A$2:$C$73,3,FALSE()), VLOOKUP(A612,Internal_lists_bugs!$A$2:$C$73,3,FALSE())&amp;Char(10) &amp; Char(10) &amp; VLOOKUP(A612,Internal_lists_bugs!$A$2:$Z$73,26,FALSE())),"please select a BUG ID")</f>
        <v>
</v>
      </c>
      <c r="C612" s="39" t="str">
        <f>IFERROR(VLOOKUP(A612,Internal_lists_bugs!$A$2:$G2011,7,FALSE()),"please select a BUG ID")</f>
        <v>https://opendev.org/openstack/nova/commit/ce28166dcf25a3d589e6f020b2dfa64705d15126</v>
      </c>
      <c r="D612" s="16" t="s">
        <v>1227</v>
      </c>
      <c r="E612" s="50"/>
      <c r="F612" s="43"/>
      <c r="G612" s="50"/>
      <c r="H612" s="43"/>
    </row>
    <row r="613">
      <c r="A613" s="16" t="s">
        <v>59</v>
      </c>
      <c r="B613" s="59" t="str">
        <f>IFERROR(HYPERLINK(VLOOKUP(A613,Internal_lists_bugs!$A$2:$C$73,3,FALSE()), VLOOKUP(A613,Internal_lists_bugs!$A$2:$C$73,3,FALSE())&amp;Char(10) &amp; Char(10) &amp; VLOOKUP(A613,Internal_lists_bugs!$A$2:$Z$73,26,FALSE())),"please select a BUG ID")</f>
        <v>
</v>
      </c>
      <c r="C613" s="39" t="str">
        <f>IFERROR(VLOOKUP(A613,Internal_lists_bugs!$A$2:$G2011,7,FALSE()),"please select a BUG ID")</f>
        <v>https://opendev.org/openstack/nova/commit/5ee83244f40f3d3c29bf47c5d86952bf53de1684</v>
      </c>
      <c r="D613" s="1" t="s">
        <v>1220</v>
      </c>
      <c r="E613" s="50"/>
      <c r="F613" s="16" t="s">
        <v>1174</v>
      </c>
      <c r="G613" s="50"/>
      <c r="H613" s="16" t="s">
        <v>1221</v>
      </c>
    </row>
    <row r="614">
      <c r="A614" s="16" t="s">
        <v>59</v>
      </c>
      <c r="B614" s="59" t="str">
        <f>IFERROR(HYPERLINK(VLOOKUP(A614,Internal_lists_bugs!$A$2:$C$73,3,FALSE()), VLOOKUP(A614,Internal_lists_bugs!$A$2:$C$73,3,FALSE())&amp;Char(10) &amp; Char(10) &amp; VLOOKUP(A614,Internal_lists_bugs!$A$2:$Z$73,26,FALSE())),"please select a BUG ID")</f>
        <v>
</v>
      </c>
      <c r="C614" s="39" t="str">
        <f>IFERROR(VLOOKUP(A614,Internal_lists_bugs!$A$2:$G2011,7,FALSE()),"please select a BUG ID")</f>
        <v>https://opendev.org/openstack/nova/commit/5ee83244f40f3d3c29bf47c5d86952bf53de1684</v>
      </c>
      <c r="D614" s="1" t="s">
        <v>1209</v>
      </c>
      <c r="E614" s="50"/>
      <c r="F614" s="43"/>
      <c r="G614" s="50"/>
      <c r="H614" s="16" t="s">
        <v>1175</v>
      </c>
    </row>
    <row r="615">
      <c r="A615" s="16" t="s">
        <v>59</v>
      </c>
      <c r="B615" s="59" t="str">
        <f>IFERROR(HYPERLINK(VLOOKUP(A615,Internal_lists_bugs!$A$2:$C$73,3,FALSE()), VLOOKUP(A615,Internal_lists_bugs!$A$2:$C$73,3,FALSE())&amp;Char(10) &amp; Char(10) &amp; VLOOKUP(A615,Internal_lists_bugs!$A$2:$Z$73,26,FALSE())),"please select a BUG ID")</f>
        <v>
</v>
      </c>
      <c r="C615" s="39" t="str">
        <f>IFERROR(VLOOKUP(A615,Internal_lists_bugs!$A$2:$G2011,7,FALSE()),"please select a BUG ID")</f>
        <v>https://opendev.org/openstack/nova/commit/5ee83244f40f3d3c29bf47c5d86952bf53de1684</v>
      </c>
      <c r="D615" s="1" t="s">
        <v>1178</v>
      </c>
      <c r="E615" s="50"/>
      <c r="F615" s="43"/>
      <c r="G615" s="50"/>
      <c r="H615" s="16" t="s">
        <v>1203</v>
      </c>
    </row>
    <row r="616">
      <c r="A616" s="16" t="s">
        <v>59</v>
      </c>
      <c r="B616" s="59" t="str">
        <f>IFERROR(HYPERLINK(VLOOKUP(A616,Internal_lists_bugs!$A$2:$C$73,3,FALSE()), VLOOKUP(A616,Internal_lists_bugs!$A$2:$C$73,3,FALSE())&amp;Char(10) &amp; Char(10) &amp; VLOOKUP(A616,Internal_lists_bugs!$A$2:$Z$73,26,FALSE())),"please select a BUG ID")</f>
        <v>
</v>
      </c>
      <c r="C616" s="39" t="str">
        <f>IFERROR(VLOOKUP(A616,Internal_lists_bugs!$A$2:$G2011,7,FALSE()),"please select a BUG ID")</f>
        <v>https://opendev.org/openstack/nova/commit/5ee83244f40f3d3c29bf47c5d86952bf53de1684</v>
      </c>
      <c r="D616" s="1" t="s">
        <v>1182</v>
      </c>
      <c r="E616" s="50"/>
      <c r="F616" s="43"/>
      <c r="G616" s="50"/>
      <c r="H616" s="16" t="s">
        <v>1212</v>
      </c>
    </row>
    <row r="617">
      <c r="A617" s="16" t="s">
        <v>59</v>
      </c>
      <c r="B617" s="59" t="str">
        <f>IFERROR(HYPERLINK(VLOOKUP(A617,Internal_lists_bugs!$A$2:$C$73,3,FALSE()), VLOOKUP(A617,Internal_lists_bugs!$A$2:$C$73,3,FALSE())&amp;Char(10) &amp; Char(10) &amp; VLOOKUP(A617,Internal_lists_bugs!$A$2:$Z$73,26,FALSE())),"please select a BUG ID")</f>
        <v>
</v>
      </c>
      <c r="C617" s="39" t="str">
        <f>IFERROR(VLOOKUP(A617,Internal_lists_bugs!$A$2:$G2011,7,FALSE()),"please select a BUG ID")</f>
        <v>https://opendev.org/openstack/nova/commit/5ee83244f40f3d3c29bf47c5d86952bf53de1684</v>
      </c>
      <c r="D617" s="1" t="s">
        <v>1191</v>
      </c>
      <c r="E617" s="50"/>
      <c r="F617" s="43"/>
      <c r="G617" s="50"/>
      <c r="H617" s="16" t="s">
        <v>1224</v>
      </c>
    </row>
    <row r="618">
      <c r="A618" s="16" t="s">
        <v>59</v>
      </c>
      <c r="B618" s="59" t="str">
        <f>IFERROR(HYPERLINK(VLOOKUP(A618,Internal_lists_bugs!$A$2:$C$73,3,FALSE()), VLOOKUP(A618,Internal_lists_bugs!$A$2:$C$73,3,FALSE())&amp;Char(10) &amp; Char(10) &amp; VLOOKUP(A618,Internal_lists_bugs!$A$2:$Z$73,26,FALSE())),"please select a BUG ID")</f>
        <v>
</v>
      </c>
      <c r="C618" s="39" t="str">
        <f>IFERROR(VLOOKUP(A618,Internal_lists_bugs!$A$2:$G2011,7,FALSE()),"please select a BUG ID")</f>
        <v>https://opendev.org/openstack/nova/commit/5ee83244f40f3d3c29bf47c5d86952bf53de1684</v>
      </c>
      <c r="D618" s="1" t="s">
        <v>1218</v>
      </c>
      <c r="E618" s="50"/>
      <c r="F618" s="43"/>
      <c r="G618" s="50"/>
      <c r="H618" s="16" t="s">
        <v>1225</v>
      </c>
    </row>
    <row r="619">
      <c r="A619" s="16" t="s">
        <v>59</v>
      </c>
      <c r="B619" s="59" t="str">
        <f>IFERROR(HYPERLINK(VLOOKUP(A619,Internal_lists_bugs!$A$2:$C$73,3,FALSE()), VLOOKUP(A619,Internal_lists_bugs!$A$2:$C$73,3,FALSE())&amp;Char(10) &amp; Char(10) &amp; VLOOKUP(A619,Internal_lists_bugs!$A$2:$Z$73,26,FALSE())),"please select a BUG ID")</f>
        <v>
</v>
      </c>
      <c r="C619" s="39" t="str">
        <f>IFERROR(VLOOKUP(A619,Internal_lists_bugs!$A$2:$G2011,7,FALSE()),"please select a BUG ID")</f>
        <v>https://opendev.org/openstack/nova/commit/5ee83244f40f3d3c29bf47c5d86952bf53de1684</v>
      </c>
      <c r="D619" s="1" t="s">
        <v>1219</v>
      </c>
      <c r="E619" s="50"/>
      <c r="F619" s="43"/>
      <c r="G619" s="50"/>
      <c r="H619" s="16" t="s">
        <v>1228</v>
      </c>
    </row>
    <row r="620">
      <c r="A620" s="16" t="s">
        <v>59</v>
      </c>
      <c r="B620" s="59" t="str">
        <f>IFERROR(HYPERLINK(VLOOKUP(A620,Internal_lists_bugs!$A$2:$C$73,3,FALSE()), VLOOKUP(A620,Internal_lists_bugs!$A$2:$C$73,3,FALSE())&amp;Char(10) &amp; Char(10) &amp; VLOOKUP(A620,Internal_lists_bugs!$A$2:$Z$73,26,FALSE())),"please select a BUG ID")</f>
        <v>
</v>
      </c>
      <c r="C620" s="39" t="str">
        <f>IFERROR(VLOOKUP(A620,Internal_lists_bugs!$A$2:$G2011,7,FALSE()),"please select a BUG ID")</f>
        <v>https://opendev.org/openstack/nova/commit/5ee83244f40f3d3c29bf47c5d86952bf53de1684</v>
      </c>
      <c r="D620" s="1" t="s">
        <v>1199</v>
      </c>
      <c r="E620" s="50"/>
      <c r="F620" s="43"/>
      <c r="G620" s="50"/>
      <c r="H620" s="16" t="s">
        <v>1198</v>
      </c>
    </row>
    <row r="621">
      <c r="A621" s="16" t="s">
        <v>59</v>
      </c>
      <c r="B621" s="59" t="str">
        <f>IFERROR(HYPERLINK(VLOOKUP(A621,Internal_lists_bugs!$A$2:$C$73,3,FALSE()), VLOOKUP(A621,Internal_lists_bugs!$A$2:$C$73,3,FALSE())&amp;Char(10) &amp; Char(10) &amp; VLOOKUP(A621,Internal_lists_bugs!$A$2:$Z$73,26,FALSE())),"please select a BUG ID")</f>
        <v>
</v>
      </c>
      <c r="C621" s="39" t="str">
        <f>IFERROR(VLOOKUP(A621,Internal_lists_bugs!$A$2:$G2011,7,FALSE()),"please select a BUG ID")</f>
        <v>https://opendev.org/openstack/nova/commit/5ee83244f40f3d3c29bf47c5d86952bf53de1684</v>
      </c>
      <c r="D621" s="1" t="s">
        <v>1201</v>
      </c>
      <c r="E621" s="50"/>
      <c r="F621" s="43"/>
      <c r="G621" s="50"/>
      <c r="H621" s="16" t="s">
        <v>1179</v>
      </c>
    </row>
    <row r="622">
      <c r="A622" s="16" t="s">
        <v>59</v>
      </c>
      <c r="B622" s="59" t="str">
        <f>IFERROR(HYPERLINK(VLOOKUP(A622,Internal_lists_bugs!$A$2:$C$73,3,FALSE()), VLOOKUP(A622,Internal_lists_bugs!$A$2:$C$73,3,FALSE())&amp;Char(10) &amp; Char(10) &amp; VLOOKUP(A622,Internal_lists_bugs!$A$2:$Z$73,26,FALSE())),"please select a BUG ID")</f>
        <v>
</v>
      </c>
      <c r="C622" s="39" t="str">
        <f>IFERROR(VLOOKUP(A622,Internal_lists_bugs!$A$2:$G2011,7,FALSE()),"please select a BUG ID")</f>
        <v>https://opendev.org/openstack/nova/commit/5ee83244f40f3d3c29bf47c5d86952bf53de1684</v>
      </c>
      <c r="D622" s="1" t="s">
        <v>1202</v>
      </c>
      <c r="E622" s="50"/>
      <c r="F622" s="43"/>
      <c r="G622" s="50"/>
      <c r="H622" s="16" t="s">
        <v>1197</v>
      </c>
    </row>
    <row r="623">
      <c r="A623" s="16" t="s">
        <v>59</v>
      </c>
      <c r="B623" s="59" t="str">
        <f>IFERROR(HYPERLINK(VLOOKUP(A623,Internal_lists_bugs!$A$2:$C$73,3,FALSE()), VLOOKUP(A623,Internal_lists_bugs!$A$2:$C$73,3,FALSE())&amp;Char(10) &amp; Char(10) &amp; VLOOKUP(A623,Internal_lists_bugs!$A$2:$Z$73,26,FALSE())),"please select a BUG ID")</f>
        <v>
</v>
      </c>
      <c r="C623" s="39" t="str">
        <f>IFERROR(VLOOKUP(A623,Internal_lists_bugs!$A$2:$G2011,7,FALSE()),"please select a BUG ID")</f>
        <v>https://opendev.org/openstack/nova/commit/5ee83244f40f3d3c29bf47c5d86952bf53de1684</v>
      </c>
      <c r="D623" s="1" t="s">
        <v>1173</v>
      </c>
      <c r="E623" s="50"/>
      <c r="F623" s="43"/>
      <c r="G623" s="50"/>
      <c r="H623" s="16" t="s">
        <v>1235</v>
      </c>
      <c r="I623" s="16" t="s">
        <v>1236</v>
      </c>
    </row>
    <row r="624">
      <c r="A624" s="16" t="s">
        <v>59</v>
      </c>
      <c r="B624" s="59" t="str">
        <f>IFERROR(HYPERLINK(VLOOKUP(A624,Internal_lists_bugs!$A$2:$C$73,3,FALSE()), VLOOKUP(A624,Internal_lists_bugs!$A$2:$C$73,3,FALSE())&amp;Char(10) &amp; Char(10) &amp; VLOOKUP(A624,Internal_lists_bugs!$A$2:$Z$73,26,FALSE())),"please select a BUG ID")</f>
        <v>
</v>
      </c>
      <c r="C624" s="39" t="str">
        <f>IFERROR(VLOOKUP(A624,Internal_lists_bugs!$A$2:$G2011,7,FALSE()),"please select a BUG ID")</f>
        <v>https://opendev.org/openstack/nova/commit/5ee83244f40f3d3c29bf47c5d86952bf53de1684</v>
      </c>
      <c r="D624" s="1" t="s">
        <v>1211</v>
      </c>
      <c r="E624" s="50"/>
      <c r="F624" s="43"/>
      <c r="G624" s="50"/>
      <c r="H624" s="16" t="s">
        <v>1200</v>
      </c>
    </row>
    <row r="625">
      <c r="A625" s="16" t="s">
        <v>59</v>
      </c>
      <c r="B625" s="59" t="str">
        <f>IFERROR(HYPERLINK(VLOOKUP(A625,Internal_lists_bugs!$A$2:$C$73,3,FALSE()), VLOOKUP(A625,Internal_lists_bugs!$A$2:$C$73,3,FALSE())&amp;Char(10) &amp; Char(10) &amp; VLOOKUP(A625,Internal_lists_bugs!$A$2:$Z$73,26,FALSE())),"please select a BUG ID")</f>
        <v>
</v>
      </c>
      <c r="C625" s="39" t="str">
        <f>IFERROR(VLOOKUP(A625,Internal_lists_bugs!$A$2:$G2011,7,FALSE()),"please select a BUG ID")</f>
        <v>https://opendev.org/openstack/nova/commit/5ee83244f40f3d3c29bf47c5d86952bf53de1684</v>
      </c>
      <c r="D625" s="1" t="s">
        <v>1214</v>
      </c>
      <c r="E625" s="50"/>
      <c r="F625" s="43"/>
      <c r="G625" s="50"/>
      <c r="H625" s="16" t="s">
        <v>1210</v>
      </c>
    </row>
    <row r="626">
      <c r="A626" s="16" t="s">
        <v>59</v>
      </c>
      <c r="B626" s="59" t="str">
        <f>IFERROR(HYPERLINK(VLOOKUP(A626,Internal_lists_bugs!$A$2:$C$73,3,FALSE()), VLOOKUP(A626,Internal_lists_bugs!$A$2:$C$73,3,FALSE())&amp;Char(10) &amp; Char(10) &amp; VLOOKUP(A626,Internal_lists_bugs!$A$2:$Z$73,26,FALSE())),"please select a BUG ID")</f>
        <v>
</v>
      </c>
      <c r="C626" s="39" t="str">
        <f>IFERROR(VLOOKUP(A626,Internal_lists_bugs!$A$2:$G2011,7,FALSE()),"please select a BUG ID")</f>
        <v>https://opendev.org/openstack/nova/commit/5ee83244f40f3d3c29bf47c5d86952bf53de1684</v>
      </c>
      <c r="D626" s="1" t="s">
        <v>1205</v>
      </c>
      <c r="E626" s="50"/>
      <c r="F626" s="43"/>
      <c r="G626" s="50"/>
      <c r="H626" s="43"/>
    </row>
    <row r="627">
      <c r="A627" s="16" t="s">
        <v>59</v>
      </c>
      <c r="B627" s="59" t="str">
        <f>IFERROR(HYPERLINK(VLOOKUP(A627,Internal_lists_bugs!$A$2:$C$73,3,FALSE()), VLOOKUP(A627,Internal_lists_bugs!$A$2:$C$73,3,FALSE())&amp;Char(10) &amp; Char(10) &amp; VLOOKUP(A627,Internal_lists_bugs!$A$2:$Z$73,26,FALSE())),"please select a BUG ID")</f>
        <v>
</v>
      </c>
      <c r="C627" s="39" t="str">
        <f>IFERROR(VLOOKUP(A627,Internal_lists_bugs!$A$2:$G2011,7,FALSE()),"please select a BUG ID")</f>
        <v>https://opendev.org/openstack/nova/commit/5ee83244f40f3d3c29bf47c5d86952bf53de1684</v>
      </c>
      <c r="D627" s="1" t="s">
        <v>1183</v>
      </c>
      <c r="E627" s="50"/>
      <c r="F627" s="43"/>
      <c r="G627" s="50"/>
      <c r="H627" s="43"/>
    </row>
    <row r="628">
      <c r="A628" s="16" t="s">
        <v>59</v>
      </c>
      <c r="B628" s="59" t="str">
        <f>IFERROR(HYPERLINK(VLOOKUP(A628,Internal_lists_bugs!$A$2:$C$73,3,FALSE()), VLOOKUP(A628,Internal_lists_bugs!$A$2:$C$73,3,FALSE())&amp;Char(10) &amp; Char(10) &amp; VLOOKUP(A628,Internal_lists_bugs!$A$2:$Z$73,26,FALSE())),"please select a BUG ID")</f>
        <v>
</v>
      </c>
      <c r="C628" s="39" t="str">
        <f>IFERROR(VLOOKUP(A628,Internal_lists_bugs!$A$2:$G2011,7,FALSE()),"please select a BUG ID")</f>
        <v>https://opendev.org/openstack/nova/commit/5ee83244f40f3d3c29bf47c5d86952bf53de1684</v>
      </c>
      <c r="D628" s="1" t="s">
        <v>1184</v>
      </c>
      <c r="E628" s="50"/>
      <c r="F628" s="43"/>
      <c r="G628" s="50"/>
      <c r="H628" s="43"/>
    </row>
    <row r="629">
      <c r="A629" s="16" t="s">
        <v>59</v>
      </c>
      <c r="B629" s="59" t="str">
        <f>IFERROR(HYPERLINK(VLOOKUP(A629,Internal_lists_bugs!$A$2:$C$73,3,FALSE()), VLOOKUP(A629,Internal_lists_bugs!$A$2:$C$73,3,FALSE())&amp;Char(10) &amp; Char(10) &amp; VLOOKUP(A629,Internal_lists_bugs!$A$2:$Z$73,26,FALSE())),"please select a BUG ID")</f>
        <v>
</v>
      </c>
      <c r="C629" s="39" t="str">
        <f>IFERROR(VLOOKUP(A629,Internal_lists_bugs!$A$2:$G2011,7,FALSE()),"please select a BUG ID")</f>
        <v>https://opendev.org/openstack/nova/commit/5ee83244f40f3d3c29bf47c5d86952bf53de1684</v>
      </c>
      <c r="D629" s="1" t="s">
        <v>1185</v>
      </c>
      <c r="E629" s="50"/>
      <c r="F629" s="43"/>
      <c r="G629" s="50"/>
      <c r="H629" s="43"/>
    </row>
    <row r="630">
      <c r="A630" s="16" t="s">
        <v>59</v>
      </c>
      <c r="B630" s="59" t="str">
        <f>IFERROR(HYPERLINK(VLOOKUP(A630,Internal_lists_bugs!$A$2:$C$73,3,FALSE()), VLOOKUP(A630,Internal_lists_bugs!$A$2:$C$73,3,FALSE())&amp;Char(10) &amp; Char(10) &amp; VLOOKUP(A630,Internal_lists_bugs!$A$2:$Z$73,26,FALSE())),"please select a BUG ID")</f>
        <v>
</v>
      </c>
      <c r="C630" s="39" t="str">
        <f>IFERROR(VLOOKUP(A630,Internal_lists_bugs!$A$2:$G2011,7,FALSE()),"please select a BUG ID")</f>
        <v>https://opendev.org/openstack/nova/commit/5ee83244f40f3d3c29bf47c5d86952bf53de1684</v>
      </c>
      <c r="D630" s="1" t="s">
        <v>1196</v>
      </c>
      <c r="E630" s="50"/>
      <c r="F630" s="43"/>
      <c r="G630" s="50"/>
      <c r="H630" s="43"/>
    </row>
    <row r="631">
      <c r="A631" s="16" t="s">
        <v>59</v>
      </c>
      <c r="B631" s="59" t="str">
        <f>IFERROR(HYPERLINK(VLOOKUP(A631,Internal_lists_bugs!$A$2:$C$73,3,FALSE()), VLOOKUP(A631,Internal_lists_bugs!$A$2:$C$73,3,FALSE())&amp;Char(10) &amp; Char(10) &amp; VLOOKUP(A631,Internal_lists_bugs!$A$2:$Z$73,26,FALSE())),"please select a BUG ID")</f>
        <v>
</v>
      </c>
      <c r="C631" s="39" t="str">
        <f>IFERROR(VLOOKUP(A631,Internal_lists_bugs!$A$2:$G2011,7,FALSE()),"please select a BUG ID")</f>
        <v>https://opendev.org/openstack/nova/commit/5ee83244f40f3d3c29bf47c5d86952bf53de1684</v>
      </c>
      <c r="D631" s="1" t="s">
        <v>1187</v>
      </c>
      <c r="E631" s="50"/>
      <c r="F631" s="43"/>
      <c r="G631" s="50"/>
      <c r="H631" s="43"/>
    </row>
    <row r="632">
      <c r="A632" s="16" t="s">
        <v>59</v>
      </c>
      <c r="B632" s="59" t="str">
        <f>IFERROR(HYPERLINK(VLOOKUP(A632,Internal_lists_bugs!$A$2:$C$73,3,FALSE()), VLOOKUP(A632,Internal_lists_bugs!$A$2:$C$73,3,FALSE())&amp;Char(10) &amp; Char(10) &amp; VLOOKUP(A632,Internal_lists_bugs!$A$2:$Z$73,26,FALSE())),"please select a BUG ID")</f>
        <v>
</v>
      </c>
      <c r="C632" s="39" t="str">
        <f>IFERROR(VLOOKUP(A632,Internal_lists_bugs!$A$2:$G2011,7,FALSE()),"please select a BUG ID")</f>
        <v>https://opendev.org/openstack/nova/commit/5ee83244f40f3d3c29bf47c5d86952bf53de1684</v>
      </c>
      <c r="D632" s="1" t="s">
        <v>1206</v>
      </c>
      <c r="E632" s="50"/>
      <c r="F632" s="43"/>
      <c r="G632" s="50"/>
      <c r="H632" s="43"/>
    </row>
    <row r="633">
      <c r="A633" s="16" t="s">
        <v>59</v>
      </c>
      <c r="B633" s="59" t="str">
        <f>IFERROR(HYPERLINK(VLOOKUP(A633,Internal_lists_bugs!$A$2:$C$73,3,FALSE()), VLOOKUP(A633,Internal_lists_bugs!$A$2:$C$73,3,FALSE())&amp;Char(10) &amp; Char(10) &amp; VLOOKUP(A633,Internal_lists_bugs!$A$2:$Z$73,26,FALSE())),"please select a BUG ID")</f>
        <v>
</v>
      </c>
      <c r="C633" s="39" t="str">
        <f>IFERROR(VLOOKUP(A633,Internal_lists_bugs!$A$2:$G2011,7,FALSE()),"please select a BUG ID")</f>
        <v>https://opendev.org/openstack/nova/commit/5ee83244f40f3d3c29bf47c5d86952bf53de1684</v>
      </c>
      <c r="D633" s="1" t="s">
        <v>1213</v>
      </c>
      <c r="E633" s="50"/>
      <c r="F633" s="43"/>
      <c r="G633" s="50"/>
      <c r="H633" s="43"/>
    </row>
    <row r="634">
      <c r="A634" s="16" t="s">
        <v>59</v>
      </c>
      <c r="B634" s="59" t="str">
        <f>IFERROR(HYPERLINK(VLOOKUP(A634,Internal_lists_bugs!$A$2:$C$73,3,FALSE()), VLOOKUP(A634,Internal_lists_bugs!$A$2:$C$73,3,FALSE())&amp;Char(10) &amp; Char(10) &amp; VLOOKUP(A634,Internal_lists_bugs!$A$2:$Z$73,26,FALSE())),"please select a BUG ID")</f>
        <v>
</v>
      </c>
      <c r="C634" s="39" t="str">
        <f>IFERROR(VLOOKUP(A634,Internal_lists_bugs!$A$2:$G2011,7,FALSE()),"please select a BUG ID")</f>
        <v>https://opendev.org/openstack/nova/commit/5ee83244f40f3d3c29bf47c5d86952bf53de1684</v>
      </c>
      <c r="D634" s="16" t="s">
        <v>1237</v>
      </c>
      <c r="E634" s="50"/>
      <c r="F634" s="43"/>
      <c r="G634" s="50"/>
      <c r="H634" s="43"/>
    </row>
    <row r="635">
      <c r="A635" s="16" t="s">
        <v>59</v>
      </c>
      <c r="B635" s="59" t="str">
        <f>IFERROR(HYPERLINK(VLOOKUP(A635,Internal_lists_bugs!$A$2:$C$73,3,FALSE()), VLOOKUP(A635,Internal_lists_bugs!$A$2:$C$73,3,FALSE())&amp;Char(10) &amp; Char(10) &amp; VLOOKUP(A635,Internal_lists_bugs!$A$2:$Z$73,26,FALSE())),"please select a BUG ID")</f>
        <v>
</v>
      </c>
      <c r="C635" s="39" t="str">
        <f>IFERROR(VLOOKUP(A635,Internal_lists_bugs!$A$2:$G2011,7,FALSE()),"please select a BUG ID")</f>
        <v>https://opendev.org/openstack/nova/commit/5ee83244f40f3d3c29bf47c5d86952bf53de1684</v>
      </c>
      <c r="D635" s="16" t="s">
        <v>1226</v>
      </c>
      <c r="E635" s="50"/>
      <c r="F635" s="43"/>
      <c r="G635" s="50"/>
      <c r="H635" s="43"/>
    </row>
    <row r="636">
      <c r="A636" s="16" t="s">
        <v>59</v>
      </c>
      <c r="B636" s="59" t="str">
        <f>IFERROR(HYPERLINK(VLOOKUP(A636,Internal_lists_bugs!$A$2:$C$73,3,FALSE()), VLOOKUP(A636,Internal_lists_bugs!$A$2:$C$73,3,FALSE())&amp;Char(10) &amp; Char(10) &amp; VLOOKUP(A636,Internal_lists_bugs!$A$2:$Z$73,26,FALSE())),"please select a BUG ID")</f>
        <v>
</v>
      </c>
      <c r="C636" s="39" t="str">
        <f>IFERROR(VLOOKUP(A636,Internal_lists_bugs!$A$2:$G2011,7,FALSE()),"please select a BUG ID")</f>
        <v>https://opendev.org/openstack/nova/commit/5ee83244f40f3d3c29bf47c5d86952bf53de1684</v>
      </c>
      <c r="D636" s="16" t="s">
        <v>1238</v>
      </c>
      <c r="E636" s="50"/>
      <c r="F636" s="43"/>
      <c r="G636" s="50"/>
      <c r="H636" s="43"/>
    </row>
    <row r="637">
      <c r="A637" s="16" t="s">
        <v>59</v>
      </c>
      <c r="B637" s="59" t="str">
        <f>IFERROR(HYPERLINK(VLOOKUP(A637,Internal_lists_bugs!$A$2:$C$73,3,FALSE()), VLOOKUP(A637,Internal_lists_bugs!$A$2:$C$73,3,FALSE())&amp;Char(10) &amp; Char(10) &amp; VLOOKUP(A637,Internal_lists_bugs!$A$2:$Z$73,26,FALSE())),"please select a BUG ID")</f>
        <v>
</v>
      </c>
      <c r="C637" s="39" t="str">
        <f>IFERROR(VLOOKUP(A637,Internal_lists_bugs!$A$2:$G2011,7,FALSE()),"please select a BUG ID")</f>
        <v>https://opendev.org/openstack/nova/commit/5ee83244f40f3d3c29bf47c5d86952bf53de1684</v>
      </c>
      <c r="D637" s="16" t="s">
        <v>1230</v>
      </c>
      <c r="E637" s="50"/>
      <c r="F637" s="43"/>
      <c r="G637" s="50"/>
      <c r="H637" s="43"/>
    </row>
    <row r="638">
      <c r="A638" s="16" t="s">
        <v>59</v>
      </c>
      <c r="B638" s="59" t="str">
        <f>IFERROR(HYPERLINK(VLOOKUP(A638,Internal_lists_bugs!$A$2:$C$73,3,FALSE()), VLOOKUP(A638,Internal_lists_bugs!$A$2:$C$73,3,FALSE())&amp;Char(10) &amp; Char(10) &amp; VLOOKUP(A638,Internal_lists_bugs!$A$2:$Z$73,26,FALSE())),"please select a BUG ID")</f>
        <v>
</v>
      </c>
      <c r="C638" s="39" t="str">
        <f>IFERROR(VLOOKUP(A638,Internal_lists_bugs!$A$2:$G2011,7,FALSE()),"please select a BUG ID")</f>
        <v>https://opendev.org/openstack/nova/commit/5ee83244f40f3d3c29bf47c5d86952bf53de1684</v>
      </c>
      <c r="D638" s="16" t="s">
        <v>1226</v>
      </c>
      <c r="E638" s="50"/>
      <c r="F638" s="43"/>
      <c r="G638" s="50"/>
      <c r="H638" s="43"/>
    </row>
    <row r="639">
      <c r="A639" s="16" t="s">
        <v>59</v>
      </c>
      <c r="B639" s="59" t="str">
        <f>IFERROR(HYPERLINK(VLOOKUP(A639,Internal_lists_bugs!$A$2:$C$73,3,FALSE()), VLOOKUP(A639,Internal_lists_bugs!$A$2:$C$73,3,FALSE())&amp;Char(10) &amp; Char(10) &amp; VLOOKUP(A639,Internal_lists_bugs!$A$2:$Z$73,26,FALSE())),"please select a BUG ID")</f>
        <v>
</v>
      </c>
      <c r="C639" s="39" t="str">
        <f>IFERROR(VLOOKUP(A639,Internal_lists_bugs!$A$2:$G2011,7,FALSE()),"please select a BUG ID")</f>
        <v>https://opendev.org/openstack/nova/commit/5ee83244f40f3d3c29bf47c5d86952bf53de1684</v>
      </c>
      <c r="D639" s="16" t="s">
        <v>1231</v>
      </c>
      <c r="E639" s="50"/>
      <c r="F639" s="43"/>
      <c r="G639" s="50"/>
      <c r="H639" s="43"/>
    </row>
    <row r="640">
      <c r="A640" s="16" t="s">
        <v>40</v>
      </c>
      <c r="B640" s="59" t="str">
        <f>IFERROR(HYPERLINK(VLOOKUP(A640,Internal_lists_bugs!$A$2:$C$73,3,FALSE()), VLOOKUP(A640,Internal_lists_bugs!$A$2:$C$73,3,FALSE())&amp;Char(10) &amp; Char(10) &amp; VLOOKUP(A640,Internal_lists_bugs!$A$2:$Z$73,26,FALSE())),"please select a BUG ID")</f>
        <v>
</v>
      </c>
      <c r="C640" s="39" t="str">
        <f>IFERROR(VLOOKUP(A640,Internal_lists_bugs!$A$2:$G2011,7,FALSE()),"please select a BUG ID")</f>
        <v>https://opendev.org/openstack/nova/commit/f90885bacba3728dc9a35e99eecef37a37b881e2</v>
      </c>
      <c r="D640" s="1" t="s">
        <v>1220</v>
      </c>
      <c r="E640" s="50"/>
      <c r="F640" s="16" t="s">
        <v>1174</v>
      </c>
      <c r="G640" s="50"/>
      <c r="H640" s="16" t="s">
        <v>1232</v>
      </c>
    </row>
    <row r="641">
      <c r="A641" s="16" t="s">
        <v>40</v>
      </c>
      <c r="B641" s="59" t="str">
        <f>IFERROR(HYPERLINK(VLOOKUP(A641,Internal_lists_bugs!$A$2:$C$73,3,FALSE()), VLOOKUP(A641,Internal_lists_bugs!$A$2:$C$73,3,FALSE())&amp;Char(10) &amp; Char(10) &amp; VLOOKUP(A641,Internal_lists_bugs!$A$2:$Z$73,26,FALSE())),"please select a BUG ID")</f>
        <v>
</v>
      </c>
      <c r="C641" s="39" t="str">
        <f>IFERROR(VLOOKUP(A641,Internal_lists_bugs!$A$2:$G2011,7,FALSE()),"please select a BUG ID")</f>
        <v>https://opendev.org/openstack/nova/commit/f90885bacba3728dc9a35e99eecef37a37b881e2</v>
      </c>
      <c r="D641" s="1" t="s">
        <v>1209</v>
      </c>
      <c r="E641" s="50"/>
      <c r="F641" s="43"/>
      <c r="G641" s="50"/>
      <c r="H641" s="16" t="s">
        <v>1175</v>
      </c>
    </row>
    <row r="642">
      <c r="A642" s="16" t="s">
        <v>40</v>
      </c>
      <c r="B642" s="59" t="str">
        <f>IFERROR(HYPERLINK(VLOOKUP(A642,Internal_lists_bugs!$A$2:$C$73,3,FALSE()), VLOOKUP(A642,Internal_lists_bugs!$A$2:$C$73,3,FALSE())&amp;Char(10) &amp; Char(10) &amp; VLOOKUP(A642,Internal_lists_bugs!$A$2:$Z$73,26,FALSE())),"please select a BUG ID")</f>
        <v>
</v>
      </c>
      <c r="C642" s="39" t="str">
        <f>IFERROR(VLOOKUP(A642,Internal_lists_bugs!$A$2:$G2011,7,FALSE()),"please select a BUG ID")</f>
        <v>https://opendev.org/openstack/nova/commit/f90885bacba3728dc9a35e99eecef37a37b881e2</v>
      </c>
      <c r="D642" s="1" t="s">
        <v>1178</v>
      </c>
      <c r="E642" s="50"/>
      <c r="F642" s="43"/>
      <c r="G642" s="50"/>
      <c r="H642" s="16" t="s">
        <v>1203</v>
      </c>
    </row>
    <row r="643">
      <c r="A643" s="16" t="s">
        <v>40</v>
      </c>
      <c r="B643" s="59" t="str">
        <f>IFERROR(HYPERLINK(VLOOKUP(A643,Internal_lists_bugs!$A$2:$C$73,3,FALSE()), VLOOKUP(A643,Internal_lists_bugs!$A$2:$C$73,3,FALSE())&amp;Char(10) &amp; Char(10) &amp; VLOOKUP(A643,Internal_lists_bugs!$A$2:$Z$73,26,FALSE())),"please select a BUG ID")</f>
        <v>
</v>
      </c>
      <c r="C643" s="39" t="str">
        <f>IFERROR(VLOOKUP(A643,Internal_lists_bugs!$A$2:$G2011,7,FALSE()),"please select a BUG ID")</f>
        <v>https://opendev.org/openstack/nova/commit/f90885bacba3728dc9a35e99eecef37a37b881e2</v>
      </c>
      <c r="D643" s="1" t="s">
        <v>1182</v>
      </c>
      <c r="E643" s="50"/>
      <c r="F643" s="43"/>
      <c r="G643" s="50"/>
      <c r="H643" s="16" t="s">
        <v>1212</v>
      </c>
    </row>
    <row r="644">
      <c r="A644" s="16" t="s">
        <v>40</v>
      </c>
      <c r="B644" s="59" t="str">
        <f>IFERROR(HYPERLINK(VLOOKUP(A644,Internal_lists_bugs!$A$2:$C$73,3,FALSE()), VLOOKUP(A644,Internal_lists_bugs!$A$2:$C$73,3,FALSE())&amp;Char(10) &amp; Char(10) &amp; VLOOKUP(A644,Internal_lists_bugs!$A$2:$Z$73,26,FALSE())),"please select a BUG ID")</f>
        <v>
</v>
      </c>
      <c r="C644" s="39" t="str">
        <f>IFERROR(VLOOKUP(A644,Internal_lists_bugs!$A$2:$G2011,7,FALSE()),"please select a BUG ID")</f>
        <v>https://opendev.org/openstack/nova/commit/f90885bacba3728dc9a35e99eecef37a37b881e2</v>
      </c>
      <c r="D644" s="1" t="s">
        <v>1191</v>
      </c>
      <c r="E644" s="50"/>
      <c r="F644" s="43"/>
      <c r="G644" s="50"/>
      <c r="H644" s="16" t="s">
        <v>1222</v>
      </c>
    </row>
    <row r="645">
      <c r="A645" s="16" t="s">
        <v>40</v>
      </c>
      <c r="B645" s="59" t="str">
        <f>IFERROR(HYPERLINK(VLOOKUP(A645,Internal_lists_bugs!$A$2:$C$73,3,FALSE()), VLOOKUP(A645,Internal_lists_bugs!$A$2:$C$73,3,FALSE())&amp;Char(10) &amp; Char(10) &amp; VLOOKUP(A645,Internal_lists_bugs!$A$2:$Z$73,26,FALSE())),"please select a BUG ID")</f>
        <v>
</v>
      </c>
      <c r="C645" s="39" t="str">
        <f>IFERROR(VLOOKUP(A645,Internal_lists_bugs!$A$2:$G2011,7,FALSE()),"please select a BUG ID")</f>
        <v>https://opendev.org/openstack/nova/commit/f90885bacba3728dc9a35e99eecef37a37b881e2</v>
      </c>
      <c r="D645" s="1" t="s">
        <v>1218</v>
      </c>
      <c r="E645" s="50"/>
      <c r="F645" s="43"/>
      <c r="G645" s="50"/>
      <c r="H645" s="16" t="s">
        <v>1224</v>
      </c>
    </row>
    <row r="646">
      <c r="A646" s="16" t="s">
        <v>40</v>
      </c>
      <c r="B646" s="59" t="str">
        <f>IFERROR(HYPERLINK(VLOOKUP(A646,Internal_lists_bugs!$A$2:$C$73,3,FALSE()), VLOOKUP(A646,Internal_lists_bugs!$A$2:$C$73,3,FALSE())&amp;Char(10) &amp; Char(10) &amp; VLOOKUP(A646,Internal_lists_bugs!$A$2:$Z$73,26,FALSE())),"please select a BUG ID")</f>
        <v>
</v>
      </c>
      <c r="C646" s="39" t="str">
        <f>IFERROR(VLOOKUP(A646,Internal_lists_bugs!$A$2:$G2011,7,FALSE()),"please select a BUG ID")</f>
        <v>https://opendev.org/openstack/nova/commit/f90885bacba3728dc9a35e99eecef37a37b881e2</v>
      </c>
      <c r="D646" s="1" t="s">
        <v>1219</v>
      </c>
      <c r="E646" s="50"/>
      <c r="F646" s="43"/>
      <c r="G646" s="50"/>
      <c r="H646" s="16" t="s">
        <v>1225</v>
      </c>
    </row>
    <row r="647">
      <c r="A647" s="16" t="s">
        <v>40</v>
      </c>
      <c r="B647" s="59" t="str">
        <f>IFERROR(HYPERLINK(VLOOKUP(A647,Internal_lists_bugs!$A$2:$C$73,3,FALSE()), VLOOKUP(A647,Internal_lists_bugs!$A$2:$C$73,3,FALSE())&amp;Char(10) &amp; Char(10) &amp; VLOOKUP(A647,Internal_lists_bugs!$A$2:$Z$73,26,FALSE())),"please select a BUG ID")</f>
        <v>
</v>
      </c>
      <c r="C647" s="39" t="str">
        <f>IFERROR(VLOOKUP(A647,Internal_lists_bugs!$A$2:$G2011,7,FALSE()),"please select a BUG ID")</f>
        <v>https://opendev.org/openstack/nova/commit/f90885bacba3728dc9a35e99eecef37a37b881e2</v>
      </c>
      <c r="D647" s="1" t="s">
        <v>1199</v>
      </c>
      <c r="E647" s="50"/>
      <c r="F647" s="43"/>
      <c r="G647" s="50"/>
      <c r="H647" s="16" t="s">
        <v>1179</v>
      </c>
    </row>
    <row r="648">
      <c r="A648" s="16" t="s">
        <v>40</v>
      </c>
      <c r="B648" s="59" t="str">
        <f>IFERROR(HYPERLINK(VLOOKUP(A648,Internal_lists_bugs!$A$2:$C$73,3,FALSE()), VLOOKUP(A648,Internal_lists_bugs!$A$2:$C$73,3,FALSE())&amp;Char(10) &amp; Char(10) &amp; VLOOKUP(A648,Internal_lists_bugs!$A$2:$Z$73,26,FALSE())),"please select a BUG ID")</f>
        <v>
</v>
      </c>
      <c r="C648" s="39" t="str">
        <f>IFERROR(VLOOKUP(A648,Internal_lists_bugs!$A$2:$G2011,7,FALSE()),"please select a BUG ID")</f>
        <v>https://opendev.org/openstack/nova/commit/f90885bacba3728dc9a35e99eecef37a37b881e2</v>
      </c>
      <c r="D648" s="1" t="s">
        <v>1201</v>
      </c>
      <c r="E648" s="50"/>
      <c r="F648" s="43"/>
      <c r="G648" s="50"/>
      <c r="H648" s="16" t="s">
        <v>1197</v>
      </c>
    </row>
    <row r="649">
      <c r="A649" s="16" t="s">
        <v>40</v>
      </c>
      <c r="B649" s="59" t="str">
        <f>IFERROR(HYPERLINK(VLOOKUP(A649,Internal_lists_bugs!$A$2:$C$73,3,FALSE()), VLOOKUP(A649,Internal_lists_bugs!$A$2:$C$73,3,FALSE())&amp;Char(10) &amp; Char(10) &amp; VLOOKUP(A649,Internal_lists_bugs!$A$2:$Z$73,26,FALSE())),"please select a BUG ID")</f>
        <v>
</v>
      </c>
      <c r="C649" s="39" t="str">
        <f>IFERROR(VLOOKUP(A649,Internal_lists_bugs!$A$2:$G2011,7,FALSE()),"please select a BUG ID")</f>
        <v>https://opendev.org/openstack/nova/commit/f90885bacba3728dc9a35e99eecef37a37b881e2</v>
      </c>
      <c r="D649" s="1" t="s">
        <v>1202</v>
      </c>
      <c r="E649" s="50"/>
      <c r="F649" s="43"/>
      <c r="G649" s="50"/>
      <c r="H649" s="16" t="s">
        <v>1200</v>
      </c>
    </row>
    <row r="650">
      <c r="A650" s="16" t="s">
        <v>40</v>
      </c>
      <c r="B650" s="59" t="str">
        <f>IFERROR(HYPERLINK(VLOOKUP(A650,Internal_lists_bugs!$A$2:$C$73,3,FALSE()), VLOOKUP(A650,Internal_lists_bugs!$A$2:$C$73,3,FALSE())&amp;Char(10) &amp; Char(10) &amp; VLOOKUP(A650,Internal_lists_bugs!$A$2:$Z$73,26,FALSE())),"please select a BUG ID")</f>
        <v>
</v>
      </c>
      <c r="C650" s="39" t="str">
        <f>IFERROR(VLOOKUP(A650,Internal_lists_bugs!$A$2:$G2011,7,FALSE()),"please select a BUG ID")</f>
        <v>https://opendev.org/openstack/nova/commit/f90885bacba3728dc9a35e99eecef37a37b881e2</v>
      </c>
      <c r="D650" s="1" t="s">
        <v>1173</v>
      </c>
      <c r="E650" s="50"/>
      <c r="F650" s="43"/>
      <c r="G650" s="50"/>
      <c r="H650" s="16" t="s">
        <v>1215</v>
      </c>
    </row>
    <row r="651">
      <c r="A651" s="16" t="s">
        <v>40</v>
      </c>
      <c r="B651" s="59" t="str">
        <f>IFERROR(HYPERLINK(VLOOKUP(A651,Internal_lists_bugs!$A$2:$C$73,3,FALSE()), VLOOKUP(A651,Internal_lists_bugs!$A$2:$C$73,3,FALSE())&amp;Char(10) &amp; Char(10) &amp; VLOOKUP(A651,Internal_lists_bugs!$A$2:$Z$73,26,FALSE())),"please select a BUG ID")</f>
        <v>
</v>
      </c>
      <c r="C651" s="39" t="str">
        <f>IFERROR(VLOOKUP(A651,Internal_lists_bugs!$A$2:$G2011,7,FALSE()),"please select a BUG ID")</f>
        <v>https://opendev.org/openstack/nova/commit/f90885bacba3728dc9a35e99eecef37a37b881e2</v>
      </c>
      <c r="D651" s="1" t="s">
        <v>1211</v>
      </c>
      <c r="E651" s="50"/>
      <c r="F651" s="43"/>
      <c r="G651" s="50"/>
      <c r="H651" s="16" t="s">
        <v>1210</v>
      </c>
    </row>
    <row r="652">
      <c r="A652" s="16" t="s">
        <v>40</v>
      </c>
      <c r="B652" s="59" t="str">
        <f>IFERROR(HYPERLINK(VLOOKUP(A652,Internal_lists_bugs!$A$2:$C$73,3,FALSE()), VLOOKUP(A652,Internal_lists_bugs!$A$2:$C$73,3,FALSE())&amp;Char(10) &amp; Char(10) &amp; VLOOKUP(A652,Internal_lists_bugs!$A$2:$Z$73,26,FALSE())),"please select a BUG ID")</f>
        <v>
</v>
      </c>
      <c r="C652" s="39" t="str">
        <f>IFERROR(VLOOKUP(A652,Internal_lists_bugs!$A$2:$G2011,7,FALSE()),"please select a BUG ID")</f>
        <v>https://opendev.org/openstack/nova/commit/f90885bacba3728dc9a35e99eecef37a37b881e2</v>
      </c>
      <c r="D652" s="1" t="s">
        <v>1214</v>
      </c>
      <c r="E652" s="50"/>
      <c r="F652" s="43"/>
      <c r="G652" s="50"/>
      <c r="H652" s="16" t="s">
        <v>1234</v>
      </c>
    </row>
    <row r="653">
      <c r="A653" s="16" t="s">
        <v>40</v>
      </c>
      <c r="B653" s="59" t="str">
        <f>IFERROR(HYPERLINK(VLOOKUP(A653,Internal_lists_bugs!$A$2:$C$73,3,FALSE()), VLOOKUP(A653,Internal_lists_bugs!$A$2:$C$73,3,FALSE())&amp;Char(10) &amp; Char(10) &amp; VLOOKUP(A653,Internal_lists_bugs!$A$2:$Z$73,26,FALSE())),"please select a BUG ID")</f>
        <v>
</v>
      </c>
      <c r="C653" s="39" t="str">
        <f>IFERROR(VLOOKUP(A653,Internal_lists_bugs!$A$2:$G2011,7,FALSE()),"please select a BUG ID")</f>
        <v>https://opendev.org/openstack/nova/commit/f90885bacba3728dc9a35e99eecef37a37b881e2</v>
      </c>
      <c r="D653" s="1" t="s">
        <v>1205</v>
      </c>
      <c r="E653" s="50"/>
      <c r="F653" s="43"/>
      <c r="G653" s="50"/>
      <c r="H653" s="43"/>
    </row>
    <row r="654">
      <c r="A654" s="16" t="s">
        <v>40</v>
      </c>
      <c r="B654" s="59" t="str">
        <f>IFERROR(HYPERLINK(VLOOKUP(A654,Internal_lists_bugs!$A$2:$C$73,3,FALSE()), VLOOKUP(A654,Internal_lists_bugs!$A$2:$C$73,3,FALSE())&amp;Char(10) &amp; Char(10) &amp; VLOOKUP(A654,Internal_lists_bugs!$A$2:$Z$73,26,FALSE())),"please select a BUG ID")</f>
        <v>
</v>
      </c>
      <c r="C654" s="39" t="str">
        <f>IFERROR(VLOOKUP(A654,Internal_lists_bugs!$A$2:$G2011,7,FALSE()),"please select a BUG ID")</f>
        <v>https://opendev.org/openstack/nova/commit/f90885bacba3728dc9a35e99eecef37a37b881e2</v>
      </c>
      <c r="D654" s="1" t="s">
        <v>1183</v>
      </c>
      <c r="E654" s="50"/>
      <c r="F654" s="43"/>
      <c r="G654" s="50"/>
      <c r="H654" s="43"/>
    </row>
    <row r="655">
      <c r="A655" s="16" t="s">
        <v>40</v>
      </c>
      <c r="B655" s="59" t="str">
        <f>IFERROR(HYPERLINK(VLOOKUP(A655,Internal_lists_bugs!$A$2:$C$73,3,FALSE()), VLOOKUP(A655,Internal_lists_bugs!$A$2:$C$73,3,FALSE())&amp;Char(10) &amp; Char(10) &amp; VLOOKUP(A655,Internal_lists_bugs!$A$2:$Z$73,26,FALSE())),"please select a BUG ID")</f>
        <v>
</v>
      </c>
      <c r="C655" s="39" t="str">
        <f>IFERROR(VLOOKUP(A655,Internal_lists_bugs!$A$2:$G2011,7,FALSE()),"please select a BUG ID")</f>
        <v>https://opendev.org/openstack/nova/commit/f90885bacba3728dc9a35e99eecef37a37b881e2</v>
      </c>
      <c r="D655" s="1" t="s">
        <v>1184</v>
      </c>
      <c r="E655" s="50"/>
      <c r="F655" s="43"/>
      <c r="G655" s="50"/>
      <c r="H655" s="43"/>
    </row>
    <row r="656">
      <c r="A656" s="16" t="s">
        <v>40</v>
      </c>
      <c r="B656" s="59" t="str">
        <f>IFERROR(HYPERLINK(VLOOKUP(A656,Internal_lists_bugs!$A$2:$C$73,3,FALSE()), VLOOKUP(A656,Internal_lists_bugs!$A$2:$C$73,3,FALSE())&amp;Char(10) &amp; Char(10) &amp; VLOOKUP(A656,Internal_lists_bugs!$A$2:$Z$73,26,FALSE())),"please select a BUG ID")</f>
        <v>
</v>
      </c>
      <c r="C656" s="39" t="str">
        <f>IFERROR(VLOOKUP(A656,Internal_lists_bugs!$A$2:$G2011,7,FALSE()),"please select a BUG ID")</f>
        <v>https://opendev.org/openstack/nova/commit/f90885bacba3728dc9a35e99eecef37a37b881e2</v>
      </c>
      <c r="D656" s="1" t="s">
        <v>1185</v>
      </c>
      <c r="E656" s="50"/>
      <c r="F656" s="43"/>
      <c r="G656" s="50"/>
      <c r="H656" s="43"/>
    </row>
    <row r="657">
      <c r="A657" s="16" t="s">
        <v>40</v>
      </c>
      <c r="B657" s="59" t="str">
        <f>IFERROR(HYPERLINK(VLOOKUP(A657,Internal_lists_bugs!$A$2:$C$73,3,FALSE()), VLOOKUP(A657,Internal_lists_bugs!$A$2:$C$73,3,FALSE())&amp;Char(10) &amp; Char(10) &amp; VLOOKUP(A657,Internal_lists_bugs!$A$2:$Z$73,26,FALSE())),"please select a BUG ID")</f>
        <v>
</v>
      </c>
      <c r="C657" s="39" t="str">
        <f>IFERROR(VLOOKUP(A657,Internal_lists_bugs!$A$2:$G2011,7,FALSE()),"please select a BUG ID")</f>
        <v>https://opendev.org/openstack/nova/commit/f90885bacba3728dc9a35e99eecef37a37b881e2</v>
      </c>
      <c r="D657" s="1" t="s">
        <v>1196</v>
      </c>
      <c r="E657" s="50"/>
      <c r="F657" s="43"/>
      <c r="G657" s="50"/>
      <c r="H657" s="43"/>
    </row>
    <row r="658">
      <c r="A658" s="16" t="s">
        <v>40</v>
      </c>
      <c r="B658" s="59" t="str">
        <f>IFERROR(HYPERLINK(VLOOKUP(A658,Internal_lists_bugs!$A$2:$C$73,3,FALSE()), VLOOKUP(A658,Internal_lists_bugs!$A$2:$C$73,3,FALSE())&amp;Char(10) &amp; Char(10) &amp; VLOOKUP(A658,Internal_lists_bugs!$A$2:$Z$73,26,FALSE())),"please select a BUG ID")</f>
        <v>
</v>
      </c>
      <c r="C658" s="39" t="str">
        <f>IFERROR(VLOOKUP(A658,Internal_lists_bugs!$A$2:$G2011,7,FALSE()),"please select a BUG ID")</f>
        <v>https://opendev.org/openstack/nova/commit/f90885bacba3728dc9a35e99eecef37a37b881e2</v>
      </c>
      <c r="D658" s="1" t="s">
        <v>1187</v>
      </c>
      <c r="E658" s="50"/>
      <c r="F658" s="43"/>
      <c r="G658" s="50"/>
      <c r="H658" s="43"/>
    </row>
    <row r="659">
      <c r="A659" s="16" t="s">
        <v>40</v>
      </c>
      <c r="B659" s="59" t="str">
        <f>IFERROR(HYPERLINK(VLOOKUP(A659,Internal_lists_bugs!$A$2:$C$73,3,FALSE()), VLOOKUP(A659,Internal_lists_bugs!$A$2:$C$73,3,FALSE())&amp;Char(10) &amp; Char(10) &amp; VLOOKUP(A659,Internal_lists_bugs!$A$2:$Z$73,26,FALSE())),"please select a BUG ID")</f>
        <v>
</v>
      </c>
      <c r="C659" s="39" t="str">
        <f>IFERROR(VLOOKUP(A659,Internal_lists_bugs!$A$2:$G2011,7,FALSE()),"please select a BUG ID")</f>
        <v>https://opendev.org/openstack/nova/commit/f90885bacba3728dc9a35e99eecef37a37b881e2</v>
      </c>
      <c r="D659" s="1" t="s">
        <v>1206</v>
      </c>
      <c r="E659" s="50"/>
      <c r="F659" s="43"/>
      <c r="G659" s="50"/>
      <c r="H659" s="43"/>
    </row>
    <row r="660">
      <c r="A660" s="16" t="s">
        <v>40</v>
      </c>
      <c r="B660" s="59" t="str">
        <f>IFERROR(HYPERLINK(VLOOKUP(A660,Internal_lists_bugs!$A$2:$C$73,3,FALSE()), VLOOKUP(A660,Internal_lists_bugs!$A$2:$C$73,3,FALSE())&amp;Char(10) &amp; Char(10) &amp; VLOOKUP(A660,Internal_lists_bugs!$A$2:$Z$73,26,FALSE())),"please select a BUG ID")</f>
        <v>
</v>
      </c>
      <c r="C660" s="39" t="str">
        <f>IFERROR(VLOOKUP(A660,Internal_lists_bugs!$A$2:$G2011,7,FALSE()),"please select a BUG ID")</f>
        <v>https://opendev.org/openstack/nova/commit/f90885bacba3728dc9a35e99eecef37a37b881e2</v>
      </c>
      <c r="D660" s="1" t="s">
        <v>1213</v>
      </c>
      <c r="E660" s="50"/>
      <c r="F660" s="43"/>
      <c r="G660" s="50"/>
      <c r="H660" s="43"/>
    </row>
    <row r="661">
      <c r="A661" s="16" t="s">
        <v>40</v>
      </c>
      <c r="B661" s="59" t="str">
        <f>IFERROR(HYPERLINK(VLOOKUP(A661,Internal_lists_bugs!$A$2:$C$73,3,FALSE()), VLOOKUP(A661,Internal_lists_bugs!$A$2:$C$73,3,FALSE())&amp;Char(10) &amp; Char(10) &amp; VLOOKUP(A661,Internal_lists_bugs!$A$2:$Z$73,26,FALSE())),"please select a BUG ID")</f>
        <v>
</v>
      </c>
      <c r="C661" s="39" t="str">
        <f>IFERROR(VLOOKUP(A661,Internal_lists_bugs!$A$2:$G2011,7,FALSE()),"please select a BUG ID")</f>
        <v>https://opendev.org/openstack/nova/commit/f90885bacba3728dc9a35e99eecef37a37b881e2</v>
      </c>
      <c r="D661" s="16" t="s">
        <v>1223</v>
      </c>
      <c r="E661" s="50"/>
      <c r="F661" s="43"/>
      <c r="G661" s="50"/>
      <c r="H661" s="43"/>
    </row>
    <row r="662">
      <c r="A662" s="16" t="s">
        <v>40</v>
      </c>
      <c r="B662" s="59" t="str">
        <f>IFERROR(HYPERLINK(VLOOKUP(A662,Internal_lists_bugs!$A$2:$C$73,3,FALSE()), VLOOKUP(A662,Internal_lists_bugs!$A$2:$C$73,3,FALSE())&amp;Char(10) &amp; Char(10) &amp; VLOOKUP(A662,Internal_lists_bugs!$A$2:$Z$73,26,FALSE())),"please select a BUG ID")</f>
        <v>
</v>
      </c>
      <c r="C662" s="39" t="str">
        <f>IFERROR(VLOOKUP(A662,Internal_lists_bugs!$A$2:$G2011,7,FALSE()),"please select a BUG ID")</f>
        <v>https://opendev.org/openstack/nova/commit/f90885bacba3728dc9a35e99eecef37a37b881e2</v>
      </c>
      <c r="D662" s="16" t="s">
        <v>1226</v>
      </c>
      <c r="E662" s="50"/>
      <c r="F662" s="43"/>
      <c r="G662" s="50"/>
      <c r="H662" s="43"/>
    </row>
    <row r="663">
      <c r="A663" s="16" t="s">
        <v>40</v>
      </c>
      <c r="B663" s="59" t="str">
        <f>IFERROR(HYPERLINK(VLOOKUP(A663,Internal_lists_bugs!$A$2:$C$73,3,FALSE()), VLOOKUP(A663,Internal_lists_bugs!$A$2:$C$73,3,FALSE())&amp;Char(10) &amp; Char(10) &amp; VLOOKUP(A663,Internal_lists_bugs!$A$2:$Z$73,26,FALSE())),"please select a BUG ID")</f>
        <v>
</v>
      </c>
      <c r="C663" s="39" t="str">
        <f>IFERROR(VLOOKUP(A663,Internal_lists_bugs!$A$2:$G2011,7,FALSE()),"please select a BUG ID")</f>
        <v>https://opendev.org/openstack/nova/commit/f90885bacba3728dc9a35e99eecef37a37b881e2</v>
      </c>
      <c r="D663" s="16" t="s">
        <v>1229</v>
      </c>
      <c r="E663" s="50"/>
      <c r="F663" s="43"/>
      <c r="G663" s="50"/>
      <c r="H663" s="43"/>
    </row>
    <row r="664">
      <c r="A664" s="16" t="s">
        <v>40</v>
      </c>
      <c r="B664" s="59" t="str">
        <f>IFERROR(HYPERLINK(VLOOKUP(A664,Internal_lists_bugs!$A$2:$C$73,3,FALSE()), VLOOKUP(A664,Internal_lists_bugs!$A$2:$C$73,3,FALSE())&amp;Char(10) &amp; Char(10) &amp; VLOOKUP(A664,Internal_lists_bugs!$A$2:$Z$73,26,FALSE())),"please select a BUG ID")</f>
        <v>
</v>
      </c>
      <c r="C664" s="39" t="str">
        <f>IFERROR(VLOOKUP(A664,Internal_lists_bugs!$A$2:$G2011,7,FALSE()),"please select a BUG ID")</f>
        <v>https://opendev.org/openstack/nova/commit/f90885bacba3728dc9a35e99eecef37a37b881e2</v>
      </c>
      <c r="D664" s="16" t="s">
        <v>1230</v>
      </c>
      <c r="E664" s="50"/>
      <c r="F664" s="43"/>
      <c r="G664" s="50"/>
      <c r="H664" s="43"/>
    </row>
    <row r="665">
      <c r="A665" s="16" t="s">
        <v>40</v>
      </c>
      <c r="B665" s="59" t="str">
        <f>IFERROR(HYPERLINK(VLOOKUP(A665,Internal_lists_bugs!$A$2:$C$73,3,FALSE()), VLOOKUP(A665,Internal_lists_bugs!$A$2:$C$73,3,FALSE())&amp;Char(10) &amp; Char(10) &amp; VLOOKUP(A665,Internal_lists_bugs!$A$2:$Z$73,26,FALSE())),"please select a BUG ID")</f>
        <v>
</v>
      </c>
      <c r="C665" s="39" t="str">
        <f>IFERROR(VLOOKUP(A665,Internal_lists_bugs!$A$2:$G2011,7,FALSE()),"please select a BUG ID")</f>
        <v>https://opendev.org/openstack/nova/commit/f90885bacba3728dc9a35e99eecef37a37b881e2</v>
      </c>
      <c r="D665" s="16" t="s">
        <v>1227</v>
      </c>
      <c r="E665" s="50"/>
      <c r="F665" s="43"/>
      <c r="G665" s="50"/>
      <c r="H665" s="43"/>
    </row>
    <row r="666">
      <c r="A666" s="16" t="s">
        <v>40</v>
      </c>
      <c r="B666" s="59" t="str">
        <f>IFERROR(HYPERLINK(VLOOKUP(A666,Internal_lists_bugs!$A$2:$C$73,3,FALSE()), VLOOKUP(A666,Internal_lists_bugs!$A$2:$C$73,3,FALSE())&amp;Char(10) &amp; Char(10) &amp; VLOOKUP(A666,Internal_lists_bugs!$A$2:$Z$73,26,FALSE())),"please select a BUG ID")</f>
        <v>
</v>
      </c>
      <c r="C666" s="39" t="str">
        <f>IFERROR(VLOOKUP(A666,Internal_lists_bugs!$A$2:$G2011,7,FALSE()),"please select a BUG ID")</f>
        <v>https://opendev.org/openstack/nova/commit/f90885bacba3728dc9a35e99eecef37a37b881e2</v>
      </c>
      <c r="D666" s="16" t="s">
        <v>1239</v>
      </c>
      <c r="E666" s="50"/>
      <c r="F666" s="43"/>
      <c r="G666" s="50"/>
      <c r="H666" s="43"/>
    </row>
    <row r="667">
      <c r="A667" s="16" t="s">
        <v>50</v>
      </c>
      <c r="B667" s="59" t="str">
        <f>IFERROR(HYPERLINK(VLOOKUP(A667,Internal_lists_bugs!$A$2:$C$73,3,FALSE()), VLOOKUP(A667,Internal_lists_bugs!$A$2:$C$73,3,FALSE())&amp;Char(10) &amp; Char(10) &amp; VLOOKUP(A667,Internal_lists_bugs!$A$2:$Z$73,26,FALSE())),"please select a BUG ID")</f>
        <v>
</v>
      </c>
      <c r="C667" s="39" t="str">
        <f>IFERROR(VLOOKUP(A667,Internal_lists_bugs!$A$2:$G2011,7,FALSE()),"please select a BUG ID")</f>
        <v>https://opendev.org/openstack/nova/commit/73515209cf09821a2fc922e1ae2c97650802fab4</v>
      </c>
      <c r="D667" s="1" t="s">
        <v>1220</v>
      </c>
      <c r="E667" s="50"/>
      <c r="F667" s="16" t="s">
        <v>1174</v>
      </c>
      <c r="G667" s="50"/>
      <c r="H667" s="16" t="s">
        <v>1221</v>
      </c>
    </row>
    <row r="668">
      <c r="A668" s="16" t="s">
        <v>50</v>
      </c>
      <c r="B668" s="59" t="str">
        <f>IFERROR(HYPERLINK(VLOOKUP(A668,Internal_lists_bugs!$A$2:$C$73,3,FALSE()), VLOOKUP(A668,Internal_lists_bugs!$A$2:$C$73,3,FALSE())&amp;Char(10) &amp; Char(10) &amp; VLOOKUP(A668,Internal_lists_bugs!$A$2:$Z$73,26,FALSE())),"please select a BUG ID")</f>
        <v>
</v>
      </c>
      <c r="C668" s="39" t="str">
        <f>IFERROR(VLOOKUP(A668,Internal_lists_bugs!$A$2:$G2011,7,FALSE()),"please select a BUG ID")</f>
        <v>https://opendev.org/openstack/nova/commit/73515209cf09821a2fc922e1ae2c97650802fab4</v>
      </c>
      <c r="D668" s="1" t="s">
        <v>1209</v>
      </c>
      <c r="E668" s="50"/>
      <c r="F668" s="43"/>
      <c r="G668" s="50"/>
      <c r="H668" s="16" t="s">
        <v>1175</v>
      </c>
    </row>
    <row r="669">
      <c r="A669" s="16" t="s">
        <v>50</v>
      </c>
      <c r="B669" s="59" t="str">
        <f>IFERROR(HYPERLINK(VLOOKUP(A669,Internal_lists_bugs!$A$2:$C$73,3,FALSE()), VLOOKUP(A669,Internal_lists_bugs!$A$2:$C$73,3,FALSE())&amp;Char(10) &amp; Char(10) &amp; VLOOKUP(A669,Internal_lists_bugs!$A$2:$Z$73,26,FALSE())),"please select a BUG ID")</f>
        <v>
</v>
      </c>
      <c r="C669" s="39" t="str">
        <f>IFERROR(VLOOKUP(A669,Internal_lists_bugs!$A$2:$G2011,7,FALSE()),"please select a BUG ID")</f>
        <v>https://opendev.org/openstack/nova/commit/73515209cf09821a2fc922e1ae2c97650802fab4</v>
      </c>
      <c r="D669" s="1" t="s">
        <v>1178</v>
      </c>
      <c r="E669" s="50"/>
      <c r="F669" s="43"/>
      <c r="G669" s="50"/>
      <c r="H669" s="16" t="s">
        <v>1212</v>
      </c>
    </row>
    <row r="670">
      <c r="A670" s="16" t="s">
        <v>50</v>
      </c>
      <c r="B670" s="59" t="str">
        <f>IFERROR(HYPERLINK(VLOOKUP(A670,Internal_lists_bugs!$A$2:$C$73,3,FALSE()), VLOOKUP(A670,Internal_lists_bugs!$A$2:$C$73,3,FALSE())&amp;Char(10) &amp; Char(10) &amp; VLOOKUP(A670,Internal_lists_bugs!$A$2:$Z$73,26,FALSE())),"please select a BUG ID")</f>
        <v>
</v>
      </c>
      <c r="C670" s="39" t="str">
        <f>IFERROR(VLOOKUP(A670,Internal_lists_bugs!$A$2:$G2011,7,FALSE()),"please select a BUG ID")</f>
        <v>https://opendev.org/openstack/nova/commit/73515209cf09821a2fc922e1ae2c97650802fab4</v>
      </c>
      <c r="D670" s="1" t="s">
        <v>1182</v>
      </c>
      <c r="E670" s="50"/>
      <c r="F670" s="43"/>
      <c r="G670" s="50"/>
      <c r="H670" s="16" t="s">
        <v>1203</v>
      </c>
    </row>
    <row r="671">
      <c r="A671" s="16" t="s">
        <v>50</v>
      </c>
      <c r="B671" s="59" t="str">
        <f>IFERROR(HYPERLINK(VLOOKUP(A671,Internal_lists_bugs!$A$2:$C$73,3,FALSE()), VLOOKUP(A671,Internal_lists_bugs!$A$2:$C$73,3,FALSE())&amp;Char(10) &amp; Char(10) &amp; VLOOKUP(A671,Internal_lists_bugs!$A$2:$Z$73,26,FALSE())),"please select a BUG ID")</f>
        <v>
</v>
      </c>
      <c r="C671" s="39" t="str">
        <f>IFERROR(VLOOKUP(A671,Internal_lists_bugs!$A$2:$G2011,7,FALSE()),"please select a BUG ID")</f>
        <v>https://opendev.org/openstack/nova/commit/73515209cf09821a2fc922e1ae2c97650802fab4</v>
      </c>
      <c r="D671" s="1" t="s">
        <v>1191</v>
      </c>
      <c r="E671" s="50"/>
      <c r="F671" s="43"/>
      <c r="G671" s="50"/>
      <c r="H671" s="16" t="s">
        <v>1224</v>
      </c>
    </row>
    <row r="672">
      <c r="A672" s="16" t="s">
        <v>50</v>
      </c>
      <c r="B672" s="59" t="str">
        <f>IFERROR(HYPERLINK(VLOOKUP(A672,Internal_lists_bugs!$A$2:$C$73,3,FALSE()), VLOOKUP(A672,Internal_lists_bugs!$A$2:$C$73,3,FALSE())&amp;Char(10) &amp; Char(10) &amp; VLOOKUP(A672,Internal_lists_bugs!$A$2:$Z$73,26,FALSE())),"please select a BUG ID")</f>
        <v>
</v>
      </c>
      <c r="C672" s="39" t="str">
        <f>IFERROR(VLOOKUP(A672,Internal_lists_bugs!$A$2:$G2011,7,FALSE()),"please select a BUG ID")</f>
        <v>https://opendev.org/openstack/nova/commit/73515209cf09821a2fc922e1ae2c97650802fab4</v>
      </c>
      <c r="D672" s="1" t="s">
        <v>1218</v>
      </c>
      <c r="E672" s="50"/>
      <c r="F672" s="43"/>
      <c r="G672" s="50"/>
      <c r="H672" s="16" t="s">
        <v>1225</v>
      </c>
    </row>
    <row r="673">
      <c r="A673" s="16" t="s">
        <v>50</v>
      </c>
      <c r="B673" s="59" t="str">
        <f>IFERROR(HYPERLINK(VLOOKUP(A673,Internal_lists_bugs!$A$2:$C$73,3,FALSE()), VLOOKUP(A673,Internal_lists_bugs!$A$2:$C$73,3,FALSE())&amp;Char(10) &amp; Char(10) &amp; VLOOKUP(A673,Internal_lists_bugs!$A$2:$Z$73,26,FALSE())),"please select a BUG ID")</f>
        <v>
</v>
      </c>
      <c r="C673" s="39" t="str">
        <f>IFERROR(VLOOKUP(A673,Internal_lists_bugs!$A$2:$G2011,7,FALSE()),"please select a BUG ID")</f>
        <v>https://opendev.org/openstack/nova/commit/73515209cf09821a2fc922e1ae2c97650802fab4</v>
      </c>
      <c r="D673" s="1" t="s">
        <v>1219</v>
      </c>
      <c r="E673" s="50"/>
      <c r="F673" s="43"/>
      <c r="G673" s="50"/>
      <c r="H673" s="16" t="s">
        <v>1222</v>
      </c>
    </row>
    <row r="674">
      <c r="A674" s="16" t="s">
        <v>50</v>
      </c>
      <c r="B674" s="59" t="str">
        <f>IFERROR(HYPERLINK(VLOOKUP(A674,Internal_lists_bugs!$A$2:$C$73,3,FALSE()), VLOOKUP(A674,Internal_lists_bugs!$A$2:$C$73,3,FALSE())&amp;Char(10) &amp; Char(10) &amp; VLOOKUP(A674,Internal_lists_bugs!$A$2:$Z$73,26,FALSE())),"please select a BUG ID")</f>
        <v>
</v>
      </c>
      <c r="C674" s="39" t="str">
        <f>IFERROR(VLOOKUP(A674,Internal_lists_bugs!$A$2:$G2011,7,FALSE()),"please select a BUG ID")</f>
        <v>https://opendev.org/openstack/nova/commit/73515209cf09821a2fc922e1ae2c97650802fab4</v>
      </c>
      <c r="D674" s="1" t="s">
        <v>1199</v>
      </c>
      <c r="E674" s="50"/>
      <c r="F674" s="43"/>
      <c r="G674" s="50"/>
      <c r="H674" s="16" t="s">
        <v>1179</v>
      </c>
    </row>
    <row r="675">
      <c r="A675" s="16" t="s">
        <v>50</v>
      </c>
      <c r="B675" s="59" t="str">
        <f>IFERROR(HYPERLINK(VLOOKUP(A675,Internal_lists_bugs!$A$2:$C$73,3,FALSE()), VLOOKUP(A675,Internal_lists_bugs!$A$2:$C$73,3,FALSE())&amp;Char(10) &amp; Char(10) &amp; VLOOKUP(A675,Internal_lists_bugs!$A$2:$Z$73,26,FALSE())),"please select a BUG ID")</f>
        <v>
</v>
      </c>
      <c r="C675" s="39" t="str">
        <f>IFERROR(VLOOKUP(A675,Internal_lists_bugs!$A$2:$G2011,7,FALSE()),"please select a BUG ID")</f>
        <v>https://opendev.org/openstack/nova/commit/73515209cf09821a2fc922e1ae2c97650802fab4</v>
      </c>
      <c r="D675" s="1" t="s">
        <v>1201</v>
      </c>
      <c r="E675" s="50"/>
      <c r="F675" s="43"/>
      <c r="G675" s="50"/>
      <c r="H675" s="16" t="s">
        <v>1197</v>
      </c>
    </row>
    <row r="676">
      <c r="A676" s="16" t="s">
        <v>50</v>
      </c>
      <c r="B676" s="59" t="str">
        <f>IFERROR(HYPERLINK(VLOOKUP(A676,Internal_lists_bugs!$A$2:$C$73,3,FALSE()), VLOOKUP(A676,Internal_lists_bugs!$A$2:$C$73,3,FALSE())&amp;Char(10) &amp; Char(10) &amp; VLOOKUP(A676,Internal_lists_bugs!$A$2:$Z$73,26,FALSE())),"please select a BUG ID")</f>
        <v>
</v>
      </c>
      <c r="C676" s="39" t="str">
        <f>IFERROR(VLOOKUP(A676,Internal_lists_bugs!$A$2:$G2011,7,FALSE()),"please select a BUG ID")</f>
        <v>https://opendev.org/openstack/nova/commit/73515209cf09821a2fc922e1ae2c97650802fab4</v>
      </c>
      <c r="D676" s="1" t="s">
        <v>1202</v>
      </c>
      <c r="E676" s="50"/>
      <c r="F676" s="43"/>
      <c r="G676" s="50"/>
      <c r="H676" s="16" t="s">
        <v>1200</v>
      </c>
    </row>
    <row r="677">
      <c r="A677" s="16" t="s">
        <v>50</v>
      </c>
      <c r="B677" s="59" t="str">
        <f>IFERROR(HYPERLINK(VLOOKUP(A677,Internal_lists_bugs!$A$2:$C$73,3,FALSE()), VLOOKUP(A677,Internal_lists_bugs!$A$2:$C$73,3,FALSE())&amp;Char(10) &amp; Char(10) &amp; VLOOKUP(A677,Internal_lists_bugs!$A$2:$Z$73,26,FALSE())),"please select a BUG ID")</f>
        <v>
</v>
      </c>
      <c r="C677" s="39" t="str">
        <f>IFERROR(VLOOKUP(A677,Internal_lists_bugs!$A$2:$G2011,7,FALSE()),"please select a BUG ID")</f>
        <v>https://opendev.org/openstack/nova/commit/73515209cf09821a2fc922e1ae2c97650802fab4</v>
      </c>
      <c r="D677" s="1" t="s">
        <v>1173</v>
      </c>
      <c r="E677" s="50"/>
      <c r="F677" s="43"/>
      <c r="G677" s="50"/>
      <c r="H677" s="16" t="s">
        <v>1215</v>
      </c>
    </row>
    <row r="678">
      <c r="A678" s="16" t="s">
        <v>50</v>
      </c>
      <c r="B678" s="59" t="str">
        <f>IFERROR(HYPERLINK(VLOOKUP(A678,Internal_lists_bugs!$A$2:$C$73,3,FALSE()), VLOOKUP(A678,Internal_lists_bugs!$A$2:$C$73,3,FALSE())&amp;Char(10) &amp; Char(10) &amp; VLOOKUP(A678,Internal_lists_bugs!$A$2:$Z$73,26,FALSE())),"please select a BUG ID")</f>
        <v>
</v>
      </c>
      <c r="C678" s="39" t="str">
        <f>IFERROR(VLOOKUP(A678,Internal_lists_bugs!$A$2:$G2011,7,FALSE()),"please select a BUG ID")</f>
        <v>https://opendev.org/openstack/nova/commit/73515209cf09821a2fc922e1ae2c97650802fab4</v>
      </c>
      <c r="D678" s="1" t="s">
        <v>1211</v>
      </c>
      <c r="E678" s="50"/>
      <c r="F678" s="43"/>
      <c r="G678" s="50"/>
      <c r="H678" s="16" t="s">
        <v>1210</v>
      </c>
    </row>
    <row r="679">
      <c r="A679" s="16" t="s">
        <v>50</v>
      </c>
      <c r="B679" s="59" t="str">
        <f>IFERROR(HYPERLINK(VLOOKUP(A679,Internal_lists_bugs!$A$2:$C$73,3,FALSE()), VLOOKUP(A679,Internal_lists_bugs!$A$2:$C$73,3,FALSE())&amp;Char(10) &amp; Char(10) &amp; VLOOKUP(A679,Internal_lists_bugs!$A$2:$Z$73,26,FALSE())),"please select a BUG ID")</f>
        <v>
</v>
      </c>
      <c r="C679" s="39" t="str">
        <f>IFERROR(VLOOKUP(A679,Internal_lists_bugs!$A$2:$G2011,7,FALSE()),"please select a BUG ID")</f>
        <v>https://opendev.org/openstack/nova/commit/73515209cf09821a2fc922e1ae2c97650802fab4</v>
      </c>
      <c r="D679" s="1" t="s">
        <v>1214</v>
      </c>
      <c r="E679" s="50"/>
      <c r="F679" s="43"/>
      <c r="G679" s="50"/>
      <c r="H679" s="16" t="s">
        <v>1234</v>
      </c>
    </row>
    <row r="680">
      <c r="A680" s="16" t="s">
        <v>50</v>
      </c>
      <c r="B680" s="59" t="str">
        <f>IFERROR(HYPERLINK(VLOOKUP(A680,Internal_lists_bugs!$A$2:$C$73,3,FALSE()), VLOOKUP(A680,Internal_lists_bugs!$A$2:$C$73,3,FALSE())&amp;Char(10) &amp; Char(10) &amp; VLOOKUP(A680,Internal_lists_bugs!$A$2:$Z$73,26,FALSE())),"please select a BUG ID")</f>
        <v>
</v>
      </c>
      <c r="C680" s="39" t="str">
        <f>IFERROR(VLOOKUP(A680,Internal_lists_bugs!$A$2:$G2011,7,FALSE()),"please select a BUG ID")</f>
        <v>https://opendev.org/openstack/nova/commit/73515209cf09821a2fc922e1ae2c97650802fab4</v>
      </c>
      <c r="D680" s="1" t="s">
        <v>1205</v>
      </c>
      <c r="E680" s="50"/>
      <c r="F680" s="43"/>
      <c r="G680" s="50"/>
      <c r="H680" s="43"/>
    </row>
    <row r="681">
      <c r="A681" s="16" t="s">
        <v>50</v>
      </c>
      <c r="B681" s="59" t="str">
        <f>IFERROR(HYPERLINK(VLOOKUP(A681,Internal_lists_bugs!$A$2:$C$73,3,FALSE()), VLOOKUP(A681,Internal_lists_bugs!$A$2:$C$73,3,FALSE())&amp;Char(10) &amp; Char(10) &amp; VLOOKUP(A681,Internal_lists_bugs!$A$2:$Z$73,26,FALSE())),"please select a BUG ID")</f>
        <v>
</v>
      </c>
      <c r="C681" s="39" t="str">
        <f>IFERROR(VLOOKUP(A681,Internal_lists_bugs!$A$2:$G2011,7,FALSE()),"please select a BUG ID")</f>
        <v>https://opendev.org/openstack/nova/commit/73515209cf09821a2fc922e1ae2c97650802fab4</v>
      </c>
      <c r="D681" s="1" t="s">
        <v>1183</v>
      </c>
      <c r="E681" s="50"/>
      <c r="F681" s="43"/>
      <c r="G681" s="50"/>
      <c r="H681" s="43"/>
    </row>
    <row r="682">
      <c r="A682" s="16" t="s">
        <v>50</v>
      </c>
      <c r="B682" s="59" t="str">
        <f>IFERROR(HYPERLINK(VLOOKUP(A682,Internal_lists_bugs!$A$2:$C$73,3,FALSE()), VLOOKUP(A682,Internal_lists_bugs!$A$2:$C$73,3,FALSE())&amp;Char(10) &amp; Char(10) &amp; VLOOKUP(A682,Internal_lists_bugs!$A$2:$Z$73,26,FALSE())),"please select a BUG ID")</f>
        <v>
</v>
      </c>
      <c r="C682" s="39" t="str">
        <f>IFERROR(VLOOKUP(A682,Internal_lists_bugs!$A$2:$G2011,7,FALSE()),"please select a BUG ID")</f>
        <v>https://opendev.org/openstack/nova/commit/73515209cf09821a2fc922e1ae2c97650802fab4</v>
      </c>
      <c r="D682" s="1" t="s">
        <v>1184</v>
      </c>
      <c r="E682" s="50"/>
      <c r="F682" s="43"/>
      <c r="G682" s="50"/>
      <c r="H682" s="43"/>
    </row>
    <row r="683">
      <c r="A683" s="16" t="s">
        <v>50</v>
      </c>
      <c r="B683" s="59" t="str">
        <f>IFERROR(HYPERLINK(VLOOKUP(A683,Internal_lists_bugs!$A$2:$C$73,3,FALSE()), VLOOKUP(A683,Internal_lists_bugs!$A$2:$C$73,3,FALSE())&amp;Char(10) &amp; Char(10) &amp; VLOOKUP(A683,Internal_lists_bugs!$A$2:$Z$73,26,FALSE())),"please select a BUG ID")</f>
        <v>
</v>
      </c>
      <c r="C683" s="39" t="str">
        <f>IFERROR(VLOOKUP(A683,Internal_lists_bugs!$A$2:$G2011,7,FALSE()),"please select a BUG ID")</f>
        <v>https://opendev.org/openstack/nova/commit/73515209cf09821a2fc922e1ae2c97650802fab4</v>
      </c>
      <c r="D683" s="1" t="s">
        <v>1185</v>
      </c>
      <c r="E683" s="50"/>
      <c r="F683" s="43"/>
      <c r="G683" s="50"/>
      <c r="H683" s="43"/>
    </row>
    <row r="684">
      <c r="A684" s="16" t="s">
        <v>50</v>
      </c>
      <c r="B684" s="59" t="str">
        <f>IFERROR(HYPERLINK(VLOOKUP(A684,Internal_lists_bugs!$A$2:$C$73,3,FALSE()), VLOOKUP(A684,Internal_lists_bugs!$A$2:$C$73,3,FALSE())&amp;Char(10) &amp; Char(10) &amp; VLOOKUP(A684,Internal_lists_bugs!$A$2:$Z$73,26,FALSE())),"please select a BUG ID")</f>
        <v>
</v>
      </c>
      <c r="C684" s="39" t="str">
        <f>IFERROR(VLOOKUP(A684,Internal_lists_bugs!$A$2:$G2011,7,FALSE()),"please select a BUG ID")</f>
        <v>https://opendev.org/openstack/nova/commit/73515209cf09821a2fc922e1ae2c97650802fab4</v>
      </c>
      <c r="D684" s="1" t="s">
        <v>1196</v>
      </c>
      <c r="E684" s="50"/>
      <c r="F684" s="43"/>
      <c r="G684" s="50"/>
      <c r="H684" s="43"/>
    </row>
    <row r="685">
      <c r="A685" s="16" t="s">
        <v>50</v>
      </c>
      <c r="B685" s="59" t="str">
        <f>IFERROR(HYPERLINK(VLOOKUP(A685,Internal_lists_bugs!$A$2:$C$73,3,FALSE()), VLOOKUP(A685,Internal_lists_bugs!$A$2:$C$73,3,FALSE())&amp;Char(10) &amp; Char(10) &amp; VLOOKUP(A685,Internal_lists_bugs!$A$2:$Z$73,26,FALSE())),"please select a BUG ID")</f>
        <v>
</v>
      </c>
      <c r="C685" s="39" t="str">
        <f>IFERROR(VLOOKUP(A685,Internal_lists_bugs!$A$2:$G2011,7,FALSE()),"please select a BUG ID")</f>
        <v>https://opendev.org/openstack/nova/commit/73515209cf09821a2fc922e1ae2c97650802fab4</v>
      </c>
      <c r="D685" s="1" t="s">
        <v>1187</v>
      </c>
      <c r="E685" s="50"/>
      <c r="F685" s="43"/>
      <c r="G685" s="50"/>
      <c r="H685" s="43"/>
    </row>
    <row r="686">
      <c r="A686" s="16" t="s">
        <v>50</v>
      </c>
      <c r="B686" s="59" t="str">
        <f>IFERROR(HYPERLINK(VLOOKUP(A686,Internal_lists_bugs!$A$2:$C$73,3,FALSE()), VLOOKUP(A686,Internal_lists_bugs!$A$2:$C$73,3,FALSE())&amp;Char(10) &amp; Char(10) &amp; VLOOKUP(A686,Internal_lists_bugs!$A$2:$Z$73,26,FALSE())),"please select a BUG ID")</f>
        <v>
</v>
      </c>
      <c r="C686" s="39" t="str">
        <f>IFERROR(VLOOKUP(A686,Internal_lists_bugs!$A$2:$G2011,7,FALSE()),"please select a BUG ID")</f>
        <v>https://opendev.org/openstack/nova/commit/73515209cf09821a2fc922e1ae2c97650802fab4</v>
      </c>
      <c r="D686" s="1" t="s">
        <v>1206</v>
      </c>
      <c r="E686" s="50"/>
      <c r="F686" s="43"/>
      <c r="G686" s="50"/>
      <c r="H686" s="43"/>
    </row>
    <row r="687">
      <c r="A687" s="16" t="s">
        <v>50</v>
      </c>
      <c r="B687" s="59" t="str">
        <f>IFERROR(HYPERLINK(VLOOKUP(A687,Internal_lists_bugs!$A$2:$C$73,3,FALSE()), VLOOKUP(A687,Internal_lists_bugs!$A$2:$C$73,3,FALSE())&amp;Char(10) &amp; Char(10) &amp; VLOOKUP(A687,Internal_lists_bugs!$A$2:$Z$73,26,FALSE())),"please select a BUG ID")</f>
        <v>
</v>
      </c>
      <c r="C687" s="39" t="str">
        <f>IFERROR(VLOOKUP(A687,Internal_lists_bugs!$A$2:$G2011,7,FALSE()),"please select a BUG ID")</f>
        <v>https://opendev.org/openstack/nova/commit/73515209cf09821a2fc922e1ae2c97650802fab4</v>
      </c>
      <c r="D687" s="1" t="s">
        <v>1213</v>
      </c>
      <c r="E687" s="50"/>
      <c r="F687" s="43"/>
      <c r="G687" s="50"/>
      <c r="H687" s="43"/>
    </row>
    <row r="688">
      <c r="A688" s="16" t="s">
        <v>50</v>
      </c>
      <c r="B688" s="59" t="str">
        <f>IFERROR(HYPERLINK(VLOOKUP(A688,Internal_lists_bugs!$A$2:$C$73,3,FALSE()), VLOOKUP(A688,Internal_lists_bugs!$A$2:$C$73,3,FALSE())&amp;Char(10) &amp; Char(10) &amp; VLOOKUP(A688,Internal_lists_bugs!$A$2:$Z$73,26,FALSE())),"please select a BUG ID")</f>
        <v>
</v>
      </c>
      <c r="C688" s="39" t="str">
        <f>IFERROR(VLOOKUP(A688,Internal_lists_bugs!$A$2:$G2011,7,FALSE()),"please select a BUG ID")</f>
        <v>https://opendev.org/openstack/nova/commit/73515209cf09821a2fc922e1ae2c97650802fab4</v>
      </c>
      <c r="D688" s="16" t="s">
        <v>1223</v>
      </c>
      <c r="E688" s="50"/>
      <c r="F688" s="43"/>
      <c r="G688" s="50"/>
      <c r="H688" s="43"/>
    </row>
    <row r="689">
      <c r="A689" s="16" t="s">
        <v>50</v>
      </c>
      <c r="B689" s="59" t="str">
        <f>IFERROR(HYPERLINK(VLOOKUP(A689,Internal_lists_bugs!$A$2:$C$73,3,FALSE()), VLOOKUP(A689,Internal_lists_bugs!$A$2:$C$73,3,FALSE())&amp;Char(10) &amp; Char(10) &amp; VLOOKUP(A689,Internal_lists_bugs!$A$2:$Z$73,26,FALSE())),"please select a BUG ID")</f>
        <v>
</v>
      </c>
      <c r="C689" s="39" t="str">
        <f>IFERROR(VLOOKUP(A689,Internal_lists_bugs!$A$2:$G2011,7,FALSE()),"please select a BUG ID")</f>
        <v>https://opendev.org/openstack/nova/commit/73515209cf09821a2fc922e1ae2c97650802fab4</v>
      </c>
      <c r="D689" s="16" t="s">
        <v>1226</v>
      </c>
      <c r="E689" s="50"/>
      <c r="F689" s="43"/>
      <c r="G689" s="50"/>
      <c r="H689" s="43"/>
    </row>
    <row r="690">
      <c r="A690" s="16" t="s">
        <v>50</v>
      </c>
      <c r="B690" s="59" t="str">
        <f>IFERROR(HYPERLINK(VLOOKUP(A690,Internal_lists_bugs!$A$2:$C$73,3,FALSE()), VLOOKUP(A690,Internal_lists_bugs!$A$2:$C$73,3,FALSE())&amp;Char(10) &amp; Char(10) &amp; VLOOKUP(A690,Internal_lists_bugs!$A$2:$Z$73,26,FALSE())),"please select a BUG ID")</f>
        <v>
</v>
      </c>
      <c r="C690" s="39" t="str">
        <f>IFERROR(VLOOKUP(A690,Internal_lists_bugs!$A$2:$G2011,7,FALSE()),"please select a BUG ID")</f>
        <v>https://opendev.org/openstack/nova/commit/73515209cf09821a2fc922e1ae2c97650802fab4</v>
      </c>
      <c r="D690" s="16" t="s">
        <v>1239</v>
      </c>
      <c r="E690" s="50"/>
      <c r="F690" s="43"/>
      <c r="G690" s="50"/>
      <c r="H690" s="43"/>
    </row>
    <row r="691">
      <c r="A691" s="16" t="s">
        <v>50</v>
      </c>
      <c r="B691" s="59" t="str">
        <f>IFERROR(HYPERLINK(VLOOKUP(A691,Internal_lists_bugs!$A$2:$C$73,3,FALSE()), VLOOKUP(A691,Internal_lists_bugs!$A$2:$C$73,3,FALSE())&amp;Char(10) &amp; Char(10) &amp; VLOOKUP(A691,Internal_lists_bugs!$A$2:$Z$73,26,FALSE())),"please select a BUG ID")</f>
        <v>
</v>
      </c>
      <c r="C691" s="39" t="str">
        <f>IFERROR(VLOOKUP(A691,Internal_lists_bugs!$A$2:$G2011,7,FALSE()),"please select a BUG ID")</f>
        <v>https://opendev.org/openstack/nova/commit/73515209cf09821a2fc922e1ae2c97650802fab4</v>
      </c>
      <c r="D691" s="16" t="s">
        <v>1229</v>
      </c>
      <c r="E691" s="50"/>
      <c r="F691" s="43"/>
      <c r="G691" s="50"/>
      <c r="H691" s="43"/>
    </row>
    <row r="692">
      <c r="A692" s="16" t="s">
        <v>50</v>
      </c>
      <c r="B692" s="59" t="str">
        <f>IFERROR(HYPERLINK(VLOOKUP(A692,Internal_lists_bugs!$A$2:$C$73,3,FALSE()), VLOOKUP(A692,Internal_lists_bugs!$A$2:$C$73,3,FALSE())&amp;Char(10) &amp; Char(10) &amp; VLOOKUP(A692,Internal_lists_bugs!$A$2:$Z$73,26,FALSE())),"please select a BUG ID")</f>
        <v>
</v>
      </c>
      <c r="C692" s="39" t="str">
        <f>IFERROR(VLOOKUP(A692,Internal_lists_bugs!$A$2:$G2011,7,FALSE()),"please select a BUG ID")</f>
        <v>https://opendev.org/openstack/nova/commit/73515209cf09821a2fc922e1ae2c97650802fab4</v>
      </c>
      <c r="D692" s="16" t="s">
        <v>1230</v>
      </c>
      <c r="E692" s="50"/>
      <c r="F692" s="43"/>
      <c r="G692" s="50"/>
      <c r="H692" s="43"/>
    </row>
    <row r="693">
      <c r="A693" s="16" t="s">
        <v>51</v>
      </c>
      <c r="B693" s="59" t="str">
        <f>IFERROR(HYPERLINK(VLOOKUP(A693,Internal_lists_bugs!$A$2:$C$73,3,FALSE()), VLOOKUP(A693,Internal_lists_bugs!$A$2:$C$73,3,FALSE())&amp;Char(10) &amp; Char(10) &amp; VLOOKUP(A693,Internal_lists_bugs!$A$2:$Z$73,26,FALSE())),"please select a BUG ID")</f>
        <v>
</v>
      </c>
      <c r="C693" s="39" t="str">
        <f>IFERROR(VLOOKUP(A693,Internal_lists_bugs!$A$2:$G2011,7,FALSE()),"please select a BUG ID")</f>
        <v>https://opendev.org/openstack/nova/commit/98dcd0dc6fe19ab243556874e4f0910e78484e02</v>
      </c>
      <c r="D693" s="1" t="s">
        <v>1220</v>
      </c>
      <c r="E693" s="50"/>
      <c r="F693" s="16" t="s">
        <v>1174</v>
      </c>
      <c r="G693" s="50"/>
      <c r="H693" s="16" t="s">
        <v>1175</v>
      </c>
    </row>
    <row r="694">
      <c r="A694" s="16" t="s">
        <v>51</v>
      </c>
      <c r="B694" s="59" t="str">
        <f>IFERROR(HYPERLINK(VLOOKUP(A694,Internal_lists_bugs!$A$2:$C$73,3,FALSE()), VLOOKUP(A694,Internal_lists_bugs!$A$2:$C$73,3,FALSE())&amp;Char(10) &amp; Char(10) &amp; VLOOKUP(A694,Internal_lists_bugs!$A$2:$Z$73,26,FALSE())),"please select a BUG ID")</f>
        <v>
</v>
      </c>
      <c r="C694" s="39" t="str">
        <f>IFERROR(VLOOKUP(A694,Internal_lists_bugs!$A$2:$G2011,7,FALSE()),"please select a BUG ID")</f>
        <v>https://opendev.org/openstack/nova/commit/98dcd0dc6fe19ab243556874e4f0910e78484e02</v>
      </c>
      <c r="D694" s="1" t="s">
        <v>1209</v>
      </c>
      <c r="E694" s="50"/>
      <c r="F694" s="43"/>
      <c r="G694" s="50"/>
      <c r="H694" s="16" t="s">
        <v>1232</v>
      </c>
    </row>
    <row r="695">
      <c r="A695" s="16" t="s">
        <v>51</v>
      </c>
      <c r="B695" s="59" t="str">
        <f>IFERROR(HYPERLINK(VLOOKUP(A695,Internal_lists_bugs!$A$2:$C$73,3,FALSE()), VLOOKUP(A695,Internal_lists_bugs!$A$2:$C$73,3,FALSE())&amp;Char(10) &amp; Char(10) &amp; VLOOKUP(A695,Internal_lists_bugs!$A$2:$Z$73,26,FALSE())),"please select a BUG ID")</f>
        <v>
</v>
      </c>
      <c r="C695" s="39" t="str">
        <f>IFERROR(VLOOKUP(A695,Internal_lists_bugs!$A$2:$G2011,7,FALSE()),"please select a BUG ID")</f>
        <v>https://opendev.org/openstack/nova/commit/98dcd0dc6fe19ab243556874e4f0910e78484e02</v>
      </c>
      <c r="D695" s="1" t="s">
        <v>1178</v>
      </c>
      <c r="E695" s="50"/>
      <c r="F695" s="43"/>
      <c r="G695" s="50"/>
      <c r="H695" s="16" t="s">
        <v>1203</v>
      </c>
    </row>
    <row r="696">
      <c r="A696" s="16" t="s">
        <v>51</v>
      </c>
      <c r="B696" s="59" t="str">
        <f>IFERROR(HYPERLINK(VLOOKUP(A696,Internal_lists_bugs!$A$2:$C$73,3,FALSE()), VLOOKUP(A696,Internal_lists_bugs!$A$2:$C$73,3,FALSE())&amp;Char(10) &amp; Char(10) &amp; VLOOKUP(A696,Internal_lists_bugs!$A$2:$Z$73,26,FALSE())),"please select a BUG ID")</f>
        <v>
</v>
      </c>
      <c r="C696" s="39" t="str">
        <f>IFERROR(VLOOKUP(A696,Internal_lists_bugs!$A$2:$G2011,7,FALSE()),"please select a BUG ID")</f>
        <v>https://opendev.org/openstack/nova/commit/98dcd0dc6fe19ab243556874e4f0910e78484e02</v>
      </c>
      <c r="D696" s="1" t="s">
        <v>1182</v>
      </c>
      <c r="E696" s="50"/>
      <c r="F696" s="43"/>
      <c r="G696" s="50"/>
      <c r="H696" s="16" t="s">
        <v>1212</v>
      </c>
    </row>
    <row r="697">
      <c r="A697" s="16" t="s">
        <v>51</v>
      </c>
      <c r="B697" s="59" t="str">
        <f>IFERROR(HYPERLINK(VLOOKUP(A697,Internal_lists_bugs!$A$2:$C$73,3,FALSE()), VLOOKUP(A697,Internal_lists_bugs!$A$2:$C$73,3,FALSE())&amp;Char(10) &amp; Char(10) &amp; VLOOKUP(A697,Internal_lists_bugs!$A$2:$Z$73,26,FALSE())),"please select a BUG ID")</f>
        <v>
</v>
      </c>
      <c r="C697" s="39" t="str">
        <f>IFERROR(VLOOKUP(A697,Internal_lists_bugs!$A$2:$G2011,7,FALSE()),"please select a BUG ID")</f>
        <v>https://opendev.org/openstack/nova/commit/98dcd0dc6fe19ab243556874e4f0910e78484e02</v>
      </c>
      <c r="D697" s="1" t="s">
        <v>1191</v>
      </c>
      <c r="E697" s="50"/>
      <c r="F697" s="43"/>
      <c r="G697" s="50"/>
      <c r="H697" s="16" t="s">
        <v>1221</v>
      </c>
    </row>
    <row r="698">
      <c r="A698" s="16" t="s">
        <v>51</v>
      </c>
      <c r="B698" s="59" t="str">
        <f>IFERROR(HYPERLINK(VLOOKUP(A698,Internal_lists_bugs!$A$2:$C$73,3,FALSE()), VLOOKUP(A698,Internal_lists_bugs!$A$2:$C$73,3,FALSE())&amp;Char(10) &amp; Char(10) &amp; VLOOKUP(A698,Internal_lists_bugs!$A$2:$Z$73,26,FALSE())),"please select a BUG ID")</f>
        <v>
</v>
      </c>
      <c r="C698" s="39" t="str">
        <f>IFERROR(VLOOKUP(A698,Internal_lists_bugs!$A$2:$G2011,7,FALSE()),"please select a BUG ID")</f>
        <v>https://opendev.org/openstack/nova/commit/98dcd0dc6fe19ab243556874e4f0910e78484e02</v>
      </c>
      <c r="D698" s="1" t="s">
        <v>1218</v>
      </c>
      <c r="E698" s="50"/>
      <c r="F698" s="43"/>
      <c r="G698" s="50"/>
      <c r="H698" s="16" t="s">
        <v>1222</v>
      </c>
    </row>
    <row r="699">
      <c r="A699" s="16" t="s">
        <v>51</v>
      </c>
      <c r="B699" s="59" t="str">
        <f>IFERROR(HYPERLINK(VLOOKUP(A699,Internal_lists_bugs!$A$2:$C$73,3,FALSE()), VLOOKUP(A699,Internal_lists_bugs!$A$2:$C$73,3,FALSE())&amp;Char(10) &amp; Char(10) &amp; VLOOKUP(A699,Internal_lists_bugs!$A$2:$Z$73,26,FALSE())),"please select a BUG ID")</f>
        <v>
</v>
      </c>
      <c r="C699" s="39" t="str">
        <f>IFERROR(VLOOKUP(A699,Internal_lists_bugs!$A$2:$G2011,7,FALSE()),"please select a BUG ID")</f>
        <v>https://opendev.org/openstack/nova/commit/98dcd0dc6fe19ab243556874e4f0910e78484e02</v>
      </c>
      <c r="D699" s="1" t="s">
        <v>1219</v>
      </c>
      <c r="E699" s="50"/>
      <c r="F699" s="43"/>
      <c r="G699" s="50"/>
      <c r="H699" s="16" t="s">
        <v>1225</v>
      </c>
    </row>
    <row r="700">
      <c r="A700" s="16" t="s">
        <v>51</v>
      </c>
      <c r="B700" s="59" t="str">
        <f>IFERROR(HYPERLINK(VLOOKUP(A700,Internal_lists_bugs!$A$2:$C$73,3,FALSE()), VLOOKUP(A700,Internal_lists_bugs!$A$2:$C$73,3,FALSE())&amp;Char(10) &amp; Char(10) &amp; VLOOKUP(A700,Internal_lists_bugs!$A$2:$Z$73,26,FALSE())),"please select a BUG ID")</f>
        <v>
</v>
      </c>
      <c r="C700" s="39" t="str">
        <f>IFERROR(VLOOKUP(A700,Internal_lists_bugs!$A$2:$G2011,7,FALSE()),"please select a BUG ID")</f>
        <v>https://opendev.org/openstack/nova/commit/98dcd0dc6fe19ab243556874e4f0910e78484e02</v>
      </c>
      <c r="D700" s="1" t="s">
        <v>1199</v>
      </c>
      <c r="E700" s="50"/>
      <c r="F700" s="43"/>
      <c r="G700" s="50"/>
      <c r="H700" s="16" t="s">
        <v>1224</v>
      </c>
    </row>
    <row r="701">
      <c r="A701" s="16" t="s">
        <v>51</v>
      </c>
      <c r="B701" s="59" t="str">
        <f>IFERROR(HYPERLINK(VLOOKUP(A701,Internal_lists_bugs!$A$2:$C$73,3,FALSE()), VLOOKUP(A701,Internal_lists_bugs!$A$2:$C$73,3,FALSE())&amp;Char(10) &amp; Char(10) &amp; VLOOKUP(A701,Internal_lists_bugs!$A$2:$Z$73,26,FALSE())),"please select a BUG ID")</f>
        <v>
</v>
      </c>
      <c r="C701" s="39" t="str">
        <f>IFERROR(VLOOKUP(A701,Internal_lists_bugs!$A$2:$G2011,7,FALSE()),"please select a BUG ID")</f>
        <v>https://opendev.org/openstack/nova/commit/98dcd0dc6fe19ab243556874e4f0910e78484e02</v>
      </c>
      <c r="D701" s="1" t="s">
        <v>1201</v>
      </c>
      <c r="E701" s="50"/>
      <c r="F701" s="43"/>
      <c r="G701" s="50"/>
      <c r="H701" s="16" t="s">
        <v>1179</v>
      </c>
    </row>
    <row r="702">
      <c r="A702" s="16" t="s">
        <v>51</v>
      </c>
      <c r="B702" s="59" t="str">
        <f>IFERROR(HYPERLINK(VLOOKUP(A702,Internal_lists_bugs!$A$2:$C$73,3,FALSE()), VLOOKUP(A702,Internal_lists_bugs!$A$2:$C$73,3,FALSE())&amp;Char(10) &amp; Char(10) &amp; VLOOKUP(A702,Internal_lists_bugs!$A$2:$Z$73,26,FALSE())),"please select a BUG ID")</f>
        <v>
</v>
      </c>
      <c r="C702" s="39" t="str">
        <f>IFERROR(VLOOKUP(A702,Internal_lists_bugs!$A$2:$G2011,7,FALSE()),"please select a BUG ID")</f>
        <v>https://opendev.org/openstack/nova/commit/98dcd0dc6fe19ab243556874e4f0910e78484e02</v>
      </c>
      <c r="D702" s="1" t="s">
        <v>1202</v>
      </c>
      <c r="E702" s="50"/>
      <c r="F702" s="43"/>
      <c r="G702" s="50"/>
      <c r="H702" s="16" t="s">
        <v>1197</v>
      </c>
    </row>
    <row r="703">
      <c r="A703" s="16" t="s">
        <v>51</v>
      </c>
      <c r="B703" s="59" t="str">
        <f>IFERROR(HYPERLINK(VLOOKUP(A703,Internal_lists_bugs!$A$2:$C$73,3,FALSE()), VLOOKUP(A703,Internal_lists_bugs!$A$2:$C$73,3,FALSE())&amp;Char(10) &amp; Char(10) &amp; VLOOKUP(A703,Internal_lists_bugs!$A$2:$Z$73,26,FALSE())),"please select a BUG ID")</f>
        <v>
</v>
      </c>
      <c r="C703" s="39" t="str">
        <f>IFERROR(VLOOKUP(A703,Internal_lists_bugs!$A$2:$G2011,7,FALSE()),"please select a BUG ID")</f>
        <v>https://opendev.org/openstack/nova/commit/98dcd0dc6fe19ab243556874e4f0910e78484e02</v>
      </c>
      <c r="D703" s="1" t="s">
        <v>1173</v>
      </c>
      <c r="E703" s="50"/>
      <c r="F703" s="43"/>
      <c r="G703" s="50"/>
      <c r="H703" s="16" t="s">
        <v>1200</v>
      </c>
    </row>
    <row r="704">
      <c r="A704" s="16" t="s">
        <v>51</v>
      </c>
      <c r="B704" s="59" t="str">
        <f>IFERROR(HYPERLINK(VLOOKUP(A704,Internal_lists_bugs!$A$2:$C$73,3,FALSE()), VLOOKUP(A704,Internal_lists_bugs!$A$2:$C$73,3,FALSE())&amp;Char(10) &amp; Char(10) &amp; VLOOKUP(A704,Internal_lists_bugs!$A$2:$Z$73,26,FALSE())),"please select a BUG ID")</f>
        <v>
</v>
      </c>
      <c r="C704" s="39" t="str">
        <f>IFERROR(VLOOKUP(A704,Internal_lists_bugs!$A$2:$G2011,7,FALSE()),"please select a BUG ID")</f>
        <v>https://opendev.org/openstack/nova/commit/98dcd0dc6fe19ab243556874e4f0910e78484e02</v>
      </c>
      <c r="D704" s="1" t="s">
        <v>1211</v>
      </c>
      <c r="E704" s="50"/>
      <c r="F704" s="43"/>
      <c r="G704" s="50"/>
      <c r="H704" s="16" t="s">
        <v>1215</v>
      </c>
    </row>
    <row r="705">
      <c r="A705" s="16" t="s">
        <v>51</v>
      </c>
      <c r="B705" s="59" t="str">
        <f>IFERROR(HYPERLINK(VLOOKUP(A705,Internal_lists_bugs!$A$2:$C$73,3,FALSE()), VLOOKUP(A705,Internal_lists_bugs!$A$2:$C$73,3,FALSE())&amp;Char(10) &amp; Char(10) &amp; VLOOKUP(A705,Internal_lists_bugs!$A$2:$Z$73,26,FALSE())),"please select a BUG ID")</f>
        <v>
</v>
      </c>
      <c r="C705" s="39" t="str">
        <f>IFERROR(VLOOKUP(A705,Internal_lists_bugs!$A$2:$G2011,7,FALSE()),"please select a BUG ID")</f>
        <v>https://opendev.org/openstack/nova/commit/98dcd0dc6fe19ab243556874e4f0910e78484e02</v>
      </c>
      <c r="D705" s="1" t="s">
        <v>1214</v>
      </c>
      <c r="E705" s="50"/>
      <c r="F705" s="43"/>
      <c r="G705" s="50"/>
      <c r="H705" s="16" t="s">
        <v>1210</v>
      </c>
    </row>
    <row r="706">
      <c r="A706" s="16" t="s">
        <v>51</v>
      </c>
      <c r="B706" s="59" t="str">
        <f>IFERROR(HYPERLINK(VLOOKUP(A706,Internal_lists_bugs!$A$2:$C$73,3,FALSE()), VLOOKUP(A706,Internal_lists_bugs!$A$2:$C$73,3,FALSE())&amp;Char(10) &amp; Char(10) &amp; VLOOKUP(A706,Internal_lists_bugs!$A$2:$Z$73,26,FALSE())),"please select a BUG ID")</f>
        <v>
</v>
      </c>
      <c r="C706" s="39" t="str">
        <f>IFERROR(VLOOKUP(A706,Internal_lists_bugs!$A$2:$G2011,7,FALSE()),"please select a BUG ID")</f>
        <v>https://opendev.org/openstack/nova/commit/98dcd0dc6fe19ab243556874e4f0910e78484e02</v>
      </c>
      <c r="D706" s="1" t="s">
        <v>1205</v>
      </c>
      <c r="E706" s="50"/>
      <c r="F706" s="43"/>
      <c r="G706" s="50"/>
      <c r="H706" s="16" t="s">
        <v>1234</v>
      </c>
    </row>
    <row r="707">
      <c r="A707" s="16" t="s">
        <v>51</v>
      </c>
      <c r="B707" s="59" t="str">
        <f>IFERROR(HYPERLINK(VLOOKUP(A707,Internal_lists_bugs!$A$2:$C$73,3,FALSE()), VLOOKUP(A707,Internal_lists_bugs!$A$2:$C$73,3,FALSE())&amp;Char(10) &amp; Char(10) &amp; VLOOKUP(A707,Internal_lists_bugs!$A$2:$Z$73,26,FALSE())),"please select a BUG ID")</f>
        <v>
</v>
      </c>
      <c r="C707" s="39" t="str">
        <f>IFERROR(VLOOKUP(A707,Internal_lists_bugs!$A$2:$G2011,7,FALSE()),"please select a BUG ID")</f>
        <v>https://opendev.org/openstack/nova/commit/98dcd0dc6fe19ab243556874e4f0910e78484e02</v>
      </c>
      <c r="D707" s="1" t="s">
        <v>1183</v>
      </c>
      <c r="E707" s="50"/>
      <c r="F707" s="43"/>
      <c r="G707" s="50"/>
      <c r="H707" s="43"/>
    </row>
    <row r="708">
      <c r="A708" s="16" t="s">
        <v>51</v>
      </c>
      <c r="B708" s="59" t="str">
        <f>IFERROR(HYPERLINK(VLOOKUP(A708,Internal_lists_bugs!$A$2:$C$73,3,FALSE()), VLOOKUP(A708,Internal_lists_bugs!$A$2:$C$73,3,FALSE())&amp;Char(10) &amp; Char(10) &amp; VLOOKUP(A708,Internal_lists_bugs!$A$2:$Z$73,26,FALSE())),"please select a BUG ID")</f>
        <v>
</v>
      </c>
      <c r="C708" s="39" t="str">
        <f>IFERROR(VLOOKUP(A708,Internal_lists_bugs!$A$2:$G2011,7,FALSE()),"please select a BUG ID")</f>
        <v>https://opendev.org/openstack/nova/commit/98dcd0dc6fe19ab243556874e4f0910e78484e02</v>
      </c>
      <c r="D708" s="1" t="s">
        <v>1184</v>
      </c>
      <c r="E708" s="50"/>
      <c r="F708" s="43"/>
      <c r="G708" s="50"/>
      <c r="H708" s="43"/>
    </row>
    <row r="709">
      <c r="A709" s="16" t="s">
        <v>51</v>
      </c>
      <c r="B709" s="59" t="str">
        <f>IFERROR(HYPERLINK(VLOOKUP(A709,Internal_lists_bugs!$A$2:$C$73,3,FALSE()), VLOOKUP(A709,Internal_lists_bugs!$A$2:$C$73,3,FALSE())&amp;Char(10) &amp; Char(10) &amp; VLOOKUP(A709,Internal_lists_bugs!$A$2:$Z$73,26,FALSE())),"please select a BUG ID")</f>
        <v>
</v>
      </c>
      <c r="C709" s="39" t="str">
        <f>IFERROR(VLOOKUP(A709,Internal_lists_bugs!$A$2:$G2011,7,FALSE()),"please select a BUG ID")</f>
        <v>https://opendev.org/openstack/nova/commit/98dcd0dc6fe19ab243556874e4f0910e78484e02</v>
      </c>
      <c r="D709" s="1" t="s">
        <v>1185</v>
      </c>
      <c r="E709" s="50"/>
      <c r="F709" s="43"/>
      <c r="G709" s="50"/>
      <c r="H709" s="43"/>
    </row>
    <row r="710">
      <c r="A710" s="16" t="s">
        <v>51</v>
      </c>
      <c r="B710" s="59" t="str">
        <f>IFERROR(HYPERLINK(VLOOKUP(A710,Internal_lists_bugs!$A$2:$C$73,3,FALSE()), VLOOKUP(A710,Internal_lists_bugs!$A$2:$C$73,3,FALSE())&amp;Char(10) &amp; Char(10) &amp; VLOOKUP(A710,Internal_lists_bugs!$A$2:$Z$73,26,FALSE())),"please select a BUG ID")</f>
        <v>
</v>
      </c>
      <c r="C710" s="39" t="str">
        <f>IFERROR(VLOOKUP(A710,Internal_lists_bugs!$A$2:$G2011,7,FALSE()),"please select a BUG ID")</f>
        <v>https://opendev.org/openstack/nova/commit/98dcd0dc6fe19ab243556874e4f0910e78484e02</v>
      </c>
      <c r="D710" s="1" t="s">
        <v>1196</v>
      </c>
      <c r="E710" s="50"/>
      <c r="F710" s="43"/>
      <c r="G710" s="50"/>
      <c r="H710" s="43"/>
    </row>
    <row r="711">
      <c r="A711" s="16" t="s">
        <v>51</v>
      </c>
      <c r="B711" s="59" t="str">
        <f>IFERROR(HYPERLINK(VLOOKUP(A711,Internal_lists_bugs!$A$2:$C$73,3,FALSE()), VLOOKUP(A711,Internal_lists_bugs!$A$2:$C$73,3,FALSE())&amp;Char(10) &amp; Char(10) &amp; VLOOKUP(A711,Internal_lists_bugs!$A$2:$Z$73,26,FALSE())),"please select a BUG ID")</f>
        <v>
</v>
      </c>
      <c r="C711" s="39" t="str">
        <f>IFERROR(VLOOKUP(A711,Internal_lists_bugs!$A$2:$G2011,7,FALSE()),"please select a BUG ID")</f>
        <v>https://opendev.org/openstack/nova/commit/98dcd0dc6fe19ab243556874e4f0910e78484e02</v>
      </c>
      <c r="D711" s="1" t="s">
        <v>1187</v>
      </c>
      <c r="E711" s="50"/>
      <c r="F711" s="43"/>
      <c r="G711" s="50"/>
      <c r="H711" s="43"/>
    </row>
    <row r="712">
      <c r="A712" s="16" t="s">
        <v>51</v>
      </c>
      <c r="B712" s="59" t="str">
        <f>IFERROR(HYPERLINK(VLOOKUP(A712,Internal_lists_bugs!$A$2:$C$73,3,FALSE()), VLOOKUP(A712,Internal_lists_bugs!$A$2:$C$73,3,FALSE())&amp;Char(10) &amp; Char(10) &amp; VLOOKUP(A712,Internal_lists_bugs!$A$2:$Z$73,26,FALSE())),"please select a BUG ID")</f>
        <v>
</v>
      </c>
      <c r="C712" s="39" t="str">
        <f>IFERROR(VLOOKUP(A712,Internal_lists_bugs!$A$2:$G2011,7,FALSE()),"please select a BUG ID")</f>
        <v>https://opendev.org/openstack/nova/commit/98dcd0dc6fe19ab243556874e4f0910e78484e02</v>
      </c>
      <c r="D712" s="1" t="s">
        <v>1206</v>
      </c>
      <c r="E712" s="50"/>
      <c r="F712" s="43"/>
      <c r="G712" s="50"/>
      <c r="H712" s="43"/>
    </row>
    <row r="713">
      <c r="A713" s="16" t="s">
        <v>51</v>
      </c>
      <c r="B713" s="59" t="str">
        <f>IFERROR(HYPERLINK(VLOOKUP(A713,Internal_lists_bugs!$A$2:$C$73,3,FALSE()), VLOOKUP(A713,Internal_lists_bugs!$A$2:$C$73,3,FALSE())&amp;Char(10) &amp; Char(10) &amp; VLOOKUP(A713,Internal_lists_bugs!$A$2:$Z$73,26,FALSE())),"please select a BUG ID")</f>
        <v>
</v>
      </c>
      <c r="C713" s="39" t="str">
        <f>IFERROR(VLOOKUP(A713,Internal_lists_bugs!$A$2:$G2011,7,FALSE()),"please select a BUG ID")</f>
        <v>https://opendev.org/openstack/nova/commit/98dcd0dc6fe19ab243556874e4f0910e78484e02</v>
      </c>
      <c r="D713" s="1" t="s">
        <v>1213</v>
      </c>
      <c r="E713" s="50"/>
      <c r="F713" s="43"/>
      <c r="G713" s="50"/>
      <c r="H713" s="43"/>
    </row>
    <row r="714">
      <c r="A714" s="16" t="s">
        <v>51</v>
      </c>
      <c r="B714" s="59" t="str">
        <f>IFERROR(HYPERLINK(VLOOKUP(A714,Internal_lists_bugs!$A$2:$C$73,3,FALSE()), VLOOKUP(A714,Internal_lists_bugs!$A$2:$C$73,3,FALSE())&amp;Char(10) &amp; Char(10) &amp; VLOOKUP(A714,Internal_lists_bugs!$A$2:$Z$73,26,FALSE())),"please select a BUG ID")</f>
        <v>
</v>
      </c>
      <c r="C714" s="39" t="str">
        <f>IFERROR(VLOOKUP(A714,Internal_lists_bugs!$A$2:$G2011,7,FALSE()),"please select a BUG ID")</f>
        <v>https://opendev.org/openstack/nova/commit/98dcd0dc6fe19ab243556874e4f0910e78484e02</v>
      </c>
      <c r="D714" s="16" t="s">
        <v>1223</v>
      </c>
      <c r="E714" s="50"/>
      <c r="F714" s="43"/>
      <c r="G714" s="50"/>
      <c r="H714" s="43"/>
    </row>
    <row r="715">
      <c r="A715" s="16" t="s">
        <v>51</v>
      </c>
      <c r="B715" s="59" t="str">
        <f>IFERROR(HYPERLINK(VLOOKUP(A715,Internal_lists_bugs!$A$2:$C$73,3,FALSE()), VLOOKUP(A715,Internal_lists_bugs!$A$2:$C$73,3,FALSE())&amp;Char(10) &amp; Char(10) &amp; VLOOKUP(A715,Internal_lists_bugs!$A$2:$Z$73,26,FALSE())),"please select a BUG ID")</f>
        <v>
</v>
      </c>
      <c r="C715" s="39" t="str">
        <f>IFERROR(VLOOKUP(A715,Internal_lists_bugs!$A$2:$G2011,7,FALSE()),"please select a BUG ID")</f>
        <v>https://opendev.org/openstack/nova/commit/98dcd0dc6fe19ab243556874e4f0910e78484e02</v>
      </c>
      <c r="D715" s="16" t="s">
        <v>1239</v>
      </c>
      <c r="E715" s="50"/>
      <c r="F715" s="43"/>
      <c r="G715" s="50"/>
      <c r="H715" s="43"/>
    </row>
    <row r="716">
      <c r="A716" s="16" t="s">
        <v>51</v>
      </c>
      <c r="B716" s="59" t="str">
        <f>IFERROR(HYPERLINK(VLOOKUP(A716,Internal_lists_bugs!$A$2:$C$73,3,FALSE()), VLOOKUP(A716,Internal_lists_bugs!$A$2:$C$73,3,FALSE())&amp;Char(10) &amp; Char(10) &amp; VLOOKUP(A716,Internal_lists_bugs!$A$2:$Z$73,26,FALSE())),"please select a BUG ID")</f>
        <v>
</v>
      </c>
      <c r="C716" s="39" t="str">
        <f>IFERROR(VLOOKUP(A716,Internal_lists_bugs!$A$2:$G2011,7,FALSE()),"please select a BUG ID")</f>
        <v>https://opendev.org/openstack/nova/commit/98dcd0dc6fe19ab243556874e4f0910e78484e02</v>
      </c>
      <c r="D716" s="16" t="s">
        <v>1230</v>
      </c>
      <c r="E716" s="50"/>
      <c r="F716" s="43"/>
      <c r="G716" s="50"/>
      <c r="H716" s="43"/>
    </row>
    <row r="717">
      <c r="A717" s="16" t="s">
        <v>51</v>
      </c>
      <c r="B717" s="59" t="str">
        <f>IFERROR(HYPERLINK(VLOOKUP(A717,Internal_lists_bugs!$A$2:$C$73,3,FALSE()), VLOOKUP(A717,Internal_lists_bugs!$A$2:$C$73,3,FALSE())&amp;Char(10) &amp; Char(10) &amp; VLOOKUP(A717,Internal_lists_bugs!$A$2:$Z$73,26,FALSE())),"please select a BUG ID")</f>
        <v>
</v>
      </c>
      <c r="C717" s="39" t="str">
        <f>IFERROR(VLOOKUP(A717,Internal_lists_bugs!$A$2:$G2011,7,FALSE()),"please select a BUG ID")</f>
        <v>https://opendev.org/openstack/nova/commit/98dcd0dc6fe19ab243556874e4f0910e78484e02</v>
      </c>
      <c r="D717" s="16" t="s">
        <v>1226</v>
      </c>
      <c r="E717" s="50"/>
      <c r="F717" s="43"/>
      <c r="G717" s="50"/>
      <c r="H717" s="43"/>
    </row>
    <row r="718">
      <c r="A718" s="16" t="s">
        <v>51</v>
      </c>
      <c r="B718" s="59" t="str">
        <f>IFERROR(HYPERLINK(VLOOKUP(A718,Internal_lists_bugs!$A$2:$C$73,3,FALSE()), VLOOKUP(A718,Internal_lists_bugs!$A$2:$C$73,3,FALSE())&amp;Char(10) &amp; Char(10) &amp; VLOOKUP(A718,Internal_lists_bugs!$A$2:$Z$73,26,FALSE())),"please select a BUG ID")</f>
        <v>
</v>
      </c>
      <c r="C718" s="39" t="str">
        <f>IFERROR(VLOOKUP(A718,Internal_lists_bugs!$A$2:$G2011,7,FALSE()),"please select a BUG ID")</f>
        <v>https://opendev.org/openstack/nova/commit/98dcd0dc6fe19ab243556874e4f0910e78484e02</v>
      </c>
      <c r="D718" s="16" t="s">
        <v>1227</v>
      </c>
      <c r="E718" s="50"/>
      <c r="F718" s="43"/>
      <c r="G718" s="50"/>
      <c r="H718" s="43"/>
    </row>
    <row r="719">
      <c r="A719" s="16" t="s">
        <v>51</v>
      </c>
      <c r="B719" s="59" t="str">
        <f>IFERROR(HYPERLINK(VLOOKUP(A719,Internal_lists_bugs!$A$2:$C$73,3,FALSE()), VLOOKUP(A719,Internal_lists_bugs!$A$2:$C$73,3,FALSE())&amp;Char(10) &amp; Char(10) &amp; VLOOKUP(A719,Internal_lists_bugs!$A$2:$Z$73,26,FALSE())),"please select a BUG ID")</f>
        <v>
</v>
      </c>
      <c r="C719" s="39" t="str">
        <f>IFERROR(VLOOKUP(A719,Internal_lists_bugs!$A$2:$G2011,7,FALSE()),"please select a BUG ID")</f>
        <v>https://opendev.org/openstack/nova/commit/98dcd0dc6fe19ab243556874e4f0910e78484e02</v>
      </c>
      <c r="D719" s="16" t="s">
        <v>1229</v>
      </c>
      <c r="E719" s="50"/>
      <c r="F719" s="43"/>
      <c r="G719" s="50"/>
      <c r="H719" s="43"/>
    </row>
    <row r="720">
      <c r="A720" s="16" t="s">
        <v>34</v>
      </c>
      <c r="B720" s="59" t="str">
        <f>IFERROR(HYPERLINK(VLOOKUP(A720,Internal_lists_bugs!$A$2:$C$73,3,FALSE()), VLOOKUP(A720,Internal_lists_bugs!$A$2:$C$73,3,FALSE())&amp;Char(10) &amp; Char(10) &amp; VLOOKUP(A720,Internal_lists_bugs!$A$2:$Z$73,26,FALSE())),"please select a BUG ID")</f>
        <v>
</v>
      </c>
      <c r="C720" s="39" t="str">
        <f>IFERROR(VLOOKUP(A720,Internal_lists_bugs!$A$2:$G2011,7,FALSE()),"please select a BUG ID")</f>
        <v>https://opendev.org/openstack/nova/commit/05120edf92627ff7ad20a928f8b94568031556c9</v>
      </c>
      <c r="D720" s="1" t="s">
        <v>1220</v>
      </c>
      <c r="E720" s="50"/>
      <c r="F720" s="16" t="s">
        <v>1174</v>
      </c>
      <c r="G720" s="50"/>
      <c r="H720" s="16" t="s">
        <v>1175</v>
      </c>
    </row>
    <row r="721">
      <c r="A721" s="16" t="s">
        <v>34</v>
      </c>
      <c r="B721" s="59" t="str">
        <f>IFERROR(HYPERLINK(VLOOKUP(A721,Internal_lists_bugs!$A$2:$C$73,3,FALSE()), VLOOKUP(A721,Internal_lists_bugs!$A$2:$C$73,3,FALSE())&amp;Char(10) &amp; Char(10) &amp; VLOOKUP(A721,Internal_lists_bugs!$A$2:$Z$73,26,FALSE())),"please select a BUG ID")</f>
        <v>
</v>
      </c>
      <c r="C721" s="39" t="str">
        <f>IFERROR(VLOOKUP(A721,Internal_lists_bugs!$A$2:$G2011,7,FALSE()),"please select a BUG ID")</f>
        <v>https://opendev.org/openstack/nova/commit/05120edf92627ff7ad20a928f8b94568031556c9</v>
      </c>
      <c r="D721" s="1" t="s">
        <v>1209</v>
      </c>
      <c r="E721" s="50"/>
      <c r="F721" s="43"/>
      <c r="G721" s="50"/>
      <c r="H721" s="16" t="s">
        <v>1203</v>
      </c>
    </row>
    <row r="722">
      <c r="A722" s="16" t="s">
        <v>34</v>
      </c>
      <c r="B722" s="59" t="str">
        <f>IFERROR(HYPERLINK(VLOOKUP(A722,Internal_lists_bugs!$A$2:$C$73,3,FALSE()), VLOOKUP(A722,Internal_lists_bugs!$A$2:$C$73,3,FALSE())&amp;Char(10) &amp; Char(10) &amp; VLOOKUP(A722,Internal_lists_bugs!$A$2:$Z$73,26,FALSE())),"please select a BUG ID")</f>
        <v>
</v>
      </c>
      <c r="C722" s="39" t="str">
        <f>IFERROR(VLOOKUP(A722,Internal_lists_bugs!$A$2:$G2011,7,FALSE()),"please select a BUG ID")</f>
        <v>https://opendev.org/openstack/nova/commit/05120edf92627ff7ad20a928f8b94568031556c9</v>
      </c>
      <c r="D722" s="1" t="s">
        <v>1178</v>
      </c>
      <c r="E722" s="50"/>
      <c r="F722" s="43"/>
      <c r="G722" s="50"/>
      <c r="H722" s="16" t="s">
        <v>1212</v>
      </c>
    </row>
    <row r="723">
      <c r="A723" s="16" t="s">
        <v>34</v>
      </c>
      <c r="B723" s="59" t="str">
        <f>IFERROR(HYPERLINK(VLOOKUP(A723,Internal_lists_bugs!$A$2:$C$73,3,FALSE()), VLOOKUP(A723,Internal_lists_bugs!$A$2:$C$73,3,FALSE())&amp;Char(10) &amp; Char(10) &amp; VLOOKUP(A723,Internal_lists_bugs!$A$2:$Z$73,26,FALSE())),"please select a BUG ID")</f>
        <v>
</v>
      </c>
      <c r="C723" s="39" t="str">
        <f>IFERROR(VLOOKUP(A723,Internal_lists_bugs!$A$2:$G2011,7,FALSE()),"please select a BUG ID")</f>
        <v>https://opendev.org/openstack/nova/commit/05120edf92627ff7ad20a928f8b94568031556c9</v>
      </c>
      <c r="D723" s="1" t="s">
        <v>1182</v>
      </c>
      <c r="E723" s="50"/>
      <c r="F723" s="43"/>
      <c r="G723" s="50"/>
      <c r="H723" s="16" t="s">
        <v>1221</v>
      </c>
    </row>
    <row r="724">
      <c r="A724" s="16" t="s">
        <v>34</v>
      </c>
      <c r="B724" s="59" t="str">
        <f>IFERROR(HYPERLINK(VLOOKUP(A724,Internal_lists_bugs!$A$2:$C$73,3,FALSE()), VLOOKUP(A724,Internal_lists_bugs!$A$2:$C$73,3,FALSE())&amp;Char(10) &amp; Char(10) &amp; VLOOKUP(A724,Internal_lists_bugs!$A$2:$Z$73,26,FALSE())),"please select a BUG ID")</f>
        <v>
</v>
      </c>
      <c r="C724" s="39" t="str">
        <f>IFERROR(VLOOKUP(A724,Internal_lists_bugs!$A$2:$G2011,7,FALSE()),"please select a BUG ID")</f>
        <v>https://opendev.org/openstack/nova/commit/05120edf92627ff7ad20a928f8b94568031556c9</v>
      </c>
      <c r="D724" s="1" t="s">
        <v>1191</v>
      </c>
      <c r="E724" s="50"/>
      <c r="F724" s="43"/>
      <c r="G724" s="50"/>
      <c r="H724" s="16" t="s">
        <v>1222</v>
      </c>
    </row>
    <row r="725">
      <c r="A725" s="16" t="s">
        <v>34</v>
      </c>
      <c r="B725" s="59" t="str">
        <f>IFERROR(HYPERLINK(VLOOKUP(A725,Internal_lists_bugs!$A$2:$C$73,3,FALSE()), VLOOKUP(A725,Internal_lists_bugs!$A$2:$C$73,3,FALSE())&amp;Char(10) &amp; Char(10) &amp; VLOOKUP(A725,Internal_lists_bugs!$A$2:$Z$73,26,FALSE())),"please select a BUG ID")</f>
        <v>
</v>
      </c>
      <c r="C725" s="39" t="str">
        <f>IFERROR(VLOOKUP(A725,Internal_lists_bugs!$A$2:$G2011,7,FALSE()),"please select a BUG ID")</f>
        <v>https://opendev.org/openstack/nova/commit/05120edf92627ff7ad20a928f8b94568031556c9</v>
      </c>
      <c r="D725" s="1" t="s">
        <v>1218</v>
      </c>
      <c r="E725" s="50"/>
      <c r="F725" s="43"/>
      <c r="G725" s="50"/>
      <c r="H725" s="16" t="s">
        <v>1224</v>
      </c>
    </row>
    <row r="726">
      <c r="A726" s="16" t="s">
        <v>34</v>
      </c>
      <c r="B726" s="59" t="str">
        <f>IFERROR(HYPERLINK(VLOOKUP(A726,Internal_lists_bugs!$A$2:$C$73,3,FALSE()), VLOOKUP(A726,Internal_lists_bugs!$A$2:$C$73,3,FALSE())&amp;Char(10) &amp; Char(10) &amp; VLOOKUP(A726,Internal_lists_bugs!$A$2:$Z$73,26,FALSE())),"please select a BUG ID")</f>
        <v>
</v>
      </c>
      <c r="C726" s="39" t="str">
        <f>IFERROR(VLOOKUP(A726,Internal_lists_bugs!$A$2:$G2011,7,FALSE()),"please select a BUG ID")</f>
        <v>https://opendev.org/openstack/nova/commit/05120edf92627ff7ad20a928f8b94568031556c9</v>
      </c>
      <c r="D726" s="1" t="s">
        <v>1219</v>
      </c>
      <c r="E726" s="50"/>
      <c r="F726" s="43"/>
      <c r="G726" s="50"/>
      <c r="H726" s="16" t="s">
        <v>1225</v>
      </c>
    </row>
    <row r="727">
      <c r="A727" s="16" t="s">
        <v>34</v>
      </c>
      <c r="B727" s="59" t="str">
        <f>IFERROR(HYPERLINK(VLOOKUP(A727,Internal_lists_bugs!$A$2:$C$73,3,FALSE()), VLOOKUP(A727,Internal_lists_bugs!$A$2:$C$73,3,FALSE())&amp;Char(10) &amp; Char(10) &amp; VLOOKUP(A727,Internal_lists_bugs!$A$2:$Z$73,26,FALSE())),"please select a BUG ID")</f>
        <v>
</v>
      </c>
      <c r="C727" s="39" t="str">
        <f>IFERROR(VLOOKUP(A727,Internal_lists_bugs!$A$2:$G2011,7,FALSE()),"please select a BUG ID")</f>
        <v>https://opendev.org/openstack/nova/commit/05120edf92627ff7ad20a928f8b94568031556c9</v>
      </c>
      <c r="D727" s="1" t="s">
        <v>1199</v>
      </c>
      <c r="E727" s="50"/>
      <c r="F727" s="43"/>
      <c r="G727" s="50"/>
      <c r="H727" s="16" t="s">
        <v>1179</v>
      </c>
    </row>
    <row r="728">
      <c r="A728" s="16" t="s">
        <v>34</v>
      </c>
      <c r="B728" s="59" t="str">
        <f>IFERROR(HYPERLINK(VLOOKUP(A728,Internal_lists_bugs!$A$2:$C$73,3,FALSE()), VLOOKUP(A728,Internal_lists_bugs!$A$2:$C$73,3,FALSE())&amp;Char(10) &amp; Char(10) &amp; VLOOKUP(A728,Internal_lists_bugs!$A$2:$Z$73,26,FALSE())),"please select a BUG ID")</f>
        <v>
</v>
      </c>
      <c r="C728" s="39" t="str">
        <f>IFERROR(VLOOKUP(A728,Internal_lists_bugs!$A$2:$G2011,7,FALSE()),"please select a BUG ID")</f>
        <v>https://opendev.org/openstack/nova/commit/05120edf92627ff7ad20a928f8b94568031556c9</v>
      </c>
      <c r="D728" s="1" t="s">
        <v>1201</v>
      </c>
      <c r="E728" s="50"/>
      <c r="F728" s="43"/>
      <c r="G728" s="50"/>
      <c r="H728" s="16" t="s">
        <v>1197</v>
      </c>
    </row>
    <row r="729">
      <c r="A729" s="16" t="s">
        <v>34</v>
      </c>
      <c r="B729" s="59" t="str">
        <f>IFERROR(HYPERLINK(VLOOKUP(A729,Internal_lists_bugs!$A$2:$C$73,3,FALSE()), VLOOKUP(A729,Internal_lists_bugs!$A$2:$C$73,3,FALSE())&amp;Char(10) &amp; Char(10) &amp; VLOOKUP(A729,Internal_lists_bugs!$A$2:$Z$73,26,FALSE())),"please select a BUG ID")</f>
        <v>
</v>
      </c>
      <c r="C729" s="39" t="str">
        <f>IFERROR(VLOOKUP(A729,Internal_lists_bugs!$A$2:$G2011,7,FALSE()),"please select a BUG ID")</f>
        <v>https://opendev.org/openstack/nova/commit/05120edf92627ff7ad20a928f8b94568031556c9</v>
      </c>
      <c r="D729" s="1" t="s">
        <v>1202</v>
      </c>
      <c r="E729" s="50"/>
      <c r="F729" s="43"/>
      <c r="G729" s="50"/>
      <c r="H729" s="16" t="s">
        <v>1200</v>
      </c>
    </row>
    <row r="730">
      <c r="A730" s="16" t="s">
        <v>34</v>
      </c>
      <c r="B730" s="59" t="str">
        <f>IFERROR(HYPERLINK(VLOOKUP(A730,Internal_lists_bugs!$A$2:$C$73,3,FALSE()), VLOOKUP(A730,Internal_lists_bugs!$A$2:$C$73,3,FALSE())&amp;Char(10) &amp; Char(10) &amp; VLOOKUP(A730,Internal_lists_bugs!$A$2:$Z$73,26,FALSE())),"please select a BUG ID")</f>
        <v>
</v>
      </c>
      <c r="C730" s="39" t="str">
        <f>IFERROR(VLOOKUP(A730,Internal_lists_bugs!$A$2:$G2011,7,FALSE()),"please select a BUG ID")</f>
        <v>https://opendev.org/openstack/nova/commit/05120edf92627ff7ad20a928f8b94568031556c9</v>
      </c>
      <c r="D730" s="1" t="s">
        <v>1173</v>
      </c>
      <c r="E730" s="50"/>
      <c r="F730" s="43"/>
      <c r="G730" s="50"/>
      <c r="H730" s="16" t="s">
        <v>1215</v>
      </c>
    </row>
    <row r="731">
      <c r="A731" s="16" t="s">
        <v>34</v>
      </c>
      <c r="B731" s="59" t="str">
        <f>IFERROR(HYPERLINK(VLOOKUP(A731,Internal_lists_bugs!$A$2:$C$73,3,FALSE()), VLOOKUP(A731,Internal_lists_bugs!$A$2:$C$73,3,FALSE())&amp;Char(10) &amp; Char(10) &amp; VLOOKUP(A731,Internal_lists_bugs!$A$2:$Z$73,26,FALSE())),"please select a BUG ID")</f>
        <v>
</v>
      </c>
      <c r="C731" s="39" t="str">
        <f>IFERROR(VLOOKUP(A731,Internal_lists_bugs!$A$2:$G2011,7,FALSE()),"please select a BUG ID")</f>
        <v>https://opendev.org/openstack/nova/commit/05120edf92627ff7ad20a928f8b94568031556c9</v>
      </c>
      <c r="D731" s="1" t="s">
        <v>1211</v>
      </c>
      <c r="E731" s="50"/>
      <c r="F731" s="43"/>
      <c r="G731" s="50"/>
      <c r="H731" s="16" t="s">
        <v>1234</v>
      </c>
    </row>
    <row r="732">
      <c r="A732" s="16" t="s">
        <v>34</v>
      </c>
      <c r="B732" s="59" t="str">
        <f>IFERROR(HYPERLINK(VLOOKUP(A732,Internal_lists_bugs!$A$2:$C$73,3,FALSE()), VLOOKUP(A732,Internal_lists_bugs!$A$2:$C$73,3,FALSE())&amp;Char(10) &amp; Char(10) &amp; VLOOKUP(A732,Internal_lists_bugs!$A$2:$Z$73,26,FALSE())),"please select a BUG ID")</f>
        <v>
</v>
      </c>
      <c r="C732" s="39" t="str">
        <f>IFERROR(VLOOKUP(A732,Internal_lists_bugs!$A$2:$G2011,7,FALSE()),"please select a BUG ID")</f>
        <v>https://opendev.org/openstack/nova/commit/05120edf92627ff7ad20a928f8b94568031556c9</v>
      </c>
      <c r="D732" s="1" t="s">
        <v>1214</v>
      </c>
      <c r="E732" s="50"/>
      <c r="F732" s="43"/>
      <c r="G732" s="50"/>
      <c r="H732" s="43"/>
    </row>
    <row r="733">
      <c r="A733" s="16" t="s">
        <v>34</v>
      </c>
      <c r="B733" s="59" t="str">
        <f>IFERROR(HYPERLINK(VLOOKUP(A733,Internal_lists_bugs!$A$2:$C$73,3,FALSE()), VLOOKUP(A733,Internal_lists_bugs!$A$2:$C$73,3,FALSE())&amp;Char(10) &amp; Char(10) &amp; VLOOKUP(A733,Internal_lists_bugs!$A$2:$Z$73,26,FALSE())),"please select a BUG ID")</f>
        <v>
</v>
      </c>
      <c r="C733" s="39" t="str">
        <f>IFERROR(VLOOKUP(A733,Internal_lists_bugs!$A$2:$G2011,7,FALSE()),"please select a BUG ID")</f>
        <v>https://opendev.org/openstack/nova/commit/05120edf92627ff7ad20a928f8b94568031556c9</v>
      </c>
      <c r="D733" s="1" t="s">
        <v>1205</v>
      </c>
      <c r="E733" s="50"/>
      <c r="F733" s="43"/>
      <c r="G733" s="50"/>
      <c r="H733" s="43"/>
    </row>
    <row r="734">
      <c r="A734" s="16" t="s">
        <v>34</v>
      </c>
      <c r="B734" s="59" t="str">
        <f>IFERROR(HYPERLINK(VLOOKUP(A734,Internal_lists_bugs!$A$2:$C$73,3,FALSE()), VLOOKUP(A734,Internal_lists_bugs!$A$2:$C$73,3,FALSE())&amp;Char(10) &amp; Char(10) &amp; VLOOKUP(A734,Internal_lists_bugs!$A$2:$Z$73,26,FALSE())),"please select a BUG ID")</f>
        <v>
</v>
      </c>
      <c r="C734" s="39" t="str">
        <f>IFERROR(VLOOKUP(A734,Internal_lists_bugs!$A$2:$G2011,7,FALSE()),"please select a BUG ID")</f>
        <v>https://opendev.org/openstack/nova/commit/05120edf92627ff7ad20a928f8b94568031556c9</v>
      </c>
      <c r="D734" s="1" t="s">
        <v>1183</v>
      </c>
      <c r="E734" s="50"/>
      <c r="F734" s="43"/>
      <c r="G734" s="50"/>
      <c r="H734" s="43"/>
    </row>
    <row r="735">
      <c r="A735" s="16" t="s">
        <v>34</v>
      </c>
      <c r="B735" s="59" t="str">
        <f>IFERROR(HYPERLINK(VLOOKUP(A735,Internal_lists_bugs!$A$2:$C$73,3,FALSE()), VLOOKUP(A735,Internal_lists_bugs!$A$2:$C$73,3,FALSE())&amp;Char(10) &amp; Char(10) &amp; VLOOKUP(A735,Internal_lists_bugs!$A$2:$Z$73,26,FALSE())),"please select a BUG ID")</f>
        <v>
</v>
      </c>
      <c r="C735" s="39" t="str">
        <f>IFERROR(VLOOKUP(A735,Internal_lists_bugs!$A$2:$G2011,7,FALSE()),"please select a BUG ID")</f>
        <v>https://opendev.org/openstack/nova/commit/05120edf92627ff7ad20a928f8b94568031556c9</v>
      </c>
      <c r="D735" s="1" t="s">
        <v>1184</v>
      </c>
      <c r="E735" s="50"/>
      <c r="F735" s="43"/>
      <c r="G735" s="50"/>
      <c r="H735" s="43"/>
    </row>
    <row r="736">
      <c r="A736" s="16" t="s">
        <v>34</v>
      </c>
      <c r="B736" s="59" t="str">
        <f>IFERROR(HYPERLINK(VLOOKUP(A736,Internal_lists_bugs!$A$2:$C$73,3,FALSE()), VLOOKUP(A736,Internal_lists_bugs!$A$2:$C$73,3,FALSE())&amp;Char(10) &amp; Char(10) &amp; VLOOKUP(A736,Internal_lists_bugs!$A$2:$Z$73,26,FALSE())),"please select a BUG ID")</f>
        <v>
</v>
      </c>
      <c r="C736" s="39" t="str">
        <f>IFERROR(VLOOKUP(A736,Internal_lists_bugs!$A$2:$G2011,7,FALSE()),"please select a BUG ID")</f>
        <v>https://opendev.org/openstack/nova/commit/05120edf92627ff7ad20a928f8b94568031556c9</v>
      </c>
      <c r="D736" s="1" t="s">
        <v>1185</v>
      </c>
      <c r="E736" s="50"/>
      <c r="F736" s="43"/>
      <c r="G736" s="50"/>
      <c r="H736" s="43"/>
    </row>
    <row r="737">
      <c r="A737" s="16" t="s">
        <v>34</v>
      </c>
      <c r="B737" s="59" t="str">
        <f>IFERROR(HYPERLINK(VLOOKUP(A737,Internal_lists_bugs!$A$2:$C$73,3,FALSE()), VLOOKUP(A737,Internal_lists_bugs!$A$2:$C$73,3,FALSE())&amp;Char(10) &amp; Char(10) &amp; VLOOKUP(A737,Internal_lists_bugs!$A$2:$Z$73,26,FALSE())),"please select a BUG ID")</f>
        <v>
</v>
      </c>
      <c r="C737" s="39" t="str">
        <f>IFERROR(VLOOKUP(A737,Internal_lists_bugs!$A$2:$G2011,7,FALSE()),"please select a BUG ID")</f>
        <v>https://opendev.org/openstack/nova/commit/05120edf92627ff7ad20a928f8b94568031556c9</v>
      </c>
      <c r="D737" s="1" t="s">
        <v>1196</v>
      </c>
      <c r="E737" s="50"/>
      <c r="F737" s="43"/>
      <c r="G737" s="50"/>
      <c r="H737" s="43"/>
    </row>
    <row r="738">
      <c r="A738" s="16" t="s">
        <v>34</v>
      </c>
      <c r="B738" s="59" t="str">
        <f>IFERROR(HYPERLINK(VLOOKUP(A738,Internal_lists_bugs!$A$2:$C$73,3,FALSE()), VLOOKUP(A738,Internal_lists_bugs!$A$2:$C$73,3,FALSE())&amp;Char(10) &amp; Char(10) &amp; VLOOKUP(A738,Internal_lists_bugs!$A$2:$Z$73,26,FALSE())),"please select a BUG ID")</f>
        <v>
</v>
      </c>
      <c r="C738" s="39" t="str">
        <f>IFERROR(VLOOKUP(A738,Internal_lists_bugs!$A$2:$G2011,7,FALSE()),"please select a BUG ID")</f>
        <v>https://opendev.org/openstack/nova/commit/05120edf92627ff7ad20a928f8b94568031556c9</v>
      </c>
      <c r="D738" s="1" t="s">
        <v>1187</v>
      </c>
      <c r="E738" s="50"/>
      <c r="F738" s="43"/>
      <c r="G738" s="50"/>
      <c r="H738" s="43"/>
    </row>
    <row r="739">
      <c r="A739" s="16" t="s">
        <v>34</v>
      </c>
      <c r="B739" s="59" t="str">
        <f>IFERROR(HYPERLINK(VLOOKUP(A739,Internal_lists_bugs!$A$2:$C$73,3,FALSE()), VLOOKUP(A739,Internal_lists_bugs!$A$2:$C$73,3,FALSE())&amp;Char(10) &amp; Char(10) &amp; VLOOKUP(A739,Internal_lists_bugs!$A$2:$Z$73,26,FALSE())),"please select a BUG ID")</f>
        <v>
</v>
      </c>
      <c r="C739" s="39" t="str">
        <f>IFERROR(VLOOKUP(A739,Internal_lists_bugs!$A$2:$G2011,7,FALSE()),"please select a BUG ID")</f>
        <v>https://opendev.org/openstack/nova/commit/05120edf92627ff7ad20a928f8b94568031556c9</v>
      </c>
      <c r="D739" s="1" t="s">
        <v>1206</v>
      </c>
      <c r="E739" s="50"/>
      <c r="F739" s="43"/>
      <c r="G739" s="50"/>
      <c r="H739" s="43"/>
    </row>
    <row r="740">
      <c r="A740" s="16" t="s">
        <v>34</v>
      </c>
      <c r="B740" s="59" t="str">
        <f>IFERROR(HYPERLINK(VLOOKUP(A740,Internal_lists_bugs!$A$2:$C$73,3,FALSE()), VLOOKUP(A740,Internal_lists_bugs!$A$2:$C$73,3,FALSE())&amp;Char(10) &amp; Char(10) &amp; VLOOKUP(A740,Internal_lists_bugs!$A$2:$Z$73,26,FALSE())),"please select a BUG ID")</f>
        <v>
</v>
      </c>
      <c r="C740" s="39" t="str">
        <f>IFERROR(VLOOKUP(A740,Internal_lists_bugs!$A$2:$G2011,7,FALSE()),"please select a BUG ID")</f>
        <v>https://opendev.org/openstack/nova/commit/05120edf92627ff7ad20a928f8b94568031556c9</v>
      </c>
      <c r="D740" s="1" t="s">
        <v>1213</v>
      </c>
      <c r="E740" s="50"/>
      <c r="F740" s="43"/>
      <c r="G740" s="50"/>
      <c r="H740" s="43"/>
    </row>
    <row r="741">
      <c r="A741" s="16" t="s">
        <v>34</v>
      </c>
      <c r="B741" s="59" t="str">
        <f>IFERROR(HYPERLINK(VLOOKUP(A741,Internal_lists_bugs!$A$2:$C$73,3,FALSE()), VLOOKUP(A741,Internal_lists_bugs!$A$2:$C$73,3,FALSE())&amp;Char(10) &amp; Char(10) &amp; VLOOKUP(A741,Internal_lists_bugs!$A$2:$Z$73,26,FALSE())),"please select a BUG ID")</f>
        <v>
</v>
      </c>
      <c r="C741" s="39" t="str">
        <f>IFERROR(VLOOKUP(A741,Internal_lists_bugs!$A$2:$G2011,7,FALSE()),"please select a BUG ID")</f>
        <v>https://opendev.org/openstack/nova/commit/05120edf92627ff7ad20a928f8b94568031556c9</v>
      </c>
      <c r="D741" s="16" t="s">
        <v>1223</v>
      </c>
      <c r="E741" s="50"/>
      <c r="F741" s="43"/>
      <c r="G741" s="50"/>
      <c r="H741" s="43"/>
    </row>
    <row r="742">
      <c r="A742" s="16" t="s">
        <v>34</v>
      </c>
      <c r="B742" s="59" t="str">
        <f>IFERROR(HYPERLINK(VLOOKUP(A742,Internal_lists_bugs!$A$2:$C$73,3,FALSE()), VLOOKUP(A742,Internal_lists_bugs!$A$2:$C$73,3,FALSE())&amp;Char(10) &amp; Char(10) &amp; VLOOKUP(A742,Internal_lists_bugs!$A$2:$Z$73,26,FALSE())),"please select a BUG ID")</f>
        <v>
</v>
      </c>
      <c r="C742" s="39" t="str">
        <f>IFERROR(VLOOKUP(A742,Internal_lists_bugs!$A$2:$G2011,7,FALSE()),"please select a BUG ID")</f>
        <v>https://opendev.org/openstack/nova/commit/05120edf92627ff7ad20a928f8b94568031556c9</v>
      </c>
      <c r="D742" s="16" t="s">
        <v>1239</v>
      </c>
      <c r="E742" s="50"/>
      <c r="F742" s="43"/>
      <c r="G742" s="50"/>
      <c r="H742" s="43"/>
    </row>
    <row r="743">
      <c r="A743" s="16" t="s">
        <v>34</v>
      </c>
      <c r="B743" s="59" t="str">
        <f>IFERROR(HYPERLINK(VLOOKUP(A743,Internal_lists_bugs!$A$2:$C$73,3,FALSE()), VLOOKUP(A743,Internal_lists_bugs!$A$2:$C$73,3,FALSE())&amp;Char(10) &amp; Char(10) &amp; VLOOKUP(A743,Internal_lists_bugs!$A$2:$Z$73,26,FALSE())),"please select a BUG ID")</f>
        <v>
</v>
      </c>
      <c r="C743" s="39" t="str">
        <f>IFERROR(VLOOKUP(A743,Internal_lists_bugs!$A$2:$G2011,7,FALSE()),"please select a BUG ID")</f>
        <v>https://opendev.org/openstack/nova/commit/05120edf92627ff7ad20a928f8b94568031556c9</v>
      </c>
      <c r="D743" s="16" t="s">
        <v>1230</v>
      </c>
      <c r="E743" s="50"/>
      <c r="F743" s="43"/>
      <c r="G743" s="50"/>
      <c r="H743" s="43"/>
    </row>
    <row r="744">
      <c r="A744" s="16" t="s">
        <v>34</v>
      </c>
      <c r="B744" s="59" t="str">
        <f>IFERROR(HYPERLINK(VLOOKUP(A744,Internal_lists_bugs!$A$2:$C$73,3,FALSE()), VLOOKUP(A744,Internal_lists_bugs!$A$2:$C$73,3,FALSE())&amp;Char(10) &amp; Char(10) &amp; VLOOKUP(A744,Internal_lists_bugs!$A$2:$Z$73,26,FALSE())),"please select a BUG ID")</f>
        <v>
</v>
      </c>
      <c r="C744" s="39" t="str">
        <f>IFERROR(VLOOKUP(A744,Internal_lists_bugs!$A$2:$G2011,7,FALSE()),"please select a BUG ID")</f>
        <v>https://opendev.org/openstack/nova/commit/05120edf92627ff7ad20a928f8b94568031556c9</v>
      </c>
      <c r="D744" s="16" t="s">
        <v>1229</v>
      </c>
      <c r="E744" s="50"/>
      <c r="F744" s="43"/>
      <c r="G744" s="50"/>
      <c r="H744" s="43"/>
    </row>
    <row r="745">
      <c r="A745" s="16" t="s">
        <v>34</v>
      </c>
      <c r="B745" s="59" t="str">
        <f>IFERROR(HYPERLINK(VLOOKUP(A745,Internal_lists_bugs!$A$2:$C$73,3,FALSE()), VLOOKUP(A745,Internal_lists_bugs!$A$2:$C$73,3,FALSE())&amp;Char(10) &amp; Char(10) &amp; VLOOKUP(A745,Internal_lists_bugs!$A$2:$Z$73,26,FALSE())),"please select a BUG ID")</f>
        <v>
</v>
      </c>
      <c r="C745" s="39" t="str">
        <f>IFERROR(VLOOKUP(A745,Internal_lists_bugs!$A$2:$G2011,7,FALSE()),"please select a BUG ID")</f>
        <v>https://opendev.org/openstack/nova/commit/05120edf92627ff7ad20a928f8b94568031556c9</v>
      </c>
      <c r="D745" s="16" t="s">
        <v>1240</v>
      </c>
      <c r="E745" s="50"/>
      <c r="F745" s="43"/>
      <c r="G745" s="50"/>
      <c r="H745" s="43"/>
    </row>
    <row r="746">
      <c r="A746" s="16" t="s">
        <v>34</v>
      </c>
      <c r="B746" s="59" t="str">
        <f>IFERROR(HYPERLINK(VLOOKUP(A746,Internal_lists_bugs!$A$2:$C$73,3,FALSE()), VLOOKUP(A746,Internal_lists_bugs!$A$2:$C$73,3,FALSE())&amp;Char(10) &amp; Char(10) &amp; VLOOKUP(A746,Internal_lists_bugs!$A$2:$Z$73,26,FALSE())),"please select a BUG ID")</f>
        <v>
</v>
      </c>
      <c r="C746" s="39" t="str">
        <f>IFERROR(VLOOKUP(A746,Internal_lists_bugs!$A$2:$G2011,7,FALSE()),"please select a BUG ID")</f>
        <v>https://opendev.org/openstack/nova/commit/05120edf92627ff7ad20a928f8b94568031556c9</v>
      </c>
      <c r="D746" s="16" t="s">
        <v>1241</v>
      </c>
      <c r="E746" s="50"/>
      <c r="F746" s="43"/>
      <c r="G746" s="50"/>
      <c r="H746" s="43"/>
    </row>
    <row r="747">
      <c r="A747" s="16" t="s">
        <v>34</v>
      </c>
      <c r="B747" s="59" t="str">
        <f>IFERROR(HYPERLINK(VLOOKUP(A747,Internal_lists_bugs!$A$2:$C$73,3,FALSE()), VLOOKUP(A747,Internal_lists_bugs!$A$2:$C$73,3,FALSE())&amp;Char(10) &amp; Char(10) &amp; VLOOKUP(A747,Internal_lists_bugs!$A$2:$Z$73,26,FALSE())),"please select a BUG ID")</f>
        <v>
</v>
      </c>
      <c r="C747" s="39" t="str">
        <f>IFERROR(VLOOKUP(A747,Internal_lists_bugs!$A$2:$G2011,7,FALSE()),"please select a BUG ID")</f>
        <v>https://opendev.org/openstack/nova/commit/05120edf92627ff7ad20a928f8b94568031556c9</v>
      </c>
      <c r="D747" s="16" t="s">
        <v>1227</v>
      </c>
      <c r="E747" s="50"/>
      <c r="F747" s="43"/>
      <c r="G747" s="50"/>
      <c r="H747" s="43"/>
    </row>
    <row r="748">
      <c r="A748" s="16" t="s">
        <v>67</v>
      </c>
      <c r="B748" s="59" t="str">
        <f>IFERROR(HYPERLINK(VLOOKUP(A748,Internal_lists_bugs!$A$2:$C$73,3,FALSE()), VLOOKUP(A748,Internal_lists_bugs!$A$2:$C$73,3,FALSE())&amp;Char(10) &amp; Char(10) &amp; VLOOKUP(A748,Internal_lists_bugs!$A$2:$Z$73,26,FALSE())),"please select a BUG ID")</f>
        <v>
</v>
      </c>
      <c r="C748" s="39" t="str">
        <f>IFERROR(VLOOKUP(A748,Internal_lists_bugs!$A$2:$G2011,7,FALSE()),"please select a BUG ID")</f>
        <v>https://github.com/elastic/elasticsearch/commit/03ee0a942df39c01e5e4f4ecb392a746e3d979af</v>
      </c>
      <c r="D748" s="16" t="s">
        <v>1242</v>
      </c>
      <c r="E748" s="50"/>
      <c r="F748" s="16" t="s">
        <v>1174</v>
      </c>
      <c r="G748" s="50"/>
      <c r="H748" s="138" t="s">
        <v>1243</v>
      </c>
    </row>
    <row r="749">
      <c r="A749" s="16" t="s">
        <v>67</v>
      </c>
      <c r="B749" s="59" t="str">
        <f>IFERROR(HYPERLINK(VLOOKUP(A749,Internal_lists_bugs!$A$2:$C$73,3,FALSE()), VLOOKUP(A749,Internal_lists_bugs!$A$2:$C$73,3,FALSE())&amp;Char(10) &amp; Char(10) &amp; VLOOKUP(A749,Internal_lists_bugs!$A$2:$Z$73,26,FALSE())),"please select a BUG ID")</f>
        <v>
</v>
      </c>
      <c r="C749" s="39" t="str">
        <f>IFERROR(VLOOKUP(A749,Internal_lists_bugs!$A$2:$G2011,7,FALSE()),"please select a BUG ID")</f>
        <v>https://github.com/elastic/elasticsearch/commit/03ee0a942df39c01e5e4f4ecb392a746e3d979af</v>
      </c>
      <c r="D749" s="16" t="s">
        <v>1244</v>
      </c>
      <c r="E749" s="50"/>
      <c r="F749" s="43"/>
      <c r="G749" s="50"/>
      <c r="H749" s="138" t="s">
        <v>1245</v>
      </c>
    </row>
    <row r="750">
      <c r="A750" s="16" t="s">
        <v>67</v>
      </c>
      <c r="B750" s="59" t="str">
        <f>IFERROR(HYPERLINK(VLOOKUP(A750,Internal_lists_bugs!$A$2:$C$73,3,FALSE()), VLOOKUP(A750,Internal_lists_bugs!$A$2:$C$73,3,FALSE())&amp;Char(10) &amp; Char(10) &amp; VLOOKUP(A750,Internal_lists_bugs!$A$2:$Z$73,26,FALSE())),"please select a BUG ID")</f>
        <v>
</v>
      </c>
      <c r="C750" s="39" t="str">
        <f>IFERROR(VLOOKUP(A750,Internal_lists_bugs!$A$2:$G2011,7,FALSE()),"please select a BUG ID")</f>
        <v>https://github.com/elastic/elasticsearch/commit/03ee0a942df39c01e5e4f4ecb392a746e3d979af</v>
      </c>
      <c r="D750" s="16" t="s">
        <v>1246</v>
      </c>
      <c r="E750" s="50"/>
      <c r="F750" s="43"/>
      <c r="G750" s="50"/>
      <c r="H750" s="138" t="s">
        <v>1247</v>
      </c>
    </row>
    <row r="751">
      <c r="A751" s="16" t="s">
        <v>67</v>
      </c>
      <c r="B751" s="59" t="str">
        <f>IFERROR(HYPERLINK(VLOOKUP(A751,Internal_lists_bugs!$A$2:$C$73,3,FALSE()), VLOOKUP(A751,Internal_lists_bugs!$A$2:$C$73,3,FALSE())&amp;Char(10) &amp; Char(10) &amp; VLOOKUP(A751,Internal_lists_bugs!$A$2:$Z$73,26,FALSE())),"please select a BUG ID")</f>
        <v>
</v>
      </c>
      <c r="C751" s="39" t="str">
        <f>IFERROR(VLOOKUP(A751,Internal_lists_bugs!$A$2:$G2011,7,FALSE()),"please select a BUG ID")</f>
        <v>https://github.com/elastic/elasticsearch/commit/03ee0a942df39c01e5e4f4ecb392a746e3d979af</v>
      </c>
      <c r="D751" s="16" t="s">
        <v>1248</v>
      </c>
      <c r="E751" s="50"/>
      <c r="F751" s="43"/>
      <c r="G751" s="50"/>
      <c r="H751" s="138"/>
    </row>
    <row r="752">
      <c r="A752" s="16" t="s">
        <v>67</v>
      </c>
      <c r="B752" s="59" t="str">
        <f>IFERROR(HYPERLINK(VLOOKUP(A752,Internal_lists_bugs!$A$2:$C$73,3,FALSE()), VLOOKUP(A752,Internal_lists_bugs!$A$2:$C$73,3,FALSE())&amp;Char(10) &amp; Char(10) &amp; VLOOKUP(A752,Internal_lists_bugs!$A$2:$Z$73,26,FALSE())),"please select a BUG ID")</f>
        <v>
</v>
      </c>
      <c r="C752" s="39" t="str">
        <f>IFERROR(VLOOKUP(A752,Internal_lists_bugs!$A$2:$G2011,7,FALSE()),"please select a BUG ID")</f>
        <v>https://github.com/elastic/elasticsearch/commit/03ee0a942df39c01e5e4f4ecb392a746e3d979af</v>
      </c>
      <c r="D752" s="16" t="s">
        <v>1249</v>
      </c>
      <c r="E752" s="50"/>
      <c r="F752" s="43"/>
      <c r="G752" s="50"/>
      <c r="H752" s="43"/>
    </row>
    <row r="753">
      <c r="A753" s="16" t="s">
        <v>67</v>
      </c>
      <c r="B753" s="59" t="str">
        <f>IFERROR(HYPERLINK(VLOOKUP(A753,Internal_lists_bugs!$A$2:$C$73,3,FALSE()), VLOOKUP(A753,Internal_lists_bugs!$A$2:$C$73,3,FALSE())&amp;Char(10) &amp; Char(10) &amp; VLOOKUP(A753,Internal_lists_bugs!$A$2:$Z$73,26,FALSE())),"please select a BUG ID")</f>
        <v>
</v>
      </c>
      <c r="C753" s="39" t="str">
        <f>IFERROR(VLOOKUP(A753,Internal_lists_bugs!$A$2:$G2011,7,FALSE()),"please select a BUG ID")</f>
        <v>https://github.com/elastic/elasticsearch/commit/03ee0a942df39c01e5e4f4ecb392a746e3d979af</v>
      </c>
      <c r="D753" s="16" t="s">
        <v>1250</v>
      </c>
      <c r="E753" s="50"/>
      <c r="F753" s="43"/>
      <c r="G753" s="50"/>
      <c r="H753" s="43"/>
    </row>
    <row r="754">
      <c r="A754" s="16" t="s">
        <v>67</v>
      </c>
      <c r="B754" s="59" t="str">
        <f>IFERROR(HYPERLINK(VLOOKUP(A754,Internal_lists_bugs!$A$2:$C$73,3,FALSE()), VLOOKUP(A754,Internal_lists_bugs!$A$2:$C$73,3,FALSE())&amp;Char(10) &amp; Char(10) &amp; VLOOKUP(A754,Internal_lists_bugs!$A$2:$Z$73,26,FALSE())),"please select a BUG ID")</f>
        <v>
</v>
      </c>
      <c r="C754" s="39" t="str">
        <f>IFERROR(VLOOKUP(A754,Internal_lists_bugs!$A$2:$G2011,7,FALSE()),"please select a BUG ID")</f>
        <v>https://github.com/elastic/elasticsearch/commit/03ee0a942df39c01e5e4f4ecb392a746e3d979af</v>
      </c>
      <c r="D754" s="16" t="s">
        <v>1242</v>
      </c>
      <c r="E754" s="50"/>
      <c r="F754" s="43"/>
      <c r="G754" s="50"/>
      <c r="H754" s="43"/>
    </row>
    <row r="755">
      <c r="A755" s="16" t="s">
        <v>67</v>
      </c>
      <c r="B755" s="59" t="str">
        <f>IFERROR(HYPERLINK(VLOOKUP(A755,Internal_lists_bugs!$A$2:$C$73,3,FALSE()), VLOOKUP(A755,Internal_lists_bugs!$A$2:$C$73,3,FALSE())&amp;Char(10) &amp; Char(10) &amp; VLOOKUP(A755,Internal_lists_bugs!$A$2:$Z$73,26,FALSE())),"please select a BUG ID")</f>
        <v>
</v>
      </c>
      <c r="C755" s="39" t="str">
        <f>IFERROR(VLOOKUP(A755,Internal_lists_bugs!$A$2:$G2011,7,FALSE()),"please select a BUG ID")</f>
        <v>https://github.com/elastic/elasticsearch/commit/03ee0a942df39c01e5e4f4ecb392a746e3d979af</v>
      </c>
      <c r="D755" s="16" t="s">
        <v>1251</v>
      </c>
      <c r="E755" s="50"/>
      <c r="F755" s="43"/>
      <c r="G755" s="50"/>
      <c r="H755" s="43"/>
    </row>
    <row r="756">
      <c r="A756" s="16" t="s">
        <v>67</v>
      </c>
      <c r="B756" s="59" t="str">
        <f>IFERROR(HYPERLINK(VLOOKUP(A756,Internal_lists_bugs!$A$2:$C$73,3,FALSE()), VLOOKUP(A756,Internal_lists_bugs!$A$2:$C$73,3,FALSE())&amp;Char(10) &amp; Char(10) &amp; VLOOKUP(A756,Internal_lists_bugs!$A$2:$Z$73,26,FALSE())),"please select a BUG ID")</f>
        <v>
</v>
      </c>
      <c r="C756" s="39" t="str">
        <f>IFERROR(VLOOKUP(A756,Internal_lists_bugs!$A$2:$G2011,7,FALSE()),"please select a BUG ID")</f>
        <v>https://github.com/elastic/elasticsearch/commit/03ee0a942df39c01e5e4f4ecb392a746e3d979af</v>
      </c>
      <c r="D756" s="16" t="s">
        <v>1252</v>
      </c>
      <c r="E756" s="50"/>
      <c r="F756" s="43"/>
      <c r="G756" s="50"/>
      <c r="H756" s="43"/>
    </row>
    <row r="757">
      <c r="A757" s="16" t="s">
        <v>67</v>
      </c>
      <c r="B757" s="59" t="str">
        <f>IFERROR(HYPERLINK(VLOOKUP(A757,Internal_lists_bugs!$A$2:$C$73,3,FALSE()), VLOOKUP(A757,Internal_lists_bugs!$A$2:$C$73,3,FALSE())&amp;Char(10) &amp; Char(10) &amp; VLOOKUP(A757,Internal_lists_bugs!$A$2:$Z$73,26,FALSE())),"please select a BUG ID")</f>
        <v>
</v>
      </c>
      <c r="C757" s="39" t="str">
        <f>IFERROR(VLOOKUP(A757,Internal_lists_bugs!$A$2:$G2011,7,FALSE()),"please select a BUG ID")</f>
        <v>https://github.com/elastic/elasticsearch/commit/03ee0a942df39c01e5e4f4ecb392a746e3d979af</v>
      </c>
      <c r="D757" s="16" t="s">
        <v>1253</v>
      </c>
      <c r="E757" s="50"/>
      <c r="F757" s="43"/>
      <c r="G757" s="50"/>
      <c r="H757" s="43"/>
    </row>
    <row r="758">
      <c r="A758" s="16" t="s">
        <v>67</v>
      </c>
      <c r="B758" s="59" t="str">
        <f>IFERROR(HYPERLINK(VLOOKUP(A758,Internal_lists_bugs!$A$2:$C$73,3,FALSE()), VLOOKUP(A758,Internal_lists_bugs!$A$2:$C$73,3,FALSE())&amp;Char(10) &amp; Char(10) &amp; VLOOKUP(A758,Internal_lists_bugs!$A$2:$Z$73,26,FALSE())),"please select a BUG ID")</f>
        <v>
</v>
      </c>
      <c r="C758" s="39" t="str">
        <f>IFERROR(VLOOKUP(A758,Internal_lists_bugs!$A$2:$G2011,7,FALSE()),"please select a BUG ID")</f>
        <v>https://github.com/elastic/elasticsearch/commit/03ee0a942df39c01e5e4f4ecb392a746e3d979af</v>
      </c>
      <c r="D758" s="16" t="s">
        <v>1254</v>
      </c>
      <c r="E758" s="50"/>
      <c r="F758" s="43"/>
      <c r="G758" s="50"/>
      <c r="H758" s="43"/>
    </row>
    <row r="759">
      <c r="A759" s="16" t="s">
        <v>87</v>
      </c>
      <c r="B759" s="59" t="str">
        <f>IFERROR(HYPERLINK(VLOOKUP(A759,Internal_lists_bugs!$A$2:$C$73,3,FALSE()), VLOOKUP(A759,Internal_lists_bugs!$A$2:$C$73,3,FALSE())&amp;Char(10) &amp; Char(10) &amp; VLOOKUP(A759,Internal_lists_bugs!$A$2:$Z$73,26,FALSE())),"please select a BUG ID")</f>
        <v>
</v>
      </c>
      <c r="C759" s="39" t="str">
        <f>IFERROR(VLOOKUP(A759,Internal_lists_bugs!$A$2:$G2011,7,FALSE()),"please select a BUG ID")</f>
        <v>https://github.com/elastic/elasticsearch/commit/7a38e384c9ff783f17e9db92a730bdf654dbda6b</v>
      </c>
      <c r="D759" s="16" t="s">
        <v>1242</v>
      </c>
      <c r="E759" s="50"/>
      <c r="F759" s="16" t="s">
        <v>1174</v>
      </c>
      <c r="G759" s="50"/>
      <c r="H759" s="138" t="s">
        <v>1243</v>
      </c>
    </row>
    <row r="760">
      <c r="A760" s="16" t="s">
        <v>87</v>
      </c>
      <c r="B760" s="59" t="str">
        <f>IFERROR(HYPERLINK(VLOOKUP(A760,Internal_lists_bugs!$A$2:$C$73,3,FALSE()), VLOOKUP(A760,Internal_lists_bugs!$A$2:$C$73,3,FALSE())&amp;Char(10) &amp; Char(10) &amp; VLOOKUP(A760,Internal_lists_bugs!$A$2:$Z$73,26,FALSE())),"please select a BUG ID")</f>
        <v>
</v>
      </c>
      <c r="C760" s="39" t="str">
        <f>IFERROR(VLOOKUP(A760,Internal_lists_bugs!$A$2:$G2011,7,FALSE()),"please select a BUG ID")</f>
        <v>https://github.com/elastic/elasticsearch/commit/7a38e384c9ff783f17e9db92a730bdf654dbda6b</v>
      </c>
      <c r="D760" s="16" t="s">
        <v>1244</v>
      </c>
      <c r="E760" s="50"/>
      <c r="F760" s="43"/>
      <c r="G760" s="50"/>
      <c r="H760" s="138" t="s">
        <v>1245</v>
      </c>
    </row>
    <row r="761">
      <c r="A761" s="16" t="s">
        <v>87</v>
      </c>
      <c r="B761" s="59" t="str">
        <f>IFERROR(HYPERLINK(VLOOKUP(A761,Internal_lists_bugs!$A$2:$C$73,3,FALSE()), VLOOKUP(A761,Internal_lists_bugs!$A$2:$C$73,3,FALSE())&amp;Char(10) &amp; Char(10) &amp; VLOOKUP(A761,Internal_lists_bugs!$A$2:$Z$73,26,FALSE())),"please select a BUG ID")</f>
        <v>
</v>
      </c>
      <c r="C761" s="39" t="str">
        <f>IFERROR(VLOOKUP(A761,Internal_lists_bugs!$A$2:$G2011,7,FALSE()),"please select a BUG ID")</f>
        <v>https://github.com/elastic/elasticsearch/commit/7a38e384c9ff783f17e9db92a730bdf654dbda6b</v>
      </c>
      <c r="D761" s="16" t="s">
        <v>1246</v>
      </c>
      <c r="E761" s="50"/>
      <c r="F761" s="43"/>
      <c r="G761" s="50"/>
      <c r="H761" s="138" t="s">
        <v>1247</v>
      </c>
    </row>
    <row r="762">
      <c r="A762" s="16" t="s">
        <v>87</v>
      </c>
      <c r="B762" s="59" t="str">
        <f>IFERROR(HYPERLINK(VLOOKUP(A762,Internal_lists_bugs!$A$2:$C$73,3,FALSE()), VLOOKUP(A762,Internal_lists_bugs!$A$2:$C$73,3,FALSE())&amp;Char(10) &amp; Char(10) &amp; VLOOKUP(A762,Internal_lists_bugs!$A$2:$Z$73,26,FALSE())),"please select a BUG ID")</f>
        <v>
</v>
      </c>
      <c r="C762" s="39" t="str">
        <f>IFERROR(VLOOKUP(A762,Internal_lists_bugs!$A$2:$G2011,7,FALSE()),"please select a BUG ID")</f>
        <v>https://github.com/elastic/elasticsearch/commit/7a38e384c9ff783f17e9db92a730bdf654dbda6b</v>
      </c>
      <c r="D762" s="16" t="s">
        <v>1248</v>
      </c>
      <c r="E762" s="50"/>
      <c r="F762" s="43"/>
      <c r="G762" s="50"/>
      <c r="H762" s="138"/>
    </row>
    <row r="763">
      <c r="A763" s="16" t="s">
        <v>87</v>
      </c>
      <c r="B763" s="59" t="str">
        <f>IFERROR(HYPERLINK(VLOOKUP(A763,Internal_lists_bugs!$A$2:$C$73,3,FALSE()), VLOOKUP(A763,Internal_lists_bugs!$A$2:$C$73,3,FALSE())&amp;Char(10) &amp; Char(10) &amp; VLOOKUP(A763,Internal_lists_bugs!$A$2:$Z$73,26,FALSE())),"please select a BUG ID")</f>
        <v>
</v>
      </c>
      <c r="C763" s="39" t="str">
        <f>IFERROR(VLOOKUP(A763,Internal_lists_bugs!$A$2:$G2011,7,FALSE()),"please select a BUG ID")</f>
        <v>https://github.com/elastic/elasticsearch/commit/7a38e384c9ff783f17e9db92a730bdf654dbda6b</v>
      </c>
      <c r="D763" s="16" t="s">
        <v>1249</v>
      </c>
      <c r="E763" s="50"/>
      <c r="F763" s="43"/>
      <c r="G763" s="50"/>
      <c r="H763" s="43"/>
    </row>
    <row r="764">
      <c r="A764" s="16" t="s">
        <v>87</v>
      </c>
      <c r="B764" s="59" t="str">
        <f>IFERROR(HYPERLINK(VLOOKUP(A764,Internal_lists_bugs!$A$2:$C$73,3,FALSE()), VLOOKUP(A764,Internal_lists_bugs!$A$2:$C$73,3,FALSE())&amp;Char(10) &amp; Char(10) &amp; VLOOKUP(A764,Internal_lists_bugs!$A$2:$Z$73,26,FALSE())),"please select a BUG ID")</f>
        <v>
</v>
      </c>
      <c r="C764" s="39" t="str">
        <f>IFERROR(VLOOKUP(A764,Internal_lists_bugs!$A$2:$G2011,7,FALSE()),"please select a BUG ID")</f>
        <v>https://github.com/elastic/elasticsearch/commit/7a38e384c9ff783f17e9db92a730bdf654dbda6b</v>
      </c>
      <c r="D764" s="16" t="s">
        <v>1250</v>
      </c>
      <c r="E764" s="50"/>
      <c r="F764" s="43"/>
      <c r="G764" s="50"/>
      <c r="H764" s="43"/>
    </row>
    <row r="765">
      <c r="A765" s="16" t="s">
        <v>87</v>
      </c>
      <c r="B765" s="59" t="str">
        <f>IFERROR(HYPERLINK(VLOOKUP(A765,Internal_lists_bugs!$A$2:$C$73,3,FALSE()), VLOOKUP(A765,Internal_lists_bugs!$A$2:$C$73,3,FALSE())&amp;Char(10) &amp; Char(10) &amp; VLOOKUP(A765,Internal_lists_bugs!$A$2:$Z$73,26,FALSE())),"please select a BUG ID")</f>
        <v>
</v>
      </c>
      <c r="C765" s="39" t="str">
        <f>IFERROR(VLOOKUP(A765,Internal_lists_bugs!$A$2:$G2011,7,FALSE()),"please select a BUG ID")</f>
        <v>https://github.com/elastic/elasticsearch/commit/7a38e384c9ff783f17e9db92a730bdf654dbda6b</v>
      </c>
      <c r="D765" s="16" t="s">
        <v>1242</v>
      </c>
      <c r="E765" s="50"/>
      <c r="F765" s="43"/>
      <c r="G765" s="50"/>
      <c r="H765" s="43"/>
    </row>
    <row r="766">
      <c r="A766" s="16" t="s">
        <v>87</v>
      </c>
      <c r="B766" s="59" t="str">
        <f>IFERROR(HYPERLINK(VLOOKUP(A766,Internal_lists_bugs!$A$2:$C$73,3,FALSE()), VLOOKUP(A766,Internal_lists_bugs!$A$2:$C$73,3,FALSE())&amp;Char(10) &amp; Char(10) &amp; VLOOKUP(A766,Internal_lists_bugs!$A$2:$Z$73,26,FALSE())),"please select a BUG ID")</f>
        <v>
</v>
      </c>
      <c r="C766" s="39" t="str">
        <f>IFERROR(VLOOKUP(A766,Internal_lists_bugs!$A$2:$G2011,7,FALSE()),"please select a BUG ID")</f>
        <v>https://github.com/elastic/elasticsearch/commit/7a38e384c9ff783f17e9db92a730bdf654dbda6b</v>
      </c>
      <c r="D766" s="16" t="s">
        <v>1251</v>
      </c>
      <c r="E766" s="50"/>
      <c r="F766" s="43"/>
      <c r="G766" s="50"/>
      <c r="H766" s="43"/>
    </row>
    <row r="767">
      <c r="A767" s="16" t="s">
        <v>87</v>
      </c>
      <c r="B767" s="59" t="str">
        <f>IFERROR(HYPERLINK(VLOOKUP(A767,Internal_lists_bugs!$A$2:$C$73,3,FALSE()), VLOOKUP(A767,Internal_lists_bugs!$A$2:$C$73,3,FALSE())&amp;Char(10) &amp; Char(10) &amp; VLOOKUP(A767,Internal_lists_bugs!$A$2:$Z$73,26,FALSE())),"please select a BUG ID")</f>
        <v>
</v>
      </c>
      <c r="C767" s="39" t="str">
        <f>IFERROR(VLOOKUP(A767,Internal_lists_bugs!$A$2:$G2011,7,FALSE()),"please select a BUG ID")</f>
        <v>https://github.com/elastic/elasticsearch/commit/7a38e384c9ff783f17e9db92a730bdf654dbda6b</v>
      </c>
      <c r="D767" s="16" t="s">
        <v>1252</v>
      </c>
      <c r="E767" s="50"/>
      <c r="F767" s="43"/>
      <c r="G767" s="50"/>
      <c r="H767" s="43"/>
    </row>
    <row r="768">
      <c r="A768" s="16" t="s">
        <v>87</v>
      </c>
      <c r="B768" s="59" t="str">
        <f>IFERROR(HYPERLINK(VLOOKUP(A768,Internal_lists_bugs!$A$2:$C$73,3,FALSE()), VLOOKUP(A768,Internal_lists_bugs!$A$2:$C$73,3,FALSE())&amp;Char(10) &amp; Char(10) &amp; VLOOKUP(A768,Internal_lists_bugs!$A$2:$Z$73,26,FALSE())),"please select a BUG ID")</f>
        <v>
</v>
      </c>
      <c r="C768" s="39" t="str">
        <f>IFERROR(VLOOKUP(A768,Internal_lists_bugs!$A$2:$G2011,7,FALSE()),"please select a BUG ID")</f>
        <v>https://github.com/elastic/elasticsearch/commit/7a38e384c9ff783f17e9db92a730bdf654dbda6b</v>
      </c>
      <c r="D768" s="16" t="s">
        <v>1253</v>
      </c>
      <c r="E768" s="50"/>
      <c r="F768" s="43"/>
      <c r="G768" s="50"/>
      <c r="H768" s="43"/>
    </row>
    <row r="769">
      <c r="A769" s="16" t="s">
        <v>87</v>
      </c>
      <c r="B769" s="59" t="str">
        <f>IFERROR(HYPERLINK(VLOOKUP(A769,Internal_lists_bugs!$A$2:$C$73,3,FALSE()), VLOOKUP(A769,Internal_lists_bugs!$A$2:$C$73,3,FALSE())&amp;Char(10) &amp; Char(10) &amp; VLOOKUP(A769,Internal_lists_bugs!$A$2:$Z$73,26,FALSE())),"please select a BUG ID")</f>
        <v>
</v>
      </c>
      <c r="C769" s="39" t="str">
        <f>IFERROR(VLOOKUP(A769,Internal_lists_bugs!$A$2:$G2011,7,FALSE()),"please select a BUG ID")</f>
        <v>https://github.com/elastic/elasticsearch/commit/7a38e384c9ff783f17e9db92a730bdf654dbda6b</v>
      </c>
      <c r="D769" s="16" t="s">
        <v>1254</v>
      </c>
      <c r="E769" s="50"/>
      <c r="F769" s="43"/>
      <c r="G769" s="50"/>
      <c r="H769" s="43"/>
    </row>
    <row r="770">
      <c r="A770" s="16" t="s">
        <v>97</v>
      </c>
      <c r="B770" s="59" t="str">
        <f>IFERROR(HYPERLINK(VLOOKUP(A770,Internal_lists_bugs!$A$2:$C$73,3,FALSE()), VLOOKUP(A770,Internal_lists_bugs!$A$2:$C$73,3,FALSE())&amp;Char(10) &amp; Char(10) &amp; VLOOKUP(A770,Internal_lists_bugs!$A$2:$Z$73,26,FALSE())),"please select a BUG ID")</f>
        <v>
</v>
      </c>
      <c r="C770" s="39" t="str">
        <f>IFERROR(VLOOKUP(A770,Internal_lists_bugs!$A$2:$G2011,7,FALSE()),"please select a BUG ID")</f>
        <v>https://github.com/elastic/elasticsearch/commit/ef85412f98e97ff5471013eab59fd8cb3046c17a</v>
      </c>
      <c r="D770" s="16" t="s">
        <v>1242</v>
      </c>
      <c r="E770" s="50"/>
      <c r="F770" s="16" t="s">
        <v>1174</v>
      </c>
      <c r="G770" s="50"/>
      <c r="H770" s="138" t="s">
        <v>1243</v>
      </c>
    </row>
    <row r="771">
      <c r="A771" s="16" t="s">
        <v>97</v>
      </c>
      <c r="B771" s="59" t="str">
        <f>IFERROR(HYPERLINK(VLOOKUP(A771,Internal_lists_bugs!$A$2:$C$73,3,FALSE()), VLOOKUP(A771,Internal_lists_bugs!$A$2:$C$73,3,FALSE())&amp;Char(10) &amp; Char(10) &amp; VLOOKUP(A771,Internal_lists_bugs!$A$2:$Z$73,26,FALSE())),"please select a BUG ID")</f>
        <v>
</v>
      </c>
      <c r="C771" s="39" t="str">
        <f>IFERROR(VLOOKUP(A771,Internal_lists_bugs!$A$2:$G2011,7,FALSE()),"please select a BUG ID")</f>
        <v>https://github.com/elastic/elasticsearch/commit/ef85412f98e97ff5471013eab59fd8cb3046c17a</v>
      </c>
      <c r="D771" s="16" t="s">
        <v>1244</v>
      </c>
      <c r="E771" s="50"/>
      <c r="F771" s="43"/>
      <c r="G771" s="50"/>
      <c r="H771" s="138" t="s">
        <v>1245</v>
      </c>
    </row>
    <row r="772">
      <c r="A772" s="16" t="s">
        <v>97</v>
      </c>
      <c r="B772" s="59" t="str">
        <f>IFERROR(HYPERLINK(VLOOKUP(A772,Internal_lists_bugs!$A$2:$C$73,3,FALSE()), VLOOKUP(A772,Internal_lists_bugs!$A$2:$C$73,3,FALSE())&amp;Char(10) &amp; Char(10) &amp; VLOOKUP(A772,Internal_lists_bugs!$A$2:$Z$73,26,FALSE())),"please select a BUG ID")</f>
        <v>
</v>
      </c>
      <c r="C772" s="39" t="str">
        <f>IFERROR(VLOOKUP(A772,Internal_lists_bugs!$A$2:$G2011,7,FALSE()),"please select a BUG ID")</f>
        <v>https://github.com/elastic/elasticsearch/commit/ef85412f98e97ff5471013eab59fd8cb3046c17a</v>
      </c>
      <c r="D772" s="16" t="s">
        <v>1246</v>
      </c>
      <c r="E772" s="50"/>
      <c r="F772" s="43"/>
      <c r="G772" s="50"/>
      <c r="H772" s="138" t="s">
        <v>1247</v>
      </c>
    </row>
    <row r="773">
      <c r="A773" s="16" t="s">
        <v>97</v>
      </c>
      <c r="B773" s="59" t="str">
        <f>IFERROR(HYPERLINK(VLOOKUP(A773,Internal_lists_bugs!$A$2:$C$73,3,FALSE()), VLOOKUP(A773,Internal_lists_bugs!$A$2:$C$73,3,FALSE())&amp;Char(10) &amp; Char(10) &amp; VLOOKUP(A773,Internal_lists_bugs!$A$2:$Z$73,26,FALSE())),"please select a BUG ID")</f>
        <v>
</v>
      </c>
      <c r="C773" s="39" t="str">
        <f>IFERROR(VLOOKUP(A773,Internal_lists_bugs!$A$2:$G2011,7,FALSE()),"please select a BUG ID")</f>
        <v>https://github.com/elastic/elasticsearch/commit/ef85412f98e97ff5471013eab59fd8cb3046c17a</v>
      </c>
      <c r="D773" s="16" t="s">
        <v>1248</v>
      </c>
      <c r="E773" s="50"/>
      <c r="F773" s="43"/>
      <c r="G773" s="50"/>
      <c r="H773" s="138"/>
    </row>
    <row r="774">
      <c r="A774" s="16" t="s">
        <v>97</v>
      </c>
      <c r="B774" s="59" t="str">
        <f>IFERROR(HYPERLINK(VLOOKUP(A774,Internal_lists_bugs!$A$2:$C$73,3,FALSE()), VLOOKUP(A774,Internal_lists_bugs!$A$2:$C$73,3,FALSE())&amp;Char(10) &amp; Char(10) &amp; VLOOKUP(A774,Internal_lists_bugs!$A$2:$Z$73,26,FALSE())),"please select a BUG ID")</f>
        <v>
</v>
      </c>
      <c r="C774" s="39" t="str">
        <f>IFERROR(VLOOKUP(A774,Internal_lists_bugs!$A$2:$G2011,7,FALSE()),"please select a BUG ID")</f>
        <v>https://github.com/elastic/elasticsearch/commit/ef85412f98e97ff5471013eab59fd8cb3046c17a</v>
      </c>
      <c r="D774" s="16" t="s">
        <v>1249</v>
      </c>
      <c r="E774" s="50"/>
      <c r="F774" s="43"/>
      <c r="G774" s="50"/>
      <c r="H774" s="43"/>
    </row>
    <row r="775">
      <c r="A775" s="16" t="s">
        <v>97</v>
      </c>
      <c r="B775" s="59" t="str">
        <f>IFERROR(HYPERLINK(VLOOKUP(A775,Internal_lists_bugs!$A$2:$C$73,3,FALSE()), VLOOKUP(A775,Internal_lists_bugs!$A$2:$C$73,3,FALSE())&amp;Char(10) &amp; Char(10) &amp; VLOOKUP(A775,Internal_lists_bugs!$A$2:$Z$73,26,FALSE())),"please select a BUG ID")</f>
        <v>
</v>
      </c>
      <c r="C775" s="39" t="str">
        <f>IFERROR(VLOOKUP(A775,Internal_lists_bugs!$A$2:$G2011,7,FALSE()),"please select a BUG ID")</f>
        <v>https://github.com/elastic/elasticsearch/commit/ef85412f98e97ff5471013eab59fd8cb3046c17a</v>
      </c>
      <c r="D775" s="16" t="s">
        <v>1250</v>
      </c>
      <c r="E775" s="50"/>
      <c r="F775" s="43"/>
      <c r="G775" s="50"/>
      <c r="H775" s="43"/>
    </row>
    <row r="776">
      <c r="A776" s="16" t="s">
        <v>97</v>
      </c>
      <c r="B776" s="59" t="str">
        <f>IFERROR(HYPERLINK(VLOOKUP(A776,Internal_lists_bugs!$A$2:$C$73,3,FALSE()), VLOOKUP(A776,Internal_lists_bugs!$A$2:$C$73,3,FALSE())&amp;Char(10) &amp; Char(10) &amp; VLOOKUP(A776,Internal_lists_bugs!$A$2:$Z$73,26,FALSE())),"please select a BUG ID")</f>
        <v>
</v>
      </c>
      <c r="C776" s="39" t="str">
        <f>IFERROR(VLOOKUP(A776,Internal_lists_bugs!$A$2:$G2011,7,FALSE()),"please select a BUG ID")</f>
        <v>https://github.com/elastic/elasticsearch/commit/ef85412f98e97ff5471013eab59fd8cb3046c17a</v>
      </c>
      <c r="D776" s="16" t="s">
        <v>1242</v>
      </c>
      <c r="E776" s="50"/>
      <c r="F776" s="43"/>
      <c r="G776" s="50"/>
      <c r="H776" s="43"/>
    </row>
    <row r="777">
      <c r="A777" s="16" t="s">
        <v>97</v>
      </c>
      <c r="B777" s="59" t="str">
        <f>IFERROR(HYPERLINK(VLOOKUP(A777,Internal_lists_bugs!$A$2:$C$73,3,FALSE()), VLOOKUP(A777,Internal_lists_bugs!$A$2:$C$73,3,FALSE())&amp;Char(10) &amp; Char(10) &amp; VLOOKUP(A777,Internal_lists_bugs!$A$2:$Z$73,26,FALSE())),"please select a BUG ID")</f>
        <v>
</v>
      </c>
      <c r="C777" s="39" t="str">
        <f>IFERROR(VLOOKUP(A777,Internal_lists_bugs!$A$2:$G2011,7,FALSE()),"please select a BUG ID")</f>
        <v>https://github.com/elastic/elasticsearch/commit/ef85412f98e97ff5471013eab59fd8cb3046c17a</v>
      </c>
      <c r="D777" s="16" t="s">
        <v>1251</v>
      </c>
      <c r="E777" s="50"/>
      <c r="F777" s="43"/>
      <c r="G777" s="50"/>
      <c r="H777" s="43"/>
    </row>
    <row r="778">
      <c r="A778" s="16" t="s">
        <v>97</v>
      </c>
      <c r="B778" s="59" t="str">
        <f>IFERROR(HYPERLINK(VLOOKUP(A778,Internal_lists_bugs!$A$2:$C$73,3,FALSE()), VLOOKUP(A778,Internal_lists_bugs!$A$2:$C$73,3,FALSE())&amp;Char(10) &amp; Char(10) &amp; VLOOKUP(A778,Internal_lists_bugs!$A$2:$Z$73,26,FALSE())),"please select a BUG ID")</f>
        <v>
</v>
      </c>
      <c r="C778" s="39" t="str">
        <f>IFERROR(VLOOKUP(A778,Internal_lists_bugs!$A$2:$G2011,7,FALSE()),"please select a BUG ID")</f>
        <v>https://github.com/elastic/elasticsearch/commit/ef85412f98e97ff5471013eab59fd8cb3046c17a</v>
      </c>
      <c r="D778" s="16" t="s">
        <v>1252</v>
      </c>
      <c r="E778" s="50"/>
      <c r="F778" s="43"/>
      <c r="G778" s="50"/>
      <c r="H778" s="43"/>
    </row>
    <row r="779">
      <c r="A779" s="16" t="s">
        <v>97</v>
      </c>
      <c r="B779" s="59" t="str">
        <f>IFERROR(HYPERLINK(VLOOKUP(A779,Internal_lists_bugs!$A$2:$C$73,3,FALSE()), VLOOKUP(A779,Internal_lists_bugs!$A$2:$C$73,3,FALSE())&amp;Char(10) &amp; Char(10) &amp; VLOOKUP(A779,Internal_lists_bugs!$A$2:$Z$73,26,FALSE())),"please select a BUG ID")</f>
        <v>
</v>
      </c>
      <c r="C779" s="39" t="str">
        <f>IFERROR(VLOOKUP(A779,Internal_lists_bugs!$A$2:$G2011,7,FALSE()),"please select a BUG ID")</f>
        <v>https://github.com/elastic/elasticsearch/commit/ef85412f98e97ff5471013eab59fd8cb3046c17a</v>
      </c>
      <c r="D779" s="16" t="s">
        <v>1253</v>
      </c>
      <c r="E779" s="50"/>
      <c r="F779" s="43"/>
      <c r="G779" s="50"/>
      <c r="H779" s="43"/>
    </row>
    <row r="780">
      <c r="A780" s="16" t="s">
        <v>97</v>
      </c>
      <c r="B780" s="59" t="str">
        <f>IFERROR(HYPERLINK(VLOOKUP(A780,Internal_lists_bugs!$A$2:$C$73,3,FALSE()), VLOOKUP(A780,Internal_lists_bugs!$A$2:$C$73,3,FALSE())&amp;Char(10) &amp; Char(10) &amp; VLOOKUP(A780,Internal_lists_bugs!$A$2:$Z$73,26,FALSE())),"please select a BUG ID")</f>
        <v>
</v>
      </c>
      <c r="C780" s="39" t="str">
        <f>IFERROR(VLOOKUP(A780,Internal_lists_bugs!$A$2:$G2011,7,FALSE()),"please select a BUG ID")</f>
        <v>https://github.com/elastic/elasticsearch/commit/ef85412f98e97ff5471013eab59fd8cb3046c17a</v>
      </c>
      <c r="D780" s="16" t="s">
        <v>1254</v>
      </c>
      <c r="E780" s="50"/>
      <c r="F780" s="43"/>
      <c r="G780" s="50"/>
      <c r="H780" s="43"/>
    </row>
    <row r="781">
      <c r="A781" s="16" t="s">
        <v>82</v>
      </c>
      <c r="B781" s="59" t="str">
        <f>IFERROR(HYPERLINK(VLOOKUP(A781,Internal_lists_bugs!$A$2:$C$73,3,FALSE()), VLOOKUP(A781,Internal_lists_bugs!$A$2:$C$73,3,FALSE())&amp;Char(10) &amp; Char(10) &amp; VLOOKUP(A781,Internal_lists_bugs!$A$2:$Z$73,26,FALSE())),"please select a BUG ID")</f>
        <v>
</v>
      </c>
      <c r="C781" s="39" t="str">
        <f>IFERROR(VLOOKUP(A781,Internal_lists_bugs!$A$2:$G2011,7,FALSE()),"please select a BUG ID")</f>
        <v>https://github.com/elastic/elasticsearch/commit/2ea7423f3ac68578a81d92f50b6484cf1db2203d</v>
      </c>
      <c r="D781" s="16" t="s">
        <v>1242</v>
      </c>
      <c r="E781" s="50"/>
      <c r="F781" s="16" t="s">
        <v>1174</v>
      </c>
      <c r="G781" s="50"/>
      <c r="H781" s="138" t="s">
        <v>1243</v>
      </c>
    </row>
    <row r="782">
      <c r="A782" s="16" t="s">
        <v>82</v>
      </c>
      <c r="B782" s="59" t="str">
        <f>IFERROR(HYPERLINK(VLOOKUP(A782,Internal_lists_bugs!$A$2:$C$73,3,FALSE()), VLOOKUP(A782,Internal_lists_bugs!$A$2:$C$73,3,FALSE())&amp;Char(10) &amp; Char(10) &amp; VLOOKUP(A782,Internal_lists_bugs!$A$2:$Z$73,26,FALSE())),"please select a BUG ID")</f>
        <v>
</v>
      </c>
      <c r="C782" s="39" t="str">
        <f>IFERROR(VLOOKUP(A782,Internal_lists_bugs!$A$2:$G2011,7,FALSE()),"please select a BUG ID")</f>
        <v>https://github.com/elastic/elasticsearch/commit/2ea7423f3ac68578a81d92f50b6484cf1db2203d</v>
      </c>
      <c r="D782" s="16" t="s">
        <v>1244</v>
      </c>
      <c r="E782" s="50"/>
      <c r="F782" s="43"/>
      <c r="G782" s="50"/>
      <c r="H782" s="138" t="s">
        <v>1245</v>
      </c>
    </row>
    <row r="783">
      <c r="A783" s="16" t="s">
        <v>82</v>
      </c>
      <c r="B783" s="59" t="str">
        <f>IFERROR(HYPERLINK(VLOOKUP(A783,Internal_lists_bugs!$A$2:$C$73,3,FALSE()), VLOOKUP(A783,Internal_lists_bugs!$A$2:$C$73,3,FALSE())&amp;Char(10) &amp; Char(10) &amp; VLOOKUP(A783,Internal_lists_bugs!$A$2:$Z$73,26,FALSE())),"please select a BUG ID")</f>
        <v>
</v>
      </c>
      <c r="C783" s="39" t="str">
        <f>IFERROR(VLOOKUP(A783,Internal_lists_bugs!$A$2:$G2011,7,FALSE()),"please select a BUG ID")</f>
        <v>https://github.com/elastic/elasticsearch/commit/2ea7423f3ac68578a81d92f50b6484cf1db2203d</v>
      </c>
      <c r="D783" s="16" t="s">
        <v>1246</v>
      </c>
      <c r="E783" s="50"/>
      <c r="F783" s="43"/>
      <c r="G783" s="50"/>
      <c r="H783" s="138" t="s">
        <v>1247</v>
      </c>
    </row>
    <row r="784">
      <c r="A784" s="16" t="s">
        <v>82</v>
      </c>
      <c r="B784" s="59" t="str">
        <f>IFERROR(HYPERLINK(VLOOKUP(A784,Internal_lists_bugs!$A$2:$C$73,3,FALSE()), VLOOKUP(A784,Internal_lists_bugs!$A$2:$C$73,3,FALSE())&amp;Char(10) &amp; Char(10) &amp; VLOOKUP(A784,Internal_lists_bugs!$A$2:$Z$73,26,FALSE())),"please select a BUG ID")</f>
        <v>
</v>
      </c>
      <c r="C784" s="39" t="str">
        <f>IFERROR(VLOOKUP(A784,Internal_lists_bugs!$A$2:$G2011,7,FALSE()),"please select a BUG ID")</f>
        <v>https://github.com/elastic/elasticsearch/commit/2ea7423f3ac68578a81d92f50b6484cf1db2203d</v>
      </c>
      <c r="D784" s="16" t="s">
        <v>1248</v>
      </c>
      <c r="E784" s="50"/>
      <c r="F784" s="43"/>
      <c r="G784" s="50"/>
      <c r="H784" s="138"/>
    </row>
    <row r="785">
      <c r="A785" s="16" t="s">
        <v>82</v>
      </c>
      <c r="B785" s="59" t="str">
        <f>IFERROR(HYPERLINK(VLOOKUP(A785,Internal_lists_bugs!$A$2:$C$73,3,FALSE()), VLOOKUP(A785,Internal_lists_bugs!$A$2:$C$73,3,FALSE())&amp;Char(10) &amp; Char(10) &amp; VLOOKUP(A785,Internal_lists_bugs!$A$2:$Z$73,26,FALSE())),"please select a BUG ID")</f>
        <v>
</v>
      </c>
      <c r="C785" s="39" t="str">
        <f>IFERROR(VLOOKUP(A785,Internal_lists_bugs!$A$2:$G2011,7,FALSE()),"please select a BUG ID")</f>
        <v>https://github.com/elastic/elasticsearch/commit/2ea7423f3ac68578a81d92f50b6484cf1db2203d</v>
      </c>
      <c r="D785" s="16" t="s">
        <v>1249</v>
      </c>
      <c r="E785" s="50"/>
      <c r="F785" s="43"/>
      <c r="G785" s="50"/>
      <c r="H785" s="43"/>
    </row>
    <row r="786">
      <c r="A786" s="16" t="s">
        <v>82</v>
      </c>
      <c r="B786" s="59" t="str">
        <f>IFERROR(HYPERLINK(VLOOKUP(A786,Internal_lists_bugs!$A$2:$C$73,3,FALSE()), VLOOKUP(A786,Internal_lists_bugs!$A$2:$C$73,3,FALSE())&amp;Char(10) &amp; Char(10) &amp; VLOOKUP(A786,Internal_lists_bugs!$A$2:$Z$73,26,FALSE())),"please select a BUG ID")</f>
        <v>
</v>
      </c>
      <c r="C786" s="39" t="str">
        <f>IFERROR(VLOOKUP(A786,Internal_lists_bugs!$A$2:$G2011,7,FALSE()),"please select a BUG ID")</f>
        <v>https://github.com/elastic/elasticsearch/commit/2ea7423f3ac68578a81d92f50b6484cf1db2203d</v>
      </c>
      <c r="D786" s="16" t="s">
        <v>1250</v>
      </c>
      <c r="E786" s="50"/>
      <c r="F786" s="43"/>
      <c r="G786" s="50"/>
      <c r="H786" s="43"/>
    </row>
    <row r="787">
      <c r="A787" s="16" t="s">
        <v>82</v>
      </c>
      <c r="B787" s="59" t="str">
        <f>IFERROR(HYPERLINK(VLOOKUP(A787,Internal_lists_bugs!$A$2:$C$73,3,FALSE()), VLOOKUP(A787,Internal_lists_bugs!$A$2:$C$73,3,FALSE())&amp;Char(10) &amp; Char(10) &amp; VLOOKUP(A787,Internal_lists_bugs!$A$2:$Z$73,26,FALSE())),"please select a BUG ID")</f>
        <v>
</v>
      </c>
      <c r="C787" s="39" t="str">
        <f>IFERROR(VLOOKUP(A787,Internal_lists_bugs!$A$2:$G2011,7,FALSE()),"please select a BUG ID")</f>
        <v>https://github.com/elastic/elasticsearch/commit/2ea7423f3ac68578a81d92f50b6484cf1db2203d</v>
      </c>
      <c r="D787" s="16" t="s">
        <v>1242</v>
      </c>
      <c r="E787" s="50"/>
      <c r="F787" s="43"/>
      <c r="G787" s="50"/>
      <c r="H787" s="43"/>
    </row>
    <row r="788">
      <c r="A788" s="16" t="s">
        <v>82</v>
      </c>
      <c r="B788" s="59" t="str">
        <f>IFERROR(HYPERLINK(VLOOKUP(A788,Internal_lists_bugs!$A$2:$C$73,3,FALSE()), VLOOKUP(A788,Internal_lists_bugs!$A$2:$C$73,3,FALSE())&amp;Char(10) &amp; Char(10) &amp; VLOOKUP(A788,Internal_lists_bugs!$A$2:$Z$73,26,FALSE())),"please select a BUG ID")</f>
        <v>
</v>
      </c>
      <c r="C788" s="39" t="str">
        <f>IFERROR(VLOOKUP(A788,Internal_lists_bugs!$A$2:$G2011,7,FALSE()),"please select a BUG ID")</f>
        <v>https://github.com/elastic/elasticsearch/commit/2ea7423f3ac68578a81d92f50b6484cf1db2203d</v>
      </c>
      <c r="D788" s="16" t="s">
        <v>1251</v>
      </c>
      <c r="E788" s="50"/>
      <c r="F788" s="43"/>
      <c r="G788" s="50"/>
      <c r="H788" s="43"/>
    </row>
    <row r="789">
      <c r="A789" s="16" t="s">
        <v>82</v>
      </c>
      <c r="B789" s="59" t="str">
        <f>IFERROR(HYPERLINK(VLOOKUP(A789,Internal_lists_bugs!$A$2:$C$73,3,FALSE()), VLOOKUP(A789,Internal_lists_bugs!$A$2:$C$73,3,FALSE())&amp;Char(10) &amp; Char(10) &amp; VLOOKUP(A789,Internal_lists_bugs!$A$2:$Z$73,26,FALSE())),"please select a BUG ID")</f>
        <v>
</v>
      </c>
      <c r="C789" s="39" t="str">
        <f>IFERROR(VLOOKUP(A789,Internal_lists_bugs!$A$2:$G2011,7,FALSE()),"please select a BUG ID")</f>
        <v>https://github.com/elastic/elasticsearch/commit/2ea7423f3ac68578a81d92f50b6484cf1db2203d</v>
      </c>
      <c r="D789" s="16" t="s">
        <v>1252</v>
      </c>
      <c r="E789" s="50"/>
      <c r="F789" s="43"/>
      <c r="G789" s="50"/>
      <c r="H789" s="43"/>
    </row>
    <row r="790">
      <c r="A790" s="16" t="s">
        <v>82</v>
      </c>
      <c r="B790" s="59" t="str">
        <f>IFERROR(HYPERLINK(VLOOKUP(A790,Internal_lists_bugs!$A$2:$C$73,3,FALSE()), VLOOKUP(A790,Internal_lists_bugs!$A$2:$C$73,3,FALSE())&amp;Char(10) &amp; Char(10) &amp; VLOOKUP(A790,Internal_lists_bugs!$A$2:$Z$73,26,FALSE())),"please select a BUG ID")</f>
        <v>
</v>
      </c>
      <c r="C790" s="39" t="str">
        <f>IFERROR(VLOOKUP(A790,Internal_lists_bugs!$A$2:$G2011,7,FALSE()),"please select a BUG ID")</f>
        <v>https://github.com/elastic/elasticsearch/commit/2ea7423f3ac68578a81d92f50b6484cf1db2203d</v>
      </c>
      <c r="D790" s="16" t="s">
        <v>1253</v>
      </c>
      <c r="E790" s="50"/>
      <c r="F790" s="43"/>
      <c r="G790" s="50"/>
      <c r="H790" s="43"/>
    </row>
    <row r="791">
      <c r="A791" s="16" t="s">
        <v>82</v>
      </c>
      <c r="B791" s="59" t="str">
        <f>IFERROR(HYPERLINK(VLOOKUP(A791,Internal_lists_bugs!$A$2:$C$73,3,FALSE()), VLOOKUP(A791,Internal_lists_bugs!$A$2:$C$73,3,FALSE())&amp;Char(10) &amp; Char(10) &amp; VLOOKUP(A791,Internal_lists_bugs!$A$2:$Z$73,26,FALSE())),"please select a BUG ID")</f>
        <v>
</v>
      </c>
      <c r="C791" s="39" t="str">
        <f>IFERROR(VLOOKUP(A791,Internal_lists_bugs!$A$2:$G2011,7,FALSE()),"please select a BUG ID")</f>
        <v>https://github.com/elastic/elasticsearch/commit/2ea7423f3ac68578a81d92f50b6484cf1db2203d</v>
      </c>
      <c r="D791" s="16" t="s">
        <v>1254</v>
      </c>
      <c r="E791" s="50"/>
      <c r="F791" s="43"/>
      <c r="G791" s="50"/>
      <c r="H791" s="43"/>
    </row>
    <row r="792">
      <c r="A792" s="16" t="s">
        <v>76</v>
      </c>
      <c r="B792" s="59" t="str">
        <f>IFERROR(HYPERLINK(VLOOKUP(A792,Internal_lists_bugs!$A$2:$C$73,3,FALSE()), VLOOKUP(A792,Internal_lists_bugs!$A$2:$C$73,3,FALSE())&amp;Char(10) &amp; Char(10) &amp; VLOOKUP(A792,Internal_lists_bugs!$A$2:$Z$73,26,FALSE())),"please select a BUG ID")</f>
        <v>
</v>
      </c>
      <c r="C792" s="39" t="str">
        <f>IFERROR(VLOOKUP(A792,Internal_lists_bugs!$A$2:$G2011,7,FALSE()),"please select a BUG ID")</f>
        <v>https://github.com/elastic/elasticsearch/commit/3d310406b71973e82f94f60b8dab0c90729a579a</v>
      </c>
      <c r="D792" s="16" t="s">
        <v>1242</v>
      </c>
      <c r="E792" s="50"/>
      <c r="F792" s="16" t="s">
        <v>1189</v>
      </c>
      <c r="G792" s="50"/>
      <c r="H792" s="138" t="s">
        <v>1243</v>
      </c>
    </row>
    <row r="793">
      <c r="A793" s="16" t="s">
        <v>76</v>
      </c>
      <c r="B793" s="59" t="str">
        <f>IFERROR(HYPERLINK(VLOOKUP(A793,Internal_lists_bugs!$A$2:$C$73,3,FALSE()), VLOOKUP(A793,Internal_lists_bugs!$A$2:$C$73,3,FALSE())&amp;Char(10) &amp; Char(10) &amp; VLOOKUP(A793,Internal_lists_bugs!$A$2:$Z$73,26,FALSE())),"please select a BUG ID")</f>
        <v>
</v>
      </c>
      <c r="C793" s="39" t="str">
        <f>IFERROR(VLOOKUP(A793,Internal_lists_bugs!$A$2:$G2011,7,FALSE()),"please select a BUG ID")</f>
        <v>https://github.com/elastic/elasticsearch/commit/3d310406b71973e82f94f60b8dab0c90729a579a</v>
      </c>
      <c r="D793" s="16" t="s">
        <v>1244</v>
      </c>
      <c r="E793" s="50"/>
      <c r="F793" s="43"/>
      <c r="G793" s="50"/>
      <c r="H793" s="138" t="s">
        <v>1245</v>
      </c>
    </row>
    <row r="794">
      <c r="A794" s="16" t="s">
        <v>76</v>
      </c>
      <c r="B794" s="59" t="str">
        <f>IFERROR(HYPERLINK(VLOOKUP(A794,Internal_lists_bugs!$A$2:$C$73,3,FALSE()), VLOOKUP(A794,Internal_lists_bugs!$A$2:$C$73,3,FALSE())&amp;Char(10) &amp; Char(10) &amp; VLOOKUP(A794,Internal_lists_bugs!$A$2:$Z$73,26,FALSE())),"please select a BUG ID")</f>
        <v>
</v>
      </c>
      <c r="C794" s="39" t="str">
        <f>IFERROR(VLOOKUP(A794,Internal_lists_bugs!$A$2:$G2011,7,FALSE()),"please select a BUG ID")</f>
        <v>https://github.com/elastic/elasticsearch/commit/3d310406b71973e82f94f60b8dab0c90729a579a</v>
      </c>
      <c r="D794" s="16" t="s">
        <v>1246</v>
      </c>
      <c r="E794" s="50"/>
      <c r="F794" s="43"/>
      <c r="G794" s="50"/>
      <c r="H794" s="138" t="s">
        <v>1247</v>
      </c>
    </row>
    <row r="795">
      <c r="A795" s="16" t="s">
        <v>76</v>
      </c>
      <c r="B795" s="59" t="str">
        <f>IFERROR(HYPERLINK(VLOOKUP(A795,Internal_lists_bugs!$A$2:$C$73,3,FALSE()), VLOOKUP(A795,Internal_lists_bugs!$A$2:$C$73,3,FALSE())&amp;Char(10) &amp; Char(10) &amp; VLOOKUP(A795,Internal_lists_bugs!$A$2:$Z$73,26,FALSE())),"please select a BUG ID")</f>
        <v>
</v>
      </c>
      <c r="C795" s="39" t="str">
        <f>IFERROR(VLOOKUP(A795,Internal_lists_bugs!$A$2:$G2011,7,FALSE()),"please select a BUG ID")</f>
        <v>https://github.com/elastic/elasticsearch/commit/3d310406b71973e82f94f60b8dab0c90729a579a</v>
      </c>
      <c r="D795" s="16" t="s">
        <v>1248</v>
      </c>
      <c r="E795" s="50"/>
      <c r="F795" s="43"/>
      <c r="G795" s="50"/>
      <c r="H795" s="138"/>
    </row>
    <row r="796">
      <c r="A796" s="16" t="s">
        <v>76</v>
      </c>
      <c r="B796" s="59" t="str">
        <f>IFERROR(HYPERLINK(VLOOKUP(A796,Internal_lists_bugs!$A$2:$C$73,3,FALSE()), VLOOKUP(A796,Internal_lists_bugs!$A$2:$C$73,3,FALSE())&amp;Char(10) &amp; Char(10) &amp; VLOOKUP(A796,Internal_lists_bugs!$A$2:$Z$73,26,FALSE())),"please select a BUG ID")</f>
        <v>
</v>
      </c>
      <c r="C796" s="39" t="str">
        <f>IFERROR(VLOOKUP(A796,Internal_lists_bugs!$A$2:$G2011,7,FALSE()),"please select a BUG ID")</f>
        <v>https://github.com/elastic/elasticsearch/commit/3d310406b71973e82f94f60b8dab0c90729a579a</v>
      </c>
      <c r="D796" s="16" t="s">
        <v>1249</v>
      </c>
      <c r="E796" s="50"/>
      <c r="F796" s="43"/>
      <c r="G796" s="50"/>
      <c r="H796" s="43"/>
    </row>
    <row r="797">
      <c r="A797" s="16" t="s">
        <v>76</v>
      </c>
      <c r="B797" s="59" t="str">
        <f>IFERROR(HYPERLINK(VLOOKUP(A797,Internal_lists_bugs!$A$2:$C$73,3,FALSE()), VLOOKUP(A797,Internal_lists_bugs!$A$2:$C$73,3,FALSE())&amp;Char(10) &amp; Char(10) &amp; VLOOKUP(A797,Internal_lists_bugs!$A$2:$Z$73,26,FALSE())),"please select a BUG ID")</f>
        <v>
</v>
      </c>
      <c r="C797" s="39" t="str">
        <f>IFERROR(VLOOKUP(A797,Internal_lists_bugs!$A$2:$G2011,7,FALSE()),"please select a BUG ID")</f>
        <v>https://github.com/elastic/elasticsearch/commit/3d310406b71973e82f94f60b8dab0c90729a579a</v>
      </c>
      <c r="D797" s="16" t="s">
        <v>1255</v>
      </c>
      <c r="E797" s="50"/>
      <c r="F797" s="43"/>
      <c r="G797" s="50"/>
      <c r="H797" s="43"/>
    </row>
    <row r="798">
      <c r="A798" s="16" t="s">
        <v>76</v>
      </c>
      <c r="B798" s="59" t="str">
        <f>IFERROR(HYPERLINK(VLOOKUP(A798,Internal_lists_bugs!$A$2:$C$73,3,FALSE()), VLOOKUP(A798,Internal_lists_bugs!$A$2:$C$73,3,FALSE())&amp;Char(10) &amp; Char(10) &amp; VLOOKUP(A798,Internal_lists_bugs!$A$2:$Z$73,26,FALSE())),"please select a BUG ID")</f>
        <v>
</v>
      </c>
      <c r="C798" s="39" t="str">
        <f>IFERROR(VLOOKUP(A798,Internal_lists_bugs!$A$2:$G2011,7,FALSE()),"please select a BUG ID")</f>
        <v>https://github.com/elastic/elasticsearch/commit/3d310406b71973e82f94f60b8dab0c90729a579a</v>
      </c>
      <c r="D798" s="16" t="s">
        <v>1250</v>
      </c>
      <c r="E798" s="50"/>
      <c r="F798" s="43"/>
      <c r="G798" s="50"/>
      <c r="H798" s="43"/>
    </row>
    <row r="799">
      <c r="A799" s="16" t="s">
        <v>76</v>
      </c>
      <c r="B799" s="59" t="str">
        <f>IFERROR(HYPERLINK(VLOOKUP(A799,Internal_lists_bugs!$A$2:$C$73,3,FALSE()), VLOOKUP(A799,Internal_lists_bugs!$A$2:$C$73,3,FALSE())&amp;Char(10) &amp; Char(10) &amp; VLOOKUP(A799,Internal_lists_bugs!$A$2:$Z$73,26,FALSE())),"please select a BUG ID")</f>
        <v>
</v>
      </c>
      <c r="C799" s="39" t="str">
        <f>IFERROR(VLOOKUP(A799,Internal_lists_bugs!$A$2:$G2011,7,FALSE()),"please select a BUG ID")</f>
        <v>https://github.com/elastic/elasticsearch/commit/3d310406b71973e82f94f60b8dab0c90729a579a</v>
      </c>
      <c r="D799" s="16" t="s">
        <v>1242</v>
      </c>
      <c r="E799" s="50"/>
      <c r="F799" s="43"/>
      <c r="G799" s="50"/>
      <c r="H799" s="43"/>
    </row>
    <row r="800">
      <c r="A800" s="16" t="s">
        <v>76</v>
      </c>
      <c r="B800" s="59" t="str">
        <f>IFERROR(HYPERLINK(VLOOKUP(A800,Internal_lists_bugs!$A$2:$C$73,3,FALSE()), VLOOKUP(A800,Internal_lists_bugs!$A$2:$C$73,3,FALSE())&amp;Char(10) &amp; Char(10) &amp; VLOOKUP(A800,Internal_lists_bugs!$A$2:$Z$73,26,FALSE())),"please select a BUG ID")</f>
        <v>
</v>
      </c>
      <c r="C800" s="39" t="str">
        <f>IFERROR(VLOOKUP(A800,Internal_lists_bugs!$A$2:$G2011,7,FALSE()),"please select a BUG ID")</f>
        <v>https://github.com/elastic/elasticsearch/commit/3d310406b71973e82f94f60b8dab0c90729a579a</v>
      </c>
      <c r="D800" s="16" t="s">
        <v>1251</v>
      </c>
      <c r="E800" s="50"/>
      <c r="F800" s="43"/>
      <c r="G800" s="50"/>
      <c r="H800" s="43"/>
    </row>
    <row r="801">
      <c r="A801" s="16" t="s">
        <v>76</v>
      </c>
      <c r="B801" s="59" t="str">
        <f>IFERROR(HYPERLINK(VLOOKUP(A801,Internal_lists_bugs!$A$2:$C$73,3,FALSE()), VLOOKUP(A801,Internal_lists_bugs!$A$2:$C$73,3,FALSE())&amp;Char(10) &amp; Char(10) &amp; VLOOKUP(A801,Internal_lists_bugs!$A$2:$Z$73,26,FALSE())),"please select a BUG ID")</f>
        <v>
</v>
      </c>
      <c r="C801" s="39" t="str">
        <f>IFERROR(VLOOKUP(A801,Internal_lists_bugs!$A$2:$G2011,7,FALSE()),"please select a BUG ID")</f>
        <v>https://github.com/elastic/elasticsearch/commit/3d310406b71973e82f94f60b8dab0c90729a579a</v>
      </c>
      <c r="D801" s="16" t="s">
        <v>1252</v>
      </c>
      <c r="E801" s="50"/>
      <c r="F801" s="43"/>
      <c r="G801" s="50"/>
      <c r="H801" s="43"/>
    </row>
    <row r="802">
      <c r="A802" s="16" t="s">
        <v>76</v>
      </c>
      <c r="B802" s="59" t="str">
        <f>IFERROR(HYPERLINK(VLOOKUP(A802,Internal_lists_bugs!$A$2:$C$73,3,FALSE()), VLOOKUP(A802,Internal_lists_bugs!$A$2:$C$73,3,FALSE())&amp;Char(10) &amp; Char(10) &amp; VLOOKUP(A802,Internal_lists_bugs!$A$2:$Z$73,26,FALSE())),"please select a BUG ID")</f>
        <v>
</v>
      </c>
      <c r="C802" s="39" t="str">
        <f>IFERROR(VLOOKUP(A802,Internal_lists_bugs!$A$2:$G2011,7,FALSE()),"please select a BUG ID")</f>
        <v>https://github.com/elastic/elasticsearch/commit/3d310406b71973e82f94f60b8dab0c90729a579a</v>
      </c>
      <c r="D802" s="16" t="s">
        <v>1253</v>
      </c>
      <c r="E802" s="50"/>
      <c r="F802" s="43"/>
      <c r="G802" s="50"/>
      <c r="H802" s="43"/>
    </row>
    <row r="803">
      <c r="A803" s="16" t="s">
        <v>76</v>
      </c>
      <c r="B803" s="59" t="str">
        <f>IFERROR(HYPERLINK(VLOOKUP(A803,Internal_lists_bugs!$A$2:$C$73,3,FALSE()), VLOOKUP(A803,Internal_lists_bugs!$A$2:$C$73,3,FALSE())&amp;Char(10) &amp; Char(10) &amp; VLOOKUP(A803,Internal_lists_bugs!$A$2:$Z$73,26,FALSE())),"please select a BUG ID")</f>
        <v>
</v>
      </c>
      <c r="C803" s="39" t="str">
        <f>IFERROR(VLOOKUP(A803,Internal_lists_bugs!$A$2:$G2011,7,FALSE()),"please select a BUG ID")</f>
        <v>https://github.com/elastic/elasticsearch/commit/3d310406b71973e82f94f60b8dab0c90729a579a</v>
      </c>
      <c r="D803" s="16" t="s">
        <v>1254</v>
      </c>
      <c r="E803" s="50"/>
      <c r="F803" s="43"/>
      <c r="G803" s="50"/>
      <c r="H803" s="43"/>
    </row>
    <row r="804">
      <c r="A804" s="16" t="s">
        <v>63</v>
      </c>
      <c r="B804" s="59" t="str">
        <f>IFERROR(HYPERLINK(VLOOKUP(A804,Internal_lists_bugs!$A$2:$C$73,3,FALSE()), VLOOKUP(A804,Internal_lists_bugs!$A$2:$C$73,3,FALSE())&amp;Char(10) &amp; Char(10) &amp; VLOOKUP(A804,Internal_lists_bugs!$A$2:$Z$73,26,FALSE())),"please select a BUG ID")</f>
        <v>
</v>
      </c>
      <c r="C804" s="39" t="str">
        <f>IFERROR(VLOOKUP(A804,Internal_lists_bugs!$A$2:$G2011,7,FALSE()),"please select a BUG ID")</f>
        <v>https://github.com/elastic/elasticsearch/commit/e5b041c8efd408fdc71fd2f2c84439e5a4985244</v>
      </c>
      <c r="D804" s="16" t="s">
        <v>1242</v>
      </c>
      <c r="E804" s="50"/>
      <c r="F804" s="16" t="s">
        <v>1189</v>
      </c>
      <c r="G804" s="50"/>
      <c r="H804" s="138" t="s">
        <v>1243</v>
      </c>
    </row>
    <row r="805">
      <c r="A805" s="16" t="s">
        <v>63</v>
      </c>
      <c r="B805" s="59" t="str">
        <f>IFERROR(HYPERLINK(VLOOKUP(A805,Internal_lists_bugs!$A$2:$C$73,3,FALSE()), VLOOKUP(A805,Internal_lists_bugs!$A$2:$C$73,3,FALSE())&amp;Char(10) &amp; Char(10) &amp; VLOOKUP(A805,Internal_lists_bugs!$A$2:$Z$73,26,FALSE())),"please select a BUG ID")</f>
        <v>
</v>
      </c>
      <c r="C805" s="39" t="str">
        <f>IFERROR(VLOOKUP(A805,Internal_lists_bugs!$A$2:$G2011,7,FALSE()),"please select a BUG ID")</f>
        <v>https://github.com/elastic/elasticsearch/commit/e5b041c8efd408fdc71fd2f2c84439e5a4985244</v>
      </c>
      <c r="D805" s="16" t="s">
        <v>1244</v>
      </c>
      <c r="E805" s="50"/>
      <c r="F805" s="43"/>
      <c r="G805" s="50"/>
      <c r="H805" s="138" t="s">
        <v>1245</v>
      </c>
    </row>
    <row r="806">
      <c r="A806" s="16" t="s">
        <v>63</v>
      </c>
      <c r="B806" s="59" t="str">
        <f>IFERROR(HYPERLINK(VLOOKUP(A806,Internal_lists_bugs!$A$2:$C$73,3,FALSE()), VLOOKUP(A806,Internal_lists_bugs!$A$2:$C$73,3,FALSE())&amp;Char(10) &amp; Char(10) &amp; VLOOKUP(A806,Internal_lists_bugs!$A$2:$Z$73,26,FALSE())),"please select a BUG ID")</f>
        <v>
</v>
      </c>
      <c r="C806" s="39" t="str">
        <f>IFERROR(VLOOKUP(A806,Internal_lists_bugs!$A$2:$G2011,7,FALSE()),"please select a BUG ID")</f>
        <v>https://github.com/elastic/elasticsearch/commit/e5b041c8efd408fdc71fd2f2c84439e5a4985244</v>
      </c>
      <c r="D806" s="16" t="s">
        <v>1246</v>
      </c>
      <c r="E806" s="50"/>
      <c r="F806" s="43"/>
      <c r="G806" s="50"/>
      <c r="H806" s="138" t="s">
        <v>1247</v>
      </c>
    </row>
    <row r="807">
      <c r="A807" s="16" t="s">
        <v>63</v>
      </c>
      <c r="B807" s="59" t="str">
        <f>IFERROR(HYPERLINK(VLOOKUP(A807,Internal_lists_bugs!$A$2:$C$73,3,FALSE()), VLOOKUP(A807,Internal_lists_bugs!$A$2:$C$73,3,FALSE())&amp;Char(10) &amp; Char(10) &amp; VLOOKUP(A807,Internal_lists_bugs!$A$2:$Z$73,26,FALSE())),"please select a BUG ID")</f>
        <v>
</v>
      </c>
      <c r="C807" s="39" t="str">
        <f>IFERROR(VLOOKUP(A807,Internal_lists_bugs!$A$2:$G2011,7,FALSE()),"please select a BUG ID")</f>
        <v>https://github.com/elastic/elasticsearch/commit/e5b041c8efd408fdc71fd2f2c84439e5a4985244</v>
      </c>
      <c r="D807" s="16" t="s">
        <v>1249</v>
      </c>
      <c r="E807" s="50"/>
      <c r="F807" s="43"/>
      <c r="G807" s="50"/>
      <c r="H807" s="122" t="s">
        <v>1256</v>
      </c>
    </row>
    <row r="808">
      <c r="A808" s="16" t="s">
        <v>63</v>
      </c>
      <c r="B808" s="59" t="str">
        <f>IFERROR(HYPERLINK(VLOOKUP(A808,Internal_lists_bugs!$A$2:$C$73,3,FALSE()), VLOOKUP(A808,Internal_lists_bugs!$A$2:$C$73,3,FALSE())&amp;Char(10) &amp; Char(10) &amp; VLOOKUP(A808,Internal_lists_bugs!$A$2:$Z$73,26,FALSE())),"please select a BUG ID")</f>
        <v>
</v>
      </c>
      <c r="C808" s="39" t="str">
        <f>IFERROR(VLOOKUP(A808,Internal_lists_bugs!$A$2:$G2011,7,FALSE()),"please select a BUG ID")</f>
        <v>https://github.com/elastic/elasticsearch/commit/e5b041c8efd408fdc71fd2f2c84439e5a4985244</v>
      </c>
      <c r="D808" s="16" t="s">
        <v>1248</v>
      </c>
      <c r="E808" s="50"/>
      <c r="F808" s="43"/>
      <c r="G808" s="50"/>
      <c r="H808" s="43"/>
    </row>
    <row r="809">
      <c r="A809" s="16" t="s">
        <v>63</v>
      </c>
      <c r="B809" s="59" t="str">
        <f>IFERROR(HYPERLINK(VLOOKUP(A809,Internal_lists_bugs!$A$2:$C$73,3,FALSE()), VLOOKUP(A809,Internal_lists_bugs!$A$2:$C$73,3,FALSE())&amp;Char(10) &amp; Char(10) &amp; VLOOKUP(A809,Internal_lists_bugs!$A$2:$Z$73,26,FALSE())),"please select a BUG ID")</f>
        <v>
</v>
      </c>
      <c r="C809" s="39" t="str">
        <f>IFERROR(VLOOKUP(A809,Internal_lists_bugs!$A$2:$G2011,7,FALSE()),"please select a BUG ID")</f>
        <v>https://github.com/elastic/elasticsearch/commit/e5b041c8efd408fdc71fd2f2c84439e5a4985244</v>
      </c>
      <c r="D809" s="16" t="s">
        <v>1257</v>
      </c>
      <c r="E809" s="50"/>
      <c r="F809" s="43"/>
      <c r="G809" s="50"/>
      <c r="H809" s="43"/>
    </row>
    <row r="810">
      <c r="A810" s="16" t="s">
        <v>63</v>
      </c>
      <c r="B810" s="59" t="str">
        <f>IFERROR(HYPERLINK(VLOOKUP(A810,Internal_lists_bugs!$A$2:$C$73,3,FALSE()), VLOOKUP(A810,Internal_lists_bugs!$A$2:$C$73,3,FALSE())&amp;Char(10) &amp; Char(10) &amp; VLOOKUP(A810,Internal_lists_bugs!$A$2:$Z$73,26,FALSE())),"please select a BUG ID")</f>
        <v>
</v>
      </c>
      <c r="C810" s="39" t="str">
        <f>IFERROR(VLOOKUP(A810,Internal_lists_bugs!$A$2:$G2011,7,FALSE()),"please select a BUG ID")</f>
        <v>https://github.com/elastic/elasticsearch/commit/e5b041c8efd408fdc71fd2f2c84439e5a4985244</v>
      </c>
      <c r="D810" s="16" t="s">
        <v>1255</v>
      </c>
      <c r="E810" s="50"/>
      <c r="F810" s="43"/>
      <c r="G810" s="50"/>
      <c r="H810" s="43"/>
    </row>
    <row r="811">
      <c r="A811" s="16" t="s">
        <v>63</v>
      </c>
      <c r="B811" s="59" t="str">
        <f>IFERROR(HYPERLINK(VLOOKUP(A811,Internal_lists_bugs!$A$2:$C$73,3,FALSE()), VLOOKUP(A811,Internal_lists_bugs!$A$2:$C$73,3,FALSE())&amp;Char(10) &amp; Char(10) &amp; VLOOKUP(A811,Internal_lists_bugs!$A$2:$Z$73,26,FALSE())),"please select a BUG ID")</f>
        <v>
</v>
      </c>
      <c r="C811" s="39" t="str">
        <f>IFERROR(VLOOKUP(A811,Internal_lists_bugs!$A$2:$G2011,7,FALSE()),"please select a BUG ID")</f>
        <v>https://github.com/elastic/elasticsearch/commit/e5b041c8efd408fdc71fd2f2c84439e5a4985244</v>
      </c>
      <c r="D811" s="16" t="s">
        <v>1258</v>
      </c>
      <c r="E811" s="50"/>
      <c r="F811" s="43"/>
      <c r="G811" s="50"/>
      <c r="H811" s="43"/>
    </row>
    <row r="812">
      <c r="A812" s="16" t="s">
        <v>63</v>
      </c>
      <c r="B812" s="59" t="str">
        <f>IFERROR(HYPERLINK(VLOOKUP(A812,Internal_lists_bugs!$A$2:$C$73,3,FALSE()), VLOOKUP(A812,Internal_lists_bugs!$A$2:$C$73,3,FALSE())&amp;Char(10) &amp; Char(10) &amp; VLOOKUP(A812,Internal_lists_bugs!$A$2:$Z$73,26,FALSE())),"please select a BUG ID")</f>
        <v>
</v>
      </c>
      <c r="C812" s="39" t="str">
        <f>IFERROR(VLOOKUP(A812,Internal_lists_bugs!$A$2:$G2011,7,FALSE()),"please select a BUG ID")</f>
        <v>https://github.com/elastic/elasticsearch/commit/e5b041c8efd408fdc71fd2f2c84439e5a4985244</v>
      </c>
      <c r="D812" s="16" t="s">
        <v>1259</v>
      </c>
      <c r="E812" s="50"/>
      <c r="F812" s="43"/>
      <c r="G812" s="50"/>
      <c r="H812" s="43"/>
    </row>
    <row r="813">
      <c r="A813" s="16" t="s">
        <v>63</v>
      </c>
      <c r="B813" s="59" t="str">
        <f>IFERROR(HYPERLINK(VLOOKUP(A813,Internal_lists_bugs!$A$2:$C$73,3,FALSE()), VLOOKUP(A813,Internal_lists_bugs!$A$2:$C$73,3,FALSE())&amp;Char(10) &amp; Char(10) &amp; VLOOKUP(A813,Internal_lists_bugs!$A$2:$Z$73,26,FALSE())),"please select a BUG ID")</f>
        <v>
</v>
      </c>
      <c r="C813" s="39" t="str">
        <f>IFERROR(VLOOKUP(A813,Internal_lists_bugs!$A$2:$G2011,7,FALSE()),"please select a BUG ID")</f>
        <v>https://github.com/elastic/elasticsearch/commit/e5b041c8efd408fdc71fd2f2c84439e5a4985244</v>
      </c>
      <c r="D813" s="16" t="s">
        <v>1250</v>
      </c>
      <c r="E813" s="50"/>
      <c r="F813" s="43"/>
      <c r="G813" s="50"/>
      <c r="H813" s="43"/>
    </row>
    <row r="814">
      <c r="A814" s="16" t="s">
        <v>63</v>
      </c>
      <c r="B814" s="59" t="str">
        <f>IFERROR(HYPERLINK(VLOOKUP(A814,Internal_lists_bugs!$A$2:$C$73,3,FALSE()), VLOOKUP(A814,Internal_lists_bugs!$A$2:$C$73,3,FALSE())&amp;Char(10) &amp; Char(10) &amp; VLOOKUP(A814,Internal_lists_bugs!$A$2:$Z$73,26,FALSE())),"please select a BUG ID")</f>
        <v>
</v>
      </c>
      <c r="C814" s="39" t="str">
        <f>IFERROR(VLOOKUP(A814,Internal_lists_bugs!$A$2:$G2011,7,FALSE()),"please select a BUG ID")</f>
        <v>https://github.com/elastic/elasticsearch/commit/e5b041c8efd408fdc71fd2f2c84439e5a4985244</v>
      </c>
      <c r="D814" s="16" t="s">
        <v>1242</v>
      </c>
      <c r="E814" s="50"/>
      <c r="F814" s="43"/>
      <c r="G814" s="50"/>
      <c r="H814" s="43"/>
    </row>
    <row r="815">
      <c r="A815" s="16" t="s">
        <v>63</v>
      </c>
      <c r="B815" s="59" t="str">
        <f>IFERROR(HYPERLINK(VLOOKUP(A815,Internal_lists_bugs!$A$2:$C$73,3,FALSE()), VLOOKUP(A815,Internal_lists_bugs!$A$2:$C$73,3,FALSE())&amp;Char(10) &amp; Char(10) &amp; VLOOKUP(A815,Internal_lists_bugs!$A$2:$Z$73,26,FALSE())),"please select a BUG ID")</f>
        <v>
</v>
      </c>
      <c r="C815" s="39" t="str">
        <f>IFERROR(VLOOKUP(A815,Internal_lists_bugs!$A$2:$G2011,7,FALSE()),"please select a BUG ID")</f>
        <v>https://github.com/elastic/elasticsearch/commit/e5b041c8efd408fdc71fd2f2c84439e5a4985244</v>
      </c>
      <c r="D815" s="16" t="s">
        <v>1251</v>
      </c>
      <c r="E815" s="50"/>
      <c r="F815" s="43"/>
      <c r="G815" s="50"/>
      <c r="H815" s="43"/>
    </row>
    <row r="816">
      <c r="A816" s="16" t="s">
        <v>63</v>
      </c>
      <c r="B816" s="59" t="str">
        <f>IFERROR(HYPERLINK(VLOOKUP(A816,Internal_lists_bugs!$A$2:$C$73,3,FALSE()), VLOOKUP(A816,Internal_lists_bugs!$A$2:$C$73,3,FALSE())&amp;Char(10) &amp; Char(10) &amp; VLOOKUP(A816,Internal_lists_bugs!$A$2:$Z$73,26,FALSE())),"please select a BUG ID")</f>
        <v>
</v>
      </c>
      <c r="C816" s="39" t="str">
        <f>IFERROR(VLOOKUP(A816,Internal_lists_bugs!$A$2:$G2011,7,FALSE()),"please select a BUG ID")</f>
        <v>https://github.com/elastic/elasticsearch/commit/e5b041c8efd408fdc71fd2f2c84439e5a4985244</v>
      </c>
      <c r="D816" s="16" t="s">
        <v>1252</v>
      </c>
      <c r="E816" s="50"/>
      <c r="F816" s="43"/>
      <c r="G816" s="50"/>
      <c r="H816" s="43"/>
    </row>
    <row r="817">
      <c r="A817" s="16" t="s">
        <v>63</v>
      </c>
      <c r="B817" s="59" t="str">
        <f>IFERROR(HYPERLINK(VLOOKUP(A817,Internal_lists_bugs!$A$2:$C$73,3,FALSE()), VLOOKUP(A817,Internal_lists_bugs!$A$2:$C$73,3,FALSE())&amp;Char(10) &amp; Char(10) &amp; VLOOKUP(A817,Internal_lists_bugs!$A$2:$Z$73,26,FALSE())),"please select a BUG ID")</f>
        <v>
</v>
      </c>
      <c r="C817" s="39" t="str">
        <f>IFERROR(VLOOKUP(A817,Internal_lists_bugs!$A$2:$G2011,7,FALSE()),"please select a BUG ID")</f>
        <v>https://github.com/elastic/elasticsearch/commit/e5b041c8efd408fdc71fd2f2c84439e5a4985244</v>
      </c>
      <c r="D817" s="16" t="s">
        <v>1253</v>
      </c>
      <c r="E817" s="50"/>
      <c r="F817" s="43"/>
      <c r="G817" s="50"/>
      <c r="H817" s="43"/>
    </row>
    <row r="818">
      <c r="A818" s="16" t="s">
        <v>63</v>
      </c>
      <c r="B818" s="59" t="str">
        <f>IFERROR(HYPERLINK(VLOOKUP(A818,Internal_lists_bugs!$A$2:$C$73,3,FALSE()), VLOOKUP(A818,Internal_lists_bugs!$A$2:$C$73,3,FALSE())&amp;Char(10) &amp; Char(10) &amp; VLOOKUP(A818,Internal_lists_bugs!$A$2:$Z$73,26,FALSE())),"please select a BUG ID")</f>
        <v>
</v>
      </c>
      <c r="C818" s="39" t="str">
        <f>IFERROR(VLOOKUP(A818,Internal_lists_bugs!$A$2:$G2011,7,FALSE()),"please select a BUG ID")</f>
        <v>https://github.com/elastic/elasticsearch/commit/e5b041c8efd408fdc71fd2f2c84439e5a4985244</v>
      </c>
      <c r="D818" s="16" t="s">
        <v>1254</v>
      </c>
      <c r="E818" s="50"/>
      <c r="F818" s="43"/>
      <c r="G818" s="50"/>
      <c r="H818" s="43"/>
    </row>
    <row r="819">
      <c r="A819" s="16" t="s">
        <v>74</v>
      </c>
      <c r="B819" s="59" t="str">
        <f>IFERROR(HYPERLINK(VLOOKUP(A819,Internal_lists_bugs!$A$2:$C$73,3,FALSE()), VLOOKUP(A819,Internal_lists_bugs!$A$2:$C$73,3,FALSE())&amp;Char(10) &amp; Char(10) &amp; VLOOKUP(A819,Internal_lists_bugs!$A$2:$Z$73,26,FALSE())),"please select a BUG ID")</f>
        <v>
</v>
      </c>
      <c r="C819" s="39" t="str">
        <f>IFERROR(VLOOKUP(A819,Internal_lists_bugs!$A$2:$G2011,7,FALSE()),"please select a BUG ID")</f>
        <v>https://github.com/elastic/elasticsearch/commit/b31b0e979c616251ed75b18a87193bd76b75eff3</v>
      </c>
      <c r="D819" s="16" t="s">
        <v>1242</v>
      </c>
      <c r="E819" s="50"/>
      <c r="F819" s="16" t="s">
        <v>1189</v>
      </c>
      <c r="G819" s="50"/>
      <c r="H819" s="138" t="s">
        <v>1243</v>
      </c>
    </row>
    <row r="820">
      <c r="A820" s="16" t="s">
        <v>74</v>
      </c>
      <c r="B820" s="59" t="str">
        <f>IFERROR(HYPERLINK(VLOOKUP(A820,Internal_lists_bugs!$A$2:$C$73,3,FALSE()), VLOOKUP(A820,Internal_lists_bugs!$A$2:$C$73,3,FALSE())&amp;Char(10) &amp; Char(10) &amp; VLOOKUP(A820,Internal_lists_bugs!$A$2:$Z$73,26,FALSE())),"please select a BUG ID")</f>
        <v>
</v>
      </c>
      <c r="C820" s="39" t="str">
        <f>IFERROR(VLOOKUP(A820,Internal_lists_bugs!$A$2:$G2011,7,FALSE()),"please select a BUG ID")</f>
        <v>https://github.com/elastic/elasticsearch/commit/b31b0e979c616251ed75b18a87193bd76b75eff3</v>
      </c>
      <c r="D820" s="16" t="s">
        <v>1244</v>
      </c>
      <c r="E820" s="50"/>
      <c r="F820" s="43"/>
      <c r="G820" s="50"/>
      <c r="H820" s="138" t="s">
        <v>1245</v>
      </c>
    </row>
    <row r="821">
      <c r="A821" s="16" t="s">
        <v>74</v>
      </c>
      <c r="B821" s="59" t="str">
        <f>IFERROR(HYPERLINK(VLOOKUP(A821,Internal_lists_bugs!$A$2:$C$73,3,FALSE()), VLOOKUP(A821,Internal_lists_bugs!$A$2:$C$73,3,FALSE())&amp;Char(10) &amp; Char(10) &amp; VLOOKUP(A821,Internal_lists_bugs!$A$2:$Z$73,26,FALSE())),"please select a BUG ID")</f>
        <v>
</v>
      </c>
      <c r="C821" s="39" t="str">
        <f>IFERROR(VLOOKUP(A821,Internal_lists_bugs!$A$2:$G2011,7,FALSE()),"please select a BUG ID")</f>
        <v>https://github.com/elastic/elasticsearch/commit/b31b0e979c616251ed75b18a87193bd76b75eff3</v>
      </c>
      <c r="D821" s="16" t="s">
        <v>1246</v>
      </c>
      <c r="E821" s="50"/>
      <c r="F821" s="43"/>
      <c r="G821" s="50"/>
      <c r="H821" s="138" t="s">
        <v>1247</v>
      </c>
    </row>
    <row r="822">
      <c r="A822" s="16" t="s">
        <v>74</v>
      </c>
      <c r="B822" s="59" t="str">
        <f>IFERROR(HYPERLINK(VLOOKUP(A822,Internal_lists_bugs!$A$2:$C$73,3,FALSE()), VLOOKUP(A822,Internal_lists_bugs!$A$2:$C$73,3,FALSE())&amp;Char(10) &amp; Char(10) &amp; VLOOKUP(A822,Internal_lists_bugs!$A$2:$Z$73,26,FALSE())),"please select a BUG ID")</f>
        <v>
</v>
      </c>
      <c r="C822" s="39" t="str">
        <f>IFERROR(VLOOKUP(A822,Internal_lists_bugs!$A$2:$G2011,7,FALSE()),"please select a BUG ID")</f>
        <v>https://github.com/elastic/elasticsearch/commit/b31b0e979c616251ed75b18a87193bd76b75eff3</v>
      </c>
      <c r="D822" s="16" t="s">
        <v>1249</v>
      </c>
      <c r="E822" s="50"/>
      <c r="F822" s="43"/>
      <c r="G822" s="50"/>
      <c r="H822" s="122" t="s">
        <v>1256</v>
      </c>
    </row>
    <row r="823">
      <c r="A823" s="16" t="s">
        <v>74</v>
      </c>
      <c r="B823" s="59" t="str">
        <f>IFERROR(HYPERLINK(VLOOKUP(A823,Internal_lists_bugs!$A$2:$C$73,3,FALSE()), VLOOKUP(A823,Internal_lists_bugs!$A$2:$C$73,3,FALSE())&amp;Char(10) &amp; Char(10) &amp; VLOOKUP(A823,Internal_lists_bugs!$A$2:$Z$73,26,FALSE())),"please select a BUG ID")</f>
        <v>
</v>
      </c>
      <c r="C823" s="39" t="str">
        <f>IFERROR(VLOOKUP(A823,Internal_lists_bugs!$A$2:$G2011,7,FALSE()),"please select a BUG ID")</f>
        <v>https://github.com/elastic/elasticsearch/commit/b31b0e979c616251ed75b18a87193bd76b75eff3</v>
      </c>
      <c r="D823" s="16" t="s">
        <v>1248</v>
      </c>
      <c r="E823" s="50"/>
      <c r="F823" s="43"/>
      <c r="G823" s="50"/>
      <c r="H823" s="43"/>
    </row>
    <row r="824">
      <c r="A824" s="16" t="s">
        <v>74</v>
      </c>
      <c r="B824" s="59" t="str">
        <f>IFERROR(HYPERLINK(VLOOKUP(A824,Internal_lists_bugs!$A$2:$C$73,3,FALSE()), VLOOKUP(A824,Internal_lists_bugs!$A$2:$C$73,3,FALSE())&amp;Char(10) &amp; Char(10) &amp; VLOOKUP(A824,Internal_lists_bugs!$A$2:$Z$73,26,FALSE())),"please select a BUG ID")</f>
        <v>
</v>
      </c>
      <c r="C824" s="39" t="str">
        <f>IFERROR(VLOOKUP(A824,Internal_lists_bugs!$A$2:$G2011,7,FALSE()),"please select a BUG ID")</f>
        <v>https://github.com/elastic/elasticsearch/commit/b31b0e979c616251ed75b18a87193bd76b75eff3</v>
      </c>
      <c r="D824" s="16" t="s">
        <v>1257</v>
      </c>
      <c r="E824" s="50"/>
      <c r="F824" s="43"/>
      <c r="G824" s="50"/>
      <c r="H824" s="43"/>
    </row>
    <row r="825">
      <c r="A825" s="16" t="s">
        <v>74</v>
      </c>
      <c r="B825" s="59" t="str">
        <f>IFERROR(HYPERLINK(VLOOKUP(A825,Internal_lists_bugs!$A$2:$C$73,3,FALSE()), VLOOKUP(A825,Internal_lists_bugs!$A$2:$C$73,3,FALSE())&amp;Char(10) &amp; Char(10) &amp; VLOOKUP(A825,Internal_lists_bugs!$A$2:$Z$73,26,FALSE())),"please select a BUG ID")</f>
        <v>
</v>
      </c>
      <c r="C825" s="39" t="str">
        <f>IFERROR(VLOOKUP(A825,Internal_lists_bugs!$A$2:$G2011,7,FALSE()),"please select a BUG ID")</f>
        <v>https://github.com/elastic/elasticsearch/commit/b31b0e979c616251ed75b18a87193bd76b75eff3</v>
      </c>
      <c r="D825" s="16" t="s">
        <v>1255</v>
      </c>
      <c r="E825" s="50"/>
      <c r="F825" s="43"/>
      <c r="G825" s="50"/>
      <c r="H825" s="43"/>
    </row>
    <row r="826">
      <c r="A826" s="16" t="s">
        <v>74</v>
      </c>
      <c r="B826" s="59" t="str">
        <f>IFERROR(HYPERLINK(VLOOKUP(A826,Internal_lists_bugs!$A$2:$C$73,3,FALSE()), VLOOKUP(A826,Internal_lists_bugs!$A$2:$C$73,3,FALSE())&amp;Char(10) &amp; Char(10) &amp; VLOOKUP(A826,Internal_lists_bugs!$A$2:$Z$73,26,FALSE())),"please select a BUG ID")</f>
        <v>
</v>
      </c>
      <c r="C826" s="39" t="str">
        <f>IFERROR(VLOOKUP(A826,Internal_lists_bugs!$A$2:$G2011,7,FALSE()),"please select a BUG ID")</f>
        <v>https://github.com/elastic/elasticsearch/commit/b31b0e979c616251ed75b18a87193bd76b75eff3</v>
      </c>
      <c r="D826" s="16" t="s">
        <v>1258</v>
      </c>
      <c r="E826" s="50"/>
      <c r="F826" s="43"/>
      <c r="G826" s="50"/>
      <c r="H826" s="43"/>
    </row>
    <row r="827">
      <c r="A827" s="16" t="s">
        <v>74</v>
      </c>
      <c r="B827" s="59" t="str">
        <f>IFERROR(HYPERLINK(VLOOKUP(A827,Internal_lists_bugs!$A$2:$C$73,3,FALSE()), VLOOKUP(A827,Internal_lists_bugs!$A$2:$C$73,3,FALSE())&amp;Char(10) &amp; Char(10) &amp; VLOOKUP(A827,Internal_lists_bugs!$A$2:$Z$73,26,FALSE())),"please select a BUG ID")</f>
        <v>
</v>
      </c>
      <c r="C827" s="39" t="str">
        <f>IFERROR(VLOOKUP(A827,Internal_lists_bugs!$A$2:$G2011,7,FALSE()),"please select a BUG ID")</f>
        <v>https://github.com/elastic/elasticsearch/commit/b31b0e979c616251ed75b18a87193bd76b75eff3</v>
      </c>
      <c r="D827" s="16" t="s">
        <v>1259</v>
      </c>
      <c r="E827" s="50"/>
      <c r="F827" s="43"/>
      <c r="G827" s="50"/>
      <c r="H827" s="43"/>
    </row>
    <row r="828">
      <c r="A828" s="16" t="s">
        <v>74</v>
      </c>
      <c r="B828" s="59" t="str">
        <f>IFERROR(HYPERLINK(VLOOKUP(A828,Internal_lists_bugs!$A$2:$C$73,3,FALSE()), VLOOKUP(A828,Internal_lists_bugs!$A$2:$C$73,3,FALSE())&amp;Char(10) &amp; Char(10) &amp; VLOOKUP(A828,Internal_lists_bugs!$A$2:$Z$73,26,FALSE())),"please select a BUG ID")</f>
        <v>
</v>
      </c>
      <c r="C828" s="39" t="str">
        <f>IFERROR(VLOOKUP(A828,Internal_lists_bugs!$A$2:$G2011,7,FALSE()),"please select a BUG ID")</f>
        <v>https://github.com/elastic/elasticsearch/commit/b31b0e979c616251ed75b18a87193bd76b75eff3</v>
      </c>
      <c r="D828" s="16" t="s">
        <v>1250</v>
      </c>
      <c r="E828" s="50"/>
      <c r="F828" s="43"/>
      <c r="G828" s="50"/>
      <c r="H828" s="43"/>
    </row>
    <row r="829">
      <c r="A829" s="16" t="s">
        <v>74</v>
      </c>
      <c r="B829" s="59" t="str">
        <f>IFERROR(HYPERLINK(VLOOKUP(A829,Internal_lists_bugs!$A$2:$C$73,3,FALSE()), VLOOKUP(A829,Internal_lists_bugs!$A$2:$C$73,3,FALSE())&amp;Char(10) &amp; Char(10) &amp; VLOOKUP(A829,Internal_lists_bugs!$A$2:$Z$73,26,FALSE())),"please select a BUG ID")</f>
        <v>
</v>
      </c>
      <c r="C829" s="39" t="str">
        <f>IFERROR(VLOOKUP(A829,Internal_lists_bugs!$A$2:$G2011,7,FALSE()),"please select a BUG ID")</f>
        <v>https://github.com/elastic/elasticsearch/commit/b31b0e979c616251ed75b18a87193bd76b75eff3</v>
      </c>
      <c r="D829" s="16" t="s">
        <v>1242</v>
      </c>
      <c r="E829" s="50"/>
      <c r="F829" s="43"/>
      <c r="G829" s="50"/>
      <c r="H829" s="43"/>
    </row>
    <row r="830">
      <c r="A830" s="16" t="s">
        <v>74</v>
      </c>
      <c r="B830" s="59" t="str">
        <f>IFERROR(HYPERLINK(VLOOKUP(A830,Internal_lists_bugs!$A$2:$C$73,3,FALSE()), VLOOKUP(A830,Internal_lists_bugs!$A$2:$C$73,3,FALSE())&amp;Char(10) &amp; Char(10) &amp; VLOOKUP(A830,Internal_lists_bugs!$A$2:$Z$73,26,FALSE())),"please select a BUG ID")</f>
        <v>
</v>
      </c>
      <c r="C830" s="39" t="str">
        <f>IFERROR(VLOOKUP(A830,Internal_lists_bugs!$A$2:$G2011,7,FALSE()),"please select a BUG ID")</f>
        <v>https://github.com/elastic/elasticsearch/commit/b31b0e979c616251ed75b18a87193bd76b75eff3</v>
      </c>
      <c r="D830" s="16" t="s">
        <v>1251</v>
      </c>
      <c r="E830" s="50"/>
      <c r="F830" s="43"/>
      <c r="G830" s="50"/>
      <c r="H830" s="43"/>
    </row>
    <row r="831">
      <c r="A831" s="16" t="s">
        <v>74</v>
      </c>
      <c r="B831" s="59" t="str">
        <f>IFERROR(HYPERLINK(VLOOKUP(A831,Internal_lists_bugs!$A$2:$C$73,3,FALSE()), VLOOKUP(A831,Internal_lists_bugs!$A$2:$C$73,3,FALSE())&amp;Char(10) &amp; Char(10) &amp; VLOOKUP(A831,Internal_lists_bugs!$A$2:$Z$73,26,FALSE())),"please select a BUG ID")</f>
        <v>
</v>
      </c>
      <c r="C831" s="39" t="str">
        <f>IFERROR(VLOOKUP(A831,Internal_lists_bugs!$A$2:$G2011,7,FALSE()),"please select a BUG ID")</f>
        <v>https://github.com/elastic/elasticsearch/commit/b31b0e979c616251ed75b18a87193bd76b75eff3</v>
      </c>
      <c r="D831" s="16" t="s">
        <v>1252</v>
      </c>
      <c r="E831" s="50"/>
      <c r="F831" s="43"/>
      <c r="G831" s="50"/>
      <c r="H831" s="43"/>
    </row>
    <row r="832">
      <c r="A832" s="16" t="s">
        <v>74</v>
      </c>
      <c r="B832" s="59" t="str">
        <f>IFERROR(HYPERLINK(VLOOKUP(A832,Internal_lists_bugs!$A$2:$C$73,3,FALSE()), VLOOKUP(A832,Internal_lists_bugs!$A$2:$C$73,3,FALSE())&amp;Char(10) &amp; Char(10) &amp; VLOOKUP(A832,Internal_lists_bugs!$A$2:$Z$73,26,FALSE())),"please select a BUG ID")</f>
        <v>
</v>
      </c>
      <c r="C832" s="39" t="str">
        <f>IFERROR(VLOOKUP(A832,Internal_lists_bugs!$A$2:$G2011,7,FALSE()),"please select a BUG ID")</f>
        <v>https://github.com/elastic/elasticsearch/commit/b31b0e979c616251ed75b18a87193bd76b75eff3</v>
      </c>
      <c r="D832" s="16" t="s">
        <v>1253</v>
      </c>
      <c r="E832" s="50"/>
      <c r="F832" s="43"/>
      <c r="G832" s="50"/>
      <c r="H832" s="43"/>
    </row>
    <row r="833">
      <c r="A833" s="16" t="s">
        <v>74</v>
      </c>
      <c r="B833" s="59" t="str">
        <f>IFERROR(HYPERLINK(VLOOKUP(A833,Internal_lists_bugs!$A$2:$C$73,3,FALSE()), VLOOKUP(A833,Internal_lists_bugs!$A$2:$C$73,3,FALSE())&amp;Char(10) &amp; Char(10) &amp; VLOOKUP(A833,Internal_lists_bugs!$A$2:$Z$73,26,FALSE())),"please select a BUG ID")</f>
        <v>
</v>
      </c>
      <c r="C833" s="39" t="str">
        <f>IFERROR(VLOOKUP(A833,Internal_lists_bugs!$A$2:$G2011,7,FALSE()),"please select a BUG ID")</f>
        <v>https://github.com/elastic/elasticsearch/commit/b31b0e979c616251ed75b18a87193bd76b75eff3</v>
      </c>
      <c r="D833" s="16" t="s">
        <v>1254</v>
      </c>
      <c r="E833" s="50"/>
      <c r="F833" s="43"/>
      <c r="G833" s="50"/>
      <c r="H833" s="43"/>
    </row>
    <row r="834">
      <c r="A834" s="16" t="s">
        <v>83</v>
      </c>
      <c r="B834" s="59" t="str">
        <f>IFERROR(HYPERLINK(VLOOKUP(A834,Internal_lists_bugs!$A$2:$C$73,3,FALSE()), VLOOKUP(A834,Internal_lists_bugs!$A$2:$C$73,3,FALSE())&amp;Char(10) &amp; Char(10) &amp; VLOOKUP(A834,Internal_lists_bugs!$A$2:$Z$73,26,FALSE())),"please select a BUG ID")</f>
        <v>
</v>
      </c>
      <c r="C834" s="39" t="str">
        <f>IFERROR(VLOOKUP(A834,Internal_lists_bugs!$A$2:$G2011,7,FALSE()),"please select a BUG ID")</f>
        <v>https://github.com/elastic/elasticsearch/commit/aa68667d636d61b0cc67810e1e2489d1246e9af6</v>
      </c>
      <c r="D834" s="16" t="s">
        <v>1242</v>
      </c>
      <c r="E834" s="50"/>
      <c r="F834" s="16" t="s">
        <v>1189</v>
      </c>
      <c r="G834" s="50"/>
      <c r="H834" s="138" t="s">
        <v>1243</v>
      </c>
    </row>
    <row r="835">
      <c r="A835" s="16" t="s">
        <v>83</v>
      </c>
      <c r="B835" s="59" t="str">
        <f>IFERROR(HYPERLINK(VLOOKUP(A835,Internal_lists_bugs!$A$2:$C$73,3,FALSE()), VLOOKUP(A835,Internal_lists_bugs!$A$2:$C$73,3,FALSE())&amp;Char(10) &amp; Char(10) &amp; VLOOKUP(A835,Internal_lists_bugs!$A$2:$Z$73,26,FALSE())),"please select a BUG ID")</f>
        <v>
</v>
      </c>
      <c r="C835" s="39" t="str">
        <f>IFERROR(VLOOKUP(A835,Internal_lists_bugs!$A$2:$G2011,7,FALSE()),"please select a BUG ID")</f>
        <v>https://github.com/elastic/elasticsearch/commit/aa68667d636d61b0cc67810e1e2489d1246e9af6</v>
      </c>
      <c r="D835" s="16" t="s">
        <v>1244</v>
      </c>
      <c r="E835" s="50"/>
      <c r="F835" s="43"/>
      <c r="G835" s="50"/>
      <c r="H835" s="138" t="s">
        <v>1245</v>
      </c>
    </row>
    <row r="836">
      <c r="A836" s="16" t="s">
        <v>83</v>
      </c>
      <c r="B836" s="59" t="str">
        <f>IFERROR(HYPERLINK(VLOOKUP(A836,Internal_lists_bugs!$A$2:$C$73,3,FALSE()), VLOOKUP(A836,Internal_lists_bugs!$A$2:$C$73,3,FALSE())&amp;Char(10) &amp; Char(10) &amp; VLOOKUP(A836,Internal_lists_bugs!$A$2:$Z$73,26,FALSE())),"please select a BUG ID")</f>
        <v>
</v>
      </c>
      <c r="C836" s="39" t="str">
        <f>IFERROR(VLOOKUP(A836,Internal_lists_bugs!$A$2:$G2011,7,FALSE()),"please select a BUG ID")</f>
        <v>https://github.com/elastic/elasticsearch/commit/aa68667d636d61b0cc67810e1e2489d1246e9af6</v>
      </c>
      <c r="D836" s="16" t="s">
        <v>1246</v>
      </c>
      <c r="E836" s="50"/>
      <c r="F836" s="43"/>
      <c r="G836" s="50"/>
      <c r="H836" s="138" t="s">
        <v>1247</v>
      </c>
    </row>
    <row r="837">
      <c r="A837" s="16" t="s">
        <v>83</v>
      </c>
      <c r="B837" s="59" t="str">
        <f>IFERROR(HYPERLINK(VLOOKUP(A837,Internal_lists_bugs!$A$2:$C$73,3,FALSE()), VLOOKUP(A837,Internal_lists_bugs!$A$2:$C$73,3,FALSE())&amp;Char(10) &amp; Char(10) &amp; VLOOKUP(A837,Internal_lists_bugs!$A$2:$Z$73,26,FALSE())),"please select a BUG ID")</f>
        <v>
</v>
      </c>
      <c r="C837" s="39" t="str">
        <f>IFERROR(VLOOKUP(A837,Internal_lists_bugs!$A$2:$G2011,7,FALSE()),"please select a BUG ID")</f>
        <v>https://github.com/elastic/elasticsearch/commit/aa68667d636d61b0cc67810e1e2489d1246e9af6</v>
      </c>
      <c r="D837" s="16" t="s">
        <v>1249</v>
      </c>
      <c r="E837" s="50"/>
      <c r="F837" s="43"/>
      <c r="G837" s="50"/>
      <c r="H837" s="122" t="s">
        <v>1256</v>
      </c>
    </row>
    <row r="838">
      <c r="A838" s="16" t="s">
        <v>83</v>
      </c>
      <c r="B838" s="59" t="str">
        <f>IFERROR(HYPERLINK(VLOOKUP(A838,Internal_lists_bugs!$A$2:$C$73,3,FALSE()), VLOOKUP(A838,Internal_lists_bugs!$A$2:$C$73,3,FALSE())&amp;Char(10) &amp; Char(10) &amp; VLOOKUP(A838,Internal_lists_bugs!$A$2:$Z$73,26,FALSE())),"please select a BUG ID")</f>
        <v>
</v>
      </c>
      <c r="C838" s="39" t="str">
        <f>IFERROR(VLOOKUP(A838,Internal_lists_bugs!$A$2:$G2011,7,FALSE()),"please select a BUG ID")</f>
        <v>https://github.com/elastic/elasticsearch/commit/aa68667d636d61b0cc67810e1e2489d1246e9af6</v>
      </c>
      <c r="D838" s="16" t="s">
        <v>1248</v>
      </c>
      <c r="E838" s="50"/>
      <c r="F838" s="43"/>
      <c r="G838" s="50"/>
      <c r="H838" s="43"/>
    </row>
    <row r="839">
      <c r="A839" s="16" t="s">
        <v>83</v>
      </c>
      <c r="B839" s="59" t="str">
        <f>IFERROR(HYPERLINK(VLOOKUP(A839,Internal_lists_bugs!$A$2:$C$73,3,FALSE()), VLOOKUP(A839,Internal_lists_bugs!$A$2:$C$73,3,FALSE())&amp;Char(10) &amp; Char(10) &amp; VLOOKUP(A839,Internal_lists_bugs!$A$2:$Z$73,26,FALSE())),"please select a BUG ID")</f>
        <v>
</v>
      </c>
      <c r="C839" s="39" t="str">
        <f>IFERROR(VLOOKUP(A839,Internal_lists_bugs!$A$2:$G2011,7,FALSE()),"please select a BUG ID")</f>
        <v>https://github.com/elastic/elasticsearch/commit/aa68667d636d61b0cc67810e1e2489d1246e9af6</v>
      </c>
      <c r="D839" s="16" t="s">
        <v>1257</v>
      </c>
      <c r="E839" s="50"/>
      <c r="F839" s="43"/>
      <c r="G839" s="50"/>
      <c r="H839" s="43"/>
    </row>
    <row r="840">
      <c r="A840" s="16" t="s">
        <v>83</v>
      </c>
      <c r="B840" s="59" t="str">
        <f>IFERROR(HYPERLINK(VLOOKUP(A840,Internal_lists_bugs!$A$2:$C$73,3,FALSE()), VLOOKUP(A840,Internal_lists_bugs!$A$2:$C$73,3,FALSE())&amp;Char(10) &amp; Char(10) &amp; VLOOKUP(A840,Internal_lists_bugs!$A$2:$Z$73,26,FALSE())),"please select a BUG ID")</f>
        <v>
</v>
      </c>
      <c r="C840" s="39" t="str">
        <f>IFERROR(VLOOKUP(A840,Internal_lists_bugs!$A$2:$G2011,7,FALSE()),"please select a BUG ID")</f>
        <v>https://github.com/elastic/elasticsearch/commit/aa68667d636d61b0cc67810e1e2489d1246e9af6</v>
      </c>
      <c r="D840" s="16" t="s">
        <v>1255</v>
      </c>
      <c r="E840" s="50"/>
      <c r="F840" s="43"/>
      <c r="G840" s="50"/>
      <c r="H840" s="43"/>
    </row>
    <row r="841">
      <c r="A841" s="16" t="s">
        <v>83</v>
      </c>
      <c r="B841" s="59" t="str">
        <f>IFERROR(HYPERLINK(VLOOKUP(A841,Internal_lists_bugs!$A$2:$C$73,3,FALSE()), VLOOKUP(A841,Internal_lists_bugs!$A$2:$C$73,3,FALSE())&amp;Char(10) &amp; Char(10) &amp; VLOOKUP(A841,Internal_lists_bugs!$A$2:$Z$73,26,FALSE())),"please select a BUG ID")</f>
        <v>
</v>
      </c>
      <c r="C841" s="39" t="str">
        <f>IFERROR(VLOOKUP(A841,Internal_lists_bugs!$A$2:$G2011,7,FALSE()),"please select a BUG ID")</f>
        <v>https://github.com/elastic/elasticsearch/commit/aa68667d636d61b0cc67810e1e2489d1246e9af6</v>
      </c>
      <c r="D841" s="16" t="s">
        <v>1258</v>
      </c>
      <c r="E841" s="50"/>
      <c r="F841" s="43"/>
      <c r="G841" s="50"/>
      <c r="H841" s="43"/>
    </row>
    <row r="842">
      <c r="A842" s="16" t="s">
        <v>83</v>
      </c>
      <c r="B842" s="59" t="str">
        <f>IFERROR(HYPERLINK(VLOOKUP(A842,Internal_lists_bugs!$A$2:$C$73,3,FALSE()), VLOOKUP(A842,Internal_lists_bugs!$A$2:$C$73,3,FALSE())&amp;Char(10) &amp; Char(10) &amp; VLOOKUP(A842,Internal_lists_bugs!$A$2:$Z$73,26,FALSE())),"please select a BUG ID")</f>
        <v>
</v>
      </c>
      <c r="C842" s="39" t="str">
        <f>IFERROR(VLOOKUP(A842,Internal_lists_bugs!$A$2:$G2011,7,FALSE()),"please select a BUG ID")</f>
        <v>https://github.com/elastic/elasticsearch/commit/aa68667d636d61b0cc67810e1e2489d1246e9af6</v>
      </c>
      <c r="D842" s="16" t="s">
        <v>1259</v>
      </c>
      <c r="E842" s="50"/>
      <c r="F842" s="43"/>
      <c r="G842" s="50"/>
      <c r="H842" s="43"/>
    </row>
    <row r="843">
      <c r="A843" s="16" t="s">
        <v>83</v>
      </c>
      <c r="B843" s="59" t="str">
        <f>IFERROR(HYPERLINK(VLOOKUP(A843,Internal_lists_bugs!$A$2:$C$73,3,FALSE()), VLOOKUP(A843,Internal_lists_bugs!$A$2:$C$73,3,FALSE())&amp;Char(10) &amp; Char(10) &amp; VLOOKUP(A843,Internal_lists_bugs!$A$2:$Z$73,26,FALSE())),"please select a BUG ID")</f>
        <v>
</v>
      </c>
      <c r="C843" s="39" t="str">
        <f>IFERROR(VLOOKUP(A843,Internal_lists_bugs!$A$2:$G2011,7,FALSE()),"please select a BUG ID")</f>
        <v>https://github.com/elastic/elasticsearch/commit/aa68667d636d61b0cc67810e1e2489d1246e9af6</v>
      </c>
      <c r="D843" s="16" t="s">
        <v>1250</v>
      </c>
      <c r="E843" s="50"/>
      <c r="F843" s="43"/>
      <c r="G843" s="50"/>
      <c r="H843" s="43"/>
    </row>
    <row r="844">
      <c r="A844" s="16" t="s">
        <v>83</v>
      </c>
      <c r="B844" s="59" t="str">
        <f>IFERROR(HYPERLINK(VLOOKUP(A844,Internal_lists_bugs!$A$2:$C$73,3,FALSE()), VLOOKUP(A844,Internal_lists_bugs!$A$2:$C$73,3,FALSE())&amp;Char(10) &amp; Char(10) &amp; VLOOKUP(A844,Internal_lists_bugs!$A$2:$Z$73,26,FALSE())),"please select a BUG ID")</f>
        <v>
</v>
      </c>
      <c r="C844" s="39" t="str">
        <f>IFERROR(VLOOKUP(A844,Internal_lists_bugs!$A$2:$G2011,7,FALSE()),"please select a BUG ID")</f>
        <v>https://github.com/elastic/elasticsearch/commit/aa68667d636d61b0cc67810e1e2489d1246e9af6</v>
      </c>
      <c r="D844" s="16" t="s">
        <v>1242</v>
      </c>
      <c r="E844" s="50"/>
      <c r="F844" s="43"/>
      <c r="G844" s="50"/>
      <c r="H844" s="43"/>
    </row>
    <row r="845">
      <c r="A845" s="16" t="s">
        <v>83</v>
      </c>
      <c r="B845" s="59" t="str">
        <f>IFERROR(HYPERLINK(VLOOKUP(A845,Internal_lists_bugs!$A$2:$C$73,3,FALSE()), VLOOKUP(A845,Internal_lists_bugs!$A$2:$C$73,3,FALSE())&amp;Char(10) &amp; Char(10) &amp; VLOOKUP(A845,Internal_lists_bugs!$A$2:$Z$73,26,FALSE())),"please select a BUG ID")</f>
        <v>
</v>
      </c>
      <c r="C845" s="39" t="str">
        <f>IFERROR(VLOOKUP(A845,Internal_lists_bugs!$A$2:$G2011,7,FALSE()),"please select a BUG ID")</f>
        <v>https://github.com/elastic/elasticsearch/commit/aa68667d636d61b0cc67810e1e2489d1246e9af6</v>
      </c>
      <c r="D845" s="16" t="s">
        <v>1251</v>
      </c>
      <c r="E845" s="50"/>
      <c r="F845" s="43"/>
      <c r="G845" s="50"/>
      <c r="H845" s="43"/>
    </row>
    <row r="846">
      <c r="A846" s="16" t="s">
        <v>83</v>
      </c>
      <c r="B846" s="59" t="str">
        <f>IFERROR(HYPERLINK(VLOOKUP(A846,Internal_lists_bugs!$A$2:$C$73,3,FALSE()), VLOOKUP(A846,Internal_lists_bugs!$A$2:$C$73,3,FALSE())&amp;Char(10) &amp; Char(10) &amp; VLOOKUP(A846,Internal_lists_bugs!$A$2:$Z$73,26,FALSE())),"please select a BUG ID")</f>
        <v>
</v>
      </c>
      <c r="C846" s="39" t="str">
        <f>IFERROR(VLOOKUP(A846,Internal_lists_bugs!$A$2:$G2011,7,FALSE()),"please select a BUG ID")</f>
        <v>https://github.com/elastic/elasticsearch/commit/aa68667d636d61b0cc67810e1e2489d1246e9af6</v>
      </c>
      <c r="D846" s="16" t="s">
        <v>1252</v>
      </c>
      <c r="E846" s="50"/>
      <c r="F846" s="43"/>
      <c r="G846" s="50"/>
      <c r="H846" s="43"/>
    </row>
    <row r="847">
      <c r="A847" s="16" t="s">
        <v>83</v>
      </c>
      <c r="B847" s="59" t="str">
        <f>IFERROR(HYPERLINK(VLOOKUP(A847,Internal_lists_bugs!$A$2:$C$73,3,FALSE()), VLOOKUP(A847,Internal_lists_bugs!$A$2:$C$73,3,FALSE())&amp;Char(10) &amp; Char(10) &amp; VLOOKUP(A847,Internal_lists_bugs!$A$2:$Z$73,26,FALSE())),"please select a BUG ID")</f>
        <v>
</v>
      </c>
      <c r="C847" s="39" t="str">
        <f>IFERROR(VLOOKUP(A847,Internal_lists_bugs!$A$2:$G2011,7,FALSE()),"please select a BUG ID")</f>
        <v>https://github.com/elastic/elasticsearch/commit/aa68667d636d61b0cc67810e1e2489d1246e9af6</v>
      </c>
      <c r="D847" s="16" t="s">
        <v>1253</v>
      </c>
      <c r="E847" s="50"/>
      <c r="F847" s="43"/>
      <c r="G847" s="50"/>
      <c r="H847" s="43"/>
    </row>
    <row r="848">
      <c r="A848" s="16" t="s">
        <v>83</v>
      </c>
      <c r="B848" s="59" t="str">
        <f>IFERROR(HYPERLINK(VLOOKUP(A848,Internal_lists_bugs!$A$2:$C$73,3,FALSE()), VLOOKUP(A848,Internal_lists_bugs!$A$2:$C$73,3,FALSE())&amp;Char(10) &amp; Char(10) &amp; VLOOKUP(A848,Internal_lists_bugs!$A$2:$Z$73,26,FALSE())),"please select a BUG ID")</f>
        <v>
</v>
      </c>
      <c r="C848" s="39" t="str">
        <f>IFERROR(VLOOKUP(A848,Internal_lists_bugs!$A$2:$G2011,7,FALSE()),"please select a BUG ID")</f>
        <v>https://github.com/elastic/elasticsearch/commit/aa68667d636d61b0cc67810e1e2489d1246e9af6</v>
      </c>
      <c r="D848" s="16" t="s">
        <v>1254</v>
      </c>
      <c r="E848" s="50"/>
      <c r="F848" s="43"/>
      <c r="G848" s="50"/>
      <c r="H848" s="43"/>
    </row>
    <row r="849">
      <c r="A849" s="16" t="s">
        <v>64</v>
      </c>
      <c r="B849" s="59" t="str">
        <f>IFERROR(HYPERLINK(VLOOKUP(A849,Internal_lists_bugs!$A$2:$C$73,3,FALSE()), VLOOKUP(A849,Internal_lists_bugs!$A$2:$C$73,3,FALSE())&amp;Char(10) &amp; Char(10) &amp; VLOOKUP(A849,Internal_lists_bugs!$A$2:$Z$73,26,FALSE())),"please select a BUG ID")</f>
        <v>
</v>
      </c>
      <c r="C849" s="39" t="str">
        <f>IFERROR(VLOOKUP(A849,Internal_lists_bugs!$A$2:$G2011,7,FALSE()),"please select a BUG ID")</f>
        <v>https://github.com/elastic/elasticsearch/commit/7180636df6dfe6b18bf738ee2285549ea95a8cb9</v>
      </c>
      <c r="D849" s="16" t="s">
        <v>1242</v>
      </c>
      <c r="E849" s="50"/>
      <c r="F849" s="16" t="s">
        <v>1189</v>
      </c>
      <c r="G849" s="50"/>
      <c r="H849" s="138" t="s">
        <v>1243</v>
      </c>
    </row>
    <row r="850">
      <c r="A850" s="16" t="s">
        <v>64</v>
      </c>
      <c r="B850" s="59" t="str">
        <f>IFERROR(HYPERLINK(VLOOKUP(A850,Internal_lists_bugs!$A$2:$C$73,3,FALSE()), VLOOKUP(A850,Internal_lists_bugs!$A$2:$C$73,3,FALSE())&amp;Char(10) &amp; Char(10) &amp; VLOOKUP(A850,Internal_lists_bugs!$A$2:$Z$73,26,FALSE())),"please select a BUG ID")</f>
        <v>
</v>
      </c>
      <c r="C850" s="39" t="str">
        <f>IFERROR(VLOOKUP(A850,Internal_lists_bugs!$A$2:$G2011,7,FALSE()),"please select a BUG ID")</f>
        <v>https://github.com/elastic/elasticsearch/commit/7180636df6dfe6b18bf738ee2285549ea95a8cb9</v>
      </c>
      <c r="D850" s="16" t="s">
        <v>1244</v>
      </c>
      <c r="E850" s="50"/>
      <c r="F850" s="43"/>
      <c r="G850" s="50"/>
      <c r="H850" s="138" t="s">
        <v>1245</v>
      </c>
    </row>
    <row r="851">
      <c r="A851" s="16" t="s">
        <v>64</v>
      </c>
      <c r="B851" s="59" t="str">
        <f>IFERROR(HYPERLINK(VLOOKUP(A851,Internal_lists_bugs!$A$2:$C$73,3,FALSE()), VLOOKUP(A851,Internal_lists_bugs!$A$2:$C$73,3,FALSE())&amp;Char(10) &amp; Char(10) &amp; VLOOKUP(A851,Internal_lists_bugs!$A$2:$Z$73,26,FALSE())),"please select a BUG ID")</f>
        <v>
</v>
      </c>
      <c r="C851" s="39" t="str">
        <f>IFERROR(VLOOKUP(A851,Internal_lists_bugs!$A$2:$G2011,7,FALSE()),"please select a BUG ID")</f>
        <v>https://github.com/elastic/elasticsearch/commit/7180636df6dfe6b18bf738ee2285549ea95a8cb9</v>
      </c>
      <c r="D851" s="16" t="s">
        <v>1246</v>
      </c>
      <c r="E851" s="50"/>
      <c r="F851" s="43"/>
      <c r="G851" s="50"/>
      <c r="H851" s="138" t="s">
        <v>1247</v>
      </c>
    </row>
    <row r="852">
      <c r="A852" s="16" t="s">
        <v>64</v>
      </c>
      <c r="B852" s="59" t="str">
        <f>IFERROR(HYPERLINK(VLOOKUP(A852,Internal_lists_bugs!$A$2:$C$73,3,FALSE()), VLOOKUP(A852,Internal_lists_bugs!$A$2:$C$73,3,FALSE())&amp;Char(10) &amp; Char(10) &amp; VLOOKUP(A852,Internal_lists_bugs!$A$2:$Z$73,26,FALSE())),"please select a BUG ID")</f>
        <v>
</v>
      </c>
      <c r="C852" s="39" t="str">
        <f>IFERROR(VLOOKUP(A852,Internal_lists_bugs!$A$2:$G2011,7,FALSE()),"please select a BUG ID")</f>
        <v>https://github.com/elastic/elasticsearch/commit/7180636df6dfe6b18bf738ee2285549ea95a8cb9</v>
      </c>
      <c r="D852" s="16" t="s">
        <v>1249</v>
      </c>
      <c r="E852" s="50"/>
      <c r="F852" s="43"/>
      <c r="G852" s="50"/>
      <c r="H852" s="122" t="s">
        <v>1256</v>
      </c>
    </row>
    <row r="853">
      <c r="A853" s="16" t="s">
        <v>64</v>
      </c>
      <c r="B853" s="59" t="str">
        <f>IFERROR(HYPERLINK(VLOOKUP(A853,Internal_lists_bugs!$A$2:$C$73,3,FALSE()), VLOOKUP(A853,Internal_lists_bugs!$A$2:$C$73,3,FALSE())&amp;Char(10) &amp; Char(10) &amp; VLOOKUP(A853,Internal_lists_bugs!$A$2:$Z$73,26,FALSE())),"please select a BUG ID")</f>
        <v>
</v>
      </c>
      <c r="C853" s="39" t="str">
        <f>IFERROR(VLOOKUP(A853,Internal_lists_bugs!$A$2:$G2011,7,FALSE()),"please select a BUG ID")</f>
        <v>https://github.com/elastic/elasticsearch/commit/7180636df6dfe6b18bf738ee2285549ea95a8cb9</v>
      </c>
      <c r="D853" s="16" t="s">
        <v>1248</v>
      </c>
      <c r="E853" s="50"/>
      <c r="F853" s="43"/>
      <c r="G853" s="50"/>
      <c r="H853" s="43"/>
    </row>
    <row r="854">
      <c r="A854" s="16" t="s">
        <v>64</v>
      </c>
      <c r="B854" s="59" t="str">
        <f>IFERROR(HYPERLINK(VLOOKUP(A854,Internal_lists_bugs!$A$2:$C$73,3,FALSE()), VLOOKUP(A854,Internal_lists_bugs!$A$2:$C$73,3,FALSE())&amp;Char(10) &amp; Char(10) &amp; VLOOKUP(A854,Internal_lists_bugs!$A$2:$Z$73,26,FALSE())),"please select a BUG ID")</f>
        <v>
</v>
      </c>
      <c r="C854" s="39" t="str">
        <f>IFERROR(VLOOKUP(A854,Internal_lists_bugs!$A$2:$G2011,7,FALSE()),"please select a BUG ID")</f>
        <v>https://github.com/elastic/elasticsearch/commit/7180636df6dfe6b18bf738ee2285549ea95a8cb9</v>
      </c>
      <c r="D854" s="16" t="s">
        <v>1257</v>
      </c>
      <c r="E854" s="50"/>
      <c r="F854" s="43"/>
      <c r="G854" s="50"/>
      <c r="H854" s="43"/>
    </row>
    <row r="855">
      <c r="A855" s="16" t="s">
        <v>64</v>
      </c>
      <c r="B855" s="59" t="str">
        <f>IFERROR(HYPERLINK(VLOOKUP(A855,Internal_lists_bugs!$A$2:$C$73,3,FALSE()), VLOOKUP(A855,Internal_lists_bugs!$A$2:$C$73,3,FALSE())&amp;Char(10) &amp; Char(10) &amp; VLOOKUP(A855,Internal_lists_bugs!$A$2:$Z$73,26,FALSE())),"please select a BUG ID")</f>
        <v>
</v>
      </c>
      <c r="C855" s="39" t="str">
        <f>IFERROR(VLOOKUP(A855,Internal_lists_bugs!$A$2:$G2011,7,FALSE()),"please select a BUG ID")</f>
        <v>https://github.com/elastic/elasticsearch/commit/7180636df6dfe6b18bf738ee2285549ea95a8cb9</v>
      </c>
      <c r="D855" s="16" t="s">
        <v>1255</v>
      </c>
      <c r="E855" s="50"/>
      <c r="F855" s="43"/>
      <c r="G855" s="50"/>
      <c r="H855" s="43"/>
    </row>
    <row r="856">
      <c r="A856" s="16" t="s">
        <v>64</v>
      </c>
      <c r="B856" s="59" t="str">
        <f>IFERROR(HYPERLINK(VLOOKUP(A856,Internal_lists_bugs!$A$2:$C$73,3,FALSE()), VLOOKUP(A856,Internal_lists_bugs!$A$2:$C$73,3,FALSE())&amp;Char(10) &amp; Char(10) &amp; VLOOKUP(A856,Internal_lists_bugs!$A$2:$Z$73,26,FALSE())),"please select a BUG ID")</f>
        <v>
</v>
      </c>
      <c r="C856" s="39" t="str">
        <f>IFERROR(VLOOKUP(A856,Internal_lists_bugs!$A$2:$G2011,7,FALSE()),"please select a BUG ID")</f>
        <v>https://github.com/elastic/elasticsearch/commit/7180636df6dfe6b18bf738ee2285549ea95a8cb9</v>
      </c>
      <c r="D856" s="16" t="s">
        <v>1258</v>
      </c>
      <c r="E856" s="50"/>
      <c r="F856" s="43"/>
      <c r="G856" s="50"/>
      <c r="H856" s="43"/>
    </row>
    <row r="857">
      <c r="A857" s="16" t="s">
        <v>64</v>
      </c>
      <c r="B857" s="59" t="str">
        <f>IFERROR(HYPERLINK(VLOOKUP(A857,Internal_lists_bugs!$A$2:$C$73,3,FALSE()), VLOOKUP(A857,Internal_lists_bugs!$A$2:$C$73,3,FALSE())&amp;Char(10) &amp; Char(10) &amp; VLOOKUP(A857,Internal_lists_bugs!$A$2:$Z$73,26,FALSE())),"please select a BUG ID")</f>
        <v>
</v>
      </c>
      <c r="C857" s="39" t="str">
        <f>IFERROR(VLOOKUP(A857,Internal_lists_bugs!$A$2:$G2011,7,FALSE()),"please select a BUG ID")</f>
        <v>https://github.com/elastic/elasticsearch/commit/7180636df6dfe6b18bf738ee2285549ea95a8cb9</v>
      </c>
      <c r="D857" s="16" t="s">
        <v>1259</v>
      </c>
      <c r="E857" s="50"/>
      <c r="F857" s="43"/>
      <c r="G857" s="50"/>
      <c r="H857" s="43"/>
    </row>
    <row r="858">
      <c r="A858" s="16" t="s">
        <v>64</v>
      </c>
      <c r="B858" s="59" t="str">
        <f>IFERROR(HYPERLINK(VLOOKUP(A858,Internal_lists_bugs!$A$2:$C$73,3,FALSE()), VLOOKUP(A858,Internal_lists_bugs!$A$2:$C$73,3,FALSE())&amp;Char(10) &amp; Char(10) &amp; VLOOKUP(A858,Internal_lists_bugs!$A$2:$Z$73,26,FALSE())),"please select a BUG ID")</f>
        <v>
</v>
      </c>
      <c r="C858" s="39" t="str">
        <f>IFERROR(VLOOKUP(A858,Internal_lists_bugs!$A$2:$G2011,7,FALSE()),"please select a BUG ID")</f>
        <v>https://github.com/elastic/elasticsearch/commit/7180636df6dfe6b18bf738ee2285549ea95a8cb9</v>
      </c>
      <c r="D858" s="16" t="s">
        <v>1250</v>
      </c>
      <c r="E858" s="50"/>
      <c r="F858" s="43"/>
      <c r="G858" s="50"/>
      <c r="H858" s="43"/>
    </row>
    <row r="859">
      <c r="A859" s="16" t="s">
        <v>64</v>
      </c>
      <c r="B859" s="59" t="str">
        <f>IFERROR(HYPERLINK(VLOOKUP(A859,Internal_lists_bugs!$A$2:$C$73,3,FALSE()), VLOOKUP(A859,Internal_lists_bugs!$A$2:$C$73,3,FALSE())&amp;Char(10) &amp; Char(10) &amp; VLOOKUP(A859,Internal_lists_bugs!$A$2:$Z$73,26,FALSE())),"please select a BUG ID")</f>
        <v>
</v>
      </c>
      <c r="C859" s="39" t="str">
        <f>IFERROR(VLOOKUP(A859,Internal_lists_bugs!$A$2:$G2011,7,FALSE()),"please select a BUG ID")</f>
        <v>https://github.com/elastic/elasticsearch/commit/7180636df6dfe6b18bf738ee2285549ea95a8cb9</v>
      </c>
      <c r="D859" s="16" t="s">
        <v>1242</v>
      </c>
      <c r="E859" s="50"/>
      <c r="F859" s="43"/>
      <c r="G859" s="50"/>
      <c r="H859" s="43"/>
    </row>
    <row r="860">
      <c r="A860" s="16" t="s">
        <v>64</v>
      </c>
      <c r="B860" s="59" t="str">
        <f>IFERROR(HYPERLINK(VLOOKUP(A860,Internal_lists_bugs!$A$2:$C$73,3,FALSE()), VLOOKUP(A860,Internal_lists_bugs!$A$2:$C$73,3,FALSE())&amp;Char(10) &amp; Char(10) &amp; VLOOKUP(A860,Internal_lists_bugs!$A$2:$Z$73,26,FALSE())),"please select a BUG ID")</f>
        <v>
</v>
      </c>
      <c r="C860" s="39" t="str">
        <f>IFERROR(VLOOKUP(A860,Internal_lists_bugs!$A$2:$G2011,7,FALSE()),"please select a BUG ID")</f>
        <v>https://github.com/elastic/elasticsearch/commit/7180636df6dfe6b18bf738ee2285549ea95a8cb9</v>
      </c>
      <c r="D860" s="16" t="s">
        <v>1251</v>
      </c>
      <c r="E860" s="50"/>
      <c r="F860" s="43"/>
      <c r="G860" s="50"/>
      <c r="H860" s="43"/>
    </row>
    <row r="861">
      <c r="A861" s="16" t="s">
        <v>64</v>
      </c>
      <c r="B861" s="59" t="str">
        <f>IFERROR(HYPERLINK(VLOOKUP(A861,Internal_lists_bugs!$A$2:$C$73,3,FALSE()), VLOOKUP(A861,Internal_lists_bugs!$A$2:$C$73,3,FALSE())&amp;Char(10) &amp; Char(10) &amp; VLOOKUP(A861,Internal_lists_bugs!$A$2:$Z$73,26,FALSE())),"please select a BUG ID")</f>
        <v>
</v>
      </c>
      <c r="C861" s="39" t="str">
        <f>IFERROR(VLOOKUP(A861,Internal_lists_bugs!$A$2:$G2011,7,FALSE()),"please select a BUG ID")</f>
        <v>https://github.com/elastic/elasticsearch/commit/7180636df6dfe6b18bf738ee2285549ea95a8cb9</v>
      </c>
      <c r="D861" s="16" t="s">
        <v>1252</v>
      </c>
      <c r="E861" s="50"/>
      <c r="F861" s="43"/>
      <c r="G861" s="50"/>
      <c r="H861" s="43"/>
    </row>
    <row r="862">
      <c r="A862" s="16" t="s">
        <v>64</v>
      </c>
      <c r="B862" s="59" t="str">
        <f>IFERROR(HYPERLINK(VLOOKUP(A862,Internal_lists_bugs!$A$2:$C$73,3,FALSE()), VLOOKUP(A862,Internal_lists_bugs!$A$2:$C$73,3,FALSE())&amp;Char(10) &amp; Char(10) &amp; VLOOKUP(A862,Internal_lists_bugs!$A$2:$Z$73,26,FALSE())),"please select a BUG ID")</f>
        <v>
</v>
      </c>
      <c r="C862" s="39" t="str">
        <f>IFERROR(VLOOKUP(A862,Internal_lists_bugs!$A$2:$G2011,7,FALSE()),"please select a BUG ID")</f>
        <v>https://github.com/elastic/elasticsearch/commit/7180636df6dfe6b18bf738ee2285549ea95a8cb9</v>
      </c>
      <c r="D862" s="16" t="s">
        <v>1253</v>
      </c>
      <c r="E862" s="50"/>
      <c r="F862" s="43"/>
      <c r="G862" s="50"/>
      <c r="H862" s="43"/>
    </row>
    <row r="863">
      <c r="A863" s="16" t="s">
        <v>64</v>
      </c>
      <c r="B863" s="59" t="str">
        <f>IFERROR(HYPERLINK(VLOOKUP(A863,Internal_lists_bugs!$A$2:$C$73,3,FALSE()), VLOOKUP(A863,Internal_lists_bugs!$A$2:$C$73,3,FALSE())&amp;Char(10) &amp; Char(10) &amp; VLOOKUP(A863,Internal_lists_bugs!$A$2:$Z$73,26,FALSE())),"please select a BUG ID")</f>
        <v>
</v>
      </c>
      <c r="C863" s="39" t="str">
        <f>IFERROR(VLOOKUP(A863,Internal_lists_bugs!$A$2:$G2011,7,FALSE()),"please select a BUG ID")</f>
        <v>https://github.com/elastic/elasticsearch/commit/7180636df6dfe6b18bf738ee2285549ea95a8cb9</v>
      </c>
      <c r="D863" s="16" t="s">
        <v>1254</v>
      </c>
      <c r="E863" s="50"/>
      <c r="F863" s="43"/>
      <c r="G863" s="50"/>
      <c r="H863" s="43"/>
    </row>
    <row r="864">
      <c r="A864" s="16" t="s">
        <v>89</v>
      </c>
      <c r="B864" s="59" t="str">
        <f>IFERROR(HYPERLINK(VLOOKUP(A864,Internal_lists_bugs!$A$2:$C$73,3,FALSE()), VLOOKUP(A864,Internal_lists_bugs!$A$2:$C$73,3,FALSE())&amp;Char(10) &amp; Char(10) &amp; VLOOKUP(A864,Internal_lists_bugs!$A$2:$Z$73,26,FALSE())),"please select a BUG ID")</f>
        <v>
</v>
      </c>
      <c r="C864" s="39" t="str">
        <f>IFERROR(VLOOKUP(A864,Internal_lists_bugs!$A$2:$G2011,7,FALSE()),"please select a BUG ID")</f>
        <v>https://github.com/elastic/elasticsearch/commit/8285ffe22175bf4592e79bb881a6451741ccdac8</v>
      </c>
      <c r="D864" s="16" t="s">
        <v>1242</v>
      </c>
      <c r="E864" s="50"/>
      <c r="F864" s="16" t="s">
        <v>1189</v>
      </c>
      <c r="G864" s="50"/>
      <c r="H864" s="138" t="s">
        <v>1243</v>
      </c>
    </row>
    <row r="865">
      <c r="A865" s="16" t="s">
        <v>89</v>
      </c>
      <c r="B865" s="59" t="str">
        <f>IFERROR(HYPERLINK(VLOOKUP(A865,Internal_lists_bugs!$A$2:$C$73,3,FALSE()), VLOOKUP(A865,Internal_lists_bugs!$A$2:$C$73,3,FALSE())&amp;Char(10) &amp; Char(10) &amp; VLOOKUP(A865,Internal_lists_bugs!$A$2:$Z$73,26,FALSE())),"please select a BUG ID")</f>
        <v>
</v>
      </c>
      <c r="C865" s="39" t="str">
        <f>IFERROR(VLOOKUP(A865,Internal_lists_bugs!$A$2:$G2011,7,FALSE()),"please select a BUG ID")</f>
        <v>https://github.com/elastic/elasticsearch/commit/8285ffe22175bf4592e79bb881a6451741ccdac8</v>
      </c>
      <c r="D865" s="16" t="s">
        <v>1244</v>
      </c>
      <c r="E865" s="50"/>
      <c r="F865" s="43"/>
      <c r="G865" s="50"/>
      <c r="H865" s="138" t="s">
        <v>1245</v>
      </c>
    </row>
    <row r="866">
      <c r="A866" s="16" t="s">
        <v>89</v>
      </c>
      <c r="B866" s="59" t="str">
        <f>IFERROR(HYPERLINK(VLOOKUP(A866,Internal_lists_bugs!$A$2:$C$73,3,FALSE()), VLOOKUP(A866,Internal_lists_bugs!$A$2:$C$73,3,FALSE())&amp;Char(10) &amp; Char(10) &amp; VLOOKUP(A866,Internal_lists_bugs!$A$2:$Z$73,26,FALSE())),"please select a BUG ID")</f>
        <v>
</v>
      </c>
      <c r="C866" s="39" t="str">
        <f>IFERROR(VLOOKUP(A866,Internal_lists_bugs!$A$2:$G2011,7,FALSE()),"please select a BUG ID")</f>
        <v>https://github.com/elastic/elasticsearch/commit/8285ffe22175bf4592e79bb881a6451741ccdac8</v>
      </c>
      <c r="D866" s="16" t="s">
        <v>1246</v>
      </c>
      <c r="E866" s="50"/>
      <c r="F866" s="43"/>
      <c r="G866" s="50"/>
      <c r="H866" s="138" t="s">
        <v>1247</v>
      </c>
    </row>
    <row r="867">
      <c r="A867" s="16" t="s">
        <v>89</v>
      </c>
      <c r="B867" s="59" t="str">
        <f>IFERROR(HYPERLINK(VLOOKUP(A867,Internal_lists_bugs!$A$2:$C$73,3,FALSE()), VLOOKUP(A867,Internal_lists_bugs!$A$2:$C$73,3,FALSE())&amp;Char(10) &amp; Char(10) &amp; VLOOKUP(A867,Internal_lists_bugs!$A$2:$Z$73,26,FALSE())),"please select a BUG ID")</f>
        <v>
</v>
      </c>
      <c r="C867" s="39" t="str">
        <f>IFERROR(VLOOKUP(A867,Internal_lists_bugs!$A$2:$G2011,7,FALSE()),"please select a BUG ID")</f>
        <v>https://github.com/elastic/elasticsearch/commit/8285ffe22175bf4592e79bb881a6451741ccdac8</v>
      </c>
      <c r="D867" s="16" t="s">
        <v>1249</v>
      </c>
      <c r="E867" s="50"/>
      <c r="F867" s="43"/>
      <c r="G867" s="50"/>
      <c r="H867" s="122" t="s">
        <v>1256</v>
      </c>
    </row>
    <row r="868">
      <c r="A868" s="16" t="s">
        <v>89</v>
      </c>
      <c r="B868" s="59" t="str">
        <f>IFERROR(HYPERLINK(VLOOKUP(A868,Internal_lists_bugs!$A$2:$C$73,3,FALSE()), VLOOKUP(A868,Internal_lists_bugs!$A$2:$C$73,3,FALSE())&amp;Char(10) &amp; Char(10) &amp; VLOOKUP(A868,Internal_lists_bugs!$A$2:$Z$73,26,FALSE())),"please select a BUG ID")</f>
        <v>
</v>
      </c>
      <c r="C868" s="39" t="str">
        <f>IFERROR(VLOOKUP(A868,Internal_lists_bugs!$A$2:$G2011,7,FALSE()),"please select a BUG ID")</f>
        <v>https://github.com/elastic/elasticsearch/commit/8285ffe22175bf4592e79bb881a6451741ccdac8</v>
      </c>
      <c r="D868" s="16" t="s">
        <v>1248</v>
      </c>
      <c r="E868" s="50"/>
      <c r="F868" s="43"/>
      <c r="G868" s="50"/>
      <c r="H868" s="43"/>
    </row>
    <row r="869">
      <c r="A869" s="16" t="s">
        <v>89</v>
      </c>
      <c r="B869" s="59" t="str">
        <f>IFERROR(HYPERLINK(VLOOKUP(A869,Internal_lists_bugs!$A$2:$C$73,3,FALSE()), VLOOKUP(A869,Internal_lists_bugs!$A$2:$C$73,3,FALSE())&amp;Char(10) &amp; Char(10) &amp; VLOOKUP(A869,Internal_lists_bugs!$A$2:$Z$73,26,FALSE())),"please select a BUG ID")</f>
        <v>
</v>
      </c>
      <c r="C869" s="39" t="str">
        <f>IFERROR(VLOOKUP(A869,Internal_lists_bugs!$A$2:$G2011,7,FALSE()),"please select a BUG ID")</f>
        <v>https://github.com/elastic/elasticsearch/commit/8285ffe22175bf4592e79bb881a6451741ccdac8</v>
      </c>
      <c r="D869" s="16" t="s">
        <v>1257</v>
      </c>
      <c r="E869" s="50"/>
      <c r="F869" s="43"/>
      <c r="G869" s="50"/>
      <c r="H869" s="43"/>
    </row>
    <row r="870">
      <c r="A870" s="16" t="s">
        <v>89</v>
      </c>
      <c r="B870" s="59" t="str">
        <f>IFERROR(HYPERLINK(VLOOKUP(A870,Internal_lists_bugs!$A$2:$C$73,3,FALSE()), VLOOKUP(A870,Internal_lists_bugs!$A$2:$C$73,3,FALSE())&amp;Char(10) &amp; Char(10) &amp; VLOOKUP(A870,Internal_lists_bugs!$A$2:$Z$73,26,FALSE())),"please select a BUG ID")</f>
        <v>
</v>
      </c>
      <c r="C870" s="39" t="str">
        <f>IFERROR(VLOOKUP(A870,Internal_lists_bugs!$A$2:$G2011,7,FALSE()),"please select a BUG ID")</f>
        <v>https://github.com/elastic/elasticsearch/commit/8285ffe22175bf4592e79bb881a6451741ccdac8</v>
      </c>
      <c r="D870" s="16" t="s">
        <v>1255</v>
      </c>
      <c r="E870" s="50"/>
      <c r="F870" s="43"/>
      <c r="G870" s="50"/>
      <c r="H870" s="43"/>
    </row>
    <row r="871">
      <c r="A871" s="16" t="s">
        <v>89</v>
      </c>
      <c r="B871" s="59" t="str">
        <f>IFERROR(HYPERLINK(VLOOKUP(A871,Internal_lists_bugs!$A$2:$C$73,3,FALSE()), VLOOKUP(A871,Internal_lists_bugs!$A$2:$C$73,3,FALSE())&amp;Char(10) &amp; Char(10) &amp; VLOOKUP(A871,Internal_lists_bugs!$A$2:$Z$73,26,FALSE())),"please select a BUG ID")</f>
        <v>
</v>
      </c>
      <c r="C871" s="39" t="str">
        <f>IFERROR(VLOOKUP(A871,Internal_lists_bugs!$A$2:$G2011,7,FALSE()),"please select a BUG ID")</f>
        <v>https://github.com/elastic/elasticsearch/commit/8285ffe22175bf4592e79bb881a6451741ccdac8</v>
      </c>
      <c r="D871" s="16" t="s">
        <v>1258</v>
      </c>
      <c r="E871" s="50"/>
      <c r="F871" s="43"/>
      <c r="G871" s="50"/>
      <c r="H871" s="43"/>
    </row>
    <row r="872">
      <c r="A872" s="16" t="s">
        <v>89</v>
      </c>
      <c r="B872" s="59" t="str">
        <f>IFERROR(HYPERLINK(VLOOKUP(A872,Internal_lists_bugs!$A$2:$C$73,3,FALSE()), VLOOKUP(A872,Internal_lists_bugs!$A$2:$C$73,3,FALSE())&amp;Char(10) &amp; Char(10) &amp; VLOOKUP(A872,Internal_lists_bugs!$A$2:$Z$73,26,FALSE())),"please select a BUG ID")</f>
        <v>
</v>
      </c>
      <c r="C872" s="39" t="str">
        <f>IFERROR(VLOOKUP(A872,Internal_lists_bugs!$A$2:$G2011,7,FALSE()),"please select a BUG ID")</f>
        <v>https://github.com/elastic/elasticsearch/commit/8285ffe22175bf4592e79bb881a6451741ccdac8</v>
      </c>
      <c r="D872" s="16" t="s">
        <v>1260</v>
      </c>
      <c r="E872" s="50"/>
      <c r="F872" s="43"/>
      <c r="G872" s="50"/>
      <c r="H872" s="43"/>
    </row>
    <row r="873">
      <c r="A873" s="16" t="s">
        <v>89</v>
      </c>
      <c r="B873" s="59" t="str">
        <f>IFERROR(HYPERLINK(VLOOKUP(A873,Internal_lists_bugs!$A$2:$C$73,3,FALSE()), VLOOKUP(A873,Internal_lists_bugs!$A$2:$C$73,3,FALSE())&amp;Char(10) &amp; Char(10) &amp; VLOOKUP(A873,Internal_lists_bugs!$A$2:$Z$73,26,FALSE())),"please select a BUG ID")</f>
        <v>
</v>
      </c>
      <c r="C873" s="39" t="str">
        <f>IFERROR(VLOOKUP(A873,Internal_lists_bugs!$A$2:$G2011,7,FALSE()),"please select a BUG ID")</f>
        <v>https://github.com/elastic/elasticsearch/commit/8285ffe22175bf4592e79bb881a6451741ccdac8</v>
      </c>
      <c r="D873" s="16" t="s">
        <v>1259</v>
      </c>
      <c r="E873" s="50"/>
      <c r="F873" s="43"/>
      <c r="G873" s="50"/>
      <c r="H873" s="43"/>
    </row>
    <row r="874">
      <c r="A874" s="16" t="s">
        <v>89</v>
      </c>
      <c r="B874" s="59" t="str">
        <f>IFERROR(HYPERLINK(VLOOKUP(A874,Internal_lists_bugs!$A$2:$C$73,3,FALSE()), VLOOKUP(A874,Internal_lists_bugs!$A$2:$C$73,3,FALSE())&amp;Char(10) &amp; Char(10) &amp; VLOOKUP(A874,Internal_lists_bugs!$A$2:$Z$73,26,FALSE())),"please select a BUG ID")</f>
        <v>
</v>
      </c>
      <c r="C874" s="39" t="str">
        <f>IFERROR(VLOOKUP(A874,Internal_lists_bugs!$A$2:$G2011,7,FALSE()),"please select a BUG ID")</f>
        <v>https://github.com/elastic/elasticsearch/commit/8285ffe22175bf4592e79bb881a6451741ccdac8</v>
      </c>
      <c r="D874" s="16" t="s">
        <v>1250</v>
      </c>
      <c r="E874" s="50"/>
      <c r="F874" s="43"/>
      <c r="G874" s="50"/>
      <c r="H874" s="43"/>
    </row>
    <row r="875">
      <c r="A875" s="16" t="s">
        <v>89</v>
      </c>
      <c r="B875" s="59" t="str">
        <f>IFERROR(HYPERLINK(VLOOKUP(A875,Internal_lists_bugs!$A$2:$C$73,3,FALSE()), VLOOKUP(A875,Internal_lists_bugs!$A$2:$C$73,3,FALSE())&amp;Char(10) &amp; Char(10) &amp; VLOOKUP(A875,Internal_lists_bugs!$A$2:$Z$73,26,FALSE())),"please select a BUG ID")</f>
        <v>
</v>
      </c>
      <c r="C875" s="39" t="str">
        <f>IFERROR(VLOOKUP(A875,Internal_lists_bugs!$A$2:$G2011,7,FALSE()),"please select a BUG ID")</f>
        <v>https://github.com/elastic/elasticsearch/commit/8285ffe22175bf4592e79bb881a6451741ccdac8</v>
      </c>
      <c r="D875" s="16" t="s">
        <v>1242</v>
      </c>
      <c r="E875" s="50"/>
      <c r="F875" s="43"/>
      <c r="G875" s="50"/>
      <c r="H875" s="43"/>
    </row>
    <row r="876">
      <c r="A876" s="16" t="s">
        <v>89</v>
      </c>
      <c r="B876" s="59" t="str">
        <f>IFERROR(HYPERLINK(VLOOKUP(A876,Internal_lists_bugs!$A$2:$C$73,3,FALSE()), VLOOKUP(A876,Internal_lists_bugs!$A$2:$C$73,3,FALSE())&amp;Char(10) &amp; Char(10) &amp; VLOOKUP(A876,Internal_lists_bugs!$A$2:$Z$73,26,FALSE())),"please select a BUG ID")</f>
        <v>
</v>
      </c>
      <c r="C876" s="39" t="str">
        <f>IFERROR(VLOOKUP(A876,Internal_lists_bugs!$A$2:$G2011,7,FALSE()),"please select a BUG ID")</f>
        <v>https://github.com/elastic/elasticsearch/commit/8285ffe22175bf4592e79bb881a6451741ccdac8</v>
      </c>
      <c r="D876" s="16" t="s">
        <v>1251</v>
      </c>
      <c r="E876" s="50"/>
      <c r="F876" s="43"/>
      <c r="G876" s="50"/>
      <c r="H876" s="43"/>
    </row>
    <row r="877">
      <c r="A877" s="16" t="s">
        <v>89</v>
      </c>
      <c r="B877" s="59" t="str">
        <f>IFERROR(HYPERLINK(VLOOKUP(A877,Internal_lists_bugs!$A$2:$C$73,3,FALSE()), VLOOKUP(A877,Internal_lists_bugs!$A$2:$C$73,3,FALSE())&amp;Char(10) &amp; Char(10) &amp; VLOOKUP(A877,Internal_lists_bugs!$A$2:$Z$73,26,FALSE())),"please select a BUG ID")</f>
        <v>
</v>
      </c>
      <c r="C877" s="39" t="str">
        <f>IFERROR(VLOOKUP(A877,Internal_lists_bugs!$A$2:$G2011,7,FALSE()),"please select a BUG ID")</f>
        <v>https://github.com/elastic/elasticsearch/commit/8285ffe22175bf4592e79bb881a6451741ccdac8</v>
      </c>
      <c r="D877" s="16" t="s">
        <v>1252</v>
      </c>
      <c r="E877" s="50"/>
      <c r="F877" s="43"/>
      <c r="G877" s="50"/>
      <c r="H877" s="43"/>
    </row>
    <row r="878">
      <c r="A878" s="16" t="s">
        <v>89</v>
      </c>
      <c r="B878" s="59" t="str">
        <f>IFERROR(HYPERLINK(VLOOKUP(A878,Internal_lists_bugs!$A$2:$C$73,3,FALSE()), VLOOKUP(A878,Internal_lists_bugs!$A$2:$C$73,3,FALSE())&amp;Char(10) &amp; Char(10) &amp; VLOOKUP(A878,Internal_lists_bugs!$A$2:$Z$73,26,FALSE())),"please select a BUG ID")</f>
        <v>
</v>
      </c>
      <c r="C878" s="39" t="str">
        <f>IFERROR(VLOOKUP(A878,Internal_lists_bugs!$A$2:$G2011,7,FALSE()),"please select a BUG ID")</f>
        <v>https://github.com/elastic/elasticsearch/commit/8285ffe22175bf4592e79bb881a6451741ccdac8</v>
      </c>
      <c r="D878" s="16" t="s">
        <v>1253</v>
      </c>
      <c r="E878" s="50"/>
      <c r="F878" s="43"/>
      <c r="G878" s="50"/>
      <c r="H878" s="43"/>
    </row>
    <row r="879">
      <c r="A879" s="16" t="s">
        <v>89</v>
      </c>
      <c r="B879" s="59" t="str">
        <f>IFERROR(HYPERLINK(VLOOKUP(A879,Internal_lists_bugs!$A$2:$C$73,3,FALSE()), VLOOKUP(A879,Internal_lists_bugs!$A$2:$C$73,3,FALSE())&amp;Char(10) &amp; Char(10) &amp; VLOOKUP(A879,Internal_lists_bugs!$A$2:$Z$73,26,FALSE())),"please select a BUG ID")</f>
        <v>
</v>
      </c>
      <c r="C879" s="39" t="str">
        <f>IFERROR(VLOOKUP(A879,Internal_lists_bugs!$A$2:$G2011,7,FALSE()),"please select a BUG ID")</f>
        <v>https://github.com/elastic/elasticsearch/commit/8285ffe22175bf4592e79bb881a6451741ccdac8</v>
      </c>
      <c r="D879" s="16" t="s">
        <v>1254</v>
      </c>
      <c r="E879" s="50"/>
      <c r="F879" s="43"/>
      <c r="G879" s="50"/>
      <c r="H879" s="43"/>
    </row>
    <row r="880">
      <c r="A880" s="16" t="s">
        <v>99</v>
      </c>
      <c r="B880" s="59" t="str">
        <f>IFERROR(HYPERLINK(VLOOKUP(A880,Internal_lists_bugs!$A$2:$C$73,3,FALSE()), VLOOKUP(A880,Internal_lists_bugs!$A$2:$C$73,3,FALSE())&amp;Char(10) &amp; Char(10) &amp; VLOOKUP(A880,Internal_lists_bugs!$A$2:$Z$73,26,FALSE())),"please select a BUG ID")</f>
        <v>
</v>
      </c>
      <c r="C880" s="39" t="str">
        <f>IFERROR(VLOOKUP(A880,Internal_lists_bugs!$A$2:$G2011,7,FALSE()),"please select a BUG ID")</f>
        <v>https://github.com/elastic/elasticsearch/commit/103221e58a85dc5d133cc70af898102735c4375f</v>
      </c>
      <c r="D880" s="16" t="s">
        <v>1242</v>
      </c>
      <c r="E880" s="50"/>
      <c r="F880" s="16" t="s">
        <v>1189</v>
      </c>
      <c r="G880" s="50"/>
      <c r="H880" s="138" t="s">
        <v>1243</v>
      </c>
    </row>
    <row r="881">
      <c r="A881" s="16" t="s">
        <v>99</v>
      </c>
      <c r="B881" s="59" t="str">
        <f>IFERROR(HYPERLINK(VLOOKUP(A881,Internal_lists_bugs!$A$2:$C$73,3,FALSE()), VLOOKUP(A881,Internal_lists_bugs!$A$2:$C$73,3,FALSE())&amp;Char(10) &amp; Char(10) &amp; VLOOKUP(A881,Internal_lists_bugs!$A$2:$Z$73,26,FALSE())),"please select a BUG ID")</f>
        <v>
</v>
      </c>
      <c r="C881" s="39" t="str">
        <f>IFERROR(VLOOKUP(A881,Internal_lists_bugs!$A$2:$G2011,7,FALSE()),"please select a BUG ID")</f>
        <v>https://github.com/elastic/elasticsearch/commit/103221e58a85dc5d133cc70af898102735c4375f</v>
      </c>
      <c r="D881" s="16" t="s">
        <v>1244</v>
      </c>
      <c r="E881" s="50"/>
      <c r="F881" s="43"/>
      <c r="G881" s="50"/>
      <c r="H881" s="138" t="s">
        <v>1245</v>
      </c>
    </row>
    <row r="882">
      <c r="A882" s="16" t="s">
        <v>99</v>
      </c>
      <c r="B882" s="59" t="str">
        <f>IFERROR(HYPERLINK(VLOOKUP(A882,Internal_lists_bugs!$A$2:$C$73,3,FALSE()), VLOOKUP(A882,Internal_lists_bugs!$A$2:$C$73,3,FALSE())&amp;Char(10) &amp; Char(10) &amp; VLOOKUP(A882,Internal_lists_bugs!$A$2:$Z$73,26,FALSE())),"please select a BUG ID")</f>
        <v>
</v>
      </c>
      <c r="C882" s="39" t="str">
        <f>IFERROR(VLOOKUP(A882,Internal_lists_bugs!$A$2:$G2011,7,FALSE()),"please select a BUG ID")</f>
        <v>https://github.com/elastic/elasticsearch/commit/103221e58a85dc5d133cc70af898102735c4375f</v>
      </c>
      <c r="D882" s="16" t="s">
        <v>1246</v>
      </c>
      <c r="E882" s="50"/>
      <c r="F882" s="43"/>
      <c r="G882" s="50"/>
      <c r="H882" s="138" t="s">
        <v>1247</v>
      </c>
    </row>
    <row r="883">
      <c r="A883" s="16" t="s">
        <v>99</v>
      </c>
      <c r="B883" s="59" t="str">
        <f>IFERROR(HYPERLINK(VLOOKUP(A883,Internal_lists_bugs!$A$2:$C$73,3,FALSE()), VLOOKUP(A883,Internal_lists_bugs!$A$2:$C$73,3,FALSE())&amp;Char(10) &amp; Char(10) &amp; VLOOKUP(A883,Internal_lists_bugs!$A$2:$Z$73,26,FALSE())),"please select a BUG ID")</f>
        <v>
</v>
      </c>
      <c r="C883" s="39" t="str">
        <f>IFERROR(VLOOKUP(A883,Internal_lists_bugs!$A$2:$G2011,7,FALSE()),"please select a BUG ID")</f>
        <v>https://github.com/elastic/elasticsearch/commit/103221e58a85dc5d133cc70af898102735c4375f</v>
      </c>
      <c r="D883" s="16" t="s">
        <v>1249</v>
      </c>
      <c r="E883" s="50"/>
      <c r="F883" s="43"/>
      <c r="G883" s="50"/>
      <c r="H883" s="122" t="s">
        <v>1256</v>
      </c>
    </row>
    <row r="884">
      <c r="A884" s="16" t="s">
        <v>99</v>
      </c>
      <c r="B884" s="59" t="str">
        <f>IFERROR(HYPERLINK(VLOOKUP(A884,Internal_lists_bugs!$A$2:$C$73,3,FALSE()), VLOOKUP(A884,Internal_lists_bugs!$A$2:$C$73,3,FALSE())&amp;Char(10) &amp; Char(10) &amp; VLOOKUP(A884,Internal_lists_bugs!$A$2:$Z$73,26,FALSE())),"please select a BUG ID")</f>
        <v>
</v>
      </c>
      <c r="C884" s="39" t="str">
        <f>IFERROR(VLOOKUP(A884,Internal_lists_bugs!$A$2:$G2011,7,FALSE()),"please select a BUG ID")</f>
        <v>https://github.com/elastic/elasticsearch/commit/103221e58a85dc5d133cc70af898102735c4375f</v>
      </c>
      <c r="D884" s="16" t="s">
        <v>1248</v>
      </c>
      <c r="E884" s="50"/>
      <c r="F884" s="43"/>
      <c r="G884" s="50"/>
      <c r="H884" s="43"/>
    </row>
    <row r="885">
      <c r="A885" s="16" t="s">
        <v>99</v>
      </c>
      <c r="B885" s="59" t="str">
        <f>IFERROR(HYPERLINK(VLOOKUP(A885,Internal_lists_bugs!$A$2:$C$73,3,FALSE()), VLOOKUP(A885,Internal_lists_bugs!$A$2:$C$73,3,FALSE())&amp;Char(10) &amp; Char(10) &amp; VLOOKUP(A885,Internal_lists_bugs!$A$2:$Z$73,26,FALSE())),"please select a BUG ID")</f>
        <v>
</v>
      </c>
      <c r="C885" s="39" t="str">
        <f>IFERROR(VLOOKUP(A885,Internal_lists_bugs!$A$2:$G2011,7,FALSE()),"please select a BUG ID")</f>
        <v>https://github.com/elastic/elasticsearch/commit/103221e58a85dc5d133cc70af898102735c4375f</v>
      </c>
      <c r="D885" s="16" t="s">
        <v>1257</v>
      </c>
      <c r="E885" s="50"/>
      <c r="F885" s="43"/>
      <c r="G885" s="50"/>
      <c r="H885" s="43"/>
    </row>
    <row r="886">
      <c r="A886" s="16" t="s">
        <v>99</v>
      </c>
      <c r="B886" s="59" t="str">
        <f>IFERROR(HYPERLINK(VLOOKUP(A886,Internal_lists_bugs!$A$2:$C$73,3,FALSE()), VLOOKUP(A886,Internal_lists_bugs!$A$2:$C$73,3,FALSE())&amp;Char(10) &amp; Char(10) &amp; VLOOKUP(A886,Internal_lists_bugs!$A$2:$Z$73,26,FALSE())),"please select a BUG ID")</f>
        <v>
</v>
      </c>
      <c r="C886" s="39" t="str">
        <f>IFERROR(VLOOKUP(A886,Internal_lists_bugs!$A$2:$G2011,7,FALSE()),"please select a BUG ID")</f>
        <v>https://github.com/elastic/elasticsearch/commit/103221e58a85dc5d133cc70af898102735c4375f</v>
      </c>
      <c r="D886" s="16" t="s">
        <v>1255</v>
      </c>
      <c r="E886" s="50"/>
      <c r="F886" s="43"/>
      <c r="G886" s="50"/>
      <c r="H886" s="43"/>
    </row>
    <row r="887">
      <c r="A887" s="16" t="s">
        <v>99</v>
      </c>
      <c r="B887" s="59" t="str">
        <f>IFERROR(HYPERLINK(VLOOKUP(A887,Internal_lists_bugs!$A$2:$C$73,3,FALSE()), VLOOKUP(A887,Internal_lists_bugs!$A$2:$C$73,3,FALSE())&amp;Char(10) &amp; Char(10) &amp; VLOOKUP(A887,Internal_lists_bugs!$A$2:$Z$73,26,FALSE())),"please select a BUG ID")</f>
        <v>
</v>
      </c>
      <c r="C887" s="39" t="str">
        <f>IFERROR(VLOOKUP(A887,Internal_lists_bugs!$A$2:$G2011,7,FALSE()),"please select a BUG ID")</f>
        <v>https://github.com/elastic/elasticsearch/commit/103221e58a85dc5d133cc70af898102735c4375f</v>
      </c>
      <c r="D887" s="16" t="s">
        <v>1258</v>
      </c>
      <c r="E887" s="50"/>
      <c r="F887" s="43"/>
      <c r="G887" s="50"/>
      <c r="H887" s="43"/>
    </row>
    <row r="888">
      <c r="A888" s="16" t="s">
        <v>99</v>
      </c>
      <c r="B888" s="59" t="str">
        <f>IFERROR(HYPERLINK(VLOOKUP(A888,Internal_lists_bugs!$A$2:$C$73,3,FALSE()), VLOOKUP(A888,Internal_lists_bugs!$A$2:$C$73,3,FALSE())&amp;Char(10) &amp; Char(10) &amp; VLOOKUP(A888,Internal_lists_bugs!$A$2:$Z$73,26,FALSE())),"please select a BUG ID")</f>
        <v>
</v>
      </c>
      <c r="C888" s="39" t="str">
        <f>IFERROR(VLOOKUP(A888,Internal_lists_bugs!$A$2:$G2011,7,FALSE()),"please select a BUG ID")</f>
        <v>https://github.com/elastic/elasticsearch/commit/103221e58a85dc5d133cc70af898102735c4375f</v>
      </c>
      <c r="D888" s="16" t="s">
        <v>1260</v>
      </c>
      <c r="E888" s="50"/>
      <c r="F888" s="43"/>
      <c r="G888" s="50"/>
      <c r="H888" s="43"/>
    </row>
    <row r="889">
      <c r="A889" s="16" t="s">
        <v>99</v>
      </c>
      <c r="B889" s="59" t="str">
        <f>IFERROR(HYPERLINK(VLOOKUP(A889,Internal_lists_bugs!$A$2:$C$73,3,FALSE()), VLOOKUP(A889,Internal_lists_bugs!$A$2:$C$73,3,FALSE())&amp;Char(10) &amp; Char(10) &amp; VLOOKUP(A889,Internal_lists_bugs!$A$2:$Z$73,26,FALSE())),"please select a BUG ID")</f>
        <v>
</v>
      </c>
      <c r="C889" s="39" t="str">
        <f>IFERROR(VLOOKUP(A889,Internal_lists_bugs!$A$2:$G2011,7,FALSE()),"please select a BUG ID")</f>
        <v>https://github.com/elastic/elasticsearch/commit/103221e58a85dc5d133cc70af898102735c4375f</v>
      </c>
      <c r="D889" s="16" t="s">
        <v>1259</v>
      </c>
      <c r="E889" s="50"/>
      <c r="F889" s="43"/>
      <c r="G889" s="50"/>
      <c r="H889" s="43"/>
    </row>
    <row r="890">
      <c r="A890" s="16" t="s">
        <v>99</v>
      </c>
      <c r="B890" s="59" t="str">
        <f>IFERROR(HYPERLINK(VLOOKUP(A890,Internal_lists_bugs!$A$2:$C$73,3,FALSE()), VLOOKUP(A890,Internal_lists_bugs!$A$2:$C$73,3,FALSE())&amp;Char(10) &amp; Char(10) &amp; VLOOKUP(A890,Internal_lists_bugs!$A$2:$Z$73,26,FALSE())),"please select a BUG ID")</f>
        <v>
</v>
      </c>
      <c r="C890" s="39" t="str">
        <f>IFERROR(VLOOKUP(A890,Internal_lists_bugs!$A$2:$G2011,7,FALSE()),"please select a BUG ID")</f>
        <v>https://github.com/elastic/elasticsearch/commit/103221e58a85dc5d133cc70af898102735c4375f</v>
      </c>
      <c r="D890" s="16" t="s">
        <v>1250</v>
      </c>
      <c r="E890" s="50"/>
      <c r="F890" s="43"/>
      <c r="G890" s="50"/>
      <c r="H890" s="43"/>
    </row>
    <row r="891">
      <c r="A891" s="16" t="s">
        <v>99</v>
      </c>
      <c r="B891" s="59" t="str">
        <f>IFERROR(HYPERLINK(VLOOKUP(A891,Internal_lists_bugs!$A$2:$C$73,3,FALSE()), VLOOKUP(A891,Internal_lists_bugs!$A$2:$C$73,3,FALSE())&amp;Char(10) &amp; Char(10) &amp; VLOOKUP(A891,Internal_lists_bugs!$A$2:$Z$73,26,FALSE())),"please select a BUG ID")</f>
        <v>
</v>
      </c>
      <c r="C891" s="39" t="str">
        <f>IFERROR(VLOOKUP(A891,Internal_lists_bugs!$A$2:$G2011,7,FALSE()),"please select a BUG ID")</f>
        <v>https://github.com/elastic/elasticsearch/commit/103221e58a85dc5d133cc70af898102735c4375f</v>
      </c>
      <c r="D891" s="16" t="s">
        <v>1242</v>
      </c>
      <c r="E891" s="50"/>
      <c r="F891" s="43"/>
      <c r="G891" s="50"/>
      <c r="H891" s="43"/>
    </row>
    <row r="892">
      <c r="A892" s="16" t="s">
        <v>99</v>
      </c>
      <c r="B892" s="59" t="str">
        <f>IFERROR(HYPERLINK(VLOOKUP(A892,Internal_lists_bugs!$A$2:$C$73,3,FALSE()), VLOOKUP(A892,Internal_lists_bugs!$A$2:$C$73,3,FALSE())&amp;Char(10) &amp; Char(10) &amp; VLOOKUP(A892,Internal_lists_bugs!$A$2:$Z$73,26,FALSE())),"please select a BUG ID")</f>
        <v>
</v>
      </c>
      <c r="C892" s="39" t="str">
        <f>IFERROR(VLOOKUP(A892,Internal_lists_bugs!$A$2:$G2011,7,FALSE()),"please select a BUG ID")</f>
        <v>https://github.com/elastic/elasticsearch/commit/103221e58a85dc5d133cc70af898102735c4375f</v>
      </c>
      <c r="D892" s="16" t="s">
        <v>1251</v>
      </c>
      <c r="E892" s="50"/>
      <c r="F892" s="43"/>
      <c r="G892" s="50"/>
      <c r="H892" s="43"/>
    </row>
    <row r="893">
      <c r="A893" s="16" t="s">
        <v>99</v>
      </c>
      <c r="B893" s="59" t="str">
        <f>IFERROR(HYPERLINK(VLOOKUP(A893,Internal_lists_bugs!$A$2:$C$73,3,FALSE()), VLOOKUP(A893,Internal_lists_bugs!$A$2:$C$73,3,FALSE())&amp;Char(10) &amp; Char(10) &amp; VLOOKUP(A893,Internal_lists_bugs!$A$2:$Z$73,26,FALSE())),"please select a BUG ID")</f>
        <v>
</v>
      </c>
      <c r="C893" s="39" t="str">
        <f>IFERROR(VLOOKUP(A893,Internal_lists_bugs!$A$2:$G2011,7,FALSE()),"please select a BUG ID")</f>
        <v>https://github.com/elastic/elasticsearch/commit/103221e58a85dc5d133cc70af898102735c4375f</v>
      </c>
      <c r="D893" s="16" t="s">
        <v>1252</v>
      </c>
      <c r="E893" s="50"/>
      <c r="F893" s="43"/>
      <c r="G893" s="50"/>
      <c r="H893" s="43"/>
    </row>
    <row r="894">
      <c r="A894" s="16" t="s">
        <v>99</v>
      </c>
      <c r="B894" s="59" t="str">
        <f>IFERROR(HYPERLINK(VLOOKUP(A894,Internal_lists_bugs!$A$2:$C$73,3,FALSE()), VLOOKUP(A894,Internal_lists_bugs!$A$2:$C$73,3,FALSE())&amp;Char(10) &amp; Char(10) &amp; VLOOKUP(A894,Internal_lists_bugs!$A$2:$Z$73,26,FALSE())),"please select a BUG ID")</f>
        <v>
</v>
      </c>
      <c r="C894" s="39" t="str">
        <f>IFERROR(VLOOKUP(A894,Internal_lists_bugs!$A$2:$G2011,7,FALSE()),"please select a BUG ID")</f>
        <v>https://github.com/elastic/elasticsearch/commit/103221e58a85dc5d133cc70af898102735c4375f</v>
      </c>
      <c r="D894" s="16" t="s">
        <v>1253</v>
      </c>
      <c r="E894" s="50"/>
      <c r="F894" s="43"/>
      <c r="G894" s="50"/>
      <c r="H894" s="43"/>
    </row>
    <row r="895">
      <c r="A895" s="16" t="s">
        <v>99</v>
      </c>
      <c r="B895" s="59" t="str">
        <f>IFERROR(HYPERLINK(VLOOKUP(A895,Internal_lists_bugs!$A$2:$C$73,3,FALSE()), VLOOKUP(A895,Internal_lists_bugs!$A$2:$C$73,3,FALSE())&amp;Char(10) &amp; Char(10) &amp; VLOOKUP(A895,Internal_lists_bugs!$A$2:$Z$73,26,FALSE())),"please select a BUG ID")</f>
        <v>
</v>
      </c>
      <c r="C895" s="39" t="str">
        <f>IFERROR(VLOOKUP(A895,Internal_lists_bugs!$A$2:$G2011,7,FALSE()),"please select a BUG ID")</f>
        <v>https://github.com/elastic/elasticsearch/commit/103221e58a85dc5d133cc70af898102735c4375f</v>
      </c>
      <c r="D895" s="16" t="s">
        <v>1254</v>
      </c>
      <c r="E895" s="50"/>
      <c r="F895" s="43"/>
      <c r="G895" s="50"/>
      <c r="H895" s="43"/>
    </row>
    <row r="896">
      <c r="A896" s="16" t="s">
        <v>85</v>
      </c>
      <c r="B896" s="59" t="str">
        <f>IFERROR(HYPERLINK(VLOOKUP(A896,Internal_lists_bugs!$A$2:$C$73,3,FALSE()), VLOOKUP(A896,Internal_lists_bugs!$A$2:$C$73,3,FALSE())&amp;Char(10) &amp; Char(10) &amp; VLOOKUP(A896,Internal_lists_bugs!$A$2:$Z$73,26,FALSE())),"please select a BUG ID")</f>
        <v>
</v>
      </c>
      <c r="C896" s="39" t="str">
        <f>IFERROR(VLOOKUP(A896,Internal_lists_bugs!$A$2:$G2011,7,FALSE()),"please select a BUG ID")</f>
        <v>https://github.com/elastic/elasticsearch/commit/8587f1611912c6633b72909939e91d226575dd90</v>
      </c>
      <c r="D896" s="16" t="s">
        <v>1242</v>
      </c>
      <c r="E896" s="50"/>
      <c r="F896" s="16" t="s">
        <v>1189</v>
      </c>
      <c r="G896" s="50"/>
      <c r="H896" s="138" t="s">
        <v>1243</v>
      </c>
    </row>
    <row r="897">
      <c r="A897" s="16" t="s">
        <v>85</v>
      </c>
      <c r="B897" s="59" t="str">
        <f>IFERROR(HYPERLINK(VLOOKUP(A897,Internal_lists_bugs!$A$2:$C$73,3,FALSE()), VLOOKUP(A897,Internal_lists_bugs!$A$2:$C$73,3,FALSE())&amp;Char(10) &amp; Char(10) &amp; VLOOKUP(A897,Internal_lists_bugs!$A$2:$Z$73,26,FALSE())),"please select a BUG ID")</f>
        <v>
</v>
      </c>
      <c r="C897" s="39" t="str">
        <f>IFERROR(VLOOKUP(A897,Internal_lists_bugs!$A$2:$G2011,7,FALSE()),"please select a BUG ID")</f>
        <v>https://github.com/elastic/elasticsearch/commit/8587f1611912c6633b72909939e91d226575dd90</v>
      </c>
      <c r="D897" s="16" t="s">
        <v>1244</v>
      </c>
      <c r="E897" s="50"/>
      <c r="F897" s="43"/>
      <c r="G897" s="50"/>
      <c r="H897" s="138" t="s">
        <v>1245</v>
      </c>
    </row>
    <row r="898">
      <c r="A898" s="16" t="s">
        <v>85</v>
      </c>
      <c r="B898" s="59" t="str">
        <f>IFERROR(HYPERLINK(VLOOKUP(A898,Internal_lists_bugs!$A$2:$C$73,3,FALSE()), VLOOKUP(A898,Internal_lists_bugs!$A$2:$C$73,3,FALSE())&amp;Char(10) &amp; Char(10) &amp; VLOOKUP(A898,Internal_lists_bugs!$A$2:$Z$73,26,FALSE())),"please select a BUG ID")</f>
        <v>
</v>
      </c>
      <c r="C898" s="39" t="str">
        <f>IFERROR(VLOOKUP(A898,Internal_lists_bugs!$A$2:$G2011,7,FALSE()),"please select a BUG ID")</f>
        <v>https://github.com/elastic/elasticsearch/commit/8587f1611912c6633b72909939e91d226575dd90</v>
      </c>
      <c r="D898" s="16" t="s">
        <v>1246</v>
      </c>
      <c r="E898" s="50"/>
      <c r="F898" s="43"/>
      <c r="G898" s="50"/>
      <c r="H898" s="138" t="s">
        <v>1247</v>
      </c>
    </row>
    <row r="899">
      <c r="A899" s="16" t="s">
        <v>85</v>
      </c>
      <c r="B899" s="59" t="str">
        <f>IFERROR(HYPERLINK(VLOOKUP(A899,Internal_lists_bugs!$A$2:$C$73,3,FALSE()), VLOOKUP(A899,Internal_lists_bugs!$A$2:$C$73,3,FALSE())&amp;Char(10) &amp; Char(10) &amp; VLOOKUP(A899,Internal_lists_bugs!$A$2:$Z$73,26,FALSE())),"please select a BUG ID")</f>
        <v>
</v>
      </c>
      <c r="C899" s="39" t="str">
        <f>IFERROR(VLOOKUP(A899,Internal_lists_bugs!$A$2:$G2011,7,FALSE()),"please select a BUG ID")</f>
        <v>https://github.com/elastic/elasticsearch/commit/8587f1611912c6633b72909939e91d226575dd90</v>
      </c>
      <c r="D899" s="16" t="s">
        <v>1249</v>
      </c>
      <c r="E899" s="50"/>
      <c r="F899" s="43"/>
      <c r="G899" s="50"/>
      <c r="H899" s="122" t="s">
        <v>1256</v>
      </c>
    </row>
    <row r="900">
      <c r="A900" s="16" t="s">
        <v>85</v>
      </c>
      <c r="B900" s="59" t="str">
        <f>IFERROR(HYPERLINK(VLOOKUP(A900,Internal_lists_bugs!$A$2:$C$73,3,FALSE()), VLOOKUP(A900,Internal_lists_bugs!$A$2:$C$73,3,FALSE())&amp;Char(10) &amp; Char(10) &amp; VLOOKUP(A900,Internal_lists_bugs!$A$2:$Z$73,26,FALSE())),"please select a BUG ID")</f>
        <v>
</v>
      </c>
      <c r="C900" s="39" t="str">
        <f>IFERROR(VLOOKUP(A900,Internal_lists_bugs!$A$2:$G2011,7,FALSE()),"please select a BUG ID")</f>
        <v>https://github.com/elastic/elasticsearch/commit/8587f1611912c6633b72909939e91d226575dd90</v>
      </c>
      <c r="D900" s="16" t="s">
        <v>1248</v>
      </c>
      <c r="E900" s="50"/>
      <c r="F900" s="43"/>
      <c r="G900" s="50"/>
      <c r="H900" s="43"/>
    </row>
    <row r="901">
      <c r="A901" s="16" t="s">
        <v>85</v>
      </c>
      <c r="B901" s="59" t="str">
        <f>IFERROR(HYPERLINK(VLOOKUP(A901,Internal_lists_bugs!$A$2:$C$73,3,FALSE()), VLOOKUP(A901,Internal_lists_bugs!$A$2:$C$73,3,FALSE())&amp;Char(10) &amp; Char(10) &amp; VLOOKUP(A901,Internal_lists_bugs!$A$2:$Z$73,26,FALSE())),"please select a BUG ID")</f>
        <v>
</v>
      </c>
      <c r="C901" s="39" t="str">
        <f>IFERROR(VLOOKUP(A901,Internal_lists_bugs!$A$2:$G2011,7,FALSE()),"please select a BUG ID")</f>
        <v>https://github.com/elastic/elasticsearch/commit/8587f1611912c6633b72909939e91d226575dd90</v>
      </c>
      <c r="D901" s="16" t="s">
        <v>1257</v>
      </c>
      <c r="E901" s="50"/>
      <c r="F901" s="43"/>
      <c r="G901" s="50"/>
      <c r="H901" s="43"/>
    </row>
    <row r="902">
      <c r="A902" s="16" t="s">
        <v>85</v>
      </c>
      <c r="B902" s="59" t="str">
        <f>IFERROR(HYPERLINK(VLOOKUP(A902,Internal_lists_bugs!$A$2:$C$73,3,FALSE()), VLOOKUP(A902,Internal_lists_bugs!$A$2:$C$73,3,FALSE())&amp;Char(10) &amp; Char(10) &amp; VLOOKUP(A902,Internal_lists_bugs!$A$2:$Z$73,26,FALSE())),"please select a BUG ID")</f>
        <v>
</v>
      </c>
      <c r="C902" s="39" t="str">
        <f>IFERROR(VLOOKUP(A902,Internal_lists_bugs!$A$2:$G2011,7,FALSE()),"please select a BUG ID")</f>
        <v>https://github.com/elastic/elasticsearch/commit/8587f1611912c6633b72909939e91d226575dd90</v>
      </c>
      <c r="D902" s="16" t="s">
        <v>1255</v>
      </c>
      <c r="E902" s="50"/>
      <c r="F902" s="43"/>
      <c r="G902" s="50"/>
      <c r="H902" s="43"/>
    </row>
    <row r="903">
      <c r="A903" s="16" t="s">
        <v>85</v>
      </c>
      <c r="B903" s="59" t="str">
        <f>IFERROR(HYPERLINK(VLOOKUP(A903,Internal_lists_bugs!$A$2:$C$73,3,FALSE()), VLOOKUP(A903,Internal_lists_bugs!$A$2:$C$73,3,FALSE())&amp;Char(10) &amp; Char(10) &amp; VLOOKUP(A903,Internal_lists_bugs!$A$2:$Z$73,26,FALSE())),"please select a BUG ID")</f>
        <v>
</v>
      </c>
      <c r="C903" s="39" t="str">
        <f>IFERROR(VLOOKUP(A903,Internal_lists_bugs!$A$2:$G2011,7,FALSE()),"please select a BUG ID")</f>
        <v>https://github.com/elastic/elasticsearch/commit/8587f1611912c6633b72909939e91d226575dd90</v>
      </c>
      <c r="D903" s="16" t="s">
        <v>1258</v>
      </c>
      <c r="E903" s="50"/>
      <c r="F903" s="43"/>
      <c r="G903" s="50"/>
      <c r="H903" s="43"/>
    </row>
    <row r="904">
      <c r="A904" s="16" t="s">
        <v>85</v>
      </c>
      <c r="B904" s="59" t="str">
        <f>IFERROR(HYPERLINK(VLOOKUP(A904,Internal_lists_bugs!$A$2:$C$73,3,FALSE()), VLOOKUP(A904,Internal_lists_bugs!$A$2:$C$73,3,FALSE())&amp;Char(10) &amp; Char(10) &amp; VLOOKUP(A904,Internal_lists_bugs!$A$2:$Z$73,26,FALSE())),"please select a BUG ID")</f>
        <v>
</v>
      </c>
      <c r="C904" s="39" t="str">
        <f>IFERROR(VLOOKUP(A904,Internal_lists_bugs!$A$2:$G2011,7,FALSE()),"please select a BUG ID")</f>
        <v>https://github.com/elastic/elasticsearch/commit/8587f1611912c6633b72909939e91d226575dd90</v>
      </c>
      <c r="D904" s="16" t="s">
        <v>1260</v>
      </c>
      <c r="E904" s="50"/>
      <c r="F904" s="43"/>
      <c r="G904" s="50"/>
      <c r="H904" s="43"/>
    </row>
    <row r="905">
      <c r="A905" s="16" t="s">
        <v>85</v>
      </c>
      <c r="B905" s="59" t="str">
        <f>IFERROR(HYPERLINK(VLOOKUP(A905,Internal_lists_bugs!$A$2:$C$73,3,FALSE()), VLOOKUP(A905,Internal_lists_bugs!$A$2:$C$73,3,FALSE())&amp;Char(10) &amp; Char(10) &amp; VLOOKUP(A905,Internal_lists_bugs!$A$2:$Z$73,26,FALSE())),"please select a BUG ID")</f>
        <v>
</v>
      </c>
      <c r="C905" s="39" t="str">
        <f>IFERROR(VLOOKUP(A905,Internal_lists_bugs!$A$2:$G2011,7,FALSE()),"please select a BUG ID")</f>
        <v>https://github.com/elastic/elasticsearch/commit/8587f1611912c6633b72909939e91d226575dd90</v>
      </c>
      <c r="D905" s="16" t="s">
        <v>1259</v>
      </c>
      <c r="E905" s="50"/>
      <c r="F905" s="43"/>
      <c r="G905" s="50"/>
      <c r="H905" s="43"/>
    </row>
    <row r="906">
      <c r="A906" s="16" t="s">
        <v>85</v>
      </c>
      <c r="B906" s="59" t="str">
        <f>IFERROR(HYPERLINK(VLOOKUP(A906,Internal_lists_bugs!$A$2:$C$73,3,FALSE()), VLOOKUP(A906,Internal_lists_bugs!$A$2:$C$73,3,FALSE())&amp;Char(10) &amp; Char(10) &amp; VLOOKUP(A906,Internal_lists_bugs!$A$2:$Z$73,26,FALSE())),"please select a BUG ID")</f>
        <v>
</v>
      </c>
      <c r="C906" s="39" t="str">
        <f>IFERROR(VLOOKUP(A906,Internal_lists_bugs!$A$2:$G2011,7,FALSE()),"please select a BUG ID")</f>
        <v>https://github.com/elastic/elasticsearch/commit/8587f1611912c6633b72909939e91d226575dd90</v>
      </c>
      <c r="D906" s="16" t="s">
        <v>1250</v>
      </c>
      <c r="E906" s="50"/>
      <c r="F906" s="43"/>
      <c r="G906" s="50"/>
      <c r="H906" s="43"/>
    </row>
    <row r="907">
      <c r="A907" s="16" t="s">
        <v>85</v>
      </c>
      <c r="B907" s="59" t="str">
        <f>IFERROR(HYPERLINK(VLOOKUP(A907,Internal_lists_bugs!$A$2:$C$73,3,FALSE()), VLOOKUP(A907,Internal_lists_bugs!$A$2:$C$73,3,FALSE())&amp;Char(10) &amp; Char(10) &amp; VLOOKUP(A907,Internal_lists_bugs!$A$2:$Z$73,26,FALSE())),"please select a BUG ID")</f>
        <v>
</v>
      </c>
      <c r="C907" s="39" t="str">
        <f>IFERROR(VLOOKUP(A907,Internal_lists_bugs!$A$2:$G2011,7,FALSE()),"please select a BUG ID")</f>
        <v>https://github.com/elastic/elasticsearch/commit/8587f1611912c6633b72909939e91d226575dd90</v>
      </c>
      <c r="D907" s="16" t="s">
        <v>1242</v>
      </c>
      <c r="E907" s="50"/>
      <c r="F907" s="43"/>
      <c r="G907" s="50"/>
      <c r="H907" s="43"/>
    </row>
    <row r="908">
      <c r="A908" s="16" t="s">
        <v>85</v>
      </c>
      <c r="B908" s="59" t="str">
        <f>IFERROR(HYPERLINK(VLOOKUP(A908,Internal_lists_bugs!$A$2:$C$73,3,FALSE()), VLOOKUP(A908,Internal_lists_bugs!$A$2:$C$73,3,FALSE())&amp;Char(10) &amp; Char(10) &amp; VLOOKUP(A908,Internal_lists_bugs!$A$2:$Z$73,26,FALSE())),"please select a BUG ID")</f>
        <v>
</v>
      </c>
      <c r="C908" s="39" t="str">
        <f>IFERROR(VLOOKUP(A908,Internal_lists_bugs!$A$2:$G2011,7,FALSE()),"please select a BUG ID")</f>
        <v>https://github.com/elastic/elasticsearch/commit/8587f1611912c6633b72909939e91d226575dd90</v>
      </c>
      <c r="D908" s="16" t="s">
        <v>1251</v>
      </c>
      <c r="E908" s="50"/>
      <c r="F908" s="43"/>
      <c r="G908" s="50"/>
      <c r="H908" s="43"/>
    </row>
    <row r="909">
      <c r="A909" s="16" t="s">
        <v>85</v>
      </c>
      <c r="B909" s="59" t="str">
        <f>IFERROR(HYPERLINK(VLOOKUP(A909,Internal_lists_bugs!$A$2:$C$73,3,FALSE()), VLOOKUP(A909,Internal_lists_bugs!$A$2:$C$73,3,FALSE())&amp;Char(10) &amp; Char(10) &amp; VLOOKUP(A909,Internal_lists_bugs!$A$2:$Z$73,26,FALSE())),"please select a BUG ID")</f>
        <v>
</v>
      </c>
      <c r="C909" s="39" t="str">
        <f>IFERROR(VLOOKUP(A909,Internal_lists_bugs!$A$2:$G2011,7,FALSE()),"please select a BUG ID")</f>
        <v>https://github.com/elastic/elasticsearch/commit/8587f1611912c6633b72909939e91d226575dd90</v>
      </c>
      <c r="D909" s="16" t="s">
        <v>1252</v>
      </c>
      <c r="E909" s="50"/>
      <c r="F909" s="43"/>
      <c r="G909" s="50"/>
      <c r="H909" s="43"/>
    </row>
    <row r="910">
      <c r="A910" s="16" t="s">
        <v>85</v>
      </c>
      <c r="B910" s="59" t="str">
        <f>IFERROR(HYPERLINK(VLOOKUP(A910,Internal_lists_bugs!$A$2:$C$73,3,FALSE()), VLOOKUP(A910,Internal_lists_bugs!$A$2:$C$73,3,FALSE())&amp;Char(10) &amp; Char(10) &amp; VLOOKUP(A910,Internal_lists_bugs!$A$2:$Z$73,26,FALSE())),"please select a BUG ID")</f>
        <v>
</v>
      </c>
      <c r="C910" s="39" t="str">
        <f>IFERROR(VLOOKUP(A910,Internal_lists_bugs!$A$2:$G2011,7,FALSE()),"please select a BUG ID")</f>
        <v>https://github.com/elastic/elasticsearch/commit/8587f1611912c6633b72909939e91d226575dd90</v>
      </c>
      <c r="D910" s="16" t="s">
        <v>1253</v>
      </c>
      <c r="E910" s="50"/>
      <c r="F910" s="43"/>
      <c r="G910" s="50"/>
      <c r="H910" s="43"/>
    </row>
    <row r="911">
      <c r="A911" s="16" t="s">
        <v>85</v>
      </c>
      <c r="B911" s="59" t="str">
        <f>IFERROR(HYPERLINK(VLOOKUP(A911,Internal_lists_bugs!$A$2:$C$73,3,FALSE()), VLOOKUP(A911,Internal_lists_bugs!$A$2:$C$73,3,FALSE())&amp;Char(10) &amp; Char(10) &amp; VLOOKUP(A911,Internal_lists_bugs!$A$2:$Z$73,26,FALSE())),"please select a BUG ID")</f>
        <v>
</v>
      </c>
      <c r="C911" s="39" t="str">
        <f>IFERROR(VLOOKUP(A911,Internal_lists_bugs!$A$2:$G2011,7,FALSE()),"please select a BUG ID")</f>
        <v>https://github.com/elastic/elasticsearch/commit/8587f1611912c6633b72909939e91d226575dd90</v>
      </c>
      <c r="D911" s="16" t="s">
        <v>1254</v>
      </c>
      <c r="E911" s="50"/>
      <c r="F911" s="43"/>
      <c r="G911" s="50"/>
      <c r="H911" s="43"/>
    </row>
    <row r="912">
      <c r="A912" s="16" t="s">
        <v>65</v>
      </c>
      <c r="B912" s="59" t="str">
        <f>IFERROR(HYPERLINK(VLOOKUP(A912,Internal_lists_bugs!$A$2:$C$73,3,FALSE()), VLOOKUP(A912,Internal_lists_bugs!$A$2:$C$73,3,FALSE())&amp;Char(10) &amp; Char(10) &amp; VLOOKUP(A912,Internal_lists_bugs!$A$2:$Z$73,26,FALSE())),"please select a BUG ID")</f>
        <v>
</v>
      </c>
      <c r="C912" s="39" t="str">
        <f>IFERROR(VLOOKUP(A912,Internal_lists_bugs!$A$2:$G2011,7,FALSE()),"please select a BUG ID")</f>
        <v>https://github.com/elastic/elasticsearch/commit/90a339ad5e4a61e750d0342be6326de46f45bedc</v>
      </c>
      <c r="D912" s="16" t="s">
        <v>1242</v>
      </c>
      <c r="E912" s="50"/>
      <c r="F912" s="16" t="s">
        <v>1189</v>
      </c>
      <c r="G912" s="50"/>
      <c r="H912" s="138" t="s">
        <v>1243</v>
      </c>
    </row>
    <row r="913">
      <c r="A913" s="16" t="s">
        <v>65</v>
      </c>
      <c r="B913" s="59" t="str">
        <f>IFERROR(HYPERLINK(VLOOKUP(A913,Internal_lists_bugs!$A$2:$C$73,3,FALSE()), VLOOKUP(A913,Internal_lists_bugs!$A$2:$C$73,3,FALSE())&amp;Char(10) &amp; Char(10) &amp; VLOOKUP(A913,Internal_lists_bugs!$A$2:$Z$73,26,FALSE())),"please select a BUG ID")</f>
        <v>
</v>
      </c>
      <c r="C913" s="39" t="str">
        <f>IFERROR(VLOOKUP(A913,Internal_lists_bugs!$A$2:$G2011,7,FALSE()),"please select a BUG ID")</f>
        <v>https://github.com/elastic/elasticsearch/commit/90a339ad5e4a61e750d0342be6326de46f45bedc</v>
      </c>
      <c r="D913" s="16" t="s">
        <v>1244</v>
      </c>
      <c r="E913" s="50"/>
      <c r="F913" s="43"/>
      <c r="G913" s="50"/>
      <c r="H913" s="138" t="s">
        <v>1245</v>
      </c>
    </row>
    <row r="914">
      <c r="A914" s="16" t="s">
        <v>65</v>
      </c>
      <c r="B914" s="59" t="str">
        <f>IFERROR(HYPERLINK(VLOOKUP(A914,Internal_lists_bugs!$A$2:$C$73,3,FALSE()), VLOOKUP(A914,Internal_lists_bugs!$A$2:$C$73,3,FALSE())&amp;Char(10) &amp; Char(10) &amp; VLOOKUP(A914,Internal_lists_bugs!$A$2:$Z$73,26,FALSE())),"please select a BUG ID")</f>
        <v>
</v>
      </c>
      <c r="C914" s="39" t="str">
        <f>IFERROR(VLOOKUP(A914,Internal_lists_bugs!$A$2:$G2011,7,FALSE()),"please select a BUG ID")</f>
        <v>https://github.com/elastic/elasticsearch/commit/90a339ad5e4a61e750d0342be6326de46f45bedc</v>
      </c>
      <c r="D914" s="16" t="s">
        <v>1246</v>
      </c>
      <c r="E914" s="50"/>
      <c r="F914" s="43"/>
      <c r="G914" s="50"/>
      <c r="H914" s="138" t="s">
        <v>1247</v>
      </c>
    </row>
    <row r="915">
      <c r="A915" s="16" t="s">
        <v>65</v>
      </c>
      <c r="B915" s="59" t="str">
        <f>IFERROR(HYPERLINK(VLOOKUP(A915,Internal_lists_bugs!$A$2:$C$73,3,FALSE()), VLOOKUP(A915,Internal_lists_bugs!$A$2:$C$73,3,FALSE())&amp;Char(10) &amp; Char(10) &amp; VLOOKUP(A915,Internal_lists_bugs!$A$2:$Z$73,26,FALSE())),"please select a BUG ID")</f>
        <v>
</v>
      </c>
      <c r="C915" s="39" t="str">
        <f>IFERROR(VLOOKUP(A915,Internal_lists_bugs!$A$2:$G2011,7,FALSE()),"please select a BUG ID")</f>
        <v>https://github.com/elastic/elasticsearch/commit/90a339ad5e4a61e750d0342be6326de46f45bedc</v>
      </c>
      <c r="D915" s="16" t="s">
        <v>1249</v>
      </c>
      <c r="E915" s="50"/>
      <c r="F915" s="43"/>
      <c r="G915" s="50"/>
      <c r="H915" s="122" t="s">
        <v>1256</v>
      </c>
    </row>
    <row r="916">
      <c r="A916" s="16" t="s">
        <v>65</v>
      </c>
      <c r="B916" s="59" t="str">
        <f>IFERROR(HYPERLINK(VLOOKUP(A916,Internal_lists_bugs!$A$2:$C$73,3,FALSE()), VLOOKUP(A916,Internal_lists_bugs!$A$2:$C$73,3,FALSE())&amp;Char(10) &amp; Char(10) &amp; VLOOKUP(A916,Internal_lists_bugs!$A$2:$Z$73,26,FALSE())),"please select a BUG ID")</f>
        <v>
</v>
      </c>
      <c r="C916" s="39" t="str">
        <f>IFERROR(VLOOKUP(A916,Internal_lists_bugs!$A$2:$G2011,7,FALSE()),"please select a BUG ID")</f>
        <v>https://github.com/elastic/elasticsearch/commit/90a339ad5e4a61e750d0342be6326de46f45bedc</v>
      </c>
      <c r="D916" s="16" t="s">
        <v>1248</v>
      </c>
      <c r="E916" s="50"/>
      <c r="F916" s="43"/>
      <c r="G916" s="50"/>
      <c r="H916" s="43"/>
    </row>
    <row r="917">
      <c r="A917" s="16" t="s">
        <v>65</v>
      </c>
      <c r="B917" s="59" t="str">
        <f>IFERROR(HYPERLINK(VLOOKUP(A917,Internal_lists_bugs!$A$2:$C$73,3,FALSE()), VLOOKUP(A917,Internal_lists_bugs!$A$2:$C$73,3,FALSE())&amp;Char(10) &amp; Char(10) &amp; VLOOKUP(A917,Internal_lists_bugs!$A$2:$Z$73,26,FALSE())),"please select a BUG ID")</f>
        <v>
</v>
      </c>
      <c r="C917" s="39" t="str">
        <f>IFERROR(VLOOKUP(A917,Internal_lists_bugs!$A$2:$G2011,7,FALSE()),"please select a BUG ID")</f>
        <v>https://github.com/elastic/elasticsearch/commit/90a339ad5e4a61e750d0342be6326de46f45bedc</v>
      </c>
      <c r="D917" s="16" t="s">
        <v>1257</v>
      </c>
      <c r="E917" s="50"/>
      <c r="F917" s="43"/>
      <c r="G917" s="50"/>
      <c r="H917" s="43"/>
    </row>
    <row r="918">
      <c r="A918" s="16" t="s">
        <v>65</v>
      </c>
      <c r="B918" s="59" t="str">
        <f>IFERROR(HYPERLINK(VLOOKUP(A918,Internal_lists_bugs!$A$2:$C$73,3,FALSE()), VLOOKUP(A918,Internal_lists_bugs!$A$2:$C$73,3,FALSE())&amp;Char(10) &amp; Char(10) &amp; VLOOKUP(A918,Internal_lists_bugs!$A$2:$Z$73,26,FALSE())),"please select a BUG ID")</f>
        <v>
</v>
      </c>
      <c r="C918" s="39" t="str">
        <f>IFERROR(VLOOKUP(A918,Internal_lists_bugs!$A$2:$G2011,7,FALSE()),"please select a BUG ID")</f>
        <v>https://github.com/elastic/elasticsearch/commit/90a339ad5e4a61e750d0342be6326de46f45bedc</v>
      </c>
      <c r="D918" s="16" t="s">
        <v>1255</v>
      </c>
      <c r="E918" s="50"/>
      <c r="F918" s="43"/>
      <c r="G918" s="50"/>
      <c r="H918" s="43"/>
    </row>
    <row r="919">
      <c r="A919" s="16" t="s">
        <v>65</v>
      </c>
      <c r="B919" s="59" t="str">
        <f>IFERROR(HYPERLINK(VLOOKUP(A919,Internal_lists_bugs!$A$2:$C$73,3,FALSE()), VLOOKUP(A919,Internal_lists_bugs!$A$2:$C$73,3,FALSE())&amp;Char(10) &amp; Char(10) &amp; VLOOKUP(A919,Internal_lists_bugs!$A$2:$Z$73,26,FALSE())),"please select a BUG ID")</f>
        <v>
</v>
      </c>
      <c r="C919" s="39" t="str">
        <f>IFERROR(VLOOKUP(A919,Internal_lists_bugs!$A$2:$G2011,7,FALSE()),"please select a BUG ID")</f>
        <v>https://github.com/elastic/elasticsearch/commit/90a339ad5e4a61e750d0342be6326de46f45bedc</v>
      </c>
      <c r="D919" s="16" t="s">
        <v>1258</v>
      </c>
      <c r="E919" s="50"/>
      <c r="F919" s="43"/>
      <c r="G919" s="50"/>
      <c r="H919" s="43"/>
    </row>
    <row r="920">
      <c r="A920" s="16" t="s">
        <v>65</v>
      </c>
      <c r="B920" s="59" t="str">
        <f>IFERROR(HYPERLINK(VLOOKUP(A920,Internal_lists_bugs!$A$2:$C$73,3,FALSE()), VLOOKUP(A920,Internal_lists_bugs!$A$2:$C$73,3,FALSE())&amp;Char(10) &amp; Char(10) &amp; VLOOKUP(A920,Internal_lists_bugs!$A$2:$Z$73,26,FALSE())),"please select a BUG ID")</f>
        <v>
</v>
      </c>
      <c r="C920" s="39" t="str">
        <f>IFERROR(VLOOKUP(A920,Internal_lists_bugs!$A$2:$G2011,7,FALSE()),"please select a BUG ID")</f>
        <v>https://github.com/elastic/elasticsearch/commit/90a339ad5e4a61e750d0342be6326de46f45bedc</v>
      </c>
      <c r="D920" s="16" t="s">
        <v>1260</v>
      </c>
      <c r="E920" s="50"/>
      <c r="F920" s="43"/>
      <c r="G920" s="50"/>
      <c r="H920" s="43"/>
    </row>
    <row r="921">
      <c r="A921" s="16" t="s">
        <v>65</v>
      </c>
      <c r="B921" s="59" t="str">
        <f>IFERROR(HYPERLINK(VLOOKUP(A921,Internal_lists_bugs!$A$2:$C$73,3,FALSE()), VLOOKUP(A921,Internal_lists_bugs!$A$2:$C$73,3,FALSE())&amp;Char(10) &amp; Char(10) &amp; VLOOKUP(A921,Internal_lists_bugs!$A$2:$Z$73,26,FALSE())),"please select a BUG ID")</f>
        <v>
</v>
      </c>
      <c r="C921" s="39" t="str">
        <f>IFERROR(VLOOKUP(A921,Internal_lists_bugs!$A$2:$G2011,7,FALSE()),"please select a BUG ID")</f>
        <v>https://github.com/elastic/elasticsearch/commit/90a339ad5e4a61e750d0342be6326de46f45bedc</v>
      </c>
      <c r="D921" s="16" t="s">
        <v>1259</v>
      </c>
      <c r="E921" s="50"/>
      <c r="F921" s="43"/>
      <c r="G921" s="50"/>
      <c r="H921" s="43"/>
    </row>
    <row r="922">
      <c r="A922" s="16" t="s">
        <v>65</v>
      </c>
      <c r="B922" s="59" t="str">
        <f>IFERROR(HYPERLINK(VLOOKUP(A922,Internal_lists_bugs!$A$2:$C$73,3,FALSE()), VLOOKUP(A922,Internal_lists_bugs!$A$2:$C$73,3,FALSE())&amp;Char(10) &amp; Char(10) &amp; VLOOKUP(A922,Internal_lists_bugs!$A$2:$Z$73,26,FALSE())),"please select a BUG ID")</f>
        <v>
</v>
      </c>
      <c r="C922" s="39" t="str">
        <f>IFERROR(VLOOKUP(A922,Internal_lists_bugs!$A$2:$G2011,7,FALSE()),"please select a BUG ID")</f>
        <v>https://github.com/elastic/elasticsearch/commit/90a339ad5e4a61e750d0342be6326de46f45bedc</v>
      </c>
      <c r="D922" s="16" t="s">
        <v>1250</v>
      </c>
      <c r="E922" s="50"/>
      <c r="F922" s="43"/>
      <c r="G922" s="50"/>
      <c r="H922" s="43"/>
    </row>
    <row r="923">
      <c r="A923" s="16" t="s">
        <v>65</v>
      </c>
      <c r="B923" s="59" t="str">
        <f>IFERROR(HYPERLINK(VLOOKUP(A923,Internal_lists_bugs!$A$2:$C$73,3,FALSE()), VLOOKUP(A923,Internal_lists_bugs!$A$2:$C$73,3,FALSE())&amp;Char(10) &amp; Char(10) &amp; VLOOKUP(A923,Internal_lists_bugs!$A$2:$Z$73,26,FALSE())),"please select a BUG ID")</f>
        <v>
</v>
      </c>
      <c r="C923" s="39" t="str">
        <f>IFERROR(VLOOKUP(A923,Internal_lists_bugs!$A$2:$G2011,7,FALSE()),"please select a BUG ID")</f>
        <v>https://github.com/elastic/elasticsearch/commit/90a339ad5e4a61e750d0342be6326de46f45bedc</v>
      </c>
      <c r="D923" s="16" t="s">
        <v>1242</v>
      </c>
      <c r="E923" s="50"/>
      <c r="F923" s="43"/>
      <c r="G923" s="50"/>
      <c r="H923" s="43"/>
    </row>
    <row r="924">
      <c r="A924" s="16" t="s">
        <v>65</v>
      </c>
      <c r="B924" s="59" t="str">
        <f>IFERROR(HYPERLINK(VLOOKUP(A924,Internal_lists_bugs!$A$2:$C$73,3,FALSE()), VLOOKUP(A924,Internal_lists_bugs!$A$2:$C$73,3,FALSE())&amp;Char(10) &amp; Char(10) &amp; VLOOKUP(A924,Internal_lists_bugs!$A$2:$Z$73,26,FALSE())),"please select a BUG ID")</f>
        <v>
</v>
      </c>
      <c r="C924" s="39" t="str">
        <f>IFERROR(VLOOKUP(A924,Internal_lists_bugs!$A$2:$G2011,7,FALSE()),"please select a BUG ID")</f>
        <v>https://github.com/elastic/elasticsearch/commit/90a339ad5e4a61e750d0342be6326de46f45bedc</v>
      </c>
      <c r="D924" s="16" t="s">
        <v>1251</v>
      </c>
      <c r="E924" s="50"/>
      <c r="F924" s="43"/>
      <c r="G924" s="50"/>
      <c r="H924" s="43"/>
    </row>
    <row r="925">
      <c r="A925" s="16" t="s">
        <v>65</v>
      </c>
      <c r="B925" s="59" t="str">
        <f>IFERROR(HYPERLINK(VLOOKUP(A925,Internal_lists_bugs!$A$2:$C$73,3,FALSE()), VLOOKUP(A925,Internal_lists_bugs!$A$2:$C$73,3,FALSE())&amp;Char(10) &amp; Char(10) &amp; VLOOKUP(A925,Internal_lists_bugs!$A$2:$Z$73,26,FALSE())),"please select a BUG ID")</f>
        <v>
</v>
      </c>
      <c r="C925" s="39" t="str">
        <f>IFERROR(VLOOKUP(A925,Internal_lists_bugs!$A$2:$G2011,7,FALSE()),"please select a BUG ID")</f>
        <v>https://github.com/elastic/elasticsearch/commit/90a339ad5e4a61e750d0342be6326de46f45bedc</v>
      </c>
      <c r="D925" s="16" t="s">
        <v>1252</v>
      </c>
      <c r="E925" s="50"/>
      <c r="F925" s="43"/>
      <c r="G925" s="50"/>
      <c r="H925" s="43"/>
    </row>
    <row r="926">
      <c r="A926" s="16" t="s">
        <v>65</v>
      </c>
      <c r="B926" s="59" t="str">
        <f>IFERROR(HYPERLINK(VLOOKUP(A926,Internal_lists_bugs!$A$2:$C$73,3,FALSE()), VLOOKUP(A926,Internal_lists_bugs!$A$2:$C$73,3,FALSE())&amp;Char(10) &amp; Char(10) &amp; VLOOKUP(A926,Internal_lists_bugs!$A$2:$Z$73,26,FALSE())),"please select a BUG ID")</f>
        <v>
</v>
      </c>
      <c r="C926" s="39" t="str">
        <f>IFERROR(VLOOKUP(A926,Internal_lists_bugs!$A$2:$G2011,7,FALSE()),"please select a BUG ID")</f>
        <v>https://github.com/elastic/elasticsearch/commit/90a339ad5e4a61e750d0342be6326de46f45bedc</v>
      </c>
      <c r="D926" s="16" t="s">
        <v>1253</v>
      </c>
      <c r="E926" s="50"/>
      <c r="F926" s="43"/>
      <c r="G926" s="50"/>
      <c r="H926" s="43"/>
    </row>
    <row r="927">
      <c r="A927" s="16" t="s">
        <v>65</v>
      </c>
      <c r="B927" s="59" t="str">
        <f>IFERROR(HYPERLINK(VLOOKUP(A927,Internal_lists_bugs!$A$2:$C$73,3,FALSE()), VLOOKUP(A927,Internal_lists_bugs!$A$2:$C$73,3,FALSE())&amp;Char(10) &amp; Char(10) &amp; VLOOKUP(A927,Internal_lists_bugs!$A$2:$Z$73,26,FALSE())),"please select a BUG ID")</f>
        <v>
</v>
      </c>
      <c r="C927" s="39" t="str">
        <f>IFERROR(VLOOKUP(A927,Internal_lists_bugs!$A$2:$G2011,7,FALSE()),"please select a BUG ID")</f>
        <v>https://github.com/elastic/elasticsearch/commit/90a339ad5e4a61e750d0342be6326de46f45bedc</v>
      </c>
      <c r="D927" s="16" t="s">
        <v>1254</v>
      </c>
      <c r="E927" s="50"/>
      <c r="F927" s="43"/>
      <c r="G927" s="50"/>
      <c r="H927" s="43"/>
    </row>
    <row r="928">
      <c r="A928" s="16" t="s">
        <v>94</v>
      </c>
      <c r="B928" s="59" t="str">
        <f>IFERROR(HYPERLINK(VLOOKUP(A928,Internal_lists_bugs!$A$2:$C$73,3,FALSE()), VLOOKUP(A928,Internal_lists_bugs!$A$2:$C$73,3,FALSE())&amp;Char(10) &amp; Char(10) &amp; VLOOKUP(A928,Internal_lists_bugs!$A$2:$Z$73,26,FALSE())),"please select a BUG ID")</f>
        <v>
</v>
      </c>
      <c r="C928" s="39" t="str">
        <f>IFERROR(VLOOKUP(A928,Internal_lists_bugs!$A$2:$G2011,7,FALSE()),"please select a BUG ID")</f>
        <v>https://github.com/elastic/elasticsearch/commit/16a046f686c26309ee0041df8987a4d2ffedd956</v>
      </c>
      <c r="D928" s="16" t="s">
        <v>1242</v>
      </c>
      <c r="E928" s="50"/>
      <c r="F928" s="16" t="s">
        <v>1189</v>
      </c>
      <c r="G928" s="50"/>
      <c r="H928" s="138" t="s">
        <v>1243</v>
      </c>
    </row>
    <row r="929">
      <c r="A929" s="16" t="s">
        <v>94</v>
      </c>
      <c r="B929" s="59" t="str">
        <f>IFERROR(HYPERLINK(VLOOKUP(A929,Internal_lists_bugs!$A$2:$C$73,3,FALSE()), VLOOKUP(A929,Internal_lists_bugs!$A$2:$C$73,3,FALSE())&amp;Char(10) &amp; Char(10) &amp; VLOOKUP(A929,Internal_lists_bugs!$A$2:$Z$73,26,FALSE())),"please select a BUG ID")</f>
        <v>
</v>
      </c>
      <c r="C929" s="39" t="str">
        <f>IFERROR(VLOOKUP(A929,Internal_lists_bugs!$A$2:$G2011,7,FALSE()),"please select a BUG ID")</f>
        <v>https://github.com/elastic/elasticsearch/commit/16a046f686c26309ee0041df8987a4d2ffedd956</v>
      </c>
      <c r="D929" s="16" t="s">
        <v>1244</v>
      </c>
      <c r="E929" s="50"/>
      <c r="F929" s="43"/>
      <c r="G929" s="50"/>
      <c r="H929" s="138" t="s">
        <v>1245</v>
      </c>
    </row>
    <row r="930">
      <c r="A930" s="16" t="s">
        <v>94</v>
      </c>
      <c r="B930" s="59" t="str">
        <f>IFERROR(HYPERLINK(VLOOKUP(A930,Internal_lists_bugs!$A$2:$C$73,3,FALSE()), VLOOKUP(A930,Internal_lists_bugs!$A$2:$C$73,3,FALSE())&amp;Char(10) &amp; Char(10) &amp; VLOOKUP(A930,Internal_lists_bugs!$A$2:$Z$73,26,FALSE())),"please select a BUG ID")</f>
        <v>
</v>
      </c>
      <c r="C930" s="39" t="str">
        <f>IFERROR(VLOOKUP(A930,Internal_lists_bugs!$A$2:$G2011,7,FALSE()),"please select a BUG ID")</f>
        <v>https://github.com/elastic/elasticsearch/commit/16a046f686c26309ee0041df8987a4d2ffedd956</v>
      </c>
      <c r="D930" s="16" t="s">
        <v>1246</v>
      </c>
      <c r="E930" s="50"/>
      <c r="F930" s="43"/>
      <c r="G930" s="50"/>
      <c r="H930" s="138" t="s">
        <v>1247</v>
      </c>
    </row>
    <row r="931">
      <c r="A931" s="16" t="s">
        <v>94</v>
      </c>
      <c r="B931" s="59" t="str">
        <f>IFERROR(HYPERLINK(VLOOKUP(A931,Internal_lists_bugs!$A$2:$C$73,3,FALSE()), VLOOKUP(A931,Internal_lists_bugs!$A$2:$C$73,3,FALSE())&amp;Char(10) &amp; Char(10) &amp; VLOOKUP(A931,Internal_lists_bugs!$A$2:$Z$73,26,FALSE())),"please select a BUG ID")</f>
        <v>
</v>
      </c>
      <c r="C931" s="39" t="str">
        <f>IFERROR(VLOOKUP(A931,Internal_lists_bugs!$A$2:$G2011,7,FALSE()),"please select a BUG ID")</f>
        <v>https://github.com/elastic/elasticsearch/commit/16a046f686c26309ee0041df8987a4d2ffedd956</v>
      </c>
      <c r="D931" s="16" t="s">
        <v>1249</v>
      </c>
      <c r="E931" s="50"/>
      <c r="F931" s="43"/>
      <c r="G931" s="50"/>
      <c r="H931" s="122" t="s">
        <v>1256</v>
      </c>
    </row>
    <row r="932">
      <c r="A932" s="16" t="s">
        <v>94</v>
      </c>
      <c r="B932" s="59" t="str">
        <f>IFERROR(HYPERLINK(VLOOKUP(A932,Internal_lists_bugs!$A$2:$C$73,3,FALSE()), VLOOKUP(A932,Internal_lists_bugs!$A$2:$C$73,3,FALSE())&amp;Char(10) &amp; Char(10) &amp; VLOOKUP(A932,Internal_lists_bugs!$A$2:$Z$73,26,FALSE())),"please select a BUG ID")</f>
        <v>
</v>
      </c>
      <c r="C932" s="39" t="str">
        <f>IFERROR(VLOOKUP(A932,Internal_lists_bugs!$A$2:$G2011,7,FALSE()),"please select a BUG ID")</f>
        <v>https://github.com/elastic/elasticsearch/commit/16a046f686c26309ee0041df8987a4d2ffedd956</v>
      </c>
      <c r="D932" s="16" t="s">
        <v>1248</v>
      </c>
      <c r="E932" s="50"/>
      <c r="F932" s="43"/>
      <c r="G932" s="50"/>
      <c r="H932" s="43"/>
    </row>
    <row r="933">
      <c r="A933" s="16" t="s">
        <v>94</v>
      </c>
      <c r="B933" s="59" t="str">
        <f>IFERROR(HYPERLINK(VLOOKUP(A933,Internal_lists_bugs!$A$2:$C$73,3,FALSE()), VLOOKUP(A933,Internal_lists_bugs!$A$2:$C$73,3,FALSE())&amp;Char(10) &amp; Char(10) &amp; VLOOKUP(A933,Internal_lists_bugs!$A$2:$Z$73,26,FALSE())),"please select a BUG ID")</f>
        <v>
</v>
      </c>
      <c r="C933" s="39" t="str">
        <f>IFERROR(VLOOKUP(A933,Internal_lists_bugs!$A$2:$G2011,7,FALSE()),"please select a BUG ID")</f>
        <v>https://github.com/elastic/elasticsearch/commit/16a046f686c26309ee0041df8987a4d2ffedd956</v>
      </c>
      <c r="D933" s="16" t="s">
        <v>1257</v>
      </c>
      <c r="E933" s="50"/>
      <c r="F933" s="43"/>
      <c r="G933" s="50"/>
      <c r="H933" s="43"/>
    </row>
    <row r="934">
      <c r="A934" s="16" t="s">
        <v>94</v>
      </c>
      <c r="B934" s="59" t="str">
        <f>IFERROR(HYPERLINK(VLOOKUP(A934,Internal_lists_bugs!$A$2:$C$73,3,FALSE()), VLOOKUP(A934,Internal_lists_bugs!$A$2:$C$73,3,FALSE())&amp;Char(10) &amp; Char(10) &amp; VLOOKUP(A934,Internal_lists_bugs!$A$2:$Z$73,26,FALSE())),"please select a BUG ID")</f>
        <v>
</v>
      </c>
      <c r="C934" s="39" t="str">
        <f>IFERROR(VLOOKUP(A934,Internal_lists_bugs!$A$2:$G2011,7,FALSE()),"please select a BUG ID")</f>
        <v>https://github.com/elastic/elasticsearch/commit/16a046f686c26309ee0041df8987a4d2ffedd956</v>
      </c>
      <c r="D934" s="16" t="s">
        <v>1255</v>
      </c>
      <c r="E934" s="50"/>
      <c r="F934" s="43"/>
      <c r="G934" s="50"/>
      <c r="H934" s="43"/>
    </row>
    <row r="935">
      <c r="A935" s="16" t="s">
        <v>94</v>
      </c>
      <c r="B935" s="59" t="str">
        <f>IFERROR(HYPERLINK(VLOOKUP(A935,Internal_lists_bugs!$A$2:$C$73,3,FALSE()), VLOOKUP(A935,Internal_lists_bugs!$A$2:$C$73,3,FALSE())&amp;Char(10) &amp; Char(10) &amp; VLOOKUP(A935,Internal_lists_bugs!$A$2:$Z$73,26,FALSE())),"please select a BUG ID")</f>
        <v>
</v>
      </c>
      <c r="C935" s="39" t="str">
        <f>IFERROR(VLOOKUP(A935,Internal_lists_bugs!$A$2:$G2011,7,FALSE()),"please select a BUG ID")</f>
        <v>https://github.com/elastic/elasticsearch/commit/16a046f686c26309ee0041df8987a4d2ffedd956</v>
      </c>
      <c r="D935" s="16" t="s">
        <v>1258</v>
      </c>
      <c r="E935" s="50"/>
      <c r="F935" s="43"/>
      <c r="G935" s="50"/>
      <c r="H935" s="43"/>
    </row>
    <row r="936">
      <c r="A936" s="16" t="s">
        <v>94</v>
      </c>
      <c r="B936" s="59" t="str">
        <f>IFERROR(HYPERLINK(VLOOKUP(A936,Internal_lists_bugs!$A$2:$C$73,3,FALSE()), VLOOKUP(A936,Internal_lists_bugs!$A$2:$C$73,3,FALSE())&amp;Char(10) &amp; Char(10) &amp; VLOOKUP(A936,Internal_lists_bugs!$A$2:$Z$73,26,FALSE())),"please select a BUG ID")</f>
        <v>
</v>
      </c>
      <c r="C936" s="39" t="str">
        <f>IFERROR(VLOOKUP(A936,Internal_lists_bugs!$A$2:$G2011,7,FALSE()),"please select a BUG ID")</f>
        <v>https://github.com/elastic/elasticsearch/commit/16a046f686c26309ee0041df8987a4d2ffedd956</v>
      </c>
      <c r="D936" s="16" t="s">
        <v>1260</v>
      </c>
      <c r="E936" s="50"/>
      <c r="F936" s="43"/>
      <c r="G936" s="50"/>
      <c r="H936" s="43"/>
    </row>
    <row r="937">
      <c r="A937" s="16" t="s">
        <v>94</v>
      </c>
      <c r="B937" s="59" t="str">
        <f>IFERROR(HYPERLINK(VLOOKUP(A937,Internal_lists_bugs!$A$2:$C$73,3,FALSE()), VLOOKUP(A937,Internal_lists_bugs!$A$2:$C$73,3,FALSE())&amp;Char(10) &amp; Char(10) &amp; VLOOKUP(A937,Internal_lists_bugs!$A$2:$Z$73,26,FALSE())),"please select a BUG ID")</f>
        <v>
</v>
      </c>
      <c r="C937" s="39" t="str">
        <f>IFERROR(VLOOKUP(A937,Internal_lists_bugs!$A$2:$G2011,7,FALSE()),"please select a BUG ID")</f>
        <v>https://github.com/elastic/elasticsearch/commit/16a046f686c26309ee0041df8987a4d2ffedd956</v>
      </c>
      <c r="D937" s="16" t="s">
        <v>1259</v>
      </c>
      <c r="E937" s="50"/>
      <c r="F937" s="43"/>
      <c r="G937" s="50"/>
      <c r="H937" s="43"/>
    </row>
    <row r="938">
      <c r="A938" s="16" t="s">
        <v>94</v>
      </c>
      <c r="B938" s="59" t="str">
        <f>IFERROR(HYPERLINK(VLOOKUP(A938,Internal_lists_bugs!$A$2:$C$73,3,FALSE()), VLOOKUP(A938,Internal_lists_bugs!$A$2:$C$73,3,FALSE())&amp;Char(10) &amp; Char(10) &amp; VLOOKUP(A938,Internal_lists_bugs!$A$2:$Z$73,26,FALSE())),"please select a BUG ID")</f>
        <v>
</v>
      </c>
      <c r="C938" s="39" t="str">
        <f>IFERROR(VLOOKUP(A938,Internal_lists_bugs!$A$2:$G2011,7,FALSE()),"please select a BUG ID")</f>
        <v>https://github.com/elastic/elasticsearch/commit/16a046f686c26309ee0041df8987a4d2ffedd956</v>
      </c>
      <c r="D938" s="16" t="s">
        <v>1250</v>
      </c>
      <c r="E938" s="50"/>
      <c r="F938" s="43"/>
      <c r="G938" s="50"/>
      <c r="H938" s="43"/>
    </row>
    <row r="939">
      <c r="A939" s="16" t="s">
        <v>94</v>
      </c>
      <c r="B939" s="59" t="str">
        <f>IFERROR(HYPERLINK(VLOOKUP(A939,Internal_lists_bugs!$A$2:$C$73,3,FALSE()), VLOOKUP(A939,Internal_lists_bugs!$A$2:$C$73,3,FALSE())&amp;Char(10) &amp; Char(10) &amp; VLOOKUP(A939,Internal_lists_bugs!$A$2:$Z$73,26,FALSE())),"please select a BUG ID")</f>
        <v>
</v>
      </c>
      <c r="C939" s="39" t="str">
        <f>IFERROR(VLOOKUP(A939,Internal_lists_bugs!$A$2:$G2011,7,FALSE()),"please select a BUG ID")</f>
        <v>https://github.com/elastic/elasticsearch/commit/16a046f686c26309ee0041df8987a4d2ffedd956</v>
      </c>
      <c r="D939" s="16" t="s">
        <v>1242</v>
      </c>
      <c r="E939" s="50"/>
      <c r="F939" s="43"/>
      <c r="G939" s="50"/>
      <c r="H939" s="43"/>
    </row>
    <row r="940">
      <c r="A940" s="16" t="s">
        <v>94</v>
      </c>
      <c r="B940" s="59" t="str">
        <f>IFERROR(HYPERLINK(VLOOKUP(A940,Internal_lists_bugs!$A$2:$C$73,3,FALSE()), VLOOKUP(A940,Internal_lists_bugs!$A$2:$C$73,3,FALSE())&amp;Char(10) &amp; Char(10) &amp; VLOOKUP(A940,Internal_lists_bugs!$A$2:$Z$73,26,FALSE())),"please select a BUG ID")</f>
        <v>
</v>
      </c>
      <c r="C940" s="39" t="str">
        <f>IFERROR(VLOOKUP(A940,Internal_lists_bugs!$A$2:$G2011,7,FALSE()),"please select a BUG ID")</f>
        <v>https://github.com/elastic/elasticsearch/commit/16a046f686c26309ee0041df8987a4d2ffedd956</v>
      </c>
      <c r="D940" s="16" t="s">
        <v>1251</v>
      </c>
      <c r="E940" s="50"/>
      <c r="F940" s="43"/>
      <c r="G940" s="50"/>
      <c r="H940" s="43"/>
    </row>
    <row r="941">
      <c r="A941" s="16" t="s">
        <v>94</v>
      </c>
      <c r="B941" s="59" t="str">
        <f>IFERROR(HYPERLINK(VLOOKUP(A941,Internal_lists_bugs!$A$2:$C$73,3,FALSE()), VLOOKUP(A941,Internal_lists_bugs!$A$2:$C$73,3,FALSE())&amp;Char(10) &amp; Char(10) &amp; VLOOKUP(A941,Internal_lists_bugs!$A$2:$Z$73,26,FALSE())),"please select a BUG ID")</f>
        <v>
</v>
      </c>
      <c r="C941" s="39" t="str">
        <f>IFERROR(VLOOKUP(A941,Internal_lists_bugs!$A$2:$G2011,7,FALSE()),"please select a BUG ID")</f>
        <v>https://github.com/elastic/elasticsearch/commit/16a046f686c26309ee0041df8987a4d2ffedd956</v>
      </c>
      <c r="D941" s="16" t="s">
        <v>1252</v>
      </c>
      <c r="E941" s="50"/>
      <c r="F941" s="43"/>
      <c r="G941" s="50"/>
      <c r="H941" s="43"/>
    </row>
    <row r="942">
      <c r="A942" s="16" t="s">
        <v>94</v>
      </c>
      <c r="B942" s="59" t="str">
        <f>IFERROR(HYPERLINK(VLOOKUP(A942,Internal_lists_bugs!$A$2:$C$73,3,FALSE()), VLOOKUP(A942,Internal_lists_bugs!$A$2:$C$73,3,FALSE())&amp;Char(10) &amp; Char(10) &amp; VLOOKUP(A942,Internal_lists_bugs!$A$2:$Z$73,26,FALSE())),"please select a BUG ID")</f>
        <v>
</v>
      </c>
      <c r="C942" s="39" t="str">
        <f>IFERROR(VLOOKUP(A942,Internal_lists_bugs!$A$2:$G2011,7,FALSE()),"please select a BUG ID")</f>
        <v>https://github.com/elastic/elasticsearch/commit/16a046f686c26309ee0041df8987a4d2ffedd956</v>
      </c>
      <c r="D942" s="16" t="s">
        <v>1253</v>
      </c>
      <c r="E942" s="50"/>
      <c r="F942" s="43"/>
      <c r="G942" s="50"/>
      <c r="H942" s="43"/>
    </row>
    <row r="943">
      <c r="A943" s="16" t="s">
        <v>94</v>
      </c>
      <c r="B943" s="59" t="str">
        <f>IFERROR(HYPERLINK(VLOOKUP(A943,Internal_lists_bugs!$A$2:$C$73,3,FALSE()), VLOOKUP(A943,Internal_lists_bugs!$A$2:$C$73,3,FALSE())&amp;Char(10) &amp; Char(10) &amp; VLOOKUP(A943,Internal_lists_bugs!$A$2:$Z$73,26,FALSE())),"please select a BUG ID")</f>
        <v>
</v>
      </c>
      <c r="C943" s="39" t="str">
        <f>IFERROR(VLOOKUP(A943,Internal_lists_bugs!$A$2:$G2011,7,FALSE()),"please select a BUG ID")</f>
        <v>https://github.com/elastic/elasticsearch/commit/16a046f686c26309ee0041df8987a4d2ffedd956</v>
      </c>
      <c r="D943" s="16" t="s">
        <v>1254</v>
      </c>
      <c r="E943" s="50"/>
      <c r="F943" s="43"/>
      <c r="G943" s="50"/>
      <c r="H943" s="43"/>
    </row>
    <row r="944">
      <c r="A944" s="16" t="s">
        <v>84</v>
      </c>
      <c r="B944" s="59" t="str">
        <f>IFERROR(HYPERLINK(VLOOKUP(A944,Internal_lists_bugs!$A$2:$C$73,3,FALSE()), VLOOKUP(A944,Internal_lists_bugs!$A$2:$C$73,3,FALSE())&amp;Char(10) &amp; Char(10) &amp; VLOOKUP(A944,Internal_lists_bugs!$A$2:$Z$73,26,FALSE())),"please select a BUG ID")</f>
        <v>
</v>
      </c>
      <c r="C944" s="39" t="str">
        <f>IFERROR(VLOOKUP(A944,Internal_lists_bugs!$A$2:$G2011,7,FALSE()),"please select a BUG ID")</f>
        <v>https://github.com/elastic/elasticsearch/commit/567cf6b5c3bbc4486b0472c8abe588ab6215637c</v>
      </c>
      <c r="D944" s="16" t="s">
        <v>1242</v>
      </c>
      <c r="E944" s="50"/>
      <c r="F944" s="16" t="s">
        <v>1189</v>
      </c>
      <c r="G944" s="50"/>
      <c r="H944" s="138" t="s">
        <v>1243</v>
      </c>
    </row>
    <row r="945">
      <c r="A945" s="16" t="s">
        <v>84</v>
      </c>
      <c r="B945" s="59" t="str">
        <f>IFERROR(HYPERLINK(VLOOKUP(A945,Internal_lists_bugs!$A$2:$C$73,3,FALSE()), VLOOKUP(A945,Internal_lists_bugs!$A$2:$C$73,3,FALSE())&amp;Char(10) &amp; Char(10) &amp; VLOOKUP(A945,Internal_lists_bugs!$A$2:$Z$73,26,FALSE())),"please select a BUG ID")</f>
        <v>
</v>
      </c>
      <c r="C945" s="39" t="str">
        <f>IFERROR(VLOOKUP(A945,Internal_lists_bugs!$A$2:$G2011,7,FALSE()),"please select a BUG ID")</f>
        <v>https://github.com/elastic/elasticsearch/commit/567cf6b5c3bbc4486b0472c8abe588ab6215637c</v>
      </c>
      <c r="D945" s="16" t="s">
        <v>1244</v>
      </c>
      <c r="E945" s="50"/>
      <c r="F945" s="43"/>
      <c r="G945" s="50"/>
      <c r="H945" s="138" t="s">
        <v>1245</v>
      </c>
    </row>
    <row r="946">
      <c r="A946" s="16" t="s">
        <v>84</v>
      </c>
      <c r="B946" s="59" t="str">
        <f>IFERROR(HYPERLINK(VLOOKUP(A946,Internal_lists_bugs!$A$2:$C$73,3,FALSE()), VLOOKUP(A946,Internal_lists_bugs!$A$2:$C$73,3,FALSE())&amp;Char(10) &amp; Char(10) &amp; VLOOKUP(A946,Internal_lists_bugs!$A$2:$Z$73,26,FALSE())),"please select a BUG ID")</f>
        <v>
</v>
      </c>
      <c r="C946" s="39" t="str">
        <f>IFERROR(VLOOKUP(A946,Internal_lists_bugs!$A$2:$G2011,7,FALSE()),"please select a BUG ID")</f>
        <v>https://github.com/elastic/elasticsearch/commit/567cf6b5c3bbc4486b0472c8abe588ab6215637c</v>
      </c>
      <c r="D946" s="16" t="s">
        <v>1246</v>
      </c>
      <c r="E946" s="50"/>
      <c r="F946" s="43"/>
      <c r="G946" s="50"/>
      <c r="H946" s="138" t="s">
        <v>1247</v>
      </c>
    </row>
    <row r="947">
      <c r="A947" s="16" t="s">
        <v>84</v>
      </c>
      <c r="B947" s="59" t="str">
        <f>IFERROR(HYPERLINK(VLOOKUP(A947,Internal_lists_bugs!$A$2:$C$73,3,FALSE()), VLOOKUP(A947,Internal_lists_bugs!$A$2:$C$73,3,FALSE())&amp;Char(10) &amp; Char(10) &amp; VLOOKUP(A947,Internal_lists_bugs!$A$2:$Z$73,26,FALSE())),"please select a BUG ID")</f>
        <v>
</v>
      </c>
      <c r="C947" s="39" t="str">
        <f>IFERROR(VLOOKUP(A947,Internal_lists_bugs!$A$2:$G2011,7,FALSE()),"please select a BUG ID")</f>
        <v>https://github.com/elastic/elasticsearch/commit/567cf6b5c3bbc4486b0472c8abe588ab6215637c</v>
      </c>
      <c r="D947" s="16" t="s">
        <v>1249</v>
      </c>
      <c r="E947" s="50"/>
      <c r="F947" s="43"/>
      <c r="G947" s="50"/>
      <c r="H947" s="122" t="s">
        <v>1256</v>
      </c>
    </row>
    <row r="948">
      <c r="A948" s="16" t="s">
        <v>84</v>
      </c>
      <c r="B948" s="59" t="str">
        <f>IFERROR(HYPERLINK(VLOOKUP(A948,Internal_lists_bugs!$A$2:$C$73,3,FALSE()), VLOOKUP(A948,Internal_lists_bugs!$A$2:$C$73,3,FALSE())&amp;Char(10) &amp; Char(10) &amp; VLOOKUP(A948,Internal_lists_bugs!$A$2:$Z$73,26,FALSE())),"please select a BUG ID")</f>
        <v>
</v>
      </c>
      <c r="C948" s="39" t="str">
        <f>IFERROR(VLOOKUP(A948,Internal_lists_bugs!$A$2:$G2011,7,FALSE()),"please select a BUG ID")</f>
        <v>https://github.com/elastic/elasticsearch/commit/567cf6b5c3bbc4486b0472c8abe588ab6215637c</v>
      </c>
      <c r="D948" s="16" t="s">
        <v>1248</v>
      </c>
      <c r="E948" s="50"/>
      <c r="F948" s="43"/>
      <c r="G948" s="50"/>
      <c r="H948" s="43"/>
    </row>
    <row r="949">
      <c r="A949" s="16" t="s">
        <v>84</v>
      </c>
      <c r="B949" s="59" t="str">
        <f>IFERROR(HYPERLINK(VLOOKUP(A949,Internal_lists_bugs!$A$2:$C$73,3,FALSE()), VLOOKUP(A949,Internal_lists_bugs!$A$2:$C$73,3,FALSE())&amp;Char(10) &amp; Char(10) &amp; VLOOKUP(A949,Internal_lists_bugs!$A$2:$Z$73,26,FALSE())),"please select a BUG ID")</f>
        <v>
</v>
      </c>
      <c r="C949" s="39" t="str">
        <f>IFERROR(VLOOKUP(A949,Internal_lists_bugs!$A$2:$G2011,7,FALSE()),"please select a BUG ID")</f>
        <v>https://github.com/elastic/elasticsearch/commit/567cf6b5c3bbc4486b0472c8abe588ab6215637c</v>
      </c>
      <c r="D949" s="16" t="s">
        <v>1257</v>
      </c>
      <c r="E949" s="50"/>
      <c r="F949" s="43"/>
      <c r="G949" s="50"/>
      <c r="H949" s="43"/>
    </row>
    <row r="950">
      <c r="A950" s="16" t="s">
        <v>84</v>
      </c>
      <c r="B950" s="59" t="str">
        <f>IFERROR(HYPERLINK(VLOOKUP(A950,Internal_lists_bugs!$A$2:$C$73,3,FALSE()), VLOOKUP(A950,Internal_lists_bugs!$A$2:$C$73,3,FALSE())&amp;Char(10) &amp; Char(10) &amp; VLOOKUP(A950,Internal_lists_bugs!$A$2:$Z$73,26,FALSE())),"please select a BUG ID")</f>
        <v>
</v>
      </c>
      <c r="C950" s="39" t="str">
        <f>IFERROR(VLOOKUP(A950,Internal_lists_bugs!$A$2:$G2011,7,FALSE()),"please select a BUG ID")</f>
        <v>https://github.com/elastic/elasticsearch/commit/567cf6b5c3bbc4486b0472c8abe588ab6215637c</v>
      </c>
      <c r="D950" s="16" t="s">
        <v>1255</v>
      </c>
      <c r="E950" s="50"/>
      <c r="F950" s="43"/>
      <c r="G950" s="50"/>
      <c r="H950" s="43"/>
    </row>
    <row r="951">
      <c r="A951" s="16" t="s">
        <v>84</v>
      </c>
      <c r="B951" s="59" t="str">
        <f>IFERROR(HYPERLINK(VLOOKUP(A951,Internal_lists_bugs!$A$2:$C$73,3,FALSE()), VLOOKUP(A951,Internal_lists_bugs!$A$2:$C$73,3,FALSE())&amp;Char(10) &amp; Char(10) &amp; VLOOKUP(A951,Internal_lists_bugs!$A$2:$Z$73,26,FALSE())),"please select a BUG ID")</f>
        <v>
</v>
      </c>
      <c r="C951" s="39" t="str">
        <f>IFERROR(VLOOKUP(A951,Internal_lists_bugs!$A$2:$G2011,7,FALSE()),"please select a BUG ID")</f>
        <v>https://github.com/elastic/elasticsearch/commit/567cf6b5c3bbc4486b0472c8abe588ab6215637c</v>
      </c>
      <c r="D951" s="16" t="s">
        <v>1258</v>
      </c>
      <c r="E951" s="50"/>
      <c r="F951" s="43"/>
      <c r="G951" s="50"/>
      <c r="H951" s="43"/>
    </row>
    <row r="952">
      <c r="A952" s="16" t="s">
        <v>84</v>
      </c>
      <c r="B952" s="59" t="str">
        <f>IFERROR(HYPERLINK(VLOOKUP(A952,Internal_lists_bugs!$A$2:$C$73,3,FALSE()), VLOOKUP(A952,Internal_lists_bugs!$A$2:$C$73,3,FALSE())&amp;Char(10) &amp; Char(10) &amp; VLOOKUP(A952,Internal_lists_bugs!$A$2:$Z$73,26,FALSE())),"please select a BUG ID")</f>
        <v>
</v>
      </c>
      <c r="C952" s="39" t="str">
        <f>IFERROR(VLOOKUP(A952,Internal_lists_bugs!$A$2:$G2011,7,FALSE()),"please select a BUG ID")</f>
        <v>https://github.com/elastic/elasticsearch/commit/567cf6b5c3bbc4486b0472c8abe588ab6215637c</v>
      </c>
      <c r="D952" s="16" t="s">
        <v>1260</v>
      </c>
      <c r="E952" s="50"/>
      <c r="F952" s="43"/>
      <c r="G952" s="50"/>
      <c r="H952" s="43"/>
    </row>
    <row r="953">
      <c r="A953" s="16" t="s">
        <v>84</v>
      </c>
      <c r="B953" s="59" t="str">
        <f>IFERROR(HYPERLINK(VLOOKUP(A953,Internal_lists_bugs!$A$2:$C$73,3,FALSE()), VLOOKUP(A953,Internal_lists_bugs!$A$2:$C$73,3,FALSE())&amp;Char(10) &amp; Char(10) &amp; VLOOKUP(A953,Internal_lists_bugs!$A$2:$Z$73,26,FALSE())),"please select a BUG ID")</f>
        <v>
</v>
      </c>
      <c r="C953" s="39" t="str">
        <f>IFERROR(VLOOKUP(A953,Internal_lists_bugs!$A$2:$G2011,7,FALSE()),"please select a BUG ID")</f>
        <v>https://github.com/elastic/elasticsearch/commit/567cf6b5c3bbc4486b0472c8abe588ab6215637c</v>
      </c>
      <c r="D953" s="16" t="s">
        <v>1259</v>
      </c>
      <c r="E953" s="50"/>
      <c r="F953" s="43"/>
      <c r="G953" s="50"/>
      <c r="H953" s="43"/>
    </row>
    <row r="954">
      <c r="A954" s="16" t="s">
        <v>84</v>
      </c>
      <c r="B954" s="59" t="str">
        <f>IFERROR(HYPERLINK(VLOOKUP(A954,Internal_lists_bugs!$A$2:$C$73,3,FALSE()), VLOOKUP(A954,Internal_lists_bugs!$A$2:$C$73,3,FALSE())&amp;Char(10) &amp; Char(10) &amp; VLOOKUP(A954,Internal_lists_bugs!$A$2:$Z$73,26,FALSE())),"please select a BUG ID")</f>
        <v>
</v>
      </c>
      <c r="C954" s="39" t="str">
        <f>IFERROR(VLOOKUP(A954,Internal_lists_bugs!$A$2:$G2011,7,FALSE()),"please select a BUG ID")</f>
        <v>https://github.com/elastic/elasticsearch/commit/567cf6b5c3bbc4486b0472c8abe588ab6215637c</v>
      </c>
      <c r="D954" s="16" t="s">
        <v>1250</v>
      </c>
      <c r="E954" s="50"/>
      <c r="F954" s="43"/>
      <c r="G954" s="50"/>
      <c r="H954" s="43"/>
    </row>
    <row r="955">
      <c r="A955" s="16" t="s">
        <v>84</v>
      </c>
      <c r="B955" s="59" t="str">
        <f>IFERROR(HYPERLINK(VLOOKUP(A955,Internal_lists_bugs!$A$2:$C$73,3,FALSE()), VLOOKUP(A955,Internal_lists_bugs!$A$2:$C$73,3,FALSE())&amp;Char(10) &amp; Char(10) &amp; VLOOKUP(A955,Internal_lists_bugs!$A$2:$Z$73,26,FALSE())),"please select a BUG ID")</f>
        <v>
</v>
      </c>
      <c r="C955" s="39" t="str">
        <f>IFERROR(VLOOKUP(A955,Internal_lists_bugs!$A$2:$G2011,7,FALSE()),"please select a BUG ID")</f>
        <v>https://github.com/elastic/elasticsearch/commit/567cf6b5c3bbc4486b0472c8abe588ab6215637c</v>
      </c>
      <c r="D955" s="16" t="s">
        <v>1242</v>
      </c>
      <c r="E955" s="50"/>
      <c r="F955" s="43"/>
      <c r="G955" s="50"/>
      <c r="H955" s="43"/>
    </row>
    <row r="956">
      <c r="A956" s="16" t="s">
        <v>84</v>
      </c>
      <c r="B956" s="59" t="str">
        <f>IFERROR(HYPERLINK(VLOOKUP(A956,Internal_lists_bugs!$A$2:$C$73,3,FALSE()), VLOOKUP(A956,Internal_lists_bugs!$A$2:$C$73,3,FALSE())&amp;Char(10) &amp; Char(10) &amp; VLOOKUP(A956,Internal_lists_bugs!$A$2:$Z$73,26,FALSE())),"please select a BUG ID")</f>
        <v>
</v>
      </c>
      <c r="C956" s="39" t="str">
        <f>IFERROR(VLOOKUP(A956,Internal_lists_bugs!$A$2:$G2011,7,FALSE()),"please select a BUG ID")</f>
        <v>https://github.com/elastic/elasticsearch/commit/567cf6b5c3bbc4486b0472c8abe588ab6215637c</v>
      </c>
      <c r="D956" s="16" t="s">
        <v>1251</v>
      </c>
      <c r="E956" s="50"/>
      <c r="F956" s="43"/>
      <c r="G956" s="50"/>
      <c r="H956" s="43"/>
    </row>
    <row r="957">
      <c r="A957" s="16" t="s">
        <v>84</v>
      </c>
      <c r="B957" s="59" t="str">
        <f>IFERROR(HYPERLINK(VLOOKUP(A957,Internal_lists_bugs!$A$2:$C$73,3,FALSE()), VLOOKUP(A957,Internal_lists_bugs!$A$2:$C$73,3,FALSE())&amp;Char(10) &amp; Char(10) &amp; VLOOKUP(A957,Internal_lists_bugs!$A$2:$Z$73,26,FALSE())),"please select a BUG ID")</f>
        <v>
</v>
      </c>
      <c r="C957" s="39" t="str">
        <f>IFERROR(VLOOKUP(A957,Internal_lists_bugs!$A$2:$G2011,7,FALSE()),"please select a BUG ID")</f>
        <v>https://github.com/elastic/elasticsearch/commit/567cf6b5c3bbc4486b0472c8abe588ab6215637c</v>
      </c>
      <c r="D957" s="16" t="s">
        <v>1252</v>
      </c>
      <c r="E957" s="50"/>
      <c r="F957" s="43"/>
      <c r="G957" s="50"/>
      <c r="H957" s="43"/>
    </row>
    <row r="958">
      <c r="A958" s="16" t="s">
        <v>84</v>
      </c>
      <c r="B958" s="59" t="str">
        <f>IFERROR(HYPERLINK(VLOOKUP(A958,Internal_lists_bugs!$A$2:$C$73,3,FALSE()), VLOOKUP(A958,Internal_lists_bugs!$A$2:$C$73,3,FALSE())&amp;Char(10) &amp; Char(10) &amp; VLOOKUP(A958,Internal_lists_bugs!$A$2:$Z$73,26,FALSE())),"please select a BUG ID")</f>
        <v>
</v>
      </c>
      <c r="C958" s="39" t="str">
        <f>IFERROR(VLOOKUP(A958,Internal_lists_bugs!$A$2:$G2011,7,FALSE()),"please select a BUG ID")</f>
        <v>https://github.com/elastic/elasticsearch/commit/567cf6b5c3bbc4486b0472c8abe588ab6215637c</v>
      </c>
      <c r="D958" s="16" t="s">
        <v>1253</v>
      </c>
      <c r="E958" s="50"/>
      <c r="F958" s="43"/>
      <c r="G958" s="50"/>
      <c r="H958" s="43"/>
    </row>
    <row r="959">
      <c r="A959" s="16" t="s">
        <v>84</v>
      </c>
      <c r="B959" s="59" t="str">
        <f>IFERROR(HYPERLINK(VLOOKUP(A959,Internal_lists_bugs!$A$2:$C$73,3,FALSE()), VLOOKUP(A959,Internal_lists_bugs!$A$2:$C$73,3,FALSE())&amp;Char(10) &amp; Char(10) &amp; VLOOKUP(A959,Internal_lists_bugs!$A$2:$Z$73,26,FALSE())),"please select a BUG ID")</f>
        <v>
</v>
      </c>
      <c r="C959" s="39" t="str">
        <f>IFERROR(VLOOKUP(A959,Internal_lists_bugs!$A$2:$G2011,7,FALSE()),"please select a BUG ID")</f>
        <v>https://github.com/elastic/elasticsearch/commit/567cf6b5c3bbc4486b0472c8abe588ab6215637c</v>
      </c>
      <c r="D959" s="16" t="s">
        <v>1254</v>
      </c>
      <c r="E959" s="50"/>
      <c r="F959" s="43"/>
      <c r="G959" s="50"/>
      <c r="H959" s="43"/>
    </row>
    <row r="960">
      <c r="A960" s="16" t="s">
        <v>71</v>
      </c>
      <c r="B960" s="59" t="str">
        <f>IFERROR(HYPERLINK(VLOOKUP(A960,Internal_lists_bugs!$A$2:$C$73,3,FALSE()), VLOOKUP(A960,Internal_lists_bugs!$A$2:$C$73,3,FALSE())&amp;Char(10) &amp; Char(10) &amp; VLOOKUP(A960,Internal_lists_bugs!$A$2:$Z$73,26,FALSE())),"please select a BUG ID")</f>
        <v>
</v>
      </c>
      <c r="C960" s="39" t="str">
        <f>IFERROR(VLOOKUP(A960,Internal_lists_bugs!$A$2:$G2011,7,FALSE()),"please select a BUG ID")</f>
        <v>https://github.com/elastic/elasticsearch/commit/10660d390d760cde78fb115107c04e1cf104a4da</v>
      </c>
      <c r="D960" s="16" t="s">
        <v>1242</v>
      </c>
      <c r="E960" s="50"/>
      <c r="F960" s="16" t="s">
        <v>1189</v>
      </c>
      <c r="G960" s="50"/>
      <c r="H960" s="138" t="s">
        <v>1243</v>
      </c>
    </row>
    <row r="961">
      <c r="A961" s="16" t="s">
        <v>71</v>
      </c>
      <c r="B961" s="59" t="str">
        <f>IFERROR(HYPERLINK(VLOOKUP(A961,Internal_lists_bugs!$A$2:$C$73,3,FALSE()), VLOOKUP(A961,Internal_lists_bugs!$A$2:$C$73,3,FALSE())&amp;Char(10) &amp; Char(10) &amp; VLOOKUP(A961,Internal_lists_bugs!$A$2:$Z$73,26,FALSE())),"please select a BUG ID")</f>
        <v>
</v>
      </c>
      <c r="C961" s="39" t="str">
        <f>IFERROR(VLOOKUP(A961,Internal_lists_bugs!$A$2:$G2011,7,FALSE()),"please select a BUG ID")</f>
        <v>https://github.com/elastic/elasticsearch/commit/10660d390d760cde78fb115107c04e1cf104a4da</v>
      </c>
      <c r="D961" s="16" t="s">
        <v>1244</v>
      </c>
      <c r="E961" s="50"/>
      <c r="F961" s="43"/>
      <c r="G961" s="50"/>
      <c r="H961" s="138" t="s">
        <v>1245</v>
      </c>
    </row>
    <row r="962">
      <c r="A962" s="16" t="s">
        <v>71</v>
      </c>
      <c r="B962" s="59" t="str">
        <f>IFERROR(HYPERLINK(VLOOKUP(A962,Internal_lists_bugs!$A$2:$C$73,3,FALSE()), VLOOKUP(A962,Internal_lists_bugs!$A$2:$C$73,3,FALSE())&amp;Char(10) &amp; Char(10) &amp; VLOOKUP(A962,Internal_lists_bugs!$A$2:$Z$73,26,FALSE())),"please select a BUG ID")</f>
        <v>
</v>
      </c>
      <c r="C962" s="39" t="str">
        <f>IFERROR(VLOOKUP(A962,Internal_lists_bugs!$A$2:$G2011,7,FALSE()),"please select a BUG ID")</f>
        <v>https://github.com/elastic/elasticsearch/commit/10660d390d760cde78fb115107c04e1cf104a4da</v>
      </c>
      <c r="D962" s="16" t="s">
        <v>1246</v>
      </c>
      <c r="E962" s="50"/>
      <c r="F962" s="43"/>
      <c r="G962" s="50"/>
      <c r="H962" s="138" t="s">
        <v>1247</v>
      </c>
    </row>
    <row r="963">
      <c r="A963" s="16" t="s">
        <v>71</v>
      </c>
      <c r="B963" s="59" t="str">
        <f>IFERROR(HYPERLINK(VLOOKUP(A963,Internal_lists_bugs!$A$2:$C$73,3,FALSE()), VLOOKUP(A963,Internal_lists_bugs!$A$2:$C$73,3,FALSE())&amp;Char(10) &amp; Char(10) &amp; VLOOKUP(A963,Internal_lists_bugs!$A$2:$Z$73,26,FALSE())),"please select a BUG ID")</f>
        <v>
</v>
      </c>
      <c r="C963" s="39" t="str">
        <f>IFERROR(VLOOKUP(A963,Internal_lists_bugs!$A$2:$G2011,7,FALSE()),"please select a BUG ID")</f>
        <v>https://github.com/elastic/elasticsearch/commit/10660d390d760cde78fb115107c04e1cf104a4da</v>
      </c>
      <c r="D963" s="16" t="s">
        <v>1249</v>
      </c>
      <c r="E963" s="50"/>
      <c r="F963" s="43"/>
      <c r="G963" s="50"/>
      <c r="H963" s="122" t="s">
        <v>1256</v>
      </c>
    </row>
    <row r="964">
      <c r="A964" s="16" t="s">
        <v>71</v>
      </c>
      <c r="B964" s="59" t="str">
        <f>IFERROR(HYPERLINK(VLOOKUP(A964,Internal_lists_bugs!$A$2:$C$73,3,FALSE()), VLOOKUP(A964,Internal_lists_bugs!$A$2:$C$73,3,FALSE())&amp;Char(10) &amp; Char(10) &amp; VLOOKUP(A964,Internal_lists_bugs!$A$2:$Z$73,26,FALSE())),"please select a BUG ID")</f>
        <v>
</v>
      </c>
      <c r="C964" s="39" t="str">
        <f>IFERROR(VLOOKUP(A964,Internal_lists_bugs!$A$2:$G2011,7,FALSE()),"please select a BUG ID")</f>
        <v>https://github.com/elastic/elasticsearch/commit/10660d390d760cde78fb115107c04e1cf104a4da</v>
      </c>
      <c r="D964" s="16" t="s">
        <v>1248</v>
      </c>
      <c r="E964" s="50"/>
      <c r="F964" s="43"/>
      <c r="G964" s="50"/>
      <c r="H964" s="43"/>
    </row>
    <row r="965">
      <c r="A965" s="16" t="s">
        <v>71</v>
      </c>
      <c r="B965" s="59" t="str">
        <f>IFERROR(HYPERLINK(VLOOKUP(A965,Internal_lists_bugs!$A$2:$C$73,3,FALSE()), VLOOKUP(A965,Internal_lists_bugs!$A$2:$C$73,3,FALSE())&amp;Char(10) &amp; Char(10) &amp; VLOOKUP(A965,Internal_lists_bugs!$A$2:$Z$73,26,FALSE())),"please select a BUG ID")</f>
        <v>
</v>
      </c>
      <c r="C965" s="39" t="str">
        <f>IFERROR(VLOOKUP(A965,Internal_lists_bugs!$A$2:$G2011,7,FALSE()),"please select a BUG ID")</f>
        <v>https://github.com/elastic/elasticsearch/commit/10660d390d760cde78fb115107c04e1cf104a4da</v>
      </c>
      <c r="D965" s="16" t="s">
        <v>1257</v>
      </c>
      <c r="E965" s="50"/>
      <c r="F965" s="43"/>
      <c r="G965" s="50"/>
      <c r="H965" s="43"/>
    </row>
    <row r="966">
      <c r="A966" s="16" t="s">
        <v>71</v>
      </c>
      <c r="B966" s="59" t="str">
        <f>IFERROR(HYPERLINK(VLOOKUP(A966,Internal_lists_bugs!$A$2:$C$73,3,FALSE()), VLOOKUP(A966,Internal_lists_bugs!$A$2:$C$73,3,FALSE())&amp;Char(10) &amp; Char(10) &amp; VLOOKUP(A966,Internal_lists_bugs!$A$2:$Z$73,26,FALSE())),"please select a BUG ID")</f>
        <v>
</v>
      </c>
      <c r="C966" s="39" t="str">
        <f>IFERROR(VLOOKUP(A966,Internal_lists_bugs!$A$2:$G2011,7,FALSE()),"please select a BUG ID")</f>
        <v>https://github.com/elastic/elasticsearch/commit/10660d390d760cde78fb115107c04e1cf104a4da</v>
      </c>
      <c r="D966" s="16" t="s">
        <v>1255</v>
      </c>
      <c r="E966" s="50"/>
      <c r="F966" s="43"/>
      <c r="G966" s="50"/>
      <c r="H966" s="43"/>
    </row>
    <row r="967">
      <c r="A967" s="16" t="s">
        <v>71</v>
      </c>
      <c r="B967" s="59" t="str">
        <f>IFERROR(HYPERLINK(VLOOKUP(A967,Internal_lists_bugs!$A$2:$C$73,3,FALSE()), VLOOKUP(A967,Internal_lists_bugs!$A$2:$C$73,3,FALSE())&amp;Char(10) &amp; Char(10) &amp; VLOOKUP(A967,Internal_lists_bugs!$A$2:$Z$73,26,FALSE())),"please select a BUG ID")</f>
        <v>
</v>
      </c>
      <c r="C967" s="39" t="str">
        <f>IFERROR(VLOOKUP(A967,Internal_lists_bugs!$A$2:$G2011,7,FALSE()),"please select a BUG ID")</f>
        <v>https://github.com/elastic/elasticsearch/commit/10660d390d760cde78fb115107c04e1cf104a4da</v>
      </c>
      <c r="D967" s="16" t="s">
        <v>1258</v>
      </c>
      <c r="E967" s="50"/>
      <c r="F967" s="43"/>
      <c r="G967" s="50"/>
      <c r="H967" s="43"/>
    </row>
    <row r="968">
      <c r="A968" s="16" t="s">
        <v>71</v>
      </c>
      <c r="B968" s="59" t="str">
        <f>IFERROR(HYPERLINK(VLOOKUP(A968,Internal_lists_bugs!$A$2:$C$73,3,FALSE()), VLOOKUP(A968,Internal_lists_bugs!$A$2:$C$73,3,FALSE())&amp;Char(10) &amp; Char(10) &amp; VLOOKUP(A968,Internal_lists_bugs!$A$2:$Z$73,26,FALSE())),"please select a BUG ID")</f>
        <v>
</v>
      </c>
      <c r="C968" s="39" t="str">
        <f>IFERROR(VLOOKUP(A968,Internal_lists_bugs!$A$2:$G2011,7,FALSE()),"please select a BUG ID")</f>
        <v>https://github.com/elastic/elasticsearch/commit/10660d390d760cde78fb115107c04e1cf104a4da</v>
      </c>
      <c r="D968" s="16" t="s">
        <v>1260</v>
      </c>
      <c r="E968" s="50"/>
      <c r="F968" s="43"/>
      <c r="G968" s="50"/>
      <c r="H968" s="43"/>
    </row>
    <row r="969">
      <c r="A969" s="16" t="s">
        <v>71</v>
      </c>
      <c r="B969" s="59" t="str">
        <f>IFERROR(HYPERLINK(VLOOKUP(A969,Internal_lists_bugs!$A$2:$C$73,3,FALSE()), VLOOKUP(A969,Internal_lists_bugs!$A$2:$C$73,3,FALSE())&amp;Char(10) &amp; Char(10) &amp; VLOOKUP(A969,Internal_lists_bugs!$A$2:$Z$73,26,FALSE())),"please select a BUG ID")</f>
        <v>
</v>
      </c>
      <c r="C969" s="39" t="str">
        <f>IFERROR(VLOOKUP(A969,Internal_lists_bugs!$A$2:$G2011,7,FALSE()),"please select a BUG ID")</f>
        <v>https://github.com/elastic/elasticsearch/commit/10660d390d760cde78fb115107c04e1cf104a4da</v>
      </c>
      <c r="D969" s="16" t="s">
        <v>1259</v>
      </c>
      <c r="E969" s="50"/>
      <c r="F969" s="43"/>
      <c r="G969" s="50"/>
      <c r="H969" s="43"/>
    </row>
    <row r="970">
      <c r="A970" s="16" t="s">
        <v>71</v>
      </c>
      <c r="B970" s="59" t="str">
        <f>IFERROR(HYPERLINK(VLOOKUP(A970,Internal_lists_bugs!$A$2:$C$73,3,FALSE()), VLOOKUP(A970,Internal_lists_bugs!$A$2:$C$73,3,FALSE())&amp;Char(10) &amp; Char(10) &amp; VLOOKUP(A970,Internal_lists_bugs!$A$2:$Z$73,26,FALSE())),"please select a BUG ID")</f>
        <v>
</v>
      </c>
      <c r="C970" s="39" t="str">
        <f>IFERROR(VLOOKUP(A970,Internal_lists_bugs!$A$2:$G2011,7,FALSE()),"please select a BUG ID")</f>
        <v>https://github.com/elastic/elasticsearch/commit/10660d390d760cde78fb115107c04e1cf104a4da</v>
      </c>
      <c r="D970" s="16" t="s">
        <v>1250</v>
      </c>
      <c r="E970" s="50"/>
      <c r="F970" s="43"/>
      <c r="G970" s="50"/>
      <c r="H970" s="43"/>
    </row>
    <row r="971">
      <c r="A971" s="16" t="s">
        <v>71</v>
      </c>
      <c r="B971" s="59" t="str">
        <f>IFERROR(HYPERLINK(VLOOKUP(A971,Internal_lists_bugs!$A$2:$C$73,3,FALSE()), VLOOKUP(A971,Internal_lists_bugs!$A$2:$C$73,3,FALSE())&amp;Char(10) &amp; Char(10) &amp; VLOOKUP(A971,Internal_lists_bugs!$A$2:$Z$73,26,FALSE())),"please select a BUG ID")</f>
        <v>
</v>
      </c>
      <c r="C971" s="39" t="str">
        <f>IFERROR(VLOOKUP(A971,Internal_lists_bugs!$A$2:$G2011,7,FALSE()),"please select a BUG ID")</f>
        <v>https://github.com/elastic/elasticsearch/commit/10660d390d760cde78fb115107c04e1cf104a4da</v>
      </c>
      <c r="D971" s="16" t="s">
        <v>1242</v>
      </c>
      <c r="E971" s="50"/>
      <c r="F971" s="43"/>
      <c r="G971" s="50"/>
      <c r="H971" s="43"/>
    </row>
    <row r="972">
      <c r="A972" s="16" t="s">
        <v>71</v>
      </c>
      <c r="B972" s="59" t="str">
        <f>IFERROR(HYPERLINK(VLOOKUP(A972,Internal_lists_bugs!$A$2:$C$73,3,FALSE()), VLOOKUP(A972,Internal_lists_bugs!$A$2:$C$73,3,FALSE())&amp;Char(10) &amp; Char(10) &amp; VLOOKUP(A972,Internal_lists_bugs!$A$2:$Z$73,26,FALSE())),"please select a BUG ID")</f>
        <v>
</v>
      </c>
      <c r="C972" s="39" t="str">
        <f>IFERROR(VLOOKUP(A972,Internal_lists_bugs!$A$2:$G2011,7,FALSE()),"please select a BUG ID")</f>
        <v>https://github.com/elastic/elasticsearch/commit/10660d390d760cde78fb115107c04e1cf104a4da</v>
      </c>
      <c r="D972" s="16" t="s">
        <v>1251</v>
      </c>
      <c r="E972" s="50"/>
      <c r="F972" s="43"/>
      <c r="G972" s="50"/>
      <c r="H972" s="43"/>
    </row>
    <row r="973">
      <c r="A973" s="16" t="s">
        <v>71</v>
      </c>
      <c r="B973" s="59" t="str">
        <f>IFERROR(HYPERLINK(VLOOKUP(A973,Internal_lists_bugs!$A$2:$C$73,3,FALSE()), VLOOKUP(A973,Internal_lists_bugs!$A$2:$C$73,3,FALSE())&amp;Char(10) &amp; Char(10) &amp; VLOOKUP(A973,Internal_lists_bugs!$A$2:$Z$73,26,FALSE())),"please select a BUG ID")</f>
        <v>
</v>
      </c>
      <c r="C973" s="39" t="str">
        <f>IFERROR(VLOOKUP(A973,Internal_lists_bugs!$A$2:$G2011,7,FALSE()),"please select a BUG ID")</f>
        <v>https://github.com/elastic/elasticsearch/commit/10660d390d760cde78fb115107c04e1cf104a4da</v>
      </c>
      <c r="D973" s="16" t="s">
        <v>1252</v>
      </c>
      <c r="E973" s="50"/>
      <c r="F973" s="43"/>
      <c r="G973" s="50"/>
      <c r="H973" s="43"/>
    </row>
    <row r="974">
      <c r="A974" s="16" t="s">
        <v>71</v>
      </c>
      <c r="B974" s="59" t="str">
        <f>IFERROR(HYPERLINK(VLOOKUP(A974,Internal_lists_bugs!$A$2:$C$73,3,FALSE()), VLOOKUP(A974,Internal_lists_bugs!$A$2:$C$73,3,FALSE())&amp;Char(10) &amp; Char(10) &amp; VLOOKUP(A974,Internal_lists_bugs!$A$2:$Z$73,26,FALSE())),"please select a BUG ID")</f>
        <v>
</v>
      </c>
      <c r="C974" s="39" t="str">
        <f>IFERROR(VLOOKUP(A974,Internal_lists_bugs!$A$2:$G2011,7,FALSE()),"please select a BUG ID")</f>
        <v>https://github.com/elastic/elasticsearch/commit/10660d390d760cde78fb115107c04e1cf104a4da</v>
      </c>
      <c r="D974" s="16" t="s">
        <v>1253</v>
      </c>
      <c r="E974" s="50"/>
      <c r="F974" s="43"/>
      <c r="G974" s="50"/>
      <c r="H974" s="43"/>
    </row>
    <row r="975">
      <c r="A975" s="16" t="s">
        <v>71</v>
      </c>
      <c r="B975" s="59" t="str">
        <f>IFERROR(HYPERLINK(VLOOKUP(A975,Internal_lists_bugs!$A$2:$C$73,3,FALSE()), VLOOKUP(A975,Internal_lists_bugs!$A$2:$C$73,3,FALSE())&amp;Char(10) &amp; Char(10) &amp; VLOOKUP(A975,Internal_lists_bugs!$A$2:$Z$73,26,FALSE())),"please select a BUG ID")</f>
        <v>
</v>
      </c>
      <c r="C975" s="39" t="str">
        <f>IFERROR(VLOOKUP(A975,Internal_lists_bugs!$A$2:$G2011,7,FALSE()),"please select a BUG ID")</f>
        <v>https://github.com/elastic/elasticsearch/commit/10660d390d760cde78fb115107c04e1cf104a4da</v>
      </c>
      <c r="D975" s="16" t="s">
        <v>1254</v>
      </c>
      <c r="E975" s="50"/>
      <c r="F975" s="43"/>
      <c r="G975" s="50"/>
      <c r="H975" s="43"/>
    </row>
    <row r="976">
      <c r="A976" s="16" t="s">
        <v>88</v>
      </c>
      <c r="B976" s="59" t="str">
        <f>IFERROR(HYPERLINK(VLOOKUP(A976,Internal_lists_bugs!$A$2:$C$73,3,FALSE()), VLOOKUP(A976,Internal_lists_bugs!$A$2:$C$73,3,FALSE())&amp;Char(10) &amp; Char(10) &amp; VLOOKUP(A976,Internal_lists_bugs!$A$2:$Z$73,26,FALSE())),"please select a BUG ID")</f>
        <v>
</v>
      </c>
      <c r="C976" s="39" t="str">
        <f>IFERROR(VLOOKUP(A976,Internal_lists_bugs!$A$2:$G2011,7,FALSE()),"please select a BUG ID")</f>
        <v>https://github.com/elastic/elasticsearch/commit/1f30681a84fcafe9cf6e6b8a2801ea1791b9edc0</v>
      </c>
      <c r="D976" s="16" t="s">
        <v>1242</v>
      </c>
      <c r="E976" s="50"/>
      <c r="F976" s="16" t="s">
        <v>1189</v>
      </c>
      <c r="G976" s="50"/>
      <c r="H976" s="138" t="s">
        <v>1243</v>
      </c>
    </row>
    <row r="977">
      <c r="A977" s="16" t="s">
        <v>88</v>
      </c>
      <c r="B977" s="59" t="str">
        <f>IFERROR(HYPERLINK(VLOOKUP(A977,Internal_lists_bugs!$A$2:$C$73,3,FALSE()), VLOOKUP(A977,Internal_lists_bugs!$A$2:$C$73,3,FALSE())&amp;Char(10) &amp; Char(10) &amp; VLOOKUP(A977,Internal_lists_bugs!$A$2:$Z$73,26,FALSE())),"please select a BUG ID")</f>
        <v>
</v>
      </c>
      <c r="C977" s="39" t="str">
        <f>IFERROR(VLOOKUP(A977,Internal_lists_bugs!$A$2:$G2011,7,FALSE()),"please select a BUG ID")</f>
        <v>https://github.com/elastic/elasticsearch/commit/1f30681a84fcafe9cf6e6b8a2801ea1791b9edc0</v>
      </c>
      <c r="D977" s="16" t="s">
        <v>1244</v>
      </c>
      <c r="E977" s="50"/>
      <c r="F977" s="43"/>
      <c r="G977" s="50"/>
      <c r="H977" s="138" t="s">
        <v>1245</v>
      </c>
    </row>
    <row r="978">
      <c r="A978" s="16" t="s">
        <v>88</v>
      </c>
      <c r="B978" s="59" t="str">
        <f>IFERROR(HYPERLINK(VLOOKUP(A978,Internal_lists_bugs!$A$2:$C$73,3,FALSE()), VLOOKUP(A978,Internal_lists_bugs!$A$2:$C$73,3,FALSE())&amp;Char(10) &amp; Char(10) &amp; VLOOKUP(A978,Internal_lists_bugs!$A$2:$Z$73,26,FALSE())),"please select a BUG ID")</f>
        <v>
</v>
      </c>
      <c r="C978" s="39" t="str">
        <f>IFERROR(VLOOKUP(A978,Internal_lists_bugs!$A$2:$G2011,7,FALSE()),"please select a BUG ID")</f>
        <v>https://github.com/elastic/elasticsearch/commit/1f30681a84fcafe9cf6e6b8a2801ea1791b9edc0</v>
      </c>
      <c r="D978" s="16" t="s">
        <v>1246</v>
      </c>
      <c r="E978" s="50"/>
      <c r="F978" s="43"/>
      <c r="G978" s="50"/>
      <c r="H978" s="138" t="s">
        <v>1247</v>
      </c>
    </row>
    <row r="979">
      <c r="A979" s="16" t="s">
        <v>88</v>
      </c>
      <c r="B979" s="59" t="str">
        <f>IFERROR(HYPERLINK(VLOOKUP(A979,Internal_lists_bugs!$A$2:$C$73,3,FALSE()), VLOOKUP(A979,Internal_lists_bugs!$A$2:$C$73,3,FALSE())&amp;Char(10) &amp; Char(10) &amp; VLOOKUP(A979,Internal_lists_bugs!$A$2:$Z$73,26,FALSE())),"please select a BUG ID")</f>
        <v>
</v>
      </c>
      <c r="C979" s="39" t="str">
        <f>IFERROR(VLOOKUP(A979,Internal_lists_bugs!$A$2:$G2011,7,FALSE()),"please select a BUG ID")</f>
        <v>https://github.com/elastic/elasticsearch/commit/1f30681a84fcafe9cf6e6b8a2801ea1791b9edc0</v>
      </c>
      <c r="D979" s="16" t="s">
        <v>1249</v>
      </c>
      <c r="E979" s="50"/>
      <c r="F979" s="43"/>
      <c r="G979" s="50"/>
      <c r="H979" s="122" t="s">
        <v>1256</v>
      </c>
    </row>
    <row r="980">
      <c r="A980" s="16" t="s">
        <v>88</v>
      </c>
      <c r="B980" s="59" t="str">
        <f>IFERROR(HYPERLINK(VLOOKUP(A980,Internal_lists_bugs!$A$2:$C$73,3,FALSE()), VLOOKUP(A980,Internal_lists_bugs!$A$2:$C$73,3,FALSE())&amp;Char(10) &amp; Char(10) &amp; VLOOKUP(A980,Internal_lists_bugs!$A$2:$Z$73,26,FALSE())),"please select a BUG ID")</f>
        <v>
</v>
      </c>
      <c r="C980" s="39" t="str">
        <f>IFERROR(VLOOKUP(A980,Internal_lists_bugs!$A$2:$G2011,7,FALSE()),"please select a BUG ID")</f>
        <v>https://github.com/elastic/elasticsearch/commit/1f30681a84fcafe9cf6e6b8a2801ea1791b9edc0</v>
      </c>
      <c r="D980" s="16" t="s">
        <v>1248</v>
      </c>
      <c r="E980" s="50"/>
      <c r="F980" s="43"/>
      <c r="G980" s="50"/>
      <c r="H980" s="43"/>
    </row>
    <row r="981">
      <c r="A981" s="16" t="s">
        <v>88</v>
      </c>
      <c r="B981" s="59" t="str">
        <f>IFERROR(HYPERLINK(VLOOKUP(A981,Internal_lists_bugs!$A$2:$C$73,3,FALSE()), VLOOKUP(A981,Internal_lists_bugs!$A$2:$C$73,3,FALSE())&amp;Char(10) &amp; Char(10) &amp; VLOOKUP(A981,Internal_lists_bugs!$A$2:$Z$73,26,FALSE())),"please select a BUG ID")</f>
        <v>
</v>
      </c>
      <c r="C981" s="39" t="str">
        <f>IFERROR(VLOOKUP(A981,Internal_lists_bugs!$A$2:$G2011,7,FALSE()),"please select a BUG ID")</f>
        <v>https://github.com/elastic/elasticsearch/commit/1f30681a84fcafe9cf6e6b8a2801ea1791b9edc0</v>
      </c>
      <c r="D981" s="16" t="s">
        <v>1257</v>
      </c>
      <c r="E981" s="50"/>
      <c r="F981" s="43"/>
      <c r="G981" s="50"/>
      <c r="H981" s="43"/>
    </row>
    <row r="982">
      <c r="A982" s="16" t="s">
        <v>88</v>
      </c>
      <c r="B982" s="59" t="str">
        <f>IFERROR(HYPERLINK(VLOOKUP(A982,Internal_lists_bugs!$A$2:$C$73,3,FALSE()), VLOOKUP(A982,Internal_lists_bugs!$A$2:$C$73,3,FALSE())&amp;Char(10) &amp; Char(10) &amp; VLOOKUP(A982,Internal_lists_bugs!$A$2:$Z$73,26,FALSE())),"please select a BUG ID")</f>
        <v>
</v>
      </c>
      <c r="C982" s="39" t="str">
        <f>IFERROR(VLOOKUP(A982,Internal_lists_bugs!$A$2:$G2011,7,FALSE()),"please select a BUG ID")</f>
        <v>https://github.com/elastic/elasticsearch/commit/1f30681a84fcafe9cf6e6b8a2801ea1791b9edc0</v>
      </c>
      <c r="D982" s="16" t="s">
        <v>1255</v>
      </c>
      <c r="E982" s="50"/>
      <c r="F982" s="43"/>
      <c r="G982" s="50"/>
      <c r="H982" s="43"/>
    </row>
    <row r="983">
      <c r="A983" s="16" t="s">
        <v>88</v>
      </c>
      <c r="B983" s="59" t="str">
        <f>IFERROR(HYPERLINK(VLOOKUP(A983,Internal_lists_bugs!$A$2:$C$73,3,FALSE()), VLOOKUP(A983,Internal_lists_bugs!$A$2:$C$73,3,FALSE())&amp;Char(10) &amp; Char(10) &amp; VLOOKUP(A983,Internal_lists_bugs!$A$2:$Z$73,26,FALSE())),"please select a BUG ID")</f>
        <v>
</v>
      </c>
      <c r="C983" s="39" t="str">
        <f>IFERROR(VLOOKUP(A983,Internal_lists_bugs!$A$2:$G2011,7,FALSE()),"please select a BUG ID")</f>
        <v>https://github.com/elastic/elasticsearch/commit/1f30681a84fcafe9cf6e6b8a2801ea1791b9edc0</v>
      </c>
      <c r="D983" s="16" t="s">
        <v>1258</v>
      </c>
      <c r="E983" s="50"/>
      <c r="F983" s="43"/>
      <c r="G983" s="50"/>
      <c r="H983" s="43"/>
    </row>
    <row r="984">
      <c r="A984" s="16" t="s">
        <v>88</v>
      </c>
      <c r="B984" s="59" t="str">
        <f>IFERROR(HYPERLINK(VLOOKUP(A984,Internal_lists_bugs!$A$2:$C$73,3,FALSE()), VLOOKUP(A984,Internal_lists_bugs!$A$2:$C$73,3,FALSE())&amp;Char(10) &amp; Char(10) &amp; VLOOKUP(A984,Internal_lists_bugs!$A$2:$Z$73,26,FALSE())),"please select a BUG ID")</f>
        <v>
</v>
      </c>
      <c r="C984" s="39" t="str">
        <f>IFERROR(VLOOKUP(A984,Internal_lists_bugs!$A$2:$G2011,7,FALSE()),"please select a BUG ID")</f>
        <v>https://github.com/elastic/elasticsearch/commit/1f30681a84fcafe9cf6e6b8a2801ea1791b9edc0</v>
      </c>
      <c r="D984" s="16" t="s">
        <v>1260</v>
      </c>
      <c r="E984" s="50"/>
      <c r="F984" s="43"/>
      <c r="G984" s="50"/>
      <c r="H984" s="43"/>
    </row>
    <row r="985">
      <c r="A985" s="16" t="s">
        <v>88</v>
      </c>
      <c r="B985" s="59" t="str">
        <f>IFERROR(HYPERLINK(VLOOKUP(A985,Internal_lists_bugs!$A$2:$C$73,3,FALSE()), VLOOKUP(A985,Internal_lists_bugs!$A$2:$C$73,3,FALSE())&amp;Char(10) &amp; Char(10) &amp; VLOOKUP(A985,Internal_lists_bugs!$A$2:$Z$73,26,FALSE())),"please select a BUG ID")</f>
        <v>
</v>
      </c>
      <c r="C985" s="39" t="str">
        <f>IFERROR(VLOOKUP(A985,Internal_lists_bugs!$A$2:$G2011,7,FALSE()),"please select a BUG ID")</f>
        <v>https://github.com/elastic/elasticsearch/commit/1f30681a84fcafe9cf6e6b8a2801ea1791b9edc0</v>
      </c>
      <c r="D985" s="16" t="s">
        <v>1259</v>
      </c>
      <c r="E985" s="50"/>
      <c r="F985" s="43"/>
      <c r="G985" s="50"/>
      <c r="H985" s="43"/>
    </row>
    <row r="986">
      <c r="A986" s="16" t="s">
        <v>88</v>
      </c>
      <c r="B986" s="59" t="str">
        <f>IFERROR(HYPERLINK(VLOOKUP(A986,Internal_lists_bugs!$A$2:$C$73,3,FALSE()), VLOOKUP(A986,Internal_lists_bugs!$A$2:$C$73,3,FALSE())&amp;Char(10) &amp; Char(10) &amp; VLOOKUP(A986,Internal_lists_bugs!$A$2:$Z$73,26,FALSE())),"please select a BUG ID")</f>
        <v>
</v>
      </c>
      <c r="C986" s="39" t="str">
        <f>IFERROR(VLOOKUP(A986,Internal_lists_bugs!$A$2:$G2011,7,FALSE()),"please select a BUG ID")</f>
        <v>https://github.com/elastic/elasticsearch/commit/1f30681a84fcafe9cf6e6b8a2801ea1791b9edc0</v>
      </c>
      <c r="D986" s="16" t="s">
        <v>1250</v>
      </c>
      <c r="E986" s="50"/>
      <c r="F986" s="43"/>
      <c r="G986" s="50"/>
      <c r="H986" s="43"/>
    </row>
    <row r="987">
      <c r="A987" s="16" t="s">
        <v>88</v>
      </c>
      <c r="B987" s="59" t="str">
        <f>IFERROR(HYPERLINK(VLOOKUP(A987,Internal_lists_bugs!$A$2:$C$73,3,FALSE()), VLOOKUP(A987,Internal_lists_bugs!$A$2:$C$73,3,FALSE())&amp;Char(10) &amp; Char(10) &amp; VLOOKUP(A987,Internal_lists_bugs!$A$2:$Z$73,26,FALSE())),"please select a BUG ID")</f>
        <v>
</v>
      </c>
      <c r="C987" s="39" t="str">
        <f>IFERROR(VLOOKUP(A987,Internal_lists_bugs!$A$2:$G2011,7,FALSE()),"please select a BUG ID")</f>
        <v>https://github.com/elastic/elasticsearch/commit/1f30681a84fcafe9cf6e6b8a2801ea1791b9edc0</v>
      </c>
      <c r="D987" s="16" t="s">
        <v>1242</v>
      </c>
      <c r="E987" s="50"/>
      <c r="F987" s="43"/>
      <c r="G987" s="50"/>
      <c r="H987" s="43"/>
    </row>
    <row r="988">
      <c r="A988" s="16" t="s">
        <v>88</v>
      </c>
      <c r="B988" s="59" t="str">
        <f>IFERROR(HYPERLINK(VLOOKUP(A988,Internal_lists_bugs!$A$2:$C$73,3,FALSE()), VLOOKUP(A988,Internal_lists_bugs!$A$2:$C$73,3,FALSE())&amp;Char(10) &amp; Char(10) &amp; VLOOKUP(A988,Internal_lists_bugs!$A$2:$Z$73,26,FALSE())),"please select a BUG ID")</f>
        <v>
</v>
      </c>
      <c r="C988" s="39" t="str">
        <f>IFERROR(VLOOKUP(A988,Internal_lists_bugs!$A$2:$G2011,7,FALSE()),"please select a BUG ID")</f>
        <v>https://github.com/elastic/elasticsearch/commit/1f30681a84fcafe9cf6e6b8a2801ea1791b9edc0</v>
      </c>
      <c r="D988" s="16" t="s">
        <v>1251</v>
      </c>
      <c r="E988" s="50"/>
      <c r="F988" s="43"/>
      <c r="G988" s="50"/>
      <c r="H988" s="43"/>
    </row>
    <row r="989">
      <c r="A989" s="16" t="s">
        <v>88</v>
      </c>
      <c r="B989" s="59" t="str">
        <f>IFERROR(HYPERLINK(VLOOKUP(A989,Internal_lists_bugs!$A$2:$C$73,3,FALSE()), VLOOKUP(A989,Internal_lists_bugs!$A$2:$C$73,3,FALSE())&amp;Char(10) &amp; Char(10) &amp; VLOOKUP(A989,Internal_lists_bugs!$A$2:$Z$73,26,FALSE())),"please select a BUG ID")</f>
        <v>
</v>
      </c>
      <c r="C989" s="39" t="str">
        <f>IFERROR(VLOOKUP(A989,Internal_lists_bugs!$A$2:$G2011,7,FALSE()),"please select a BUG ID")</f>
        <v>https://github.com/elastic/elasticsearch/commit/1f30681a84fcafe9cf6e6b8a2801ea1791b9edc0</v>
      </c>
      <c r="D989" s="16" t="s">
        <v>1252</v>
      </c>
      <c r="E989" s="50"/>
      <c r="F989" s="43"/>
      <c r="G989" s="50"/>
      <c r="H989" s="43"/>
    </row>
    <row r="990">
      <c r="A990" s="16" t="s">
        <v>88</v>
      </c>
      <c r="B990" s="59" t="str">
        <f>IFERROR(HYPERLINK(VLOOKUP(A990,Internal_lists_bugs!$A$2:$C$73,3,FALSE()), VLOOKUP(A990,Internal_lists_bugs!$A$2:$C$73,3,FALSE())&amp;Char(10) &amp; Char(10) &amp; VLOOKUP(A990,Internal_lists_bugs!$A$2:$Z$73,26,FALSE())),"please select a BUG ID")</f>
        <v>
</v>
      </c>
      <c r="C990" s="39" t="str">
        <f>IFERROR(VLOOKUP(A990,Internal_lists_bugs!$A$2:$G2011,7,FALSE()),"please select a BUG ID")</f>
        <v>https://github.com/elastic/elasticsearch/commit/1f30681a84fcafe9cf6e6b8a2801ea1791b9edc0</v>
      </c>
      <c r="D990" s="16" t="s">
        <v>1253</v>
      </c>
      <c r="E990" s="50"/>
      <c r="F990" s="43"/>
      <c r="G990" s="50"/>
      <c r="H990" s="43"/>
    </row>
    <row r="991">
      <c r="A991" s="16" t="s">
        <v>88</v>
      </c>
      <c r="B991" s="59" t="str">
        <f>IFERROR(HYPERLINK(VLOOKUP(A991,Internal_lists_bugs!$A$2:$C$73,3,FALSE()), VLOOKUP(A991,Internal_lists_bugs!$A$2:$C$73,3,FALSE())&amp;Char(10) &amp; Char(10) &amp; VLOOKUP(A991,Internal_lists_bugs!$A$2:$Z$73,26,FALSE())),"please select a BUG ID")</f>
        <v>
</v>
      </c>
      <c r="C991" s="39" t="str">
        <f>IFERROR(VLOOKUP(A991,Internal_lists_bugs!$A$2:$G2011,7,FALSE()),"please select a BUG ID")</f>
        <v>https://github.com/elastic/elasticsearch/commit/1f30681a84fcafe9cf6e6b8a2801ea1791b9edc0</v>
      </c>
      <c r="D991" s="16" t="s">
        <v>1254</v>
      </c>
      <c r="E991" s="50"/>
      <c r="F991" s="43"/>
      <c r="G991" s="50"/>
      <c r="H991" s="43"/>
    </row>
    <row r="992">
      <c r="A992" s="16" t="s">
        <v>91</v>
      </c>
      <c r="B992" s="59" t="str">
        <f>IFERROR(HYPERLINK(VLOOKUP(A992,Internal_lists_bugs!$A$2:$C$73,3,FALSE()), VLOOKUP(A992,Internal_lists_bugs!$A$2:$C$73,3,FALSE())&amp;Char(10) &amp; Char(10) &amp; VLOOKUP(A992,Internal_lists_bugs!$A$2:$Z$73,26,FALSE())),"please select a BUG ID")</f>
        <v>
</v>
      </c>
      <c r="C992" s="39" t="str">
        <f>IFERROR(VLOOKUP(A992,Internal_lists_bugs!$A$2:$G2011,7,FALSE()),"please select a BUG ID")</f>
        <v>https://github.com/elastic/elasticsearch/commit/4088236cf75b793c7a2a80f5f7be5b326b607378</v>
      </c>
      <c r="D992" s="16" t="s">
        <v>1261</v>
      </c>
      <c r="E992" s="50"/>
      <c r="F992" s="16" t="s">
        <v>1189</v>
      </c>
      <c r="G992" s="50"/>
      <c r="H992" s="122" t="s">
        <v>1262</v>
      </c>
    </row>
    <row r="993">
      <c r="A993" s="16" t="s">
        <v>73</v>
      </c>
      <c r="B993" s="59" t="str">
        <f>IFERROR(HYPERLINK(VLOOKUP(A993,Internal_lists_bugs!$A$2:$C$73,3,FALSE()), VLOOKUP(A993,Internal_lists_bugs!$A$2:$C$73,3,FALSE())&amp;Char(10) &amp; Char(10) &amp; VLOOKUP(A993,Internal_lists_bugs!$A$2:$Z$73,26,FALSE())),"please select a BUG ID")</f>
        <v>
</v>
      </c>
      <c r="C993" s="39" t="str">
        <f>IFERROR(VLOOKUP(A993,Internal_lists_bugs!$A$2:$G2011,7,FALSE()),"please select a BUG ID")</f>
        <v>https://github.com/elastic/elasticsearch/commit/4f5e62e9882b36271280ad4e47e61aba2d7669f1</v>
      </c>
      <c r="D993" s="16" t="s">
        <v>1258</v>
      </c>
      <c r="E993" s="50"/>
      <c r="F993" s="16" t="s">
        <v>1189</v>
      </c>
      <c r="G993" s="50"/>
      <c r="H993" s="138" t="s">
        <v>1245</v>
      </c>
    </row>
    <row r="994">
      <c r="A994" s="16" t="s">
        <v>73</v>
      </c>
      <c r="B994" s="59" t="str">
        <f>IFERROR(HYPERLINK(VLOOKUP(A994,Internal_lists_bugs!$A$2:$C$73,3,FALSE()), VLOOKUP(A994,Internal_lists_bugs!$A$2:$C$73,3,FALSE())&amp;Char(10) &amp; Char(10) &amp; VLOOKUP(A994,Internal_lists_bugs!$A$2:$Z$73,26,FALSE())),"please select a BUG ID")</f>
        <v>
</v>
      </c>
      <c r="C994" s="39" t="str">
        <f>IFERROR(VLOOKUP(A994,Internal_lists_bugs!$A$2:$G2011,7,FALSE()),"please select a BUG ID")</f>
        <v>https://github.com/elastic/elasticsearch/commit/4f5e62e9882b36271280ad4e47e61aba2d7669f1</v>
      </c>
      <c r="D994" s="16" t="s">
        <v>1255</v>
      </c>
      <c r="E994" s="50"/>
      <c r="F994" s="43"/>
      <c r="G994" s="50"/>
      <c r="H994" s="122" t="s">
        <v>1263</v>
      </c>
    </row>
    <row r="995">
      <c r="A995" s="16" t="s">
        <v>73</v>
      </c>
      <c r="B995" s="59" t="str">
        <f>IFERROR(HYPERLINK(VLOOKUP(A995,Internal_lists_bugs!$A$2:$C$73,3,FALSE()), VLOOKUP(A995,Internal_lists_bugs!$A$2:$C$73,3,FALSE())&amp;Char(10) &amp; Char(10) &amp; VLOOKUP(A995,Internal_lists_bugs!$A$2:$Z$73,26,FALSE())),"please select a BUG ID")</f>
        <v>
</v>
      </c>
      <c r="C995" s="39" t="str">
        <f>IFERROR(VLOOKUP(A995,Internal_lists_bugs!$A$2:$G2011,7,FALSE()),"please select a BUG ID")</f>
        <v>https://github.com/elastic/elasticsearch/commit/4f5e62e9882b36271280ad4e47e61aba2d7669f1</v>
      </c>
      <c r="D995" s="16" t="s">
        <v>1264</v>
      </c>
      <c r="E995" s="50"/>
      <c r="F995" s="43"/>
      <c r="G995" s="50"/>
      <c r="H995" s="122" t="s">
        <v>1265</v>
      </c>
    </row>
    <row r="996">
      <c r="A996" s="16" t="s">
        <v>73</v>
      </c>
      <c r="B996" s="59" t="str">
        <f>IFERROR(HYPERLINK(VLOOKUP(A996,Internal_lists_bugs!$A$2:$C$73,3,FALSE()), VLOOKUP(A996,Internal_lists_bugs!$A$2:$C$73,3,FALSE())&amp;Char(10) &amp; Char(10) &amp; VLOOKUP(A996,Internal_lists_bugs!$A$2:$Z$73,26,FALSE())),"please select a BUG ID")</f>
        <v>
</v>
      </c>
      <c r="C996" s="39" t="str">
        <f>IFERROR(VLOOKUP(A996,Internal_lists_bugs!$A$2:$G2011,7,FALSE()),"please select a BUG ID")</f>
        <v>https://github.com/elastic/elasticsearch/commit/4f5e62e9882b36271280ad4e47e61aba2d7669f1</v>
      </c>
      <c r="D996" s="16" t="s">
        <v>1253</v>
      </c>
      <c r="E996" s="50"/>
      <c r="F996" s="43"/>
      <c r="G996" s="50"/>
      <c r="H996" s="16" t="s">
        <v>1266</v>
      </c>
    </row>
    <row r="997">
      <c r="A997" s="16" t="s">
        <v>73</v>
      </c>
      <c r="B997" s="59" t="str">
        <f>IFERROR(HYPERLINK(VLOOKUP(A997,Internal_lists_bugs!$A$2:$C$73,3,FALSE()), VLOOKUP(A997,Internal_lists_bugs!$A$2:$C$73,3,FALSE())&amp;Char(10) &amp; Char(10) &amp; VLOOKUP(A997,Internal_lists_bugs!$A$2:$Z$73,26,FALSE())),"please select a BUG ID")</f>
        <v>
</v>
      </c>
      <c r="C997" s="39" t="str">
        <f>IFERROR(VLOOKUP(A997,Internal_lists_bugs!$A$2:$G2011,7,FALSE()),"please select a BUG ID")</f>
        <v>https://github.com/elastic/elasticsearch/commit/4f5e62e9882b36271280ad4e47e61aba2d7669f1</v>
      </c>
      <c r="D997" s="16" t="s">
        <v>1242</v>
      </c>
      <c r="E997" s="50"/>
      <c r="F997" s="43"/>
      <c r="G997" s="50"/>
      <c r="H997" s="16" t="s">
        <v>1267</v>
      </c>
    </row>
    <row r="998">
      <c r="A998" s="16" t="s">
        <v>73</v>
      </c>
      <c r="B998" s="59" t="str">
        <f>IFERROR(HYPERLINK(VLOOKUP(A998,Internal_lists_bugs!$A$2:$C$73,3,FALSE()), VLOOKUP(A998,Internal_lists_bugs!$A$2:$C$73,3,FALSE())&amp;Char(10) &amp; Char(10) &amp; VLOOKUP(A998,Internal_lists_bugs!$A$2:$Z$73,26,FALSE())),"please select a BUG ID")</f>
        <v>
</v>
      </c>
      <c r="C998" s="39" t="str">
        <f>IFERROR(VLOOKUP(A998,Internal_lists_bugs!$A$2:$G2011,7,FALSE()),"please select a BUG ID")</f>
        <v>https://github.com/elastic/elasticsearch/commit/4f5e62e9882b36271280ad4e47e61aba2d7669f1</v>
      </c>
      <c r="D998" s="16" t="s">
        <v>1254</v>
      </c>
      <c r="E998" s="50"/>
      <c r="F998" s="43"/>
      <c r="G998" s="50"/>
      <c r="H998" s="43"/>
    </row>
    <row r="999">
      <c r="A999" s="16" t="s">
        <v>73</v>
      </c>
      <c r="B999" s="59" t="str">
        <f>IFERROR(HYPERLINK(VLOOKUP(A999,Internal_lists_bugs!$A$2:$C$73,3,FALSE()), VLOOKUP(A999,Internal_lists_bugs!$A$2:$C$73,3,FALSE())&amp;Char(10) &amp; Char(10) &amp; VLOOKUP(A999,Internal_lists_bugs!$A$2:$Z$73,26,FALSE())),"please select a BUG ID")</f>
        <v>
</v>
      </c>
      <c r="C999" s="39" t="str">
        <f>IFERROR(VLOOKUP(A999,Internal_lists_bugs!$A$2:$G2011,7,FALSE()),"please select a BUG ID")</f>
        <v>https://github.com/elastic/elasticsearch/commit/4f5e62e9882b36271280ad4e47e61aba2d7669f1</v>
      </c>
      <c r="D999" s="16" t="s">
        <v>1250</v>
      </c>
      <c r="E999" s="50"/>
      <c r="F999" s="43"/>
      <c r="G999" s="50"/>
      <c r="H999" s="43"/>
    </row>
    <row r="1000">
      <c r="A1000" s="16" t="s">
        <v>73</v>
      </c>
      <c r="B1000" s="59" t="str">
        <f>IFERROR(HYPERLINK(VLOOKUP(A1000,Internal_lists_bugs!$A$2:$C$73,3,FALSE()), VLOOKUP(A1000,Internal_lists_bugs!$A$2:$C$73,3,FALSE())&amp;Char(10) &amp; Char(10) &amp; VLOOKUP(A1000,Internal_lists_bugs!$A$2:$Z$73,26,FALSE())),"please select a BUG ID")</f>
        <v>
</v>
      </c>
      <c r="C1000" s="39" t="str">
        <f>IFERROR(VLOOKUP(A1000,Internal_lists_bugs!$A$2:$G2011,7,FALSE()),"please select a BUG ID")</f>
        <v>https://github.com/elastic/elasticsearch/commit/4f5e62e9882b36271280ad4e47e61aba2d7669f1</v>
      </c>
      <c r="D1000" s="16" t="s">
        <v>1268</v>
      </c>
      <c r="E1000" s="50"/>
      <c r="F1000" s="43"/>
      <c r="G1000" s="50"/>
      <c r="H1000" s="43"/>
    </row>
    <row r="1001">
      <c r="A1001" s="16" t="s">
        <v>73</v>
      </c>
      <c r="B1001" s="59" t="str">
        <f>IFERROR(HYPERLINK(VLOOKUP(A1001,Internal_lists_bugs!$A$2:$C$73,3,FALSE()), VLOOKUP(A1001,Internal_lists_bugs!$A$2:$C$73,3,FALSE())&amp;Char(10) &amp; Char(10) &amp; VLOOKUP(A1001,Internal_lists_bugs!$A$2:$Z$73,26,FALSE())),"please select a BUG ID")</f>
        <v>
</v>
      </c>
      <c r="C1001" s="39" t="str">
        <f>IFERROR(VLOOKUP(A1001,Internal_lists_bugs!$A$2:$G2011,7,FALSE()),"please select a BUG ID")</f>
        <v>https://github.com/elastic/elasticsearch/commit/4f5e62e9882b36271280ad4e47e61aba2d7669f1</v>
      </c>
      <c r="D1001" s="16" t="s">
        <v>1269</v>
      </c>
      <c r="E1001" s="50"/>
      <c r="F1001" s="43"/>
      <c r="G1001" s="50"/>
      <c r="H1001" s="43"/>
    </row>
    <row r="1002">
      <c r="A1002" s="16" t="s">
        <v>96</v>
      </c>
      <c r="B1002" s="59" t="str">
        <f>IFERROR(HYPERLINK(VLOOKUP(A1002,Internal_lists_bugs!$A$2:$C$73,3,FALSE()), VLOOKUP(A1002,Internal_lists_bugs!$A$2:$C$73,3,FALSE())&amp;Char(10) &amp; Char(10) &amp; VLOOKUP(A1002,Internal_lists_bugs!$A$2:$Z$73,26,FALSE())),"please select a BUG ID")</f>
        <v>
</v>
      </c>
      <c r="C1002" s="39" t="str">
        <f>IFERROR(VLOOKUP(A1002,Internal_lists_bugs!$A$2:$G2011,7,FALSE()),"please select a BUG ID")</f>
        <v>https://github.com/elastic/elasticsearch/commit/22722840d4331a83fcfdd8edea22d372feba16ab</v>
      </c>
      <c r="D1002" s="16" t="s">
        <v>1261</v>
      </c>
      <c r="E1002" s="50"/>
      <c r="F1002" s="16" t="s">
        <v>1174</v>
      </c>
      <c r="G1002" s="50"/>
      <c r="H1002" s="122" t="s">
        <v>1262</v>
      </c>
    </row>
    <row r="1003">
      <c r="A1003" s="16" t="s">
        <v>96</v>
      </c>
      <c r="B1003" s="59" t="str">
        <f>IFERROR(HYPERLINK(VLOOKUP(A1003,Internal_lists_bugs!$A$2:$C$73,3,FALSE()), VLOOKUP(A1003,Internal_lists_bugs!$A$2:$C$73,3,FALSE())&amp;Char(10) &amp; Char(10) &amp; VLOOKUP(A1003,Internal_lists_bugs!$A$2:$Z$73,26,FALSE())),"please select a BUG ID")</f>
        <v>
</v>
      </c>
      <c r="C1003" s="39" t="str">
        <f>IFERROR(VLOOKUP(A1003,Internal_lists_bugs!$A$2:$G2011,7,FALSE()),"please select a BUG ID")</f>
        <v>https://github.com/elastic/elasticsearch/commit/22722840d4331a83fcfdd8edea22d372feba16ab</v>
      </c>
      <c r="D1003" s="16" t="s">
        <v>1258</v>
      </c>
      <c r="E1003" s="50"/>
      <c r="F1003" s="43"/>
      <c r="G1003" s="50"/>
      <c r="H1003" s="122" t="s">
        <v>1267</v>
      </c>
    </row>
    <row r="1004">
      <c r="A1004" s="16" t="s">
        <v>96</v>
      </c>
      <c r="B1004" s="59" t="str">
        <f>IFERROR(HYPERLINK(VLOOKUP(A1004,Internal_lists_bugs!$A$2:$C$73,3,FALSE()), VLOOKUP(A1004,Internal_lists_bugs!$A$2:$C$73,3,FALSE())&amp;Char(10) &amp; Char(10) &amp; VLOOKUP(A1004,Internal_lists_bugs!$A$2:$Z$73,26,FALSE())),"please select a BUG ID")</f>
        <v>
</v>
      </c>
      <c r="C1004" s="39" t="str">
        <f>IFERROR(VLOOKUP(A1004,Internal_lists_bugs!$A$2:$G2011,7,FALSE()),"please select a BUG ID")</f>
        <v>https://github.com/elastic/elasticsearch/commit/22722840d4331a83fcfdd8edea22d372feba16ab</v>
      </c>
      <c r="D1004" s="16" t="s">
        <v>1253</v>
      </c>
      <c r="E1004" s="50"/>
      <c r="F1004" s="43"/>
      <c r="G1004" s="50"/>
      <c r="H1004" s="122" t="s">
        <v>1245</v>
      </c>
    </row>
    <row r="1005">
      <c r="A1005" s="16" t="s">
        <v>96</v>
      </c>
      <c r="B1005" s="59" t="str">
        <f>IFERROR(HYPERLINK(VLOOKUP(A1005,Internal_lists_bugs!$A$2:$C$73,3,FALSE()), VLOOKUP(A1005,Internal_lists_bugs!$A$2:$C$73,3,FALSE())&amp;Char(10) &amp; Char(10) &amp; VLOOKUP(A1005,Internal_lists_bugs!$A$2:$Z$73,26,FALSE())),"please select a BUG ID")</f>
        <v>
</v>
      </c>
      <c r="C1005" s="39" t="str">
        <f>IFERROR(VLOOKUP(A1005,Internal_lists_bugs!$A$2:$G2011,7,FALSE()),"please select a BUG ID")</f>
        <v>https://github.com/elastic/elasticsearch/commit/22722840d4331a83fcfdd8edea22d372feba16ab</v>
      </c>
      <c r="D1005" s="16" t="s">
        <v>1242</v>
      </c>
      <c r="E1005" s="50"/>
      <c r="F1005" s="43"/>
      <c r="G1005" s="50"/>
      <c r="H1005" s="122"/>
    </row>
    <row r="1006">
      <c r="A1006" s="16" t="s">
        <v>96</v>
      </c>
      <c r="B1006" s="59" t="str">
        <f>IFERROR(HYPERLINK(VLOOKUP(A1006,Internal_lists_bugs!$A$2:$C$73,3,FALSE()), VLOOKUP(A1006,Internal_lists_bugs!$A$2:$C$73,3,FALSE())&amp;Char(10) &amp; Char(10) &amp; VLOOKUP(A1006,Internal_lists_bugs!$A$2:$Z$73,26,FALSE())),"please select a BUG ID")</f>
        <v>
</v>
      </c>
      <c r="C1006" s="39" t="str">
        <f>IFERROR(VLOOKUP(A1006,Internal_lists_bugs!$A$2:$G2011,7,FALSE()),"please select a BUG ID")</f>
        <v>https://github.com/elastic/elasticsearch/commit/22722840d4331a83fcfdd8edea22d372feba16ab</v>
      </c>
      <c r="D1006" s="16" t="s">
        <v>1254</v>
      </c>
      <c r="E1006" s="50"/>
      <c r="F1006" s="43"/>
      <c r="G1006" s="50"/>
      <c r="H1006" s="43"/>
    </row>
    <row r="1007">
      <c r="A1007" s="16" t="s">
        <v>80</v>
      </c>
      <c r="B1007" s="59" t="str">
        <f>IFERROR(HYPERLINK(VLOOKUP(A1007,Internal_lists_bugs!$A$2:$C$73,3,FALSE()), VLOOKUP(A1007,Internal_lists_bugs!$A$2:$C$73,3,FALSE())&amp;Char(10) &amp; Char(10) &amp; VLOOKUP(A1007,Internal_lists_bugs!$A$2:$Z$73,26,FALSE())),"please select a BUG ID")</f>
        <v>
</v>
      </c>
      <c r="C1007" s="39" t="str">
        <f>IFERROR(VLOOKUP(A1007,Internal_lists_bugs!$A$2:$G2011,7,FALSE()),"please select a BUG ID")</f>
        <v>https://github.com/elastic/elasticsearch/commit/bc20f068c9c62b69260f3b24adaaf9fb3ff3d371</v>
      </c>
      <c r="D1007" s="16" t="s">
        <v>1261</v>
      </c>
      <c r="E1007" s="50"/>
      <c r="F1007" s="16" t="s">
        <v>1189</v>
      </c>
      <c r="G1007" s="50"/>
      <c r="H1007" s="122" t="s">
        <v>1262</v>
      </c>
    </row>
    <row r="1008">
      <c r="A1008" s="16" t="s">
        <v>80</v>
      </c>
      <c r="B1008" s="59" t="str">
        <f>IFERROR(HYPERLINK(VLOOKUP(A1008,Internal_lists_bugs!$A$2:$C$73,3,FALSE()), VLOOKUP(A1008,Internal_lists_bugs!$A$2:$C$73,3,FALSE())&amp;Char(10) &amp; Char(10) &amp; VLOOKUP(A1008,Internal_lists_bugs!$A$2:$Z$73,26,FALSE())),"please select a BUG ID")</f>
        <v>
</v>
      </c>
      <c r="C1008" s="39" t="str">
        <f>IFERROR(VLOOKUP(A1008,Internal_lists_bugs!$A$2:$G2011,7,FALSE()),"please select a BUG ID")</f>
        <v>https://github.com/elastic/elasticsearch/commit/bc20f068c9c62b69260f3b24adaaf9fb3ff3d371</v>
      </c>
      <c r="D1008" s="16" t="s">
        <v>1258</v>
      </c>
      <c r="E1008" s="50"/>
      <c r="F1008" s="43"/>
      <c r="G1008" s="50"/>
      <c r="H1008" s="138" t="s">
        <v>1245</v>
      </c>
    </row>
    <row r="1009">
      <c r="A1009" s="16" t="s">
        <v>80</v>
      </c>
      <c r="B1009" s="59" t="str">
        <f>IFERROR(HYPERLINK(VLOOKUP(A1009,Internal_lists_bugs!$A$2:$C$73,3,FALSE()), VLOOKUP(A1009,Internal_lists_bugs!$A$2:$C$73,3,FALSE())&amp;Char(10) &amp; Char(10) &amp; VLOOKUP(A1009,Internal_lists_bugs!$A$2:$Z$73,26,FALSE())),"please select a BUG ID")</f>
        <v>
</v>
      </c>
      <c r="C1009" s="39" t="str">
        <f>IFERROR(VLOOKUP(A1009,Internal_lists_bugs!$A$2:$G2011,7,FALSE()),"please select a BUG ID")</f>
        <v>https://github.com/elastic/elasticsearch/commit/bc20f068c9c62b69260f3b24adaaf9fb3ff3d371</v>
      </c>
      <c r="D1009" s="16" t="s">
        <v>1255</v>
      </c>
      <c r="E1009" s="50"/>
      <c r="F1009" s="43"/>
      <c r="G1009" s="50"/>
      <c r="H1009" s="122" t="s">
        <v>1263</v>
      </c>
    </row>
    <row r="1010">
      <c r="A1010" s="16" t="s">
        <v>80</v>
      </c>
      <c r="B1010" s="59" t="str">
        <f>IFERROR(HYPERLINK(VLOOKUP(A1010,Internal_lists_bugs!$A$2:$C$73,3,FALSE()), VLOOKUP(A1010,Internal_lists_bugs!$A$2:$C$73,3,FALSE())&amp;Char(10) &amp; Char(10) &amp; VLOOKUP(A1010,Internal_lists_bugs!$A$2:$Z$73,26,FALSE())),"please select a BUG ID")</f>
        <v>
</v>
      </c>
      <c r="C1010" s="39" t="str">
        <f>IFERROR(VLOOKUP(A1010,Internal_lists_bugs!$A$2:$G2011,7,FALSE()),"please select a BUG ID")</f>
        <v>https://github.com/elastic/elasticsearch/commit/bc20f068c9c62b69260f3b24adaaf9fb3ff3d371</v>
      </c>
      <c r="D1010" s="16" t="s">
        <v>1264</v>
      </c>
      <c r="E1010" s="50"/>
      <c r="F1010" s="43"/>
      <c r="G1010" s="50"/>
      <c r="H1010" s="122" t="s">
        <v>1265</v>
      </c>
    </row>
    <row r="1011">
      <c r="A1011" s="16" t="s">
        <v>80</v>
      </c>
      <c r="B1011" s="59" t="str">
        <f>IFERROR(HYPERLINK(VLOOKUP(A1011,Internal_lists_bugs!$A$2:$C$73,3,FALSE()), VLOOKUP(A1011,Internal_lists_bugs!$A$2:$C$73,3,FALSE())&amp;Char(10) &amp; Char(10) &amp; VLOOKUP(A1011,Internal_lists_bugs!$A$2:$Z$73,26,FALSE())),"please select a BUG ID")</f>
        <v>
</v>
      </c>
      <c r="C1011" s="39" t="str">
        <f>IFERROR(VLOOKUP(A1011,Internal_lists_bugs!$A$2:$G2011,7,FALSE()),"please select a BUG ID")</f>
        <v>https://github.com/elastic/elasticsearch/commit/bc20f068c9c62b69260f3b24adaaf9fb3ff3d371</v>
      </c>
      <c r="D1011" s="16" t="s">
        <v>1253</v>
      </c>
      <c r="E1011" s="50"/>
      <c r="F1011" s="43"/>
      <c r="G1011" s="50"/>
      <c r="H1011" s="16" t="s">
        <v>1266</v>
      </c>
    </row>
    <row r="1012">
      <c r="A1012" s="16" t="s">
        <v>80</v>
      </c>
      <c r="B1012" s="59" t="str">
        <f>IFERROR(HYPERLINK(VLOOKUP(A1012,Internal_lists_bugs!$A$2:$C$73,3,FALSE()), VLOOKUP(A1012,Internal_lists_bugs!$A$2:$C$73,3,FALSE())&amp;Char(10) &amp; Char(10) &amp; VLOOKUP(A1012,Internal_lists_bugs!$A$2:$Z$73,26,FALSE())),"please select a BUG ID")</f>
        <v>
</v>
      </c>
      <c r="C1012" s="39" t="str">
        <f>IFERROR(VLOOKUP(A1012,Internal_lists_bugs!$A$2:$G2011,7,FALSE()),"please select a BUG ID")</f>
        <v>https://github.com/elastic/elasticsearch/commit/bc20f068c9c62b69260f3b24adaaf9fb3ff3d371</v>
      </c>
      <c r="D1012" s="16" t="s">
        <v>1242</v>
      </c>
      <c r="E1012" s="50"/>
      <c r="F1012" s="43"/>
      <c r="G1012" s="50"/>
      <c r="H1012" s="16" t="s">
        <v>1267</v>
      </c>
    </row>
    <row r="1013">
      <c r="A1013" s="16" t="s">
        <v>80</v>
      </c>
      <c r="B1013" s="59" t="str">
        <f>IFERROR(HYPERLINK(VLOOKUP(A1013,Internal_lists_bugs!$A$2:$C$73,3,FALSE()), VLOOKUP(A1013,Internal_lists_bugs!$A$2:$C$73,3,FALSE())&amp;Char(10) &amp; Char(10) &amp; VLOOKUP(A1013,Internal_lists_bugs!$A$2:$Z$73,26,FALSE())),"please select a BUG ID")</f>
        <v>
</v>
      </c>
      <c r="C1013" s="39" t="str">
        <f>IFERROR(VLOOKUP(A1013,Internal_lists_bugs!$A$2:$G2011,7,FALSE()),"please select a BUG ID")</f>
        <v>https://github.com/elastic/elasticsearch/commit/bc20f068c9c62b69260f3b24adaaf9fb3ff3d371</v>
      </c>
      <c r="D1013" s="16" t="s">
        <v>1254</v>
      </c>
      <c r="E1013" s="50"/>
      <c r="F1013" s="43"/>
      <c r="G1013" s="50"/>
      <c r="H1013" s="43"/>
    </row>
    <row r="1014">
      <c r="A1014" s="16" t="s">
        <v>80</v>
      </c>
      <c r="B1014" s="59" t="str">
        <f>IFERROR(HYPERLINK(VLOOKUP(A1014,Internal_lists_bugs!$A$2:$C$73,3,FALSE()), VLOOKUP(A1014,Internal_lists_bugs!$A$2:$C$73,3,FALSE())&amp;Char(10) &amp; Char(10) &amp; VLOOKUP(A1014,Internal_lists_bugs!$A$2:$Z$73,26,FALSE())),"please select a BUG ID")</f>
        <v>
</v>
      </c>
      <c r="C1014" s="39" t="str">
        <f>IFERROR(VLOOKUP(A1014,Internal_lists_bugs!$A$2:$G2011,7,FALSE()),"please select a BUG ID")</f>
        <v>https://github.com/elastic/elasticsearch/commit/bc20f068c9c62b69260f3b24adaaf9fb3ff3d371</v>
      </c>
      <c r="D1014" s="16" t="s">
        <v>1250</v>
      </c>
      <c r="E1014" s="50"/>
      <c r="F1014" s="43"/>
      <c r="G1014" s="50"/>
      <c r="H1014" s="43"/>
    </row>
    <row r="1015">
      <c r="A1015" s="16" t="s">
        <v>80</v>
      </c>
      <c r="B1015" s="59" t="str">
        <f>IFERROR(HYPERLINK(VLOOKUP(A1015,Internal_lists_bugs!$A$2:$C$73,3,FALSE()), VLOOKUP(A1015,Internal_lists_bugs!$A$2:$C$73,3,FALSE())&amp;Char(10) &amp; Char(10) &amp; VLOOKUP(A1015,Internal_lists_bugs!$A$2:$Z$73,26,FALSE())),"please select a BUG ID")</f>
        <v>
</v>
      </c>
      <c r="C1015" s="39" t="str">
        <f>IFERROR(VLOOKUP(A1015,Internal_lists_bugs!$A$2:$G2011,7,FALSE()),"please select a BUG ID")</f>
        <v>https://github.com/elastic/elasticsearch/commit/bc20f068c9c62b69260f3b24adaaf9fb3ff3d371</v>
      </c>
      <c r="D1015" s="16" t="s">
        <v>1268</v>
      </c>
      <c r="E1015" s="50"/>
      <c r="F1015" s="43"/>
      <c r="G1015" s="50"/>
      <c r="H1015" s="43"/>
    </row>
    <row r="1016">
      <c r="A1016" s="16" t="s">
        <v>80</v>
      </c>
      <c r="B1016" s="59" t="str">
        <f>IFERROR(HYPERLINK(VLOOKUP(A1016,Internal_lists_bugs!$A$2:$C$73,3,FALSE()), VLOOKUP(A1016,Internal_lists_bugs!$A$2:$C$73,3,FALSE())&amp;Char(10) &amp; Char(10) &amp; VLOOKUP(A1016,Internal_lists_bugs!$A$2:$Z$73,26,FALSE())),"please select a BUG ID")</f>
        <v>
</v>
      </c>
      <c r="C1016" s="39" t="str">
        <f>IFERROR(VLOOKUP(A1016,Internal_lists_bugs!$A$2:$G2011,7,FALSE()),"please select a BUG ID")</f>
        <v>https://github.com/elastic/elasticsearch/commit/bc20f068c9c62b69260f3b24adaaf9fb3ff3d371</v>
      </c>
      <c r="D1016" s="16" t="s">
        <v>1269</v>
      </c>
      <c r="F1016" s="43"/>
      <c r="H1016" s="43"/>
    </row>
    <row r="1017">
      <c r="A1017" s="16" t="s">
        <v>92</v>
      </c>
      <c r="B1017" s="59" t="str">
        <f>IFERROR(HYPERLINK(VLOOKUP(A1017,Internal_lists_bugs!$A$2:$C$73,3,FALSE()), VLOOKUP(A1017,Internal_lists_bugs!$A$2:$C$73,3,FALSE())&amp;Char(10) &amp; Char(10) &amp; VLOOKUP(A1017,Internal_lists_bugs!$A$2:$Z$73,26,FALSE())),"please select a BUG ID")</f>
        <v>
</v>
      </c>
      <c r="C1017" s="39" t="str">
        <f>IFERROR(VLOOKUP(A1017,Internal_lists_bugs!$A$2:$G2011,7,FALSE()),"please select a BUG ID")</f>
        <v>https://github.com/elastic/elasticsearch/commit/fc51ebfce8a87252d868d1f160ae740972b8e48a</v>
      </c>
      <c r="D1017" s="16" t="s">
        <v>297</v>
      </c>
      <c r="E1017" s="16" t="s">
        <v>1270</v>
      </c>
      <c r="F1017" s="16" t="s">
        <v>297</v>
      </c>
      <c r="H1017" s="16" t="s">
        <v>297</v>
      </c>
    </row>
    <row r="1018">
      <c r="A1018" s="16" t="s">
        <v>98</v>
      </c>
      <c r="B1018" s="59" t="str">
        <f>IFERROR(HYPERLINK(VLOOKUP(A1018,Internal_lists_bugs!$A$2:$C$73,3,FALSE()), VLOOKUP(A1018,Internal_lists_bugs!$A$2:$C$73,3,FALSE())&amp;Char(10) &amp; Char(10) &amp; VLOOKUP(A1018,Internal_lists_bugs!$A$2:$Z$73,26,FALSE())),"please select a BUG ID")</f>
        <v>
</v>
      </c>
      <c r="C1018" s="39" t="str">
        <f>IFERROR(VLOOKUP(A1018,Internal_lists_bugs!$A$2:$G2011,7,FALSE()),"please select a BUG ID")</f>
        <v>https://github.com/elastic/elasticsearch/commit/a235a5594338789a448742fce19549206dd5b30c</v>
      </c>
      <c r="D1018" s="16" t="s">
        <v>1261</v>
      </c>
      <c r="E1018" s="50"/>
      <c r="F1018" s="16" t="s">
        <v>1189</v>
      </c>
      <c r="G1018" s="50"/>
      <c r="H1018" s="122" t="s">
        <v>1262</v>
      </c>
    </row>
    <row r="1019">
      <c r="A1019" s="16" t="s">
        <v>98</v>
      </c>
      <c r="B1019" s="59" t="str">
        <f>IFERROR(HYPERLINK(VLOOKUP(A1019,Internal_lists_bugs!$A$2:$C$73,3,FALSE()), VLOOKUP(A1019,Internal_lists_bugs!$A$2:$C$73,3,FALSE())&amp;Char(10) &amp; Char(10) &amp; VLOOKUP(A1019,Internal_lists_bugs!$A$2:$Z$73,26,FALSE())),"please select a BUG ID")</f>
        <v>
</v>
      </c>
      <c r="C1019" s="39" t="str">
        <f>IFERROR(VLOOKUP(A1019,Internal_lists_bugs!$A$2:$G2011,7,FALSE()),"please select a BUG ID")</f>
        <v>https://github.com/elastic/elasticsearch/commit/a235a5594338789a448742fce19549206dd5b30c</v>
      </c>
      <c r="D1019" s="16" t="s">
        <v>1258</v>
      </c>
      <c r="E1019" s="50"/>
      <c r="F1019" s="43"/>
      <c r="G1019" s="50"/>
      <c r="H1019" s="122" t="s">
        <v>1267</v>
      </c>
    </row>
    <row r="1020">
      <c r="A1020" s="16" t="s">
        <v>98</v>
      </c>
      <c r="B1020" s="59" t="str">
        <f>IFERROR(HYPERLINK(VLOOKUP(A1020,Internal_lists_bugs!$A$2:$C$73,3,FALSE()), VLOOKUP(A1020,Internal_lists_bugs!$A$2:$C$73,3,FALSE())&amp;Char(10) &amp; Char(10) &amp; VLOOKUP(A1020,Internal_lists_bugs!$A$2:$Z$73,26,FALSE())),"please select a BUG ID")</f>
        <v>
</v>
      </c>
      <c r="C1020" s="39" t="str">
        <f>IFERROR(VLOOKUP(A1020,Internal_lists_bugs!$A$2:$G2011,7,FALSE()),"please select a BUG ID")</f>
        <v>https://github.com/elastic/elasticsearch/commit/a235a5594338789a448742fce19549206dd5b30c</v>
      </c>
      <c r="D1020" s="16" t="s">
        <v>1255</v>
      </c>
      <c r="E1020" s="50"/>
      <c r="F1020" s="43"/>
      <c r="G1020" s="50"/>
      <c r="H1020" s="122" t="s">
        <v>1263</v>
      </c>
    </row>
    <row r="1021">
      <c r="A1021" s="16" t="s">
        <v>98</v>
      </c>
      <c r="B1021" s="59" t="str">
        <f>IFERROR(HYPERLINK(VLOOKUP(A1021,Internal_lists_bugs!$A$2:$C$73,3,FALSE()), VLOOKUP(A1021,Internal_lists_bugs!$A$2:$C$73,3,FALSE())&amp;Char(10) &amp; Char(10) &amp; VLOOKUP(A1021,Internal_lists_bugs!$A$2:$Z$73,26,FALSE())),"please select a BUG ID")</f>
        <v>
</v>
      </c>
      <c r="C1021" s="39" t="str">
        <f>IFERROR(VLOOKUP(A1021,Internal_lists_bugs!$A$2:$G2011,7,FALSE()),"please select a BUG ID")</f>
        <v>https://github.com/elastic/elasticsearch/commit/a235a5594338789a448742fce19549206dd5b30c</v>
      </c>
      <c r="D1021" s="16" t="s">
        <v>1264</v>
      </c>
      <c r="E1021" s="50"/>
      <c r="F1021" s="43"/>
      <c r="G1021" s="50"/>
      <c r="H1021" s="122" t="s">
        <v>1265</v>
      </c>
    </row>
    <row r="1022">
      <c r="A1022" s="16" t="s">
        <v>98</v>
      </c>
      <c r="B1022" s="59" t="str">
        <f>IFERROR(HYPERLINK(VLOOKUP(A1022,Internal_lists_bugs!$A$2:$C$73,3,FALSE()), VLOOKUP(A1022,Internal_lists_bugs!$A$2:$C$73,3,FALSE())&amp;Char(10) &amp; Char(10) &amp; VLOOKUP(A1022,Internal_lists_bugs!$A$2:$Z$73,26,FALSE())),"please select a BUG ID")</f>
        <v>
</v>
      </c>
      <c r="C1022" s="39" t="str">
        <f>IFERROR(VLOOKUP(A1022,Internal_lists_bugs!$A$2:$G2011,7,FALSE()),"please select a BUG ID")</f>
        <v>https://github.com/elastic/elasticsearch/commit/a235a5594338789a448742fce19549206dd5b30c</v>
      </c>
      <c r="D1022" s="16" t="s">
        <v>1253</v>
      </c>
      <c r="E1022" s="50"/>
      <c r="F1022" s="43"/>
      <c r="G1022" s="50"/>
      <c r="H1022" s="16" t="s">
        <v>1266</v>
      </c>
    </row>
    <row r="1023">
      <c r="A1023" s="16" t="s">
        <v>98</v>
      </c>
      <c r="B1023" s="59" t="str">
        <f>IFERROR(HYPERLINK(VLOOKUP(A1023,Internal_lists_bugs!$A$2:$C$73,3,FALSE()), VLOOKUP(A1023,Internal_lists_bugs!$A$2:$C$73,3,FALSE())&amp;Char(10) &amp; Char(10) &amp; VLOOKUP(A1023,Internal_lists_bugs!$A$2:$Z$73,26,FALSE())),"please select a BUG ID")</f>
        <v>
</v>
      </c>
      <c r="C1023" s="39" t="str">
        <f>IFERROR(VLOOKUP(A1023,Internal_lists_bugs!$A$2:$G2011,7,FALSE()),"please select a BUG ID")</f>
        <v>https://github.com/elastic/elasticsearch/commit/a235a5594338789a448742fce19549206dd5b30c</v>
      </c>
      <c r="D1023" s="16" t="s">
        <v>1269</v>
      </c>
      <c r="E1023" s="50"/>
      <c r="F1023" s="43"/>
      <c r="G1023" s="50"/>
      <c r="H1023" s="16" t="s">
        <v>1271</v>
      </c>
    </row>
    <row r="1024">
      <c r="A1024" s="16" t="s">
        <v>98</v>
      </c>
      <c r="B1024" s="59" t="str">
        <f>IFERROR(HYPERLINK(VLOOKUP(A1024,Internal_lists_bugs!$A$2:$C$73,3,FALSE()), VLOOKUP(A1024,Internal_lists_bugs!$A$2:$C$73,3,FALSE())&amp;Char(10) &amp; Char(10) &amp; VLOOKUP(A1024,Internal_lists_bugs!$A$2:$Z$73,26,FALSE())),"please select a BUG ID")</f>
        <v>
</v>
      </c>
      <c r="C1024" s="39" t="str">
        <f>IFERROR(VLOOKUP(A1024,Internal_lists_bugs!$A$2:$G2011,7,FALSE()),"please select a BUG ID")</f>
        <v>https://github.com/elastic/elasticsearch/commit/a235a5594338789a448742fce19549206dd5b30c</v>
      </c>
      <c r="D1024" s="16" t="s">
        <v>1254</v>
      </c>
      <c r="E1024" s="50"/>
      <c r="F1024" s="43"/>
      <c r="G1024" s="50"/>
      <c r="H1024" s="16" t="s">
        <v>1272</v>
      </c>
    </row>
    <row r="1025">
      <c r="A1025" s="16" t="s">
        <v>98</v>
      </c>
      <c r="B1025" s="59" t="str">
        <f>IFERROR(HYPERLINK(VLOOKUP(A1025,Internal_lists_bugs!$A$2:$C$73,3,FALSE()), VLOOKUP(A1025,Internal_lists_bugs!$A$2:$C$73,3,FALSE())&amp;Char(10) &amp; Char(10) &amp; VLOOKUP(A1025,Internal_lists_bugs!$A$2:$Z$73,26,FALSE())),"please select a BUG ID")</f>
        <v>
</v>
      </c>
      <c r="C1025" s="39" t="str">
        <f>IFERROR(VLOOKUP(A1025,Internal_lists_bugs!$A$2:$G2011,7,FALSE()),"please select a BUG ID")</f>
        <v>https://github.com/elastic/elasticsearch/commit/a235a5594338789a448742fce19549206dd5b30c</v>
      </c>
      <c r="D1025" s="16" t="s">
        <v>1250</v>
      </c>
      <c r="E1025" s="50"/>
      <c r="F1025" s="43"/>
      <c r="G1025" s="50"/>
      <c r="H1025" s="43"/>
    </row>
    <row r="1026">
      <c r="A1026" s="16" t="s">
        <v>98</v>
      </c>
      <c r="B1026" s="59" t="str">
        <f>IFERROR(HYPERLINK(VLOOKUP(A1026,Internal_lists_bugs!$A$2:$C$73,3,FALSE()), VLOOKUP(A1026,Internal_lists_bugs!$A$2:$C$73,3,FALSE())&amp;Char(10) &amp; Char(10) &amp; VLOOKUP(A1026,Internal_lists_bugs!$A$2:$Z$73,26,FALSE())),"please select a BUG ID")</f>
        <v>
</v>
      </c>
      <c r="C1026" s="39" t="str">
        <f>IFERROR(VLOOKUP(A1026,Internal_lists_bugs!$A$2:$G2011,7,FALSE()),"please select a BUG ID")</f>
        <v>https://github.com/elastic/elasticsearch/commit/a235a5594338789a448742fce19549206dd5b30c</v>
      </c>
      <c r="D1026" s="16" t="s">
        <v>1268</v>
      </c>
      <c r="E1026" s="50"/>
      <c r="F1026" s="43"/>
      <c r="G1026" s="50"/>
      <c r="H1026" s="43"/>
    </row>
    <row r="1027">
      <c r="A1027" s="16" t="s">
        <v>98</v>
      </c>
      <c r="B1027" s="59" t="str">
        <f>IFERROR(HYPERLINK(VLOOKUP(A1027,Internal_lists_bugs!$A$2:$C$73,3,FALSE()), VLOOKUP(A1027,Internal_lists_bugs!$A$2:$C$73,3,FALSE())&amp;Char(10) &amp; Char(10) &amp; VLOOKUP(A1027,Internal_lists_bugs!$A$2:$Z$73,26,FALSE())),"please select a BUG ID")</f>
        <v>
</v>
      </c>
      <c r="C1027" s="39" t="str">
        <f>IFERROR(VLOOKUP(A1027,Internal_lists_bugs!$A$2:$G2011,7,FALSE()),"please select a BUG ID")</f>
        <v>https://github.com/elastic/elasticsearch/commit/a235a5594338789a448742fce19549206dd5b30c</v>
      </c>
      <c r="D1027" s="16" t="s">
        <v>1273</v>
      </c>
      <c r="F1027" s="43"/>
      <c r="H1027" s="43"/>
    </row>
    <row r="1028">
      <c r="A1028" s="16" t="s">
        <v>98</v>
      </c>
      <c r="B1028" s="59" t="str">
        <f>IFERROR(HYPERLINK(VLOOKUP(A1028,Internal_lists_bugs!$A$2:$C$73,3,FALSE()), VLOOKUP(A1028,Internal_lists_bugs!$A$2:$C$73,3,FALSE())&amp;Char(10) &amp; Char(10) &amp; VLOOKUP(A1028,Internal_lists_bugs!$A$2:$Z$73,26,FALSE())),"please select a BUG ID")</f>
        <v>
</v>
      </c>
      <c r="C1028" s="39" t="str">
        <f>IFERROR(VLOOKUP(A1028,Internal_lists_bugs!$A$2:$G2011,7,FALSE()),"please select a BUG ID")</f>
        <v>https://github.com/elastic/elasticsearch/commit/a235a5594338789a448742fce19549206dd5b30c</v>
      </c>
      <c r="D1028" s="16" t="s">
        <v>1274</v>
      </c>
      <c r="F1028" s="43"/>
      <c r="H1028" s="43"/>
    </row>
    <row r="1029">
      <c r="A1029" s="16" t="s">
        <v>81</v>
      </c>
      <c r="B1029" s="59" t="str">
        <f>IFERROR(HYPERLINK(VLOOKUP(A1029,Internal_lists_bugs!$A$2:$C$73,3,FALSE()), VLOOKUP(A1029,Internal_lists_bugs!$A$2:$C$73,3,FALSE())&amp;Char(10) &amp; Char(10) &amp; VLOOKUP(A1029,Internal_lists_bugs!$A$2:$Z$73,26,FALSE())),"please select a BUG ID")</f>
        <v>
</v>
      </c>
      <c r="C1029" s="39" t="str">
        <f>IFERROR(VLOOKUP(A1029,Internal_lists_bugs!$A$2:$G2011,7,FALSE()),"please select a BUG ID")</f>
        <v>https://github.com/elastic/elasticsearch/commit/459d59a04ad4eb1671bac50a6faf3a7ad372d0e4</v>
      </c>
      <c r="D1029" s="16" t="s">
        <v>1261</v>
      </c>
      <c r="E1029" s="50"/>
      <c r="F1029" s="16" t="s">
        <v>1189</v>
      </c>
      <c r="G1029" s="50"/>
      <c r="H1029" s="122" t="s">
        <v>1262</v>
      </c>
    </row>
    <row r="1030">
      <c r="A1030" s="16" t="s">
        <v>81</v>
      </c>
      <c r="B1030" s="59" t="str">
        <f>IFERROR(HYPERLINK(VLOOKUP(A1030,Internal_lists_bugs!$A$2:$C$73,3,FALSE()), VLOOKUP(A1030,Internal_lists_bugs!$A$2:$C$73,3,FALSE())&amp;Char(10) &amp; Char(10) &amp; VLOOKUP(A1030,Internal_lists_bugs!$A$2:$Z$73,26,FALSE())),"please select a BUG ID")</f>
        <v>
</v>
      </c>
      <c r="C1030" s="39" t="str">
        <f>IFERROR(VLOOKUP(A1030,Internal_lists_bugs!$A$2:$G2011,7,FALSE()),"please select a BUG ID")</f>
        <v>https://github.com/elastic/elasticsearch/commit/459d59a04ad4eb1671bac50a6faf3a7ad372d0e4</v>
      </c>
      <c r="D1030" s="16" t="s">
        <v>1258</v>
      </c>
      <c r="E1030" s="50"/>
      <c r="F1030" s="43"/>
      <c r="G1030" s="50"/>
      <c r="H1030" s="122" t="s">
        <v>1267</v>
      </c>
    </row>
    <row r="1031">
      <c r="A1031" s="16" t="s">
        <v>81</v>
      </c>
      <c r="B1031" s="59" t="str">
        <f>IFERROR(HYPERLINK(VLOOKUP(A1031,Internal_lists_bugs!$A$2:$C$73,3,FALSE()), VLOOKUP(A1031,Internal_lists_bugs!$A$2:$C$73,3,FALSE())&amp;Char(10) &amp; Char(10) &amp; VLOOKUP(A1031,Internal_lists_bugs!$A$2:$Z$73,26,FALSE())),"please select a BUG ID")</f>
        <v>
</v>
      </c>
      <c r="C1031" s="39" t="str">
        <f>IFERROR(VLOOKUP(A1031,Internal_lists_bugs!$A$2:$G2011,7,FALSE()),"please select a BUG ID")</f>
        <v>https://github.com/elastic/elasticsearch/commit/459d59a04ad4eb1671bac50a6faf3a7ad372d0e4</v>
      </c>
      <c r="D1031" s="16" t="s">
        <v>1255</v>
      </c>
      <c r="E1031" s="50"/>
      <c r="F1031" s="43"/>
      <c r="G1031" s="50"/>
      <c r="H1031" s="122" t="s">
        <v>1263</v>
      </c>
    </row>
    <row r="1032">
      <c r="A1032" s="16" t="s">
        <v>81</v>
      </c>
      <c r="B1032" s="59" t="str">
        <f>IFERROR(HYPERLINK(VLOOKUP(A1032,Internal_lists_bugs!$A$2:$C$73,3,FALSE()), VLOOKUP(A1032,Internal_lists_bugs!$A$2:$C$73,3,FALSE())&amp;Char(10) &amp; Char(10) &amp; VLOOKUP(A1032,Internal_lists_bugs!$A$2:$Z$73,26,FALSE())),"please select a BUG ID")</f>
        <v>
</v>
      </c>
      <c r="C1032" s="39" t="str">
        <f>IFERROR(VLOOKUP(A1032,Internal_lists_bugs!$A$2:$G2011,7,FALSE()),"please select a BUG ID")</f>
        <v>https://github.com/elastic/elasticsearch/commit/459d59a04ad4eb1671bac50a6faf3a7ad372d0e4</v>
      </c>
      <c r="D1032" s="16" t="s">
        <v>1264</v>
      </c>
      <c r="E1032" s="50"/>
      <c r="F1032" s="43"/>
      <c r="G1032" s="50"/>
      <c r="H1032" s="122" t="s">
        <v>1265</v>
      </c>
    </row>
    <row r="1033">
      <c r="A1033" s="16" t="s">
        <v>81</v>
      </c>
      <c r="B1033" s="59" t="str">
        <f>IFERROR(HYPERLINK(VLOOKUP(A1033,Internal_lists_bugs!$A$2:$C$73,3,FALSE()), VLOOKUP(A1033,Internal_lists_bugs!$A$2:$C$73,3,FALSE())&amp;Char(10) &amp; Char(10) &amp; VLOOKUP(A1033,Internal_lists_bugs!$A$2:$Z$73,26,FALSE())),"please select a BUG ID")</f>
        <v>
</v>
      </c>
      <c r="C1033" s="39" t="str">
        <f>IFERROR(VLOOKUP(A1033,Internal_lists_bugs!$A$2:$G2011,7,FALSE()),"please select a BUG ID")</f>
        <v>https://github.com/elastic/elasticsearch/commit/459d59a04ad4eb1671bac50a6faf3a7ad372d0e4</v>
      </c>
      <c r="D1033" s="16" t="s">
        <v>1253</v>
      </c>
      <c r="E1033" s="50"/>
      <c r="F1033" s="43"/>
      <c r="G1033" s="50"/>
      <c r="H1033" s="16" t="s">
        <v>1266</v>
      </c>
    </row>
    <row r="1034">
      <c r="A1034" s="16" t="s">
        <v>81</v>
      </c>
      <c r="B1034" s="59" t="str">
        <f>IFERROR(HYPERLINK(VLOOKUP(A1034,Internal_lists_bugs!$A$2:$C$73,3,FALSE()), VLOOKUP(A1034,Internal_lists_bugs!$A$2:$C$73,3,FALSE())&amp;Char(10) &amp; Char(10) &amp; VLOOKUP(A1034,Internal_lists_bugs!$A$2:$Z$73,26,FALSE())),"please select a BUG ID")</f>
        <v>
</v>
      </c>
      <c r="C1034" s="39" t="str">
        <f>IFERROR(VLOOKUP(A1034,Internal_lists_bugs!$A$2:$G2011,7,FALSE()),"please select a BUG ID")</f>
        <v>https://github.com/elastic/elasticsearch/commit/459d59a04ad4eb1671bac50a6faf3a7ad372d0e4</v>
      </c>
      <c r="D1034" s="16" t="s">
        <v>1269</v>
      </c>
      <c r="E1034" s="50"/>
      <c r="F1034" s="43"/>
      <c r="G1034" s="50"/>
      <c r="H1034" s="16" t="s">
        <v>1271</v>
      </c>
    </row>
    <row r="1035">
      <c r="A1035" s="16" t="s">
        <v>81</v>
      </c>
      <c r="B1035" s="59" t="str">
        <f>IFERROR(HYPERLINK(VLOOKUP(A1035,Internal_lists_bugs!$A$2:$C$73,3,FALSE()), VLOOKUP(A1035,Internal_lists_bugs!$A$2:$C$73,3,FALSE())&amp;Char(10) &amp; Char(10) &amp; VLOOKUP(A1035,Internal_lists_bugs!$A$2:$Z$73,26,FALSE())),"please select a BUG ID")</f>
        <v>
</v>
      </c>
      <c r="C1035" s="39" t="str">
        <f>IFERROR(VLOOKUP(A1035,Internal_lists_bugs!$A$2:$G2011,7,FALSE()),"please select a BUG ID")</f>
        <v>https://github.com/elastic/elasticsearch/commit/459d59a04ad4eb1671bac50a6faf3a7ad372d0e4</v>
      </c>
      <c r="D1035" s="16" t="s">
        <v>1254</v>
      </c>
      <c r="E1035" s="50"/>
      <c r="F1035" s="43"/>
      <c r="G1035" s="50"/>
      <c r="H1035" s="16" t="s">
        <v>1272</v>
      </c>
    </row>
    <row r="1036">
      <c r="A1036" s="16" t="s">
        <v>81</v>
      </c>
      <c r="B1036" s="59" t="str">
        <f>IFERROR(HYPERLINK(VLOOKUP(A1036,Internal_lists_bugs!$A$2:$C$73,3,FALSE()), VLOOKUP(A1036,Internal_lists_bugs!$A$2:$C$73,3,FALSE())&amp;Char(10) &amp; Char(10) &amp; VLOOKUP(A1036,Internal_lists_bugs!$A$2:$Z$73,26,FALSE())),"please select a BUG ID")</f>
        <v>
</v>
      </c>
      <c r="C1036" s="39" t="str">
        <f>IFERROR(VLOOKUP(A1036,Internal_lists_bugs!$A$2:$G2011,7,FALSE()),"please select a BUG ID")</f>
        <v>https://github.com/elastic/elasticsearch/commit/459d59a04ad4eb1671bac50a6faf3a7ad372d0e4</v>
      </c>
      <c r="D1036" s="16" t="s">
        <v>1250</v>
      </c>
      <c r="E1036" s="50"/>
      <c r="F1036" s="43"/>
      <c r="G1036" s="50"/>
      <c r="H1036" s="43"/>
    </row>
    <row r="1037">
      <c r="A1037" s="16" t="s">
        <v>81</v>
      </c>
      <c r="B1037" s="59" t="str">
        <f>IFERROR(HYPERLINK(VLOOKUP(A1037,Internal_lists_bugs!$A$2:$C$73,3,FALSE()), VLOOKUP(A1037,Internal_lists_bugs!$A$2:$C$73,3,FALSE())&amp;Char(10) &amp; Char(10) &amp; VLOOKUP(A1037,Internal_lists_bugs!$A$2:$Z$73,26,FALSE())),"please select a BUG ID")</f>
        <v>
</v>
      </c>
      <c r="C1037" s="39" t="str">
        <f>IFERROR(VLOOKUP(A1037,Internal_lists_bugs!$A$2:$G2011,7,FALSE()),"please select a BUG ID")</f>
        <v>https://github.com/elastic/elasticsearch/commit/459d59a04ad4eb1671bac50a6faf3a7ad372d0e4</v>
      </c>
      <c r="D1037" s="16" t="s">
        <v>1268</v>
      </c>
      <c r="E1037" s="50"/>
      <c r="F1037" s="43"/>
      <c r="G1037" s="50"/>
      <c r="H1037" s="43"/>
    </row>
    <row r="1038">
      <c r="A1038" s="16" t="s">
        <v>81</v>
      </c>
      <c r="B1038" s="59" t="str">
        <f>IFERROR(HYPERLINK(VLOOKUP(A1038,Internal_lists_bugs!$A$2:$C$73,3,FALSE()), VLOOKUP(A1038,Internal_lists_bugs!$A$2:$C$73,3,FALSE())&amp;Char(10) &amp; Char(10) &amp; VLOOKUP(A1038,Internal_lists_bugs!$A$2:$Z$73,26,FALSE())),"please select a BUG ID")</f>
        <v>
</v>
      </c>
      <c r="C1038" s="39" t="str">
        <f>IFERROR(VLOOKUP(A1038,Internal_lists_bugs!$A$2:$G2011,7,FALSE()),"please select a BUG ID")</f>
        <v>https://github.com/elastic/elasticsearch/commit/459d59a04ad4eb1671bac50a6faf3a7ad372d0e4</v>
      </c>
      <c r="D1038" s="16" t="s">
        <v>1273</v>
      </c>
      <c r="F1038" s="43"/>
      <c r="H1038" s="43"/>
    </row>
    <row r="1039">
      <c r="A1039" s="16" t="s">
        <v>81</v>
      </c>
      <c r="B1039" s="59" t="str">
        <f>IFERROR(HYPERLINK(VLOOKUP(A1039,Internal_lists_bugs!$A$2:$C$73,3,FALSE()), VLOOKUP(A1039,Internal_lists_bugs!$A$2:$C$73,3,FALSE())&amp;Char(10) &amp; Char(10) &amp; VLOOKUP(A1039,Internal_lists_bugs!$A$2:$Z$73,26,FALSE())),"please select a BUG ID")</f>
        <v>
</v>
      </c>
      <c r="C1039" s="39" t="str">
        <f>IFERROR(VLOOKUP(A1039,Internal_lists_bugs!$A$2:$G2011,7,FALSE()),"please select a BUG ID")</f>
        <v>https://github.com/elastic/elasticsearch/commit/459d59a04ad4eb1671bac50a6faf3a7ad372d0e4</v>
      </c>
      <c r="D1039" s="16" t="s">
        <v>1274</v>
      </c>
      <c r="F1039" s="43"/>
      <c r="H1039" s="43"/>
    </row>
    <row r="1040">
      <c r="A1040" s="16" t="s">
        <v>93</v>
      </c>
      <c r="B1040" s="59" t="str">
        <f>IFERROR(HYPERLINK(VLOOKUP(A1040,Internal_lists_bugs!$A$2:$C$73,3,FALSE()), VLOOKUP(A1040,Internal_lists_bugs!$A$2:$C$73,3,FALSE())&amp;Char(10) &amp; Char(10) &amp; VLOOKUP(A1040,Internal_lists_bugs!$A$2:$Z$73,26,FALSE())),"please select a BUG ID")</f>
        <v>
</v>
      </c>
      <c r="C1040" s="39" t="str">
        <f>IFERROR(VLOOKUP(A1040,Internal_lists_bugs!$A$2:$G2011,7,FALSE()),"please select a BUG ID")</f>
        <v>https://github.com/elastic/elasticsearch/commit/07443089ce761cdfcf9206ad179381db7249d01a</v>
      </c>
      <c r="D1040" s="16" t="s">
        <v>1261</v>
      </c>
      <c r="E1040" s="50"/>
      <c r="F1040" s="16" t="s">
        <v>1189</v>
      </c>
      <c r="G1040" s="50"/>
      <c r="H1040" s="122" t="s">
        <v>1262</v>
      </c>
    </row>
    <row r="1041">
      <c r="A1041" s="16" t="s">
        <v>93</v>
      </c>
      <c r="B1041" s="59" t="str">
        <f>IFERROR(HYPERLINK(VLOOKUP(A1041,Internal_lists_bugs!$A$2:$C$73,3,FALSE()), VLOOKUP(A1041,Internal_lists_bugs!$A$2:$C$73,3,FALSE())&amp;Char(10) &amp; Char(10) &amp; VLOOKUP(A1041,Internal_lists_bugs!$A$2:$Z$73,26,FALSE())),"please select a BUG ID")</f>
        <v>
</v>
      </c>
      <c r="C1041" s="39" t="str">
        <f>IFERROR(VLOOKUP(A1041,Internal_lists_bugs!$A$2:$G2011,7,FALSE()),"please select a BUG ID")</f>
        <v>https://github.com/elastic/elasticsearch/commit/07443089ce761cdfcf9206ad179381db7249d01a</v>
      </c>
      <c r="D1041" s="16" t="s">
        <v>1258</v>
      </c>
      <c r="E1041" s="50"/>
      <c r="F1041" s="43"/>
      <c r="G1041" s="50"/>
      <c r="H1041" s="122" t="s">
        <v>1267</v>
      </c>
    </row>
    <row r="1042">
      <c r="A1042" s="16" t="s">
        <v>93</v>
      </c>
      <c r="B1042" s="59" t="str">
        <f>IFERROR(HYPERLINK(VLOOKUP(A1042,Internal_lists_bugs!$A$2:$C$73,3,FALSE()), VLOOKUP(A1042,Internal_lists_bugs!$A$2:$C$73,3,FALSE())&amp;Char(10) &amp; Char(10) &amp; VLOOKUP(A1042,Internal_lists_bugs!$A$2:$Z$73,26,FALSE())),"please select a BUG ID")</f>
        <v>
</v>
      </c>
      <c r="C1042" s="39" t="str">
        <f>IFERROR(VLOOKUP(A1042,Internal_lists_bugs!$A$2:$G2011,7,FALSE()),"please select a BUG ID")</f>
        <v>https://github.com/elastic/elasticsearch/commit/07443089ce761cdfcf9206ad179381db7249d01a</v>
      </c>
      <c r="D1042" s="16" t="s">
        <v>1255</v>
      </c>
      <c r="E1042" s="50"/>
      <c r="F1042" s="43"/>
      <c r="G1042" s="50"/>
      <c r="H1042" s="122" t="s">
        <v>1263</v>
      </c>
    </row>
    <row r="1043">
      <c r="A1043" s="16" t="s">
        <v>93</v>
      </c>
      <c r="B1043" s="59" t="str">
        <f>IFERROR(HYPERLINK(VLOOKUP(A1043,Internal_lists_bugs!$A$2:$C$73,3,FALSE()), VLOOKUP(A1043,Internal_lists_bugs!$A$2:$C$73,3,FALSE())&amp;Char(10) &amp; Char(10) &amp; VLOOKUP(A1043,Internal_lists_bugs!$A$2:$Z$73,26,FALSE())),"please select a BUG ID")</f>
        <v>
</v>
      </c>
      <c r="C1043" s="39" t="str">
        <f>IFERROR(VLOOKUP(A1043,Internal_lists_bugs!$A$2:$G2011,7,FALSE()),"please select a BUG ID")</f>
        <v>https://github.com/elastic/elasticsearch/commit/07443089ce761cdfcf9206ad179381db7249d01a</v>
      </c>
      <c r="D1043" s="16" t="s">
        <v>1264</v>
      </c>
      <c r="E1043" s="50"/>
      <c r="F1043" s="43"/>
      <c r="G1043" s="50"/>
      <c r="H1043" s="122" t="s">
        <v>1265</v>
      </c>
    </row>
    <row r="1044">
      <c r="A1044" s="16" t="s">
        <v>93</v>
      </c>
      <c r="B1044" s="59" t="str">
        <f>IFERROR(HYPERLINK(VLOOKUP(A1044,Internal_lists_bugs!$A$2:$C$73,3,FALSE()), VLOOKUP(A1044,Internal_lists_bugs!$A$2:$C$73,3,FALSE())&amp;Char(10) &amp; Char(10) &amp; VLOOKUP(A1044,Internal_lists_bugs!$A$2:$Z$73,26,FALSE())),"please select a BUG ID")</f>
        <v>
</v>
      </c>
      <c r="C1044" s="39" t="str">
        <f>IFERROR(VLOOKUP(A1044,Internal_lists_bugs!$A$2:$G2011,7,FALSE()),"please select a BUG ID")</f>
        <v>https://github.com/elastic/elasticsearch/commit/07443089ce761cdfcf9206ad179381db7249d01a</v>
      </c>
      <c r="D1044" s="16" t="s">
        <v>1253</v>
      </c>
      <c r="E1044" s="50"/>
      <c r="F1044" s="43"/>
      <c r="G1044" s="50"/>
      <c r="H1044" s="16" t="s">
        <v>1266</v>
      </c>
    </row>
    <row r="1045">
      <c r="A1045" s="16" t="s">
        <v>93</v>
      </c>
      <c r="B1045" s="59" t="str">
        <f>IFERROR(HYPERLINK(VLOOKUP(A1045,Internal_lists_bugs!$A$2:$C$73,3,FALSE()), VLOOKUP(A1045,Internal_lists_bugs!$A$2:$C$73,3,FALSE())&amp;Char(10) &amp; Char(10) &amp; VLOOKUP(A1045,Internal_lists_bugs!$A$2:$Z$73,26,FALSE())),"please select a BUG ID")</f>
        <v>
</v>
      </c>
      <c r="C1045" s="39" t="str">
        <f>IFERROR(VLOOKUP(A1045,Internal_lists_bugs!$A$2:$G2011,7,FALSE()),"please select a BUG ID")</f>
        <v>https://github.com/elastic/elasticsearch/commit/07443089ce761cdfcf9206ad179381db7249d01a</v>
      </c>
      <c r="D1045" s="16" t="s">
        <v>1269</v>
      </c>
      <c r="E1045" s="50"/>
      <c r="F1045" s="43"/>
      <c r="G1045" s="50"/>
      <c r="H1045" s="16" t="s">
        <v>1271</v>
      </c>
    </row>
    <row r="1046">
      <c r="A1046" s="16" t="s">
        <v>93</v>
      </c>
      <c r="B1046" s="59" t="str">
        <f>IFERROR(HYPERLINK(VLOOKUP(A1046,Internal_lists_bugs!$A$2:$C$73,3,FALSE()), VLOOKUP(A1046,Internal_lists_bugs!$A$2:$C$73,3,FALSE())&amp;Char(10) &amp; Char(10) &amp; VLOOKUP(A1046,Internal_lists_bugs!$A$2:$Z$73,26,FALSE())),"please select a BUG ID")</f>
        <v>
</v>
      </c>
      <c r="C1046" s="39" t="str">
        <f>IFERROR(VLOOKUP(A1046,Internal_lists_bugs!$A$2:$G2011,7,FALSE()),"please select a BUG ID")</f>
        <v>https://github.com/elastic/elasticsearch/commit/07443089ce761cdfcf9206ad179381db7249d01a</v>
      </c>
      <c r="D1046" s="16" t="s">
        <v>1254</v>
      </c>
      <c r="E1046" s="50"/>
      <c r="F1046" s="43"/>
      <c r="G1046" s="50"/>
      <c r="H1046" s="16" t="s">
        <v>1272</v>
      </c>
    </row>
    <row r="1047">
      <c r="A1047" s="16" t="s">
        <v>93</v>
      </c>
      <c r="B1047" s="59" t="str">
        <f>IFERROR(HYPERLINK(VLOOKUP(A1047,Internal_lists_bugs!$A$2:$C$73,3,FALSE()), VLOOKUP(A1047,Internal_lists_bugs!$A$2:$C$73,3,FALSE())&amp;Char(10) &amp; Char(10) &amp; VLOOKUP(A1047,Internal_lists_bugs!$A$2:$Z$73,26,FALSE())),"please select a BUG ID")</f>
        <v>
</v>
      </c>
      <c r="C1047" s="39" t="str">
        <f>IFERROR(VLOOKUP(A1047,Internal_lists_bugs!$A$2:$G2011,7,FALSE()),"please select a BUG ID")</f>
        <v>https://github.com/elastic/elasticsearch/commit/07443089ce761cdfcf9206ad179381db7249d01a</v>
      </c>
      <c r="D1047" s="16" t="s">
        <v>1250</v>
      </c>
      <c r="E1047" s="50"/>
      <c r="F1047" s="43"/>
      <c r="G1047" s="50"/>
      <c r="H1047" s="43"/>
    </row>
    <row r="1048">
      <c r="A1048" s="16" t="s">
        <v>93</v>
      </c>
      <c r="B1048" s="59" t="str">
        <f>IFERROR(HYPERLINK(VLOOKUP(A1048,Internal_lists_bugs!$A$2:$C$73,3,FALSE()), VLOOKUP(A1048,Internal_lists_bugs!$A$2:$C$73,3,FALSE())&amp;Char(10) &amp; Char(10) &amp; VLOOKUP(A1048,Internal_lists_bugs!$A$2:$Z$73,26,FALSE())),"please select a BUG ID")</f>
        <v>
</v>
      </c>
      <c r="C1048" s="39" t="str">
        <f>IFERROR(VLOOKUP(A1048,Internal_lists_bugs!$A$2:$G2011,7,FALSE()),"please select a BUG ID")</f>
        <v>https://github.com/elastic/elasticsearch/commit/07443089ce761cdfcf9206ad179381db7249d01a</v>
      </c>
      <c r="D1048" s="16" t="s">
        <v>1268</v>
      </c>
      <c r="E1048" s="50"/>
      <c r="F1048" s="43"/>
      <c r="G1048" s="50"/>
      <c r="H1048" s="43"/>
    </row>
    <row r="1049">
      <c r="A1049" s="16" t="s">
        <v>93</v>
      </c>
      <c r="B1049" s="59" t="str">
        <f>IFERROR(HYPERLINK(VLOOKUP(A1049,Internal_lists_bugs!$A$2:$C$73,3,FALSE()), VLOOKUP(A1049,Internal_lists_bugs!$A$2:$C$73,3,FALSE())&amp;Char(10) &amp; Char(10) &amp; VLOOKUP(A1049,Internal_lists_bugs!$A$2:$Z$73,26,FALSE())),"please select a BUG ID")</f>
        <v>
</v>
      </c>
      <c r="C1049" s="39" t="str">
        <f>IFERROR(VLOOKUP(A1049,Internal_lists_bugs!$A$2:$G2011,7,FALSE()),"please select a BUG ID")</f>
        <v>https://github.com/elastic/elasticsearch/commit/07443089ce761cdfcf9206ad179381db7249d01a</v>
      </c>
      <c r="D1049" s="16" t="s">
        <v>1273</v>
      </c>
      <c r="F1049" s="43"/>
      <c r="H1049" s="43"/>
    </row>
    <row r="1050">
      <c r="A1050" s="16" t="s">
        <v>93</v>
      </c>
      <c r="B1050" s="59" t="str">
        <f>IFERROR(HYPERLINK(VLOOKUP(A1050,Internal_lists_bugs!$A$2:$C$73,3,FALSE()), VLOOKUP(A1050,Internal_lists_bugs!$A$2:$C$73,3,FALSE())&amp;Char(10) &amp; Char(10) &amp; VLOOKUP(A1050,Internal_lists_bugs!$A$2:$Z$73,26,FALSE())),"please select a BUG ID")</f>
        <v>
</v>
      </c>
      <c r="C1050" s="39" t="str">
        <f>IFERROR(VLOOKUP(A1050,Internal_lists_bugs!$A$2:$G2011,7,FALSE()),"please select a BUG ID")</f>
        <v>https://github.com/elastic/elasticsearch/commit/07443089ce761cdfcf9206ad179381db7249d01a</v>
      </c>
      <c r="D1050" s="16" t="s">
        <v>1275</v>
      </c>
      <c r="F1050" s="43"/>
      <c r="H1050" s="43"/>
    </row>
    <row r="1051">
      <c r="A1051" s="16" t="s">
        <v>93</v>
      </c>
      <c r="B1051" s="59" t="str">
        <f>IFERROR(HYPERLINK(VLOOKUP(A1051,Internal_lists_bugs!$A$2:$C$73,3,FALSE()), VLOOKUP(A1051,Internal_lists_bugs!$A$2:$C$73,3,FALSE())&amp;Char(10) &amp; Char(10) &amp; VLOOKUP(A1051,Internal_lists_bugs!$A$2:$Z$73,26,FALSE())),"please select a BUG ID")</f>
        <v>
</v>
      </c>
      <c r="C1051" s="39" t="str">
        <f>IFERROR(VLOOKUP(A1051,Internal_lists_bugs!$A$2:$G2011,7,FALSE()),"please select a BUG ID")</f>
        <v>https://github.com/elastic/elasticsearch/commit/07443089ce761cdfcf9206ad179381db7249d01a</v>
      </c>
      <c r="D1051" s="16" t="s">
        <v>1274</v>
      </c>
      <c r="F1051" s="43"/>
      <c r="H1051" s="43"/>
    </row>
    <row r="1052">
      <c r="A1052" s="16" t="s">
        <v>78</v>
      </c>
      <c r="B1052" s="59" t="str">
        <f>IFERROR(HYPERLINK(VLOOKUP(A1052,Internal_lists_bugs!$A$2:$C$73,3,FALSE()), VLOOKUP(A1052,Internal_lists_bugs!$A$2:$C$73,3,FALSE())&amp;Char(10) &amp; Char(10) &amp; VLOOKUP(A1052,Internal_lists_bugs!$A$2:$Z$73,26,FALSE())),"please select a BUG ID")</f>
        <v>
</v>
      </c>
      <c r="C1052" s="39" t="str">
        <f>IFERROR(VLOOKUP(A1052,Internal_lists_bugs!$A$2:$G2011,7,FALSE()),"please select a BUG ID")</f>
        <v>https://github.com/elastic/elasticsearch/commit/e7e1667a26de5472e3419c586682b92c37c6e7d3</v>
      </c>
      <c r="D1052" s="16" t="s">
        <v>1261</v>
      </c>
      <c r="E1052" s="50"/>
      <c r="F1052" s="16" t="s">
        <v>1189</v>
      </c>
      <c r="G1052" s="50"/>
      <c r="H1052" s="122" t="s">
        <v>1262</v>
      </c>
    </row>
    <row r="1053">
      <c r="A1053" s="16" t="s">
        <v>78</v>
      </c>
      <c r="B1053" s="59" t="str">
        <f>IFERROR(HYPERLINK(VLOOKUP(A1053,Internal_lists_bugs!$A$2:$C$73,3,FALSE()), VLOOKUP(A1053,Internal_lists_bugs!$A$2:$C$73,3,FALSE())&amp;Char(10) &amp; Char(10) &amp; VLOOKUP(A1053,Internal_lists_bugs!$A$2:$Z$73,26,FALSE())),"please select a BUG ID")</f>
        <v>
</v>
      </c>
      <c r="C1053" s="39" t="str">
        <f>IFERROR(VLOOKUP(A1053,Internal_lists_bugs!$A$2:$G2011,7,FALSE()),"please select a BUG ID")</f>
        <v>https://github.com/elastic/elasticsearch/commit/e7e1667a26de5472e3419c586682b92c37c6e7d3</v>
      </c>
      <c r="D1053" s="16" t="s">
        <v>1258</v>
      </c>
      <c r="E1053" s="50"/>
      <c r="F1053" s="43"/>
      <c r="G1053" s="50"/>
      <c r="H1053" s="122" t="s">
        <v>1267</v>
      </c>
    </row>
    <row r="1054">
      <c r="A1054" s="16" t="s">
        <v>78</v>
      </c>
      <c r="B1054" s="59" t="str">
        <f>IFERROR(HYPERLINK(VLOOKUP(A1054,Internal_lists_bugs!$A$2:$C$73,3,FALSE()), VLOOKUP(A1054,Internal_lists_bugs!$A$2:$C$73,3,FALSE())&amp;Char(10) &amp; Char(10) &amp; VLOOKUP(A1054,Internal_lists_bugs!$A$2:$Z$73,26,FALSE())),"please select a BUG ID")</f>
        <v>
</v>
      </c>
      <c r="C1054" s="39" t="str">
        <f>IFERROR(VLOOKUP(A1054,Internal_lists_bugs!$A$2:$G2011,7,FALSE()),"please select a BUG ID")</f>
        <v>https://github.com/elastic/elasticsearch/commit/e7e1667a26de5472e3419c586682b92c37c6e7d3</v>
      </c>
      <c r="D1054" s="16" t="s">
        <v>1255</v>
      </c>
      <c r="E1054" s="50"/>
      <c r="F1054" s="43"/>
      <c r="G1054" s="50"/>
      <c r="H1054" s="122" t="s">
        <v>1263</v>
      </c>
    </row>
    <row r="1055">
      <c r="A1055" s="16" t="s">
        <v>78</v>
      </c>
      <c r="B1055" s="59" t="str">
        <f>IFERROR(HYPERLINK(VLOOKUP(A1055,Internal_lists_bugs!$A$2:$C$73,3,FALSE()), VLOOKUP(A1055,Internal_lists_bugs!$A$2:$C$73,3,FALSE())&amp;Char(10) &amp; Char(10) &amp; VLOOKUP(A1055,Internal_lists_bugs!$A$2:$Z$73,26,FALSE())),"please select a BUG ID")</f>
        <v>
</v>
      </c>
      <c r="C1055" s="39" t="str">
        <f>IFERROR(VLOOKUP(A1055,Internal_lists_bugs!$A$2:$G2011,7,FALSE()),"please select a BUG ID")</f>
        <v>https://github.com/elastic/elasticsearch/commit/e7e1667a26de5472e3419c586682b92c37c6e7d3</v>
      </c>
      <c r="D1055" s="16" t="s">
        <v>1264</v>
      </c>
      <c r="E1055" s="50"/>
      <c r="F1055" s="43"/>
      <c r="G1055" s="50"/>
      <c r="H1055" s="122" t="s">
        <v>1265</v>
      </c>
    </row>
    <row r="1056">
      <c r="A1056" s="16" t="s">
        <v>78</v>
      </c>
      <c r="B1056" s="59" t="str">
        <f>IFERROR(HYPERLINK(VLOOKUP(A1056,Internal_lists_bugs!$A$2:$C$73,3,FALSE()), VLOOKUP(A1056,Internal_lists_bugs!$A$2:$C$73,3,FALSE())&amp;Char(10) &amp; Char(10) &amp; VLOOKUP(A1056,Internal_lists_bugs!$A$2:$Z$73,26,FALSE())),"please select a BUG ID")</f>
        <v>
</v>
      </c>
      <c r="C1056" s="39" t="str">
        <f>IFERROR(VLOOKUP(A1056,Internal_lists_bugs!$A$2:$G2011,7,FALSE()),"please select a BUG ID")</f>
        <v>https://github.com/elastic/elasticsearch/commit/e7e1667a26de5472e3419c586682b92c37c6e7d3</v>
      </c>
      <c r="D1056" s="16" t="s">
        <v>1253</v>
      </c>
      <c r="E1056" s="50"/>
      <c r="F1056" s="43"/>
      <c r="G1056" s="50"/>
      <c r="H1056" s="16" t="s">
        <v>1266</v>
      </c>
    </row>
    <row r="1057">
      <c r="A1057" s="16" t="s">
        <v>78</v>
      </c>
      <c r="B1057" s="59" t="str">
        <f>IFERROR(HYPERLINK(VLOOKUP(A1057,Internal_lists_bugs!$A$2:$C$73,3,FALSE()), VLOOKUP(A1057,Internal_lists_bugs!$A$2:$C$73,3,FALSE())&amp;Char(10) &amp; Char(10) &amp; VLOOKUP(A1057,Internal_lists_bugs!$A$2:$Z$73,26,FALSE())),"please select a BUG ID")</f>
        <v>
</v>
      </c>
      <c r="C1057" s="39" t="str">
        <f>IFERROR(VLOOKUP(A1057,Internal_lists_bugs!$A$2:$G2011,7,FALSE()),"please select a BUG ID")</f>
        <v>https://github.com/elastic/elasticsearch/commit/e7e1667a26de5472e3419c586682b92c37c6e7d3</v>
      </c>
      <c r="D1057" s="16" t="s">
        <v>1269</v>
      </c>
      <c r="E1057" s="50"/>
      <c r="F1057" s="43"/>
      <c r="G1057" s="50"/>
      <c r="H1057" s="16" t="s">
        <v>1271</v>
      </c>
    </row>
    <row r="1058">
      <c r="A1058" s="16" t="s">
        <v>78</v>
      </c>
      <c r="B1058" s="59" t="str">
        <f>IFERROR(HYPERLINK(VLOOKUP(A1058,Internal_lists_bugs!$A$2:$C$73,3,FALSE()), VLOOKUP(A1058,Internal_lists_bugs!$A$2:$C$73,3,FALSE())&amp;Char(10) &amp; Char(10) &amp; VLOOKUP(A1058,Internal_lists_bugs!$A$2:$Z$73,26,FALSE())),"please select a BUG ID")</f>
        <v>
</v>
      </c>
      <c r="C1058" s="39" t="str">
        <f>IFERROR(VLOOKUP(A1058,Internal_lists_bugs!$A$2:$G2011,7,FALSE()),"please select a BUG ID")</f>
        <v>https://github.com/elastic/elasticsearch/commit/e7e1667a26de5472e3419c586682b92c37c6e7d3</v>
      </c>
      <c r="D1058" s="16" t="s">
        <v>1254</v>
      </c>
      <c r="E1058" s="50"/>
      <c r="F1058" s="43"/>
      <c r="G1058" s="50"/>
      <c r="H1058" s="16" t="s">
        <v>1272</v>
      </c>
    </row>
    <row r="1059">
      <c r="A1059" s="16" t="s">
        <v>78</v>
      </c>
      <c r="B1059" s="59" t="str">
        <f>IFERROR(HYPERLINK(VLOOKUP(A1059,Internal_lists_bugs!$A$2:$C$73,3,FALSE()), VLOOKUP(A1059,Internal_lists_bugs!$A$2:$C$73,3,FALSE())&amp;Char(10) &amp; Char(10) &amp; VLOOKUP(A1059,Internal_lists_bugs!$A$2:$Z$73,26,FALSE())),"please select a BUG ID")</f>
        <v>
</v>
      </c>
      <c r="C1059" s="39" t="str">
        <f>IFERROR(VLOOKUP(A1059,Internal_lists_bugs!$A$2:$G2011,7,FALSE()),"please select a BUG ID")</f>
        <v>https://github.com/elastic/elasticsearch/commit/e7e1667a26de5472e3419c586682b92c37c6e7d3</v>
      </c>
      <c r="D1059" s="16" t="s">
        <v>1250</v>
      </c>
      <c r="E1059" s="50"/>
      <c r="F1059" s="43"/>
      <c r="G1059" s="50"/>
      <c r="H1059" s="43"/>
    </row>
    <row r="1060">
      <c r="A1060" s="16" t="s">
        <v>78</v>
      </c>
      <c r="B1060" s="59" t="str">
        <f>IFERROR(HYPERLINK(VLOOKUP(A1060,Internal_lists_bugs!$A$2:$C$73,3,FALSE()), VLOOKUP(A1060,Internal_lists_bugs!$A$2:$C$73,3,FALSE())&amp;Char(10) &amp; Char(10) &amp; VLOOKUP(A1060,Internal_lists_bugs!$A$2:$Z$73,26,FALSE())),"please select a BUG ID")</f>
        <v>
</v>
      </c>
      <c r="C1060" s="39" t="str">
        <f>IFERROR(VLOOKUP(A1060,Internal_lists_bugs!$A$2:$G2011,7,FALSE()),"please select a BUG ID")</f>
        <v>https://github.com/elastic/elasticsearch/commit/e7e1667a26de5472e3419c586682b92c37c6e7d3</v>
      </c>
      <c r="D1060" s="16" t="s">
        <v>1268</v>
      </c>
      <c r="E1060" s="50"/>
      <c r="F1060" s="43"/>
      <c r="G1060" s="50"/>
      <c r="H1060" s="43"/>
    </row>
    <row r="1061">
      <c r="A1061" s="16" t="s">
        <v>78</v>
      </c>
      <c r="B1061" s="59" t="str">
        <f>IFERROR(HYPERLINK(VLOOKUP(A1061,Internal_lists_bugs!$A$2:$C$73,3,FALSE()), VLOOKUP(A1061,Internal_lists_bugs!$A$2:$C$73,3,FALSE())&amp;Char(10) &amp; Char(10) &amp; VLOOKUP(A1061,Internal_lists_bugs!$A$2:$Z$73,26,FALSE())),"please select a BUG ID")</f>
        <v>
</v>
      </c>
      <c r="C1061" s="39" t="str">
        <f>IFERROR(VLOOKUP(A1061,Internal_lists_bugs!$A$2:$G2011,7,FALSE()),"please select a BUG ID")</f>
        <v>https://github.com/elastic/elasticsearch/commit/e7e1667a26de5472e3419c586682b92c37c6e7d3</v>
      </c>
      <c r="D1061" s="16" t="s">
        <v>1273</v>
      </c>
      <c r="F1061" s="43"/>
      <c r="H1061" s="43"/>
    </row>
    <row r="1062">
      <c r="A1062" s="16" t="s">
        <v>78</v>
      </c>
      <c r="B1062" s="59" t="str">
        <f>IFERROR(HYPERLINK(VLOOKUP(A1062,Internal_lists_bugs!$A$2:$C$73,3,FALSE()), VLOOKUP(A1062,Internal_lists_bugs!$A$2:$C$73,3,FALSE())&amp;Char(10) &amp; Char(10) &amp; VLOOKUP(A1062,Internal_lists_bugs!$A$2:$Z$73,26,FALSE())),"please select a BUG ID")</f>
        <v>
</v>
      </c>
      <c r="C1062" s="39" t="str">
        <f>IFERROR(VLOOKUP(A1062,Internal_lists_bugs!$A$2:$G2011,7,FALSE()),"please select a BUG ID")</f>
        <v>https://github.com/elastic/elasticsearch/commit/e7e1667a26de5472e3419c586682b92c37c6e7d3</v>
      </c>
      <c r="D1062" s="16" t="s">
        <v>1275</v>
      </c>
      <c r="F1062" s="43"/>
      <c r="H1062" s="43"/>
    </row>
    <row r="1063">
      <c r="A1063" s="16" t="s">
        <v>78</v>
      </c>
      <c r="B1063" s="59" t="str">
        <f>IFERROR(HYPERLINK(VLOOKUP(A1063,Internal_lists_bugs!$A$2:$C$73,3,FALSE()), VLOOKUP(A1063,Internal_lists_bugs!$A$2:$C$73,3,FALSE())&amp;Char(10) &amp; Char(10) &amp; VLOOKUP(A1063,Internal_lists_bugs!$A$2:$Z$73,26,FALSE())),"please select a BUG ID")</f>
        <v>
</v>
      </c>
      <c r="C1063" s="39" t="str">
        <f>IFERROR(VLOOKUP(A1063,Internal_lists_bugs!$A$2:$G2011,7,FALSE()),"please select a BUG ID")</f>
        <v>https://github.com/elastic/elasticsearch/commit/e7e1667a26de5472e3419c586682b92c37c6e7d3</v>
      </c>
      <c r="D1063" s="16" t="s">
        <v>1274</v>
      </c>
      <c r="F1063" s="43"/>
      <c r="H1063" s="43"/>
    </row>
    <row r="1064">
      <c r="A1064" s="16" t="s">
        <v>66</v>
      </c>
      <c r="B1064" s="59" t="str">
        <f>IFERROR(HYPERLINK(VLOOKUP(A1064,Internal_lists_bugs!$A$2:$C$73,3,FALSE()), VLOOKUP(A1064,Internal_lists_bugs!$A$2:$C$73,3,FALSE())&amp;Char(10) &amp; Char(10) &amp; VLOOKUP(A1064,Internal_lists_bugs!$A$2:$Z$73,26,FALSE())),"please select a BUG ID")</f>
        <v>
</v>
      </c>
      <c r="C1064" s="39" t="str">
        <f>IFERROR(VLOOKUP(A1064,Internal_lists_bugs!$A$2:$G2011,7,FALSE()),"please select a BUG ID")</f>
        <v>https://github.com/elastic/elasticsearch/commit/8561f897a984807958a543e378ab01349935a739</v>
      </c>
      <c r="D1064" s="16" t="s">
        <v>1261</v>
      </c>
      <c r="E1064" s="50"/>
      <c r="F1064" s="16" t="s">
        <v>1174</v>
      </c>
      <c r="G1064" s="50"/>
      <c r="H1064" s="122" t="s">
        <v>1262</v>
      </c>
    </row>
    <row r="1065">
      <c r="A1065" s="16" t="s">
        <v>66</v>
      </c>
      <c r="B1065" s="59" t="str">
        <f>IFERROR(HYPERLINK(VLOOKUP(A1065,Internal_lists_bugs!$A$2:$C$73,3,FALSE()), VLOOKUP(A1065,Internal_lists_bugs!$A$2:$C$73,3,FALSE())&amp;Char(10) &amp; Char(10) &amp; VLOOKUP(A1065,Internal_lists_bugs!$A$2:$Z$73,26,FALSE())),"please select a BUG ID")</f>
        <v>
</v>
      </c>
      <c r="C1065" s="39" t="str">
        <f>IFERROR(VLOOKUP(A1065,Internal_lists_bugs!$A$2:$G2011,7,FALSE()),"please select a BUG ID")</f>
        <v>https://github.com/elastic/elasticsearch/commit/8561f897a984807958a543e378ab01349935a739</v>
      </c>
      <c r="D1065" s="16" t="s">
        <v>1258</v>
      </c>
      <c r="E1065" s="50"/>
      <c r="F1065" s="43"/>
      <c r="G1065" s="50"/>
      <c r="H1065" s="122" t="s">
        <v>1271</v>
      </c>
    </row>
    <row r="1066">
      <c r="A1066" s="16" t="s">
        <v>66</v>
      </c>
      <c r="B1066" s="59" t="str">
        <f>IFERROR(HYPERLINK(VLOOKUP(A1066,Internal_lists_bugs!$A$2:$C$73,3,FALSE()), VLOOKUP(A1066,Internal_lists_bugs!$A$2:$C$73,3,FALSE())&amp;Char(10) &amp; Char(10) &amp; VLOOKUP(A1066,Internal_lists_bugs!$A$2:$Z$73,26,FALSE())),"please select a BUG ID")</f>
        <v>
</v>
      </c>
      <c r="C1066" s="39" t="str">
        <f>IFERROR(VLOOKUP(A1066,Internal_lists_bugs!$A$2:$G2011,7,FALSE()),"please select a BUG ID")</f>
        <v>https://github.com/elastic/elasticsearch/commit/8561f897a984807958a543e378ab01349935a739</v>
      </c>
      <c r="D1066" s="16" t="s">
        <v>1253</v>
      </c>
      <c r="F1066" s="43"/>
      <c r="H1066" s="122"/>
    </row>
    <row r="1067">
      <c r="A1067" s="16" t="s">
        <v>66</v>
      </c>
      <c r="B1067" s="59" t="str">
        <f>IFERROR(HYPERLINK(VLOOKUP(A1067,Internal_lists_bugs!$A$2:$C$73,3,FALSE()), VLOOKUP(A1067,Internal_lists_bugs!$A$2:$C$73,3,FALSE())&amp;Char(10) &amp; Char(10) &amp; VLOOKUP(A1067,Internal_lists_bugs!$A$2:$Z$73,26,FALSE())),"please select a BUG ID")</f>
        <v>
</v>
      </c>
      <c r="C1067" s="39" t="str">
        <f>IFERROR(VLOOKUP(A1067,Internal_lists_bugs!$A$2:$G2011,7,FALSE()),"please select a BUG ID")</f>
        <v>https://github.com/elastic/elasticsearch/commit/8561f897a984807958a543e378ab01349935a739</v>
      </c>
      <c r="D1067" s="16" t="s">
        <v>1254</v>
      </c>
      <c r="F1067" s="43"/>
      <c r="H1067" s="122"/>
    </row>
    <row r="1068">
      <c r="A1068" s="16" t="s">
        <v>66</v>
      </c>
      <c r="B1068" s="59" t="str">
        <f>IFERROR(HYPERLINK(VLOOKUP(A1068,Internal_lists_bugs!$A$2:$C$73,3,FALSE()), VLOOKUP(A1068,Internal_lists_bugs!$A$2:$C$73,3,FALSE())&amp;Char(10) &amp; Char(10) &amp; VLOOKUP(A1068,Internal_lists_bugs!$A$2:$Z$73,26,FALSE())),"please select a BUG ID")</f>
        <v>
</v>
      </c>
      <c r="C1068" s="39" t="str">
        <f>IFERROR(VLOOKUP(A1068,Internal_lists_bugs!$A$2:$G2011,7,FALSE()),"please select a BUG ID")</f>
        <v>https://github.com/elastic/elasticsearch/commit/8561f897a984807958a543e378ab01349935a739</v>
      </c>
      <c r="D1068" s="16" t="s">
        <v>1273</v>
      </c>
      <c r="F1068" s="43"/>
      <c r="H1068" s="43"/>
    </row>
    <row r="1069">
      <c r="A1069" s="16" t="s">
        <v>77</v>
      </c>
      <c r="B1069" s="59" t="str">
        <f>IFERROR(HYPERLINK(VLOOKUP(A1069,Internal_lists_bugs!$A$2:$C$73,3,FALSE()), VLOOKUP(A1069,Internal_lists_bugs!$A$2:$C$73,3,FALSE())&amp;Char(10) &amp; Char(10) &amp; VLOOKUP(A1069,Internal_lists_bugs!$A$2:$Z$73,26,FALSE())),"please select a BUG ID")</f>
        <v>
</v>
      </c>
      <c r="C1069" s="39" t="str">
        <f>IFERROR(VLOOKUP(A1069,Internal_lists_bugs!$A$2:$G2011,7,FALSE()),"please select a BUG ID")</f>
        <v>https://github.com/elastic/elasticsearch/commit/3f1472505723866794d875c00bde575d988e120d</v>
      </c>
      <c r="D1069" s="16" t="s">
        <v>1261</v>
      </c>
      <c r="E1069" s="50"/>
      <c r="F1069" s="16" t="s">
        <v>1174</v>
      </c>
      <c r="G1069" s="50"/>
      <c r="H1069" s="122" t="s">
        <v>1262</v>
      </c>
    </row>
    <row r="1070">
      <c r="A1070" s="16" t="s">
        <v>77</v>
      </c>
      <c r="B1070" s="59" t="str">
        <f>IFERROR(HYPERLINK(VLOOKUP(A1070,Internal_lists_bugs!$A$2:$C$73,3,FALSE()), VLOOKUP(A1070,Internal_lists_bugs!$A$2:$C$73,3,FALSE())&amp;Char(10) &amp; Char(10) &amp; VLOOKUP(A1070,Internal_lists_bugs!$A$2:$Z$73,26,FALSE())),"please select a BUG ID")</f>
        <v>
</v>
      </c>
      <c r="C1070" s="39" t="str">
        <f>IFERROR(VLOOKUP(A1070,Internal_lists_bugs!$A$2:$G2011,7,FALSE()),"please select a BUG ID")</f>
        <v>https://github.com/elastic/elasticsearch/commit/3f1472505723866794d875c00bde575d988e120d</v>
      </c>
      <c r="D1070" s="16" t="s">
        <v>1258</v>
      </c>
      <c r="E1070" s="50"/>
      <c r="F1070" s="43"/>
      <c r="G1070" s="50"/>
      <c r="H1070" s="122" t="s">
        <v>1267</v>
      </c>
    </row>
    <row r="1071">
      <c r="A1071" s="16" t="s">
        <v>77</v>
      </c>
      <c r="B1071" s="59" t="str">
        <f>IFERROR(HYPERLINK(VLOOKUP(A1071,Internal_lists_bugs!$A$2:$C$73,3,FALSE()), VLOOKUP(A1071,Internal_lists_bugs!$A$2:$C$73,3,FALSE())&amp;Char(10) &amp; Char(10) &amp; VLOOKUP(A1071,Internal_lists_bugs!$A$2:$Z$73,26,FALSE())),"please select a BUG ID")</f>
        <v>
</v>
      </c>
      <c r="C1071" s="39" t="str">
        <f>IFERROR(VLOOKUP(A1071,Internal_lists_bugs!$A$2:$G2011,7,FALSE()),"please select a BUG ID")</f>
        <v>https://github.com/elastic/elasticsearch/commit/3f1472505723866794d875c00bde575d988e120d</v>
      </c>
      <c r="D1071" s="1" t="s">
        <v>1264</v>
      </c>
      <c r="E1071" s="50"/>
      <c r="F1071" s="43"/>
      <c r="G1071" s="50"/>
      <c r="H1071" s="122" t="s">
        <v>1263</v>
      </c>
    </row>
    <row r="1072">
      <c r="A1072" s="16" t="s">
        <v>77</v>
      </c>
      <c r="B1072" s="59" t="str">
        <f>IFERROR(HYPERLINK(VLOOKUP(A1072,Internal_lists_bugs!$A$2:$C$73,3,FALSE()), VLOOKUP(A1072,Internal_lists_bugs!$A$2:$C$73,3,FALSE())&amp;Char(10) &amp; Char(10) &amp; VLOOKUP(A1072,Internal_lists_bugs!$A$2:$Z$73,26,FALSE())),"please select a BUG ID")</f>
        <v>
</v>
      </c>
      <c r="C1072" s="39" t="str">
        <f>IFERROR(VLOOKUP(A1072,Internal_lists_bugs!$A$2:$G2011,7,FALSE()),"please select a BUG ID")</f>
        <v>https://github.com/elastic/elasticsearch/commit/3f1472505723866794d875c00bde575d988e120d</v>
      </c>
      <c r="D1072" s="1" t="s">
        <v>1253</v>
      </c>
      <c r="E1072" s="50"/>
      <c r="F1072" s="43"/>
      <c r="G1072" s="50"/>
      <c r="H1072" s="122" t="s">
        <v>1265</v>
      </c>
    </row>
    <row r="1073">
      <c r="A1073" s="16" t="s">
        <v>77</v>
      </c>
      <c r="B1073" s="59" t="str">
        <f>IFERROR(HYPERLINK(VLOOKUP(A1073,Internal_lists_bugs!$A$2:$C$73,3,FALSE()), VLOOKUP(A1073,Internal_lists_bugs!$A$2:$C$73,3,FALSE())&amp;Char(10) &amp; Char(10) &amp; VLOOKUP(A1073,Internal_lists_bugs!$A$2:$Z$73,26,FALSE())),"please select a BUG ID")</f>
        <v>
</v>
      </c>
      <c r="C1073" s="39" t="str">
        <f>IFERROR(VLOOKUP(A1073,Internal_lists_bugs!$A$2:$G2011,7,FALSE()),"please select a BUG ID")</f>
        <v>https://github.com/elastic/elasticsearch/commit/3f1472505723866794d875c00bde575d988e120d</v>
      </c>
      <c r="D1073" s="9" t="s">
        <v>1269</v>
      </c>
      <c r="E1073" s="50"/>
      <c r="F1073" s="43"/>
      <c r="G1073" s="50"/>
      <c r="H1073" s="16" t="s">
        <v>1266</v>
      </c>
    </row>
    <row r="1074">
      <c r="A1074" s="16" t="s">
        <v>77</v>
      </c>
      <c r="B1074" s="59" t="str">
        <f>IFERROR(HYPERLINK(VLOOKUP(A1074,Internal_lists_bugs!$A$2:$C$73,3,FALSE()), VLOOKUP(A1074,Internal_lists_bugs!$A$2:$C$73,3,FALSE())&amp;Char(10) &amp; Char(10) &amp; VLOOKUP(A1074,Internal_lists_bugs!$A$2:$Z$73,26,FALSE())),"please select a BUG ID")</f>
        <v>
</v>
      </c>
      <c r="C1074" s="39" t="str">
        <f>IFERROR(VLOOKUP(A1074,Internal_lists_bugs!$A$2:$G2011,7,FALSE()),"please select a BUG ID")</f>
        <v>https://github.com/elastic/elasticsearch/commit/3f1472505723866794d875c00bde575d988e120d</v>
      </c>
      <c r="D1074" s="1" t="s">
        <v>1254</v>
      </c>
      <c r="E1074" s="50"/>
      <c r="F1074" s="43"/>
      <c r="G1074" s="50"/>
      <c r="H1074" s="16" t="s">
        <v>1271</v>
      </c>
    </row>
    <row r="1075">
      <c r="A1075" s="16" t="s">
        <v>77</v>
      </c>
      <c r="B1075" s="59" t="str">
        <f>IFERROR(HYPERLINK(VLOOKUP(A1075,Internal_lists_bugs!$A$2:$C$73,3,FALSE()), VLOOKUP(A1075,Internal_lists_bugs!$A$2:$C$73,3,FALSE())&amp;Char(10) &amp; Char(10) &amp; VLOOKUP(A1075,Internal_lists_bugs!$A$2:$Z$73,26,FALSE())),"please select a BUG ID")</f>
        <v>
</v>
      </c>
      <c r="C1075" s="39" t="str">
        <f>IFERROR(VLOOKUP(A1075,Internal_lists_bugs!$A$2:$G2011,7,FALSE()),"please select a BUG ID")</f>
        <v>https://github.com/elastic/elasticsearch/commit/3f1472505723866794d875c00bde575d988e120d</v>
      </c>
      <c r="D1075" s="1" t="s">
        <v>1250</v>
      </c>
      <c r="E1075" s="50"/>
      <c r="F1075" s="43"/>
      <c r="G1075" s="50"/>
      <c r="H1075" s="16" t="s">
        <v>1272</v>
      </c>
    </row>
    <row r="1076">
      <c r="A1076" s="16" t="s">
        <v>77</v>
      </c>
      <c r="B1076" s="59" t="str">
        <f>IFERROR(HYPERLINK(VLOOKUP(A1076,Internal_lists_bugs!$A$2:$C$73,3,FALSE()), VLOOKUP(A1076,Internal_lists_bugs!$A$2:$C$73,3,FALSE())&amp;Char(10) &amp; Char(10) &amp; VLOOKUP(A1076,Internal_lists_bugs!$A$2:$Z$73,26,FALSE())),"please select a BUG ID")</f>
        <v>
</v>
      </c>
      <c r="C1076" s="39" t="str">
        <f>IFERROR(VLOOKUP(A1076,Internal_lists_bugs!$A$2:$G2011,7,FALSE()),"please select a BUG ID")</f>
        <v>https://github.com/elastic/elasticsearch/commit/3f1472505723866794d875c00bde575d988e120d</v>
      </c>
      <c r="D1076" s="1" t="s">
        <v>1268</v>
      </c>
      <c r="E1076" s="50"/>
      <c r="F1076" s="43"/>
      <c r="G1076" s="50"/>
      <c r="H1076" s="43"/>
    </row>
    <row r="1077">
      <c r="A1077" s="16" t="s">
        <v>77</v>
      </c>
      <c r="B1077" s="59" t="str">
        <f>IFERROR(HYPERLINK(VLOOKUP(A1077,Internal_lists_bugs!$A$2:$C$73,3,FALSE()), VLOOKUP(A1077,Internal_lists_bugs!$A$2:$C$73,3,FALSE())&amp;Char(10) &amp; Char(10) &amp; VLOOKUP(A1077,Internal_lists_bugs!$A$2:$Z$73,26,FALSE())),"please select a BUG ID")</f>
        <v>
</v>
      </c>
      <c r="C1077" s="39" t="str">
        <f>IFERROR(VLOOKUP(A1077,Internal_lists_bugs!$A$2:$G2011,7,FALSE()),"please select a BUG ID")</f>
        <v>https://github.com/elastic/elasticsearch/commit/3f1472505723866794d875c00bde575d988e120d</v>
      </c>
      <c r="D1077" s="1" t="s">
        <v>1273</v>
      </c>
      <c r="E1077" s="50"/>
      <c r="F1077" s="43"/>
      <c r="G1077" s="50"/>
      <c r="H1077" s="43"/>
    </row>
    <row r="1078">
      <c r="A1078" s="16" t="s">
        <v>77</v>
      </c>
      <c r="B1078" s="59" t="str">
        <f>IFERROR(HYPERLINK(VLOOKUP(A1078,Internal_lists_bugs!$A$2:$C$73,3,FALSE()), VLOOKUP(A1078,Internal_lists_bugs!$A$2:$C$73,3,FALSE())&amp;Char(10) &amp; Char(10) &amp; VLOOKUP(A1078,Internal_lists_bugs!$A$2:$Z$73,26,FALSE())),"please select a BUG ID")</f>
        <v>
</v>
      </c>
      <c r="C1078" s="39" t="str">
        <f>IFERROR(VLOOKUP(A1078,Internal_lists_bugs!$A$2:$G2011,7,FALSE()),"please select a BUG ID")</f>
        <v>https://github.com/elastic/elasticsearch/commit/3f1472505723866794d875c00bde575d988e120d</v>
      </c>
      <c r="D1078" s="1" t="s">
        <v>1275</v>
      </c>
      <c r="F1078" s="43"/>
      <c r="H1078" s="43"/>
    </row>
    <row r="1079">
      <c r="A1079" s="16" t="s">
        <v>77</v>
      </c>
      <c r="B1079" s="59" t="str">
        <f>IFERROR(HYPERLINK(VLOOKUP(A1079,Internal_lists_bugs!$A$2:$C$73,3,FALSE()), VLOOKUP(A1079,Internal_lists_bugs!$A$2:$C$73,3,FALSE())&amp;Char(10) &amp; Char(10) &amp; VLOOKUP(A1079,Internal_lists_bugs!$A$2:$Z$73,26,FALSE())),"please select a BUG ID")</f>
        <v>
</v>
      </c>
      <c r="C1079" s="39" t="str">
        <f>IFERROR(VLOOKUP(A1079,Internal_lists_bugs!$A$2:$G2011,7,FALSE()),"please select a BUG ID")</f>
        <v>https://github.com/elastic/elasticsearch/commit/3f1472505723866794d875c00bde575d988e120d</v>
      </c>
      <c r="D1079" s="16" t="s">
        <v>1274</v>
      </c>
      <c r="F1079" s="43"/>
      <c r="H1079" s="43"/>
    </row>
    <row r="1080">
      <c r="A1080" s="16" t="s">
        <v>75</v>
      </c>
      <c r="B1080" s="59" t="str">
        <f>IFERROR(HYPERLINK(VLOOKUP(A1080,Internal_lists_bugs!$A$2:$C$73,3,FALSE()), VLOOKUP(A1080,Internal_lists_bugs!$A$2:$C$73,3,FALSE())&amp;Char(10) &amp; Char(10) &amp; VLOOKUP(A1080,Internal_lists_bugs!$A$2:$Z$73,26,FALSE())),"please select a BUG ID")</f>
        <v>
</v>
      </c>
      <c r="C1080" s="39" t="str">
        <f>IFERROR(VLOOKUP(A1080,Internal_lists_bugs!$A$2:$G2011,7,FALSE()),"please select a BUG ID")</f>
        <v>https://github.com/elastic/elasticsearch/commit/4f131dfffbdadf5c5f9c9b7a03f9660233e04f72</v>
      </c>
      <c r="D1080" s="16" t="s">
        <v>1261</v>
      </c>
      <c r="E1080" s="50"/>
      <c r="F1080" s="16" t="s">
        <v>1174</v>
      </c>
      <c r="G1080" s="50"/>
      <c r="H1080" s="122" t="s">
        <v>1262</v>
      </c>
    </row>
    <row r="1081">
      <c r="A1081" s="16" t="s">
        <v>75</v>
      </c>
      <c r="B1081" s="59" t="str">
        <f>IFERROR(HYPERLINK(VLOOKUP(A1081,Internal_lists_bugs!$A$2:$C$73,3,FALSE()), VLOOKUP(A1081,Internal_lists_bugs!$A$2:$C$73,3,FALSE())&amp;Char(10) &amp; Char(10) &amp; VLOOKUP(A1081,Internal_lists_bugs!$A$2:$Z$73,26,FALSE())),"please select a BUG ID")</f>
        <v>
</v>
      </c>
      <c r="C1081" s="39" t="str">
        <f>IFERROR(VLOOKUP(A1081,Internal_lists_bugs!$A$2:$G2011,7,FALSE()),"please select a BUG ID")</f>
        <v>https://github.com/elastic/elasticsearch/commit/4f131dfffbdadf5c5f9c9b7a03f9660233e04f72</v>
      </c>
      <c r="D1081" s="16" t="s">
        <v>1258</v>
      </c>
      <c r="E1081" s="50"/>
      <c r="F1081" s="43"/>
      <c r="G1081" s="50"/>
      <c r="H1081" s="122" t="s">
        <v>1267</v>
      </c>
    </row>
    <row r="1082">
      <c r="A1082" s="16" t="s">
        <v>75</v>
      </c>
      <c r="B1082" s="59" t="str">
        <f>IFERROR(HYPERLINK(VLOOKUP(A1082,Internal_lists_bugs!$A$2:$C$73,3,FALSE()), VLOOKUP(A1082,Internal_lists_bugs!$A$2:$C$73,3,FALSE())&amp;Char(10) &amp; Char(10) &amp; VLOOKUP(A1082,Internal_lists_bugs!$A$2:$Z$73,26,FALSE())),"please select a BUG ID")</f>
        <v>
</v>
      </c>
      <c r="C1082" s="39" t="str">
        <f>IFERROR(VLOOKUP(A1082,Internal_lists_bugs!$A$2:$G2011,7,FALSE()),"please select a BUG ID")</f>
        <v>https://github.com/elastic/elasticsearch/commit/4f131dfffbdadf5c5f9c9b7a03f9660233e04f72</v>
      </c>
      <c r="D1082" s="1" t="s">
        <v>1264</v>
      </c>
      <c r="E1082" s="50"/>
      <c r="F1082" s="43"/>
      <c r="G1082" s="50"/>
      <c r="H1082" s="122" t="s">
        <v>1263</v>
      </c>
    </row>
    <row r="1083">
      <c r="A1083" s="16" t="s">
        <v>75</v>
      </c>
      <c r="B1083" s="59" t="str">
        <f>IFERROR(HYPERLINK(VLOOKUP(A1083,Internal_lists_bugs!$A$2:$C$73,3,FALSE()), VLOOKUP(A1083,Internal_lists_bugs!$A$2:$C$73,3,FALSE())&amp;Char(10) &amp; Char(10) &amp; VLOOKUP(A1083,Internal_lists_bugs!$A$2:$Z$73,26,FALSE())),"please select a BUG ID")</f>
        <v>
</v>
      </c>
      <c r="C1083" s="39" t="str">
        <f>IFERROR(VLOOKUP(A1083,Internal_lists_bugs!$A$2:$G2011,7,FALSE()),"please select a BUG ID")</f>
        <v>https://github.com/elastic/elasticsearch/commit/4f131dfffbdadf5c5f9c9b7a03f9660233e04f72</v>
      </c>
      <c r="D1083" s="1" t="s">
        <v>1253</v>
      </c>
      <c r="E1083" s="50"/>
      <c r="F1083" s="43"/>
      <c r="G1083" s="50"/>
      <c r="H1083" s="122" t="s">
        <v>1265</v>
      </c>
    </row>
    <row r="1084">
      <c r="A1084" s="16" t="s">
        <v>75</v>
      </c>
      <c r="B1084" s="59" t="str">
        <f>IFERROR(HYPERLINK(VLOOKUP(A1084,Internal_lists_bugs!$A$2:$C$73,3,FALSE()), VLOOKUP(A1084,Internal_lists_bugs!$A$2:$C$73,3,FALSE())&amp;Char(10) &amp; Char(10) &amp; VLOOKUP(A1084,Internal_lists_bugs!$A$2:$Z$73,26,FALSE())),"please select a BUG ID")</f>
        <v>
</v>
      </c>
      <c r="C1084" s="39" t="str">
        <f>IFERROR(VLOOKUP(A1084,Internal_lists_bugs!$A$2:$G2011,7,FALSE()),"please select a BUG ID")</f>
        <v>https://github.com/elastic/elasticsearch/commit/4f131dfffbdadf5c5f9c9b7a03f9660233e04f72</v>
      </c>
      <c r="D1084" s="9" t="s">
        <v>1269</v>
      </c>
      <c r="E1084" s="50"/>
      <c r="F1084" s="43"/>
      <c r="G1084" s="50"/>
      <c r="H1084" s="16" t="s">
        <v>1266</v>
      </c>
    </row>
    <row r="1085">
      <c r="A1085" s="16" t="s">
        <v>75</v>
      </c>
      <c r="B1085" s="59" t="str">
        <f>IFERROR(HYPERLINK(VLOOKUP(A1085,Internal_lists_bugs!$A$2:$C$73,3,FALSE()), VLOOKUP(A1085,Internal_lists_bugs!$A$2:$C$73,3,FALSE())&amp;Char(10) &amp; Char(10) &amp; VLOOKUP(A1085,Internal_lists_bugs!$A$2:$Z$73,26,FALSE())),"please select a BUG ID")</f>
        <v>
</v>
      </c>
      <c r="C1085" s="39" t="str">
        <f>IFERROR(VLOOKUP(A1085,Internal_lists_bugs!$A$2:$G2011,7,FALSE()),"please select a BUG ID")</f>
        <v>https://github.com/elastic/elasticsearch/commit/4f131dfffbdadf5c5f9c9b7a03f9660233e04f72</v>
      </c>
      <c r="D1085" s="1" t="s">
        <v>1254</v>
      </c>
      <c r="E1085" s="50"/>
      <c r="F1085" s="43"/>
      <c r="G1085" s="50"/>
      <c r="H1085" s="16" t="s">
        <v>1271</v>
      </c>
    </row>
    <row r="1086">
      <c r="A1086" s="16" t="s">
        <v>75</v>
      </c>
      <c r="B1086" s="59" t="str">
        <f>IFERROR(HYPERLINK(VLOOKUP(A1086,Internal_lists_bugs!$A$2:$C$73,3,FALSE()), VLOOKUP(A1086,Internal_lists_bugs!$A$2:$C$73,3,FALSE())&amp;Char(10) &amp; Char(10) &amp; VLOOKUP(A1086,Internal_lists_bugs!$A$2:$Z$73,26,FALSE())),"please select a BUG ID")</f>
        <v>
</v>
      </c>
      <c r="C1086" s="39" t="str">
        <f>IFERROR(VLOOKUP(A1086,Internal_lists_bugs!$A$2:$G2011,7,FALSE()),"please select a BUG ID")</f>
        <v>https://github.com/elastic/elasticsearch/commit/4f131dfffbdadf5c5f9c9b7a03f9660233e04f72</v>
      </c>
      <c r="D1086" s="1" t="s">
        <v>1250</v>
      </c>
      <c r="E1086" s="50"/>
      <c r="F1086" s="43"/>
      <c r="G1086" s="50"/>
      <c r="H1086" s="16" t="s">
        <v>1272</v>
      </c>
    </row>
    <row r="1087">
      <c r="A1087" s="16" t="s">
        <v>75</v>
      </c>
      <c r="B1087" s="59" t="str">
        <f>IFERROR(HYPERLINK(VLOOKUP(A1087,Internal_lists_bugs!$A$2:$C$73,3,FALSE()), VLOOKUP(A1087,Internal_lists_bugs!$A$2:$C$73,3,FALSE())&amp;Char(10) &amp; Char(10) &amp; VLOOKUP(A1087,Internal_lists_bugs!$A$2:$Z$73,26,FALSE())),"please select a BUG ID")</f>
        <v>
</v>
      </c>
      <c r="C1087" s="39" t="str">
        <f>IFERROR(VLOOKUP(A1087,Internal_lists_bugs!$A$2:$G2011,7,FALSE()),"please select a BUG ID")</f>
        <v>https://github.com/elastic/elasticsearch/commit/4f131dfffbdadf5c5f9c9b7a03f9660233e04f72</v>
      </c>
      <c r="D1087" s="1" t="s">
        <v>1268</v>
      </c>
      <c r="E1087" s="50"/>
      <c r="F1087" s="43"/>
      <c r="G1087" s="50"/>
      <c r="H1087" s="43"/>
    </row>
    <row r="1088">
      <c r="A1088" s="16" t="s">
        <v>75</v>
      </c>
      <c r="B1088" s="59" t="str">
        <f>IFERROR(HYPERLINK(VLOOKUP(A1088,Internal_lists_bugs!$A$2:$C$73,3,FALSE()), VLOOKUP(A1088,Internal_lists_bugs!$A$2:$C$73,3,FALSE())&amp;Char(10) &amp; Char(10) &amp; VLOOKUP(A1088,Internal_lists_bugs!$A$2:$Z$73,26,FALSE())),"please select a BUG ID")</f>
        <v>
</v>
      </c>
      <c r="C1088" s="39" t="str">
        <f>IFERROR(VLOOKUP(A1088,Internal_lists_bugs!$A$2:$G2011,7,FALSE()),"please select a BUG ID")</f>
        <v>https://github.com/elastic/elasticsearch/commit/4f131dfffbdadf5c5f9c9b7a03f9660233e04f72</v>
      </c>
      <c r="D1088" s="1" t="s">
        <v>1273</v>
      </c>
      <c r="E1088" s="50"/>
      <c r="F1088" s="43"/>
      <c r="G1088" s="50"/>
      <c r="H1088" s="43"/>
    </row>
    <row r="1089">
      <c r="A1089" s="16" t="s">
        <v>75</v>
      </c>
      <c r="B1089" s="59" t="str">
        <f>IFERROR(HYPERLINK(VLOOKUP(A1089,Internal_lists_bugs!$A$2:$C$73,3,FALSE()), VLOOKUP(A1089,Internal_lists_bugs!$A$2:$C$73,3,FALSE())&amp;Char(10) &amp; Char(10) &amp; VLOOKUP(A1089,Internal_lists_bugs!$A$2:$Z$73,26,FALSE())),"please select a BUG ID")</f>
        <v>
</v>
      </c>
      <c r="C1089" s="39" t="str">
        <f>IFERROR(VLOOKUP(A1089,Internal_lists_bugs!$A$2:$G2011,7,FALSE()),"please select a BUG ID")</f>
        <v>https://github.com/elastic/elasticsearch/commit/4f131dfffbdadf5c5f9c9b7a03f9660233e04f72</v>
      </c>
      <c r="D1089" s="1" t="s">
        <v>1275</v>
      </c>
      <c r="F1089" s="43"/>
      <c r="H1089" s="43"/>
    </row>
    <row r="1090">
      <c r="A1090" s="16" t="s">
        <v>75</v>
      </c>
      <c r="B1090" s="59" t="str">
        <f>IFERROR(HYPERLINK(VLOOKUP(A1090,Internal_lists_bugs!$A$2:$C$73,3,FALSE()), VLOOKUP(A1090,Internal_lists_bugs!$A$2:$C$73,3,FALSE())&amp;Char(10) &amp; Char(10) &amp; VLOOKUP(A1090,Internal_lists_bugs!$A$2:$Z$73,26,FALSE())),"please select a BUG ID")</f>
        <v>
</v>
      </c>
      <c r="C1090" s="39" t="str">
        <f>IFERROR(VLOOKUP(A1090,Internal_lists_bugs!$A$2:$G2011,7,FALSE()),"please select a BUG ID")</f>
        <v>https://github.com/elastic/elasticsearch/commit/4f131dfffbdadf5c5f9c9b7a03f9660233e04f72</v>
      </c>
      <c r="D1090" s="16" t="s">
        <v>1274</v>
      </c>
      <c r="F1090" s="43"/>
      <c r="H1090" s="43"/>
    </row>
    <row r="1091">
      <c r="A1091" s="16" t="s">
        <v>72</v>
      </c>
      <c r="B1091" s="59" t="str">
        <f>IFERROR(HYPERLINK(VLOOKUP(A1091,Internal_lists_bugs!$A$2:$C$73,3,FALSE()), VLOOKUP(A1091,Internal_lists_bugs!$A$2:$C$73,3,FALSE())&amp;Char(10) &amp; Char(10) &amp; VLOOKUP(A1091,Internal_lists_bugs!$A$2:$Z$73,26,FALSE())),"please select a BUG ID")</f>
        <v>
</v>
      </c>
      <c r="C1091" s="39" t="str">
        <f>IFERROR(VLOOKUP(A1091,Internal_lists_bugs!$A$2:$G2011,7,FALSE()),"please select a BUG ID")</f>
        <v>https://github.com/elastic/elasticsearch/commit/8865e60e936b57feb1a31d23b29ba0b212492766</v>
      </c>
      <c r="D1091" s="16" t="s">
        <v>1261</v>
      </c>
      <c r="E1091" s="50"/>
      <c r="F1091" s="16" t="s">
        <v>1174</v>
      </c>
      <c r="G1091" s="50"/>
      <c r="H1091" s="122" t="s">
        <v>1262</v>
      </c>
    </row>
    <row r="1092">
      <c r="A1092" s="16" t="s">
        <v>72</v>
      </c>
      <c r="B1092" s="59" t="str">
        <f>IFERROR(HYPERLINK(VLOOKUP(A1092,Internal_lists_bugs!$A$2:$C$73,3,FALSE()), VLOOKUP(A1092,Internal_lists_bugs!$A$2:$C$73,3,FALSE())&amp;Char(10) &amp; Char(10) &amp; VLOOKUP(A1092,Internal_lists_bugs!$A$2:$Z$73,26,FALSE())),"please select a BUG ID")</f>
        <v>
</v>
      </c>
      <c r="C1092" s="39" t="str">
        <f>IFERROR(VLOOKUP(A1092,Internal_lists_bugs!$A$2:$G2011,7,FALSE()),"please select a BUG ID")</f>
        <v>https://github.com/elastic/elasticsearch/commit/8865e60e936b57feb1a31d23b29ba0b212492766</v>
      </c>
      <c r="D1092" s="16" t="s">
        <v>1258</v>
      </c>
      <c r="E1092" s="50"/>
      <c r="F1092" s="43"/>
      <c r="G1092" s="50"/>
      <c r="H1092" s="122" t="s">
        <v>1267</v>
      </c>
    </row>
    <row r="1093">
      <c r="A1093" s="16" t="s">
        <v>72</v>
      </c>
      <c r="B1093" s="59" t="str">
        <f>IFERROR(HYPERLINK(VLOOKUP(A1093,Internal_lists_bugs!$A$2:$C$73,3,FALSE()), VLOOKUP(A1093,Internal_lists_bugs!$A$2:$C$73,3,FALSE())&amp;Char(10) &amp; Char(10) &amp; VLOOKUP(A1093,Internal_lists_bugs!$A$2:$Z$73,26,FALSE())),"please select a BUG ID")</f>
        <v>
</v>
      </c>
      <c r="C1093" s="39" t="str">
        <f>IFERROR(VLOOKUP(A1093,Internal_lists_bugs!$A$2:$G2011,7,FALSE()),"please select a BUG ID")</f>
        <v>https://github.com/elastic/elasticsearch/commit/8865e60e936b57feb1a31d23b29ba0b212492766</v>
      </c>
      <c r="D1093" s="1" t="s">
        <v>1264</v>
      </c>
      <c r="E1093" s="50"/>
      <c r="F1093" s="43"/>
      <c r="G1093" s="50"/>
      <c r="H1093" s="122" t="s">
        <v>1263</v>
      </c>
    </row>
    <row r="1094">
      <c r="A1094" s="16" t="s">
        <v>72</v>
      </c>
      <c r="B1094" s="59" t="str">
        <f>IFERROR(HYPERLINK(VLOOKUP(A1094,Internal_lists_bugs!$A$2:$C$73,3,FALSE()), VLOOKUP(A1094,Internal_lists_bugs!$A$2:$C$73,3,FALSE())&amp;Char(10) &amp; Char(10) &amp; VLOOKUP(A1094,Internal_lists_bugs!$A$2:$Z$73,26,FALSE())),"please select a BUG ID")</f>
        <v>
</v>
      </c>
      <c r="C1094" s="39" t="str">
        <f>IFERROR(VLOOKUP(A1094,Internal_lists_bugs!$A$2:$G2011,7,FALSE()),"please select a BUG ID")</f>
        <v>https://github.com/elastic/elasticsearch/commit/8865e60e936b57feb1a31d23b29ba0b212492766</v>
      </c>
      <c r="D1094" s="1" t="s">
        <v>1253</v>
      </c>
      <c r="E1094" s="50"/>
      <c r="F1094" s="43"/>
      <c r="G1094" s="50"/>
      <c r="H1094" s="122" t="s">
        <v>1265</v>
      </c>
    </row>
    <row r="1095">
      <c r="A1095" s="16" t="s">
        <v>72</v>
      </c>
      <c r="B1095" s="59" t="str">
        <f>IFERROR(HYPERLINK(VLOOKUP(A1095,Internal_lists_bugs!$A$2:$C$73,3,FALSE()), VLOOKUP(A1095,Internal_lists_bugs!$A$2:$C$73,3,FALSE())&amp;Char(10) &amp; Char(10) &amp; VLOOKUP(A1095,Internal_lists_bugs!$A$2:$Z$73,26,FALSE())),"please select a BUG ID")</f>
        <v>
</v>
      </c>
      <c r="C1095" s="39" t="str">
        <f>IFERROR(VLOOKUP(A1095,Internal_lists_bugs!$A$2:$G2011,7,FALSE()),"please select a BUG ID")</f>
        <v>https://github.com/elastic/elasticsearch/commit/8865e60e936b57feb1a31d23b29ba0b212492766</v>
      </c>
      <c r="D1095" s="9" t="s">
        <v>1269</v>
      </c>
      <c r="E1095" s="50"/>
      <c r="F1095" s="43"/>
      <c r="G1095" s="50"/>
      <c r="H1095" s="16" t="s">
        <v>1266</v>
      </c>
    </row>
    <row r="1096">
      <c r="A1096" s="16" t="s">
        <v>72</v>
      </c>
      <c r="B1096" s="59" t="str">
        <f>IFERROR(HYPERLINK(VLOOKUP(A1096,Internal_lists_bugs!$A$2:$C$73,3,FALSE()), VLOOKUP(A1096,Internal_lists_bugs!$A$2:$C$73,3,FALSE())&amp;Char(10) &amp; Char(10) &amp; VLOOKUP(A1096,Internal_lists_bugs!$A$2:$Z$73,26,FALSE())),"please select a BUG ID")</f>
        <v>
</v>
      </c>
      <c r="C1096" s="39" t="str">
        <f>IFERROR(VLOOKUP(A1096,Internal_lists_bugs!$A$2:$G2011,7,FALSE()),"please select a BUG ID")</f>
        <v>https://github.com/elastic/elasticsearch/commit/8865e60e936b57feb1a31d23b29ba0b212492766</v>
      </c>
      <c r="D1096" s="1" t="s">
        <v>1254</v>
      </c>
      <c r="E1096" s="50"/>
      <c r="F1096" s="43"/>
      <c r="G1096" s="50"/>
      <c r="H1096" s="16" t="s">
        <v>1271</v>
      </c>
    </row>
    <row r="1097">
      <c r="A1097" s="16" t="s">
        <v>72</v>
      </c>
      <c r="B1097" s="59" t="str">
        <f>IFERROR(HYPERLINK(VLOOKUP(A1097,Internal_lists_bugs!$A$2:$C$73,3,FALSE()), VLOOKUP(A1097,Internal_lists_bugs!$A$2:$C$73,3,FALSE())&amp;Char(10) &amp; Char(10) &amp; VLOOKUP(A1097,Internal_lists_bugs!$A$2:$Z$73,26,FALSE())),"please select a BUG ID")</f>
        <v>
</v>
      </c>
      <c r="C1097" s="39" t="str">
        <f>IFERROR(VLOOKUP(A1097,Internal_lists_bugs!$A$2:$G2011,7,FALSE()),"please select a BUG ID")</f>
        <v>https://github.com/elastic/elasticsearch/commit/8865e60e936b57feb1a31d23b29ba0b212492766</v>
      </c>
      <c r="D1097" s="1" t="s">
        <v>1250</v>
      </c>
      <c r="E1097" s="50"/>
      <c r="F1097" s="43"/>
      <c r="G1097" s="50"/>
      <c r="H1097" s="16" t="s">
        <v>1272</v>
      </c>
    </row>
    <row r="1098">
      <c r="A1098" s="16" t="s">
        <v>72</v>
      </c>
      <c r="B1098" s="59" t="str">
        <f>IFERROR(HYPERLINK(VLOOKUP(A1098,Internal_lists_bugs!$A$2:$C$73,3,FALSE()), VLOOKUP(A1098,Internal_lists_bugs!$A$2:$C$73,3,FALSE())&amp;Char(10) &amp; Char(10) &amp; VLOOKUP(A1098,Internal_lists_bugs!$A$2:$Z$73,26,FALSE())),"please select a BUG ID")</f>
        <v>
</v>
      </c>
      <c r="C1098" s="39" t="str">
        <f>IFERROR(VLOOKUP(A1098,Internal_lists_bugs!$A$2:$G2011,7,FALSE()),"please select a BUG ID")</f>
        <v>https://github.com/elastic/elasticsearch/commit/8865e60e936b57feb1a31d23b29ba0b212492766</v>
      </c>
      <c r="D1098" s="1" t="s">
        <v>1268</v>
      </c>
      <c r="E1098" s="50"/>
      <c r="F1098" s="43"/>
      <c r="G1098" s="50"/>
      <c r="H1098" s="43"/>
    </row>
    <row r="1099">
      <c r="A1099" s="16" t="s">
        <v>72</v>
      </c>
      <c r="B1099" s="59" t="str">
        <f>IFERROR(HYPERLINK(VLOOKUP(A1099,Internal_lists_bugs!$A$2:$C$73,3,FALSE()), VLOOKUP(A1099,Internal_lists_bugs!$A$2:$C$73,3,FALSE())&amp;Char(10) &amp; Char(10) &amp; VLOOKUP(A1099,Internal_lists_bugs!$A$2:$Z$73,26,FALSE())),"please select a BUG ID")</f>
        <v>
</v>
      </c>
      <c r="C1099" s="39" t="str">
        <f>IFERROR(VLOOKUP(A1099,Internal_lists_bugs!$A$2:$G2011,7,FALSE()),"please select a BUG ID")</f>
        <v>https://github.com/elastic/elasticsearch/commit/8865e60e936b57feb1a31d23b29ba0b212492766</v>
      </c>
      <c r="D1099" s="1" t="s">
        <v>1273</v>
      </c>
      <c r="E1099" s="50"/>
      <c r="F1099" s="43"/>
      <c r="G1099" s="50"/>
      <c r="H1099" s="43"/>
    </row>
    <row r="1100">
      <c r="A1100" s="16" t="s">
        <v>72</v>
      </c>
      <c r="B1100" s="59" t="str">
        <f>IFERROR(HYPERLINK(VLOOKUP(A1100,Internal_lists_bugs!$A$2:$C$73,3,FALSE()), VLOOKUP(A1100,Internal_lists_bugs!$A$2:$C$73,3,FALSE())&amp;Char(10) &amp; Char(10) &amp; VLOOKUP(A1100,Internal_lists_bugs!$A$2:$Z$73,26,FALSE())),"please select a BUG ID")</f>
        <v>
</v>
      </c>
      <c r="C1100" s="39" t="str">
        <f>IFERROR(VLOOKUP(A1100,Internal_lists_bugs!$A$2:$G2011,7,FALSE()),"please select a BUG ID")</f>
        <v>https://github.com/elastic/elasticsearch/commit/8865e60e936b57feb1a31d23b29ba0b212492766</v>
      </c>
      <c r="D1100" s="1" t="s">
        <v>1275</v>
      </c>
      <c r="F1100" s="43"/>
      <c r="H1100" s="43"/>
    </row>
    <row r="1101">
      <c r="A1101" s="16" t="s">
        <v>72</v>
      </c>
      <c r="B1101" s="59" t="str">
        <f>IFERROR(HYPERLINK(VLOOKUP(A1101,Internal_lists_bugs!$A$2:$C$73,3,FALSE()), VLOOKUP(A1101,Internal_lists_bugs!$A$2:$C$73,3,FALSE())&amp;Char(10) &amp; Char(10) &amp; VLOOKUP(A1101,Internal_lists_bugs!$A$2:$Z$73,26,FALSE())),"please select a BUG ID")</f>
        <v>
</v>
      </c>
      <c r="C1101" s="39" t="str">
        <f>IFERROR(VLOOKUP(A1101,Internal_lists_bugs!$A$2:$G2011,7,FALSE()),"please select a BUG ID")</f>
        <v>https://github.com/elastic/elasticsearch/commit/8865e60e936b57feb1a31d23b29ba0b212492766</v>
      </c>
      <c r="D1101" s="16" t="s">
        <v>1274</v>
      </c>
      <c r="F1101" s="43"/>
      <c r="H1101" s="43"/>
    </row>
    <row r="1102">
      <c r="A1102" s="16" t="s">
        <v>68</v>
      </c>
      <c r="B1102" s="59" t="str">
        <f>IFERROR(HYPERLINK(VLOOKUP(A1102,Internal_lists_bugs!$A$2:$C$73,3,FALSE()), VLOOKUP(A1102,Internal_lists_bugs!$A$2:$C$73,3,FALSE())&amp;Char(10) &amp; Char(10) &amp; VLOOKUP(A1102,Internal_lists_bugs!$A$2:$Z$73,26,FALSE())),"please select a BUG ID")</f>
        <v>
</v>
      </c>
      <c r="C1102" s="39" t="str">
        <f>IFERROR(VLOOKUP(A1102,Internal_lists_bugs!$A$2:$G2011,7,FALSE()),"please select a BUG ID")</f>
        <v>https://github.com/elastic/elasticsearch/commit/91c4824a0f768f2d3e3651958656384d0735a85e</v>
      </c>
      <c r="D1102" s="16" t="s">
        <v>1261</v>
      </c>
      <c r="E1102" s="50"/>
      <c r="F1102" s="16" t="s">
        <v>1174</v>
      </c>
      <c r="G1102" s="50"/>
      <c r="H1102" s="122" t="s">
        <v>1262</v>
      </c>
    </row>
    <row r="1103">
      <c r="A1103" s="16" t="s">
        <v>68</v>
      </c>
      <c r="B1103" s="59" t="str">
        <f>IFERROR(HYPERLINK(VLOOKUP(A1103,Internal_lists_bugs!$A$2:$C$73,3,FALSE()), VLOOKUP(A1103,Internal_lists_bugs!$A$2:$C$73,3,FALSE())&amp;Char(10) &amp; Char(10) &amp; VLOOKUP(A1103,Internal_lists_bugs!$A$2:$Z$73,26,FALSE())),"please select a BUG ID")</f>
        <v>
</v>
      </c>
      <c r="C1103" s="39" t="str">
        <f>IFERROR(VLOOKUP(A1103,Internal_lists_bugs!$A$2:$G2011,7,FALSE()),"please select a BUG ID")</f>
        <v>https://github.com/elastic/elasticsearch/commit/91c4824a0f768f2d3e3651958656384d0735a85e</v>
      </c>
      <c r="D1103" s="16" t="s">
        <v>1258</v>
      </c>
      <c r="E1103" s="50"/>
      <c r="F1103" s="43"/>
      <c r="G1103" s="50"/>
      <c r="H1103" s="122" t="s">
        <v>1267</v>
      </c>
    </row>
    <row r="1104">
      <c r="A1104" s="16" t="s">
        <v>68</v>
      </c>
      <c r="B1104" s="59" t="str">
        <f>IFERROR(HYPERLINK(VLOOKUP(A1104,Internal_lists_bugs!$A$2:$C$73,3,FALSE()), VLOOKUP(A1104,Internal_lists_bugs!$A$2:$C$73,3,FALSE())&amp;Char(10) &amp; Char(10) &amp; VLOOKUP(A1104,Internal_lists_bugs!$A$2:$Z$73,26,FALSE())),"please select a BUG ID")</f>
        <v>
</v>
      </c>
      <c r="C1104" s="39" t="str">
        <f>IFERROR(VLOOKUP(A1104,Internal_lists_bugs!$A$2:$G2011,7,FALSE()),"please select a BUG ID")</f>
        <v>https://github.com/elastic/elasticsearch/commit/91c4824a0f768f2d3e3651958656384d0735a85e</v>
      </c>
      <c r="D1104" s="1" t="s">
        <v>1264</v>
      </c>
      <c r="E1104" s="50"/>
      <c r="F1104" s="43"/>
      <c r="G1104" s="50"/>
      <c r="H1104" s="122" t="s">
        <v>1263</v>
      </c>
    </row>
    <row r="1105">
      <c r="A1105" s="16" t="s">
        <v>68</v>
      </c>
      <c r="B1105" s="59" t="str">
        <f>IFERROR(HYPERLINK(VLOOKUP(A1105,Internal_lists_bugs!$A$2:$C$73,3,FALSE()), VLOOKUP(A1105,Internal_lists_bugs!$A$2:$C$73,3,FALSE())&amp;Char(10) &amp; Char(10) &amp; VLOOKUP(A1105,Internal_lists_bugs!$A$2:$Z$73,26,FALSE())),"please select a BUG ID")</f>
        <v>
</v>
      </c>
      <c r="C1105" s="39" t="str">
        <f>IFERROR(VLOOKUP(A1105,Internal_lists_bugs!$A$2:$G2011,7,FALSE()),"please select a BUG ID")</f>
        <v>https://github.com/elastic/elasticsearch/commit/91c4824a0f768f2d3e3651958656384d0735a85e</v>
      </c>
      <c r="D1105" s="1" t="s">
        <v>1253</v>
      </c>
      <c r="E1105" s="50"/>
      <c r="F1105" s="43"/>
      <c r="G1105" s="50"/>
      <c r="H1105" s="122" t="s">
        <v>1265</v>
      </c>
    </row>
    <row r="1106">
      <c r="A1106" s="16" t="s">
        <v>68</v>
      </c>
      <c r="B1106" s="59" t="str">
        <f>IFERROR(HYPERLINK(VLOOKUP(A1106,Internal_lists_bugs!$A$2:$C$73,3,FALSE()), VLOOKUP(A1106,Internal_lists_bugs!$A$2:$C$73,3,FALSE())&amp;Char(10) &amp; Char(10) &amp; VLOOKUP(A1106,Internal_lists_bugs!$A$2:$Z$73,26,FALSE())),"please select a BUG ID")</f>
        <v>
</v>
      </c>
      <c r="C1106" s="39" t="str">
        <f>IFERROR(VLOOKUP(A1106,Internal_lists_bugs!$A$2:$G2011,7,FALSE()),"please select a BUG ID")</f>
        <v>https://github.com/elastic/elasticsearch/commit/91c4824a0f768f2d3e3651958656384d0735a85e</v>
      </c>
      <c r="D1106" s="9" t="s">
        <v>1269</v>
      </c>
      <c r="E1106" s="50"/>
      <c r="F1106" s="43"/>
      <c r="G1106" s="50"/>
      <c r="H1106" s="16" t="s">
        <v>1266</v>
      </c>
    </row>
    <row r="1107">
      <c r="A1107" s="16" t="s">
        <v>68</v>
      </c>
      <c r="B1107" s="59" t="str">
        <f>IFERROR(HYPERLINK(VLOOKUP(A1107,Internal_lists_bugs!$A$2:$C$73,3,FALSE()), VLOOKUP(A1107,Internal_lists_bugs!$A$2:$C$73,3,FALSE())&amp;Char(10) &amp; Char(10) &amp; VLOOKUP(A1107,Internal_lists_bugs!$A$2:$Z$73,26,FALSE())),"please select a BUG ID")</f>
        <v>
</v>
      </c>
      <c r="C1107" s="39" t="str">
        <f>IFERROR(VLOOKUP(A1107,Internal_lists_bugs!$A$2:$G2011,7,FALSE()),"please select a BUG ID")</f>
        <v>https://github.com/elastic/elasticsearch/commit/91c4824a0f768f2d3e3651958656384d0735a85e</v>
      </c>
      <c r="D1107" s="1" t="s">
        <v>1254</v>
      </c>
      <c r="E1107" s="50"/>
      <c r="F1107" s="43"/>
      <c r="G1107" s="50"/>
      <c r="H1107" s="16" t="s">
        <v>1271</v>
      </c>
    </row>
    <row r="1108">
      <c r="A1108" s="16" t="s">
        <v>68</v>
      </c>
      <c r="B1108" s="59" t="str">
        <f>IFERROR(HYPERLINK(VLOOKUP(A1108,Internal_lists_bugs!$A$2:$C$73,3,FALSE()), VLOOKUP(A1108,Internal_lists_bugs!$A$2:$C$73,3,FALSE())&amp;Char(10) &amp; Char(10) &amp; VLOOKUP(A1108,Internal_lists_bugs!$A$2:$Z$73,26,FALSE())),"please select a BUG ID")</f>
        <v>
</v>
      </c>
      <c r="C1108" s="39" t="str">
        <f>IFERROR(VLOOKUP(A1108,Internal_lists_bugs!$A$2:$G2011,7,FALSE()),"please select a BUG ID")</f>
        <v>https://github.com/elastic/elasticsearch/commit/91c4824a0f768f2d3e3651958656384d0735a85e</v>
      </c>
      <c r="D1108" s="1" t="s">
        <v>1250</v>
      </c>
      <c r="E1108" s="50"/>
      <c r="F1108" s="43"/>
      <c r="G1108" s="50"/>
      <c r="H1108" s="16" t="s">
        <v>1272</v>
      </c>
    </row>
    <row r="1109">
      <c r="A1109" s="16" t="s">
        <v>68</v>
      </c>
      <c r="B1109" s="59" t="str">
        <f>IFERROR(HYPERLINK(VLOOKUP(A1109,Internal_lists_bugs!$A$2:$C$73,3,FALSE()), VLOOKUP(A1109,Internal_lists_bugs!$A$2:$C$73,3,FALSE())&amp;Char(10) &amp; Char(10) &amp; VLOOKUP(A1109,Internal_lists_bugs!$A$2:$Z$73,26,FALSE())),"please select a BUG ID")</f>
        <v>
</v>
      </c>
      <c r="C1109" s="39" t="str">
        <f>IFERROR(VLOOKUP(A1109,Internal_lists_bugs!$A$2:$G2011,7,FALSE()),"please select a BUG ID")</f>
        <v>https://github.com/elastic/elasticsearch/commit/91c4824a0f768f2d3e3651958656384d0735a85e</v>
      </c>
      <c r="D1109" s="1" t="s">
        <v>1268</v>
      </c>
      <c r="E1109" s="50"/>
      <c r="F1109" s="43"/>
      <c r="G1109" s="50"/>
      <c r="H1109" s="43"/>
    </row>
    <row r="1110">
      <c r="A1110" s="16" t="s">
        <v>68</v>
      </c>
      <c r="B1110" s="59" t="str">
        <f>IFERROR(HYPERLINK(VLOOKUP(A1110,Internal_lists_bugs!$A$2:$C$73,3,FALSE()), VLOOKUP(A1110,Internal_lists_bugs!$A$2:$C$73,3,FALSE())&amp;Char(10) &amp; Char(10) &amp; VLOOKUP(A1110,Internal_lists_bugs!$A$2:$Z$73,26,FALSE())),"please select a BUG ID")</f>
        <v>
</v>
      </c>
      <c r="C1110" s="39" t="str">
        <f>IFERROR(VLOOKUP(A1110,Internal_lists_bugs!$A$2:$G2011,7,FALSE()),"please select a BUG ID")</f>
        <v>https://github.com/elastic/elasticsearch/commit/91c4824a0f768f2d3e3651958656384d0735a85e</v>
      </c>
      <c r="D1110" s="1" t="s">
        <v>1273</v>
      </c>
      <c r="E1110" s="50"/>
      <c r="F1110" s="43"/>
      <c r="G1110" s="50"/>
      <c r="H1110" s="43"/>
    </row>
    <row r="1111">
      <c r="A1111" s="16" t="s">
        <v>68</v>
      </c>
      <c r="B1111" s="59" t="str">
        <f>IFERROR(HYPERLINK(VLOOKUP(A1111,Internal_lists_bugs!$A$2:$C$73,3,FALSE()), VLOOKUP(A1111,Internal_lists_bugs!$A$2:$C$73,3,FALSE())&amp;Char(10) &amp; Char(10) &amp; VLOOKUP(A1111,Internal_lists_bugs!$A$2:$Z$73,26,FALSE())),"please select a BUG ID")</f>
        <v>
</v>
      </c>
      <c r="C1111" s="39" t="str">
        <f>IFERROR(VLOOKUP(A1111,Internal_lists_bugs!$A$2:$G2011,7,FALSE()),"please select a BUG ID")</f>
        <v>https://github.com/elastic/elasticsearch/commit/91c4824a0f768f2d3e3651958656384d0735a85e</v>
      </c>
      <c r="D1111" s="1" t="s">
        <v>1275</v>
      </c>
      <c r="F1111" s="43"/>
      <c r="H1111" s="43"/>
    </row>
    <row r="1112">
      <c r="A1112" s="16" t="s">
        <v>68</v>
      </c>
      <c r="B1112" s="59" t="str">
        <f>IFERROR(HYPERLINK(VLOOKUP(A1112,Internal_lists_bugs!$A$2:$C$73,3,FALSE()), VLOOKUP(A1112,Internal_lists_bugs!$A$2:$C$73,3,FALSE())&amp;Char(10) &amp; Char(10) &amp; VLOOKUP(A1112,Internal_lists_bugs!$A$2:$Z$73,26,FALSE())),"please select a BUG ID")</f>
        <v>
</v>
      </c>
      <c r="C1112" s="39" t="str">
        <f>IFERROR(VLOOKUP(A1112,Internal_lists_bugs!$A$2:$G2011,7,FALSE()),"please select a BUG ID")</f>
        <v>https://github.com/elastic/elasticsearch/commit/91c4824a0f768f2d3e3651958656384d0735a85e</v>
      </c>
      <c r="D1112" s="16" t="s">
        <v>1274</v>
      </c>
      <c r="F1112" s="43"/>
      <c r="H1112" s="43"/>
    </row>
    <row r="1113">
      <c r="A1113" s="16" t="s">
        <v>70</v>
      </c>
      <c r="B1113" s="59" t="str">
        <f>IFERROR(HYPERLINK(VLOOKUP(A1113,Internal_lists_bugs!$A$2:$C$73,3,FALSE()), VLOOKUP(A1113,Internal_lists_bugs!$A$2:$C$73,3,FALSE())&amp;Char(10) &amp; Char(10) &amp; VLOOKUP(A1113,Internal_lists_bugs!$A$2:$Z$73,26,FALSE())),"please select a BUG ID")</f>
        <v>
</v>
      </c>
      <c r="C1113" s="39" t="str">
        <f>IFERROR(VLOOKUP(A1113,Internal_lists_bugs!$A$2:$G2011,7,FALSE()),"please select a BUG ID")</f>
        <v>https://github.com/elastic/elasticsearch/commit/976448e3395609276446e2b8dbeddb046823aa2e</v>
      </c>
      <c r="D1113" s="16" t="s">
        <v>1261</v>
      </c>
      <c r="E1113" s="50"/>
      <c r="F1113" s="16" t="s">
        <v>1174</v>
      </c>
      <c r="G1113" s="50"/>
      <c r="H1113" s="122" t="s">
        <v>1262</v>
      </c>
    </row>
    <row r="1114">
      <c r="A1114" s="16" t="s">
        <v>70</v>
      </c>
      <c r="B1114" s="59" t="str">
        <f>IFERROR(HYPERLINK(VLOOKUP(A1114,Internal_lists_bugs!$A$2:$C$73,3,FALSE()), VLOOKUP(A1114,Internal_lists_bugs!$A$2:$C$73,3,FALSE())&amp;Char(10) &amp; Char(10) &amp; VLOOKUP(A1114,Internal_lists_bugs!$A$2:$Z$73,26,FALSE())),"please select a BUG ID")</f>
        <v>
</v>
      </c>
      <c r="C1114" s="39" t="str">
        <f>IFERROR(VLOOKUP(A1114,Internal_lists_bugs!$A$2:$G2011,7,FALSE()),"please select a BUG ID")</f>
        <v>https://github.com/elastic/elasticsearch/commit/976448e3395609276446e2b8dbeddb046823aa2e</v>
      </c>
      <c r="D1114" s="16" t="s">
        <v>1258</v>
      </c>
      <c r="E1114" s="50"/>
      <c r="F1114" s="43"/>
      <c r="G1114" s="50"/>
      <c r="H1114" s="122" t="s">
        <v>1267</v>
      </c>
    </row>
    <row r="1115">
      <c r="A1115" s="16" t="s">
        <v>70</v>
      </c>
      <c r="B1115" s="59" t="str">
        <f>IFERROR(HYPERLINK(VLOOKUP(A1115,Internal_lists_bugs!$A$2:$C$73,3,FALSE()), VLOOKUP(A1115,Internal_lists_bugs!$A$2:$C$73,3,FALSE())&amp;Char(10) &amp; Char(10) &amp; VLOOKUP(A1115,Internal_lists_bugs!$A$2:$Z$73,26,FALSE())),"please select a BUG ID")</f>
        <v>
</v>
      </c>
      <c r="C1115" s="39" t="str">
        <f>IFERROR(VLOOKUP(A1115,Internal_lists_bugs!$A$2:$G2011,7,FALSE()),"please select a BUG ID")</f>
        <v>https://github.com/elastic/elasticsearch/commit/976448e3395609276446e2b8dbeddb046823aa2e</v>
      </c>
      <c r="D1115" s="1" t="s">
        <v>1264</v>
      </c>
      <c r="E1115" s="50"/>
      <c r="F1115" s="43"/>
      <c r="G1115" s="50"/>
      <c r="H1115" s="122" t="s">
        <v>1263</v>
      </c>
    </row>
    <row r="1116">
      <c r="A1116" s="16" t="s">
        <v>70</v>
      </c>
      <c r="B1116" s="59" t="str">
        <f>IFERROR(HYPERLINK(VLOOKUP(A1116,Internal_lists_bugs!$A$2:$C$73,3,FALSE()), VLOOKUP(A1116,Internal_lists_bugs!$A$2:$C$73,3,FALSE())&amp;Char(10) &amp; Char(10) &amp; VLOOKUP(A1116,Internal_lists_bugs!$A$2:$Z$73,26,FALSE())),"please select a BUG ID")</f>
        <v>
</v>
      </c>
      <c r="C1116" s="39" t="str">
        <f>IFERROR(VLOOKUP(A1116,Internal_lists_bugs!$A$2:$G2011,7,FALSE()),"please select a BUG ID")</f>
        <v>https://github.com/elastic/elasticsearch/commit/976448e3395609276446e2b8dbeddb046823aa2e</v>
      </c>
      <c r="D1116" s="1" t="s">
        <v>1253</v>
      </c>
      <c r="E1116" s="50"/>
      <c r="F1116" s="43"/>
      <c r="G1116" s="50"/>
      <c r="H1116" s="122" t="s">
        <v>1265</v>
      </c>
    </row>
    <row r="1117">
      <c r="A1117" s="16" t="s">
        <v>70</v>
      </c>
      <c r="B1117" s="59" t="str">
        <f>IFERROR(HYPERLINK(VLOOKUP(A1117,Internal_lists_bugs!$A$2:$C$73,3,FALSE()), VLOOKUP(A1117,Internal_lists_bugs!$A$2:$C$73,3,FALSE())&amp;Char(10) &amp; Char(10) &amp; VLOOKUP(A1117,Internal_lists_bugs!$A$2:$Z$73,26,FALSE())),"please select a BUG ID")</f>
        <v>
</v>
      </c>
      <c r="C1117" s="39" t="str">
        <f>IFERROR(VLOOKUP(A1117,Internal_lists_bugs!$A$2:$G2011,7,FALSE()),"please select a BUG ID")</f>
        <v>https://github.com/elastic/elasticsearch/commit/976448e3395609276446e2b8dbeddb046823aa2e</v>
      </c>
      <c r="D1117" s="9" t="s">
        <v>1269</v>
      </c>
      <c r="E1117" s="50"/>
      <c r="F1117" s="43"/>
      <c r="G1117" s="50"/>
      <c r="H1117" s="16" t="s">
        <v>1266</v>
      </c>
    </row>
    <row r="1118">
      <c r="A1118" s="16" t="s">
        <v>70</v>
      </c>
      <c r="B1118" s="59" t="str">
        <f>IFERROR(HYPERLINK(VLOOKUP(A1118,Internal_lists_bugs!$A$2:$C$73,3,FALSE()), VLOOKUP(A1118,Internal_lists_bugs!$A$2:$C$73,3,FALSE())&amp;Char(10) &amp; Char(10) &amp; VLOOKUP(A1118,Internal_lists_bugs!$A$2:$Z$73,26,FALSE())),"please select a BUG ID")</f>
        <v>
</v>
      </c>
      <c r="C1118" s="39" t="str">
        <f>IFERROR(VLOOKUP(A1118,Internal_lists_bugs!$A$2:$G2011,7,FALSE()),"please select a BUG ID")</f>
        <v>https://github.com/elastic/elasticsearch/commit/976448e3395609276446e2b8dbeddb046823aa2e</v>
      </c>
      <c r="D1118" s="1" t="s">
        <v>1254</v>
      </c>
      <c r="E1118" s="50"/>
      <c r="F1118" s="43"/>
      <c r="G1118" s="50"/>
      <c r="H1118" s="16" t="s">
        <v>1271</v>
      </c>
    </row>
    <row r="1119">
      <c r="A1119" s="16" t="s">
        <v>70</v>
      </c>
      <c r="B1119" s="59" t="str">
        <f>IFERROR(HYPERLINK(VLOOKUP(A1119,Internal_lists_bugs!$A$2:$C$73,3,FALSE()), VLOOKUP(A1119,Internal_lists_bugs!$A$2:$C$73,3,FALSE())&amp;Char(10) &amp; Char(10) &amp; VLOOKUP(A1119,Internal_lists_bugs!$A$2:$Z$73,26,FALSE())),"please select a BUG ID")</f>
        <v>
</v>
      </c>
      <c r="C1119" s="39" t="str">
        <f>IFERROR(VLOOKUP(A1119,Internal_lists_bugs!$A$2:$G2011,7,FALSE()),"please select a BUG ID")</f>
        <v>https://github.com/elastic/elasticsearch/commit/976448e3395609276446e2b8dbeddb046823aa2e</v>
      </c>
      <c r="D1119" s="1" t="s">
        <v>1250</v>
      </c>
      <c r="E1119" s="50"/>
      <c r="F1119" s="43"/>
      <c r="G1119" s="50"/>
      <c r="H1119" s="16" t="s">
        <v>1272</v>
      </c>
    </row>
    <row r="1120">
      <c r="A1120" s="16" t="s">
        <v>70</v>
      </c>
      <c r="B1120" s="59" t="str">
        <f>IFERROR(HYPERLINK(VLOOKUP(A1120,Internal_lists_bugs!$A$2:$C$73,3,FALSE()), VLOOKUP(A1120,Internal_lists_bugs!$A$2:$C$73,3,FALSE())&amp;Char(10) &amp; Char(10) &amp; VLOOKUP(A1120,Internal_lists_bugs!$A$2:$Z$73,26,FALSE())),"please select a BUG ID")</f>
        <v>
</v>
      </c>
      <c r="C1120" s="39" t="str">
        <f>IFERROR(VLOOKUP(A1120,Internal_lists_bugs!$A$2:$G2011,7,FALSE()),"please select a BUG ID")</f>
        <v>https://github.com/elastic/elasticsearch/commit/976448e3395609276446e2b8dbeddb046823aa2e</v>
      </c>
      <c r="D1120" s="1" t="s">
        <v>1268</v>
      </c>
      <c r="E1120" s="50"/>
      <c r="F1120" s="43"/>
      <c r="G1120" s="50"/>
      <c r="H1120" s="43"/>
    </row>
    <row r="1121">
      <c r="A1121" s="16" t="s">
        <v>70</v>
      </c>
      <c r="B1121" s="59" t="str">
        <f>IFERROR(HYPERLINK(VLOOKUP(A1121,Internal_lists_bugs!$A$2:$C$73,3,FALSE()), VLOOKUP(A1121,Internal_lists_bugs!$A$2:$C$73,3,FALSE())&amp;Char(10) &amp; Char(10) &amp; VLOOKUP(A1121,Internal_lists_bugs!$A$2:$Z$73,26,FALSE())),"please select a BUG ID")</f>
        <v>
</v>
      </c>
      <c r="C1121" s="39" t="str">
        <f>IFERROR(VLOOKUP(A1121,Internal_lists_bugs!$A$2:$G2011,7,FALSE()),"please select a BUG ID")</f>
        <v>https://github.com/elastic/elasticsearch/commit/976448e3395609276446e2b8dbeddb046823aa2e</v>
      </c>
      <c r="D1121" s="1" t="s">
        <v>1273</v>
      </c>
      <c r="E1121" s="50"/>
      <c r="F1121" s="43"/>
      <c r="G1121" s="50"/>
      <c r="H1121" s="43"/>
    </row>
    <row r="1122">
      <c r="A1122" s="16" t="s">
        <v>70</v>
      </c>
      <c r="B1122" s="59" t="str">
        <f>IFERROR(HYPERLINK(VLOOKUP(A1122,Internal_lists_bugs!$A$2:$C$73,3,FALSE()), VLOOKUP(A1122,Internal_lists_bugs!$A$2:$C$73,3,FALSE())&amp;Char(10) &amp; Char(10) &amp; VLOOKUP(A1122,Internal_lists_bugs!$A$2:$Z$73,26,FALSE())),"please select a BUG ID")</f>
        <v>
</v>
      </c>
      <c r="C1122" s="39" t="str">
        <f>IFERROR(VLOOKUP(A1122,Internal_lists_bugs!$A$2:$G2011,7,FALSE()),"please select a BUG ID")</f>
        <v>https://github.com/elastic/elasticsearch/commit/976448e3395609276446e2b8dbeddb046823aa2e</v>
      </c>
      <c r="D1122" s="1" t="s">
        <v>1275</v>
      </c>
      <c r="F1122" s="43"/>
      <c r="H1122" s="43"/>
    </row>
    <row r="1123">
      <c r="A1123" s="16" t="s">
        <v>70</v>
      </c>
      <c r="B1123" s="59" t="str">
        <f>IFERROR(HYPERLINK(VLOOKUP(A1123,Internal_lists_bugs!$A$2:$C$73,3,FALSE()), VLOOKUP(A1123,Internal_lists_bugs!$A$2:$C$73,3,FALSE())&amp;Char(10) &amp; Char(10) &amp; VLOOKUP(A1123,Internal_lists_bugs!$A$2:$Z$73,26,FALSE())),"please select a BUG ID")</f>
        <v>
</v>
      </c>
      <c r="C1123" s="39" t="str">
        <f>IFERROR(VLOOKUP(A1123,Internal_lists_bugs!$A$2:$G2011,7,FALSE()),"please select a BUG ID")</f>
        <v>https://github.com/elastic/elasticsearch/commit/976448e3395609276446e2b8dbeddb046823aa2e</v>
      </c>
      <c r="D1123" s="16" t="s">
        <v>1274</v>
      </c>
      <c r="F1123" s="43"/>
      <c r="H1123" s="43"/>
    </row>
    <row r="1124">
      <c r="A1124" s="16" t="s">
        <v>86</v>
      </c>
      <c r="B1124" s="59" t="str">
        <f>IFERROR(HYPERLINK(VLOOKUP(A1124,Internal_lists_bugs!$A$2:$C$73,3,FALSE()), VLOOKUP(A1124,Internal_lists_bugs!$A$2:$C$73,3,FALSE())&amp;Char(10) &amp; Char(10) &amp; VLOOKUP(A1124,Internal_lists_bugs!$A$2:$Z$73,26,FALSE())),"please select a BUG ID")</f>
        <v>
</v>
      </c>
      <c r="C1124" s="39" t="str">
        <f>IFERROR(VLOOKUP(A1124,Internal_lists_bugs!$A$2:$G2011,7,FALSE()),"please select a BUG ID")</f>
        <v>https://github.com/elastic/elasticsearch/commit/c55341bf515fec6d4135cee8a6e9a7a9764da17f</v>
      </c>
      <c r="D1124" s="16" t="s">
        <v>1261</v>
      </c>
      <c r="E1124" s="50"/>
      <c r="F1124" s="16" t="s">
        <v>1174</v>
      </c>
      <c r="G1124" s="50"/>
      <c r="H1124" s="122" t="s">
        <v>1262</v>
      </c>
    </row>
    <row r="1125">
      <c r="A1125" s="16" t="s">
        <v>86</v>
      </c>
      <c r="B1125" s="59" t="str">
        <f>IFERROR(HYPERLINK(VLOOKUP(A1125,Internal_lists_bugs!$A$2:$C$73,3,FALSE()), VLOOKUP(A1125,Internal_lists_bugs!$A$2:$C$73,3,FALSE())&amp;Char(10) &amp; Char(10) &amp; VLOOKUP(A1125,Internal_lists_bugs!$A$2:$Z$73,26,FALSE())),"please select a BUG ID")</f>
        <v>
</v>
      </c>
      <c r="C1125" s="39" t="str">
        <f>IFERROR(VLOOKUP(A1125,Internal_lists_bugs!$A$2:$G2011,7,FALSE()),"please select a BUG ID")</f>
        <v>https://github.com/elastic/elasticsearch/commit/c55341bf515fec6d4135cee8a6e9a7a9764da17f</v>
      </c>
      <c r="D1125" s="16" t="s">
        <v>1258</v>
      </c>
      <c r="E1125" s="50"/>
      <c r="F1125" s="43"/>
      <c r="G1125" s="50"/>
      <c r="H1125" s="122" t="s">
        <v>1267</v>
      </c>
    </row>
    <row r="1126">
      <c r="A1126" s="16" t="s">
        <v>86</v>
      </c>
      <c r="B1126" s="59" t="str">
        <f>IFERROR(HYPERLINK(VLOOKUP(A1126,Internal_lists_bugs!$A$2:$C$73,3,FALSE()), VLOOKUP(A1126,Internal_lists_bugs!$A$2:$C$73,3,FALSE())&amp;Char(10) &amp; Char(10) &amp; VLOOKUP(A1126,Internal_lists_bugs!$A$2:$Z$73,26,FALSE())),"please select a BUG ID")</f>
        <v>
</v>
      </c>
      <c r="C1126" s="39" t="str">
        <f>IFERROR(VLOOKUP(A1126,Internal_lists_bugs!$A$2:$G2011,7,FALSE()),"please select a BUG ID")</f>
        <v>https://github.com/elastic/elasticsearch/commit/c55341bf515fec6d4135cee8a6e9a7a9764da17f</v>
      </c>
      <c r="D1126" s="1" t="s">
        <v>1264</v>
      </c>
      <c r="E1126" s="50"/>
      <c r="F1126" s="43"/>
      <c r="G1126" s="50"/>
      <c r="H1126" s="122" t="s">
        <v>1263</v>
      </c>
    </row>
    <row r="1127">
      <c r="A1127" s="16" t="s">
        <v>86</v>
      </c>
      <c r="B1127" s="59" t="str">
        <f>IFERROR(HYPERLINK(VLOOKUP(A1127,Internal_lists_bugs!$A$2:$C$73,3,FALSE()), VLOOKUP(A1127,Internal_lists_bugs!$A$2:$C$73,3,FALSE())&amp;Char(10) &amp; Char(10) &amp; VLOOKUP(A1127,Internal_lists_bugs!$A$2:$Z$73,26,FALSE())),"please select a BUG ID")</f>
        <v>
</v>
      </c>
      <c r="C1127" s="39" t="str">
        <f>IFERROR(VLOOKUP(A1127,Internal_lists_bugs!$A$2:$G2011,7,FALSE()),"please select a BUG ID")</f>
        <v>https://github.com/elastic/elasticsearch/commit/c55341bf515fec6d4135cee8a6e9a7a9764da17f</v>
      </c>
      <c r="D1127" s="1" t="s">
        <v>1253</v>
      </c>
      <c r="E1127" s="50"/>
      <c r="F1127" s="43"/>
      <c r="G1127" s="50"/>
      <c r="H1127" s="122" t="s">
        <v>1265</v>
      </c>
    </row>
    <row r="1128">
      <c r="A1128" s="16" t="s">
        <v>86</v>
      </c>
      <c r="B1128" s="59" t="str">
        <f>IFERROR(HYPERLINK(VLOOKUP(A1128,Internal_lists_bugs!$A$2:$C$73,3,FALSE()), VLOOKUP(A1128,Internal_lists_bugs!$A$2:$C$73,3,FALSE())&amp;Char(10) &amp; Char(10) &amp; VLOOKUP(A1128,Internal_lists_bugs!$A$2:$Z$73,26,FALSE())),"please select a BUG ID")</f>
        <v>
</v>
      </c>
      <c r="C1128" s="39" t="str">
        <f>IFERROR(VLOOKUP(A1128,Internal_lists_bugs!$A$2:$G2011,7,FALSE()),"please select a BUG ID")</f>
        <v>https://github.com/elastic/elasticsearch/commit/c55341bf515fec6d4135cee8a6e9a7a9764da17f</v>
      </c>
      <c r="D1128" s="9" t="s">
        <v>1269</v>
      </c>
      <c r="E1128" s="50"/>
      <c r="F1128" s="43"/>
      <c r="G1128" s="50"/>
      <c r="H1128" s="16" t="s">
        <v>1266</v>
      </c>
    </row>
    <row r="1129">
      <c r="A1129" s="16" t="s">
        <v>86</v>
      </c>
      <c r="B1129" s="59" t="str">
        <f>IFERROR(HYPERLINK(VLOOKUP(A1129,Internal_lists_bugs!$A$2:$C$73,3,FALSE()), VLOOKUP(A1129,Internal_lists_bugs!$A$2:$C$73,3,FALSE())&amp;Char(10) &amp; Char(10) &amp; VLOOKUP(A1129,Internal_lists_bugs!$A$2:$Z$73,26,FALSE())),"please select a BUG ID")</f>
        <v>
</v>
      </c>
      <c r="C1129" s="39" t="str">
        <f>IFERROR(VLOOKUP(A1129,Internal_lists_bugs!$A$2:$G2011,7,FALSE()),"please select a BUG ID")</f>
        <v>https://github.com/elastic/elasticsearch/commit/c55341bf515fec6d4135cee8a6e9a7a9764da17f</v>
      </c>
      <c r="D1129" s="1" t="s">
        <v>1254</v>
      </c>
      <c r="E1129" s="50"/>
      <c r="F1129" s="43"/>
      <c r="G1129" s="50"/>
      <c r="H1129" s="16" t="s">
        <v>1271</v>
      </c>
    </row>
    <row r="1130">
      <c r="A1130" s="16" t="s">
        <v>86</v>
      </c>
      <c r="B1130" s="59" t="str">
        <f>IFERROR(HYPERLINK(VLOOKUP(A1130,Internal_lists_bugs!$A$2:$C$73,3,FALSE()), VLOOKUP(A1130,Internal_lists_bugs!$A$2:$C$73,3,FALSE())&amp;Char(10) &amp; Char(10) &amp; VLOOKUP(A1130,Internal_lists_bugs!$A$2:$Z$73,26,FALSE())),"please select a BUG ID")</f>
        <v>
</v>
      </c>
      <c r="C1130" s="39" t="str">
        <f>IFERROR(VLOOKUP(A1130,Internal_lists_bugs!$A$2:$G2011,7,FALSE()),"please select a BUG ID")</f>
        <v>https://github.com/elastic/elasticsearch/commit/c55341bf515fec6d4135cee8a6e9a7a9764da17f</v>
      </c>
      <c r="D1130" s="1" t="s">
        <v>1250</v>
      </c>
      <c r="E1130" s="50"/>
      <c r="F1130" s="43"/>
      <c r="G1130" s="50"/>
      <c r="H1130" s="16" t="s">
        <v>1272</v>
      </c>
    </row>
    <row r="1131">
      <c r="A1131" s="16" t="s">
        <v>86</v>
      </c>
      <c r="B1131" s="59" t="str">
        <f>IFERROR(HYPERLINK(VLOOKUP(A1131,Internal_lists_bugs!$A$2:$C$73,3,FALSE()), VLOOKUP(A1131,Internal_lists_bugs!$A$2:$C$73,3,FALSE())&amp;Char(10) &amp; Char(10) &amp; VLOOKUP(A1131,Internal_lists_bugs!$A$2:$Z$73,26,FALSE())),"please select a BUG ID")</f>
        <v>
</v>
      </c>
      <c r="C1131" s="39" t="str">
        <f>IFERROR(VLOOKUP(A1131,Internal_lists_bugs!$A$2:$G2011,7,FALSE()),"please select a BUG ID")</f>
        <v>https://github.com/elastic/elasticsearch/commit/c55341bf515fec6d4135cee8a6e9a7a9764da17f</v>
      </c>
      <c r="D1131" s="1" t="s">
        <v>1268</v>
      </c>
      <c r="E1131" s="50"/>
      <c r="F1131" s="43"/>
      <c r="G1131" s="50"/>
      <c r="H1131" s="43"/>
    </row>
    <row r="1132">
      <c r="A1132" s="16" t="s">
        <v>86</v>
      </c>
      <c r="B1132" s="59" t="str">
        <f>IFERROR(HYPERLINK(VLOOKUP(A1132,Internal_lists_bugs!$A$2:$C$73,3,FALSE()), VLOOKUP(A1132,Internal_lists_bugs!$A$2:$C$73,3,FALSE())&amp;Char(10) &amp; Char(10) &amp; VLOOKUP(A1132,Internal_lists_bugs!$A$2:$Z$73,26,FALSE())),"please select a BUG ID")</f>
        <v>
</v>
      </c>
      <c r="C1132" s="39" t="str">
        <f>IFERROR(VLOOKUP(A1132,Internal_lists_bugs!$A$2:$G2011,7,FALSE()),"please select a BUG ID")</f>
        <v>https://github.com/elastic/elasticsearch/commit/c55341bf515fec6d4135cee8a6e9a7a9764da17f</v>
      </c>
      <c r="D1132" s="1" t="s">
        <v>1273</v>
      </c>
      <c r="E1132" s="50"/>
      <c r="F1132" s="43"/>
      <c r="G1132" s="50"/>
      <c r="H1132" s="43"/>
    </row>
    <row r="1133">
      <c r="A1133" s="16" t="s">
        <v>86</v>
      </c>
      <c r="B1133" s="59" t="str">
        <f>IFERROR(HYPERLINK(VLOOKUP(A1133,Internal_lists_bugs!$A$2:$C$73,3,FALSE()), VLOOKUP(A1133,Internal_lists_bugs!$A$2:$C$73,3,FALSE())&amp;Char(10) &amp; Char(10) &amp; VLOOKUP(A1133,Internal_lists_bugs!$A$2:$Z$73,26,FALSE())),"please select a BUG ID")</f>
        <v>
</v>
      </c>
      <c r="C1133" s="39" t="str">
        <f>IFERROR(VLOOKUP(A1133,Internal_lists_bugs!$A$2:$G2011,7,FALSE()),"please select a BUG ID")</f>
        <v>https://github.com/elastic/elasticsearch/commit/c55341bf515fec6d4135cee8a6e9a7a9764da17f</v>
      </c>
      <c r="D1133" s="1" t="s">
        <v>1275</v>
      </c>
      <c r="F1133" s="43"/>
      <c r="H1133" s="43"/>
    </row>
    <row r="1134">
      <c r="A1134" s="16" t="s">
        <v>86</v>
      </c>
      <c r="B1134" s="59" t="str">
        <f>IFERROR(HYPERLINK(VLOOKUP(A1134,Internal_lists_bugs!$A$2:$C$73,3,FALSE()), VLOOKUP(A1134,Internal_lists_bugs!$A$2:$C$73,3,FALSE())&amp;Char(10) &amp; Char(10) &amp; VLOOKUP(A1134,Internal_lists_bugs!$A$2:$Z$73,26,FALSE())),"please select a BUG ID")</f>
        <v>
</v>
      </c>
      <c r="C1134" s="39" t="str">
        <f>IFERROR(VLOOKUP(A1134,Internal_lists_bugs!$A$2:$G2011,7,FALSE()),"please select a BUG ID")</f>
        <v>https://github.com/elastic/elasticsearch/commit/c55341bf515fec6d4135cee8a6e9a7a9764da17f</v>
      </c>
      <c r="D1134" s="16" t="s">
        <v>1274</v>
      </c>
      <c r="F1134" s="43"/>
      <c r="H1134" s="43"/>
    </row>
    <row r="1135">
      <c r="A1135" s="16" t="s">
        <v>90</v>
      </c>
      <c r="B1135" s="59" t="str">
        <f>IFERROR(HYPERLINK(VLOOKUP(A1135,Internal_lists_bugs!$A$2:$C$73,3,FALSE()), VLOOKUP(A1135,Internal_lists_bugs!$A$2:$C$73,3,FALSE())&amp;Char(10) &amp; Char(10) &amp; VLOOKUP(A1135,Internal_lists_bugs!$A$2:$Z$73,26,FALSE())),"please select a BUG ID")</f>
        <v>
</v>
      </c>
      <c r="C1135" s="39" t="str">
        <f>IFERROR(VLOOKUP(A1135,Internal_lists_bugs!$A$2:$G2011,7,FALSE()),"please select a BUG ID")</f>
        <v>https://github.com/elastic/elasticsearch/commit/bb49554c33b310e0e615c12befe8846a7d27c951</v>
      </c>
      <c r="D1135" s="16" t="s">
        <v>1261</v>
      </c>
      <c r="F1135" s="16" t="s">
        <v>1189</v>
      </c>
      <c r="H1135" s="16" t="s">
        <v>1262</v>
      </c>
    </row>
    <row r="1136">
      <c r="A1136" s="16" t="s">
        <v>90</v>
      </c>
      <c r="B1136" s="59" t="str">
        <f>IFERROR(HYPERLINK(VLOOKUP(A1136,Internal_lists_bugs!$A$2:$C$73,3,FALSE()), VLOOKUP(A1136,Internal_lists_bugs!$A$2:$C$73,3,FALSE())&amp;Char(10) &amp; Char(10) &amp; VLOOKUP(A1136,Internal_lists_bugs!$A$2:$Z$73,26,FALSE())),"please select a BUG ID")</f>
        <v>
</v>
      </c>
      <c r="C1136" s="39" t="str">
        <f>IFERROR(VLOOKUP(A1136,Internal_lists_bugs!$A$2:$G2011,7,FALSE()),"please select a BUG ID")</f>
        <v>https://github.com/elastic/elasticsearch/commit/bb49554c33b310e0e615c12befe8846a7d27c951</v>
      </c>
      <c r="D1136" s="16" t="s">
        <v>1258</v>
      </c>
      <c r="F1136" s="43"/>
      <c r="H1136" s="16" t="s">
        <v>1267</v>
      </c>
    </row>
    <row r="1137">
      <c r="A1137" s="16" t="s">
        <v>90</v>
      </c>
      <c r="B1137" s="59" t="str">
        <f>IFERROR(HYPERLINK(VLOOKUP(A1137,Internal_lists_bugs!$A$2:$C$73,3,FALSE()), VLOOKUP(A1137,Internal_lists_bugs!$A$2:$C$73,3,FALSE())&amp;Char(10) &amp; Char(10) &amp; VLOOKUP(A1137,Internal_lists_bugs!$A$2:$Z$73,26,FALSE())),"please select a BUG ID")</f>
        <v>
</v>
      </c>
      <c r="C1137" s="39" t="str">
        <f>IFERROR(VLOOKUP(A1137,Internal_lists_bugs!$A$2:$G2011,7,FALSE()),"please select a BUG ID")</f>
        <v>https://github.com/elastic/elasticsearch/commit/bb49554c33b310e0e615c12befe8846a7d27c951</v>
      </c>
      <c r="D1137" s="16" t="s">
        <v>1253</v>
      </c>
      <c r="F1137" s="43"/>
      <c r="H1137" s="16" t="s">
        <v>1271</v>
      </c>
    </row>
    <row r="1138">
      <c r="A1138" s="16" t="s">
        <v>90</v>
      </c>
      <c r="B1138" s="59" t="str">
        <f>IFERROR(HYPERLINK(VLOOKUP(A1138,Internal_lists_bugs!$A$2:$C$73,3,FALSE()), VLOOKUP(A1138,Internal_lists_bugs!$A$2:$C$73,3,FALSE())&amp;Char(10) &amp; Char(10) &amp; VLOOKUP(A1138,Internal_lists_bugs!$A$2:$Z$73,26,FALSE())),"please select a BUG ID")</f>
        <v>
</v>
      </c>
      <c r="C1138" s="39" t="str">
        <f>IFERROR(VLOOKUP(A1138,Internal_lists_bugs!$A$2:$G2011,7,FALSE()),"please select a BUG ID")</f>
        <v>https://github.com/elastic/elasticsearch/commit/bb49554c33b310e0e615c12befe8846a7d27c951</v>
      </c>
      <c r="D1138" s="16" t="s">
        <v>1269</v>
      </c>
      <c r="F1138" s="43"/>
      <c r="H1138" s="43"/>
    </row>
    <row r="1139">
      <c r="A1139" s="16" t="s">
        <v>90</v>
      </c>
      <c r="B1139" s="59" t="str">
        <f>IFERROR(HYPERLINK(VLOOKUP(A1139,Internal_lists_bugs!$A$2:$C$73,3,FALSE()), VLOOKUP(A1139,Internal_lists_bugs!$A$2:$C$73,3,FALSE())&amp;Char(10) &amp; Char(10) &amp; VLOOKUP(A1139,Internal_lists_bugs!$A$2:$Z$73,26,FALSE())),"please select a BUG ID")</f>
        <v>
</v>
      </c>
      <c r="C1139" s="39" t="str">
        <f>IFERROR(VLOOKUP(A1139,Internal_lists_bugs!$A$2:$G2011,7,FALSE()),"please select a BUG ID")</f>
        <v>https://github.com/elastic/elasticsearch/commit/bb49554c33b310e0e615c12befe8846a7d27c951</v>
      </c>
      <c r="D1139" s="16" t="s">
        <v>1273</v>
      </c>
      <c r="F1139" s="43"/>
      <c r="H1139" s="43"/>
    </row>
    <row r="1140">
      <c r="A1140" s="16" t="s">
        <v>79</v>
      </c>
      <c r="B1140" s="59" t="str">
        <f>IFERROR(HYPERLINK(VLOOKUP(A1140,Internal_lists_bugs!$A$2:$C$73,3,FALSE()), VLOOKUP(A1140,Internal_lists_bugs!$A$2:$C$73,3,FALSE())&amp;Char(10) &amp; Char(10) &amp; VLOOKUP(A1140,Internal_lists_bugs!$A$2:$Z$73,26,FALSE())),"please select a BUG ID")</f>
        <v>
</v>
      </c>
      <c r="C1140" s="39" t="str">
        <f>IFERROR(VLOOKUP(A1140,Internal_lists_bugs!$A$2:$G2011,7,FALSE()),"please select a BUG ID")</f>
        <v>https://github.com/elastic/elasticsearch/commit/e88535a67e9594f3135465b5021ba9b502fef950</v>
      </c>
      <c r="D1140" s="16" t="s">
        <v>1261</v>
      </c>
      <c r="E1140" s="50"/>
      <c r="F1140" s="16" t="s">
        <v>1189</v>
      </c>
      <c r="G1140" s="50"/>
      <c r="H1140" s="122" t="s">
        <v>1262</v>
      </c>
    </row>
    <row r="1141">
      <c r="A1141" s="16" t="s">
        <v>79</v>
      </c>
      <c r="B1141" s="59" t="str">
        <f>IFERROR(HYPERLINK(VLOOKUP(A1141,Internal_lists_bugs!$A$2:$C$73,3,FALSE()), VLOOKUP(A1141,Internal_lists_bugs!$A$2:$C$73,3,FALSE())&amp;Char(10) &amp; Char(10) &amp; VLOOKUP(A1141,Internal_lists_bugs!$A$2:$Z$73,26,FALSE())),"please select a BUG ID")</f>
        <v>
</v>
      </c>
      <c r="C1141" s="39" t="str">
        <f>IFERROR(VLOOKUP(A1141,Internal_lists_bugs!$A$2:$G2011,7,FALSE()),"please select a BUG ID")</f>
        <v>https://github.com/elastic/elasticsearch/commit/e88535a67e9594f3135465b5021ba9b502fef950</v>
      </c>
      <c r="D1141" s="16" t="s">
        <v>1258</v>
      </c>
      <c r="E1141" s="50"/>
      <c r="F1141" s="43"/>
      <c r="G1141" s="50"/>
      <c r="H1141" s="122" t="s">
        <v>1267</v>
      </c>
    </row>
    <row r="1142">
      <c r="A1142" s="16" t="s">
        <v>79</v>
      </c>
      <c r="B1142" s="59" t="str">
        <f>IFERROR(HYPERLINK(VLOOKUP(A1142,Internal_lists_bugs!$A$2:$C$73,3,FALSE()), VLOOKUP(A1142,Internal_lists_bugs!$A$2:$C$73,3,FALSE())&amp;Char(10) &amp; Char(10) &amp; VLOOKUP(A1142,Internal_lists_bugs!$A$2:$Z$73,26,FALSE())),"please select a BUG ID")</f>
        <v>
</v>
      </c>
      <c r="C1142" s="39" t="str">
        <f>IFERROR(VLOOKUP(A1142,Internal_lists_bugs!$A$2:$G2011,7,FALSE()),"please select a BUG ID")</f>
        <v>https://github.com/elastic/elasticsearch/commit/e88535a67e9594f3135465b5021ba9b502fef950</v>
      </c>
      <c r="D1142" s="1" t="s">
        <v>1264</v>
      </c>
      <c r="E1142" s="50"/>
      <c r="F1142" s="43"/>
      <c r="G1142" s="50"/>
      <c r="H1142" s="122" t="s">
        <v>1263</v>
      </c>
    </row>
    <row r="1143">
      <c r="A1143" s="16" t="s">
        <v>79</v>
      </c>
      <c r="B1143" s="59" t="str">
        <f>IFERROR(HYPERLINK(VLOOKUP(A1143,Internal_lists_bugs!$A$2:$C$73,3,FALSE()), VLOOKUP(A1143,Internal_lists_bugs!$A$2:$C$73,3,FALSE())&amp;Char(10) &amp; Char(10) &amp; VLOOKUP(A1143,Internal_lists_bugs!$A$2:$Z$73,26,FALSE())),"please select a BUG ID")</f>
        <v>
</v>
      </c>
      <c r="C1143" s="39" t="str">
        <f>IFERROR(VLOOKUP(A1143,Internal_lists_bugs!$A$2:$G2011,7,FALSE()),"please select a BUG ID")</f>
        <v>https://github.com/elastic/elasticsearch/commit/e88535a67e9594f3135465b5021ba9b502fef950</v>
      </c>
      <c r="D1143" s="1" t="s">
        <v>1253</v>
      </c>
      <c r="E1143" s="50"/>
      <c r="F1143" s="43"/>
      <c r="G1143" s="50"/>
      <c r="H1143" s="122" t="s">
        <v>1265</v>
      </c>
    </row>
    <row r="1144">
      <c r="A1144" s="16" t="s">
        <v>79</v>
      </c>
      <c r="B1144" s="59" t="str">
        <f>IFERROR(HYPERLINK(VLOOKUP(A1144,Internal_lists_bugs!$A$2:$C$73,3,FALSE()), VLOOKUP(A1144,Internal_lists_bugs!$A$2:$C$73,3,FALSE())&amp;Char(10) &amp; Char(10) &amp; VLOOKUP(A1144,Internal_lists_bugs!$A$2:$Z$73,26,FALSE())),"please select a BUG ID")</f>
        <v>
</v>
      </c>
      <c r="C1144" s="39" t="str">
        <f>IFERROR(VLOOKUP(A1144,Internal_lists_bugs!$A$2:$G2011,7,FALSE()),"please select a BUG ID")</f>
        <v>https://github.com/elastic/elasticsearch/commit/e88535a67e9594f3135465b5021ba9b502fef950</v>
      </c>
      <c r="D1144" s="9" t="s">
        <v>1269</v>
      </c>
      <c r="E1144" s="50"/>
      <c r="F1144" s="43"/>
      <c r="G1144" s="50"/>
      <c r="H1144" s="16" t="s">
        <v>1266</v>
      </c>
    </row>
    <row r="1145">
      <c r="A1145" s="16" t="s">
        <v>79</v>
      </c>
      <c r="B1145" s="59" t="str">
        <f>IFERROR(HYPERLINK(VLOOKUP(A1145,Internal_lists_bugs!$A$2:$C$73,3,FALSE()), VLOOKUP(A1145,Internal_lists_bugs!$A$2:$C$73,3,FALSE())&amp;Char(10) &amp; Char(10) &amp; VLOOKUP(A1145,Internal_lists_bugs!$A$2:$Z$73,26,FALSE())),"please select a BUG ID")</f>
        <v>
</v>
      </c>
      <c r="C1145" s="39" t="str">
        <f>IFERROR(VLOOKUP(A1145,Internal_lists_bugs!$A$2:$G2011,7,FALSE()),"please select a BUG ID")</f>
        <v>https://github.com/elastic/elasticsearch/commit/e88535a67e9594f3135465b5021ba9b502fef950</v>
      </c>
      <c r="D1145" s="1" t="s">
        <v>1254</v>
      </c>
      <c r="E1145" s="50"/>
      <c r="F1145" s="43"/>
      <c r="G1145" s="50"/>
      <c r="H1145" s="16" t="s">
        <v>1271</v>
      </c>
    </row>
    <row r="1146">
      <c r="A1146" s="16" t="s">
        <v>79</v>
      </c>
      <c r="B1146" s="59" t="str">
        <f>IFERROR(HYPERLINK(VLOOKUP(A1146,Internal_lists_bugs!$A$2:$C$73,3,FALSE()), VLOOKUP(A1146,Internal_lists_bugs!$A$2:$C$73,3,FALSE())&amp;Char(10) &amp; Char(10) &amp; VLOOKUP(A1146,Internal_lists_bugs!$A$2:$Z$73,26,FALSE())),"please select a BUG ID")</f>
        <v>
</v>
      </c>
      <c r="C1146" s="39" t="str">
        <f>IFERROR(VLOOKUP(A1146,Internal_lists_bugs!$A$2:$G2011,7,FALSE()),"please select a BUG ID")</f>
        <v>https://github.com/elastic/elasticsearch/commit/e88535a67e9594f3135465b5021ba9b502fef950</v>
      </c>
      <c r="D1146" s="1" t="s">
        <v>1250</v>
      </c>
      <c r="E1146" s="50"/>
      <c r="F1146" s="43"/>
      <c r="G1146" s="50"/>
      <c r="H1146" s="16" t="s">
        <v>1272</v>
      </c>
    </row>
    <row r="1147">
      <c r="A1147" s="16" t="s">
        <v>79</v>
      </c>
      <c r="B1147" s="59" t="str">
        <f>IFERROR(HYPERLINK(VLOOKUP(A1147,Internal_lists_bugs!$A$2:$C$73,3,FALSE()), VLOOKUP(A1147,Internal_lists_bugs!$A$2:$C$73,3,FALSE())&amp;Char(10) &amp; Char(10) &amp; VLOOKUP(A1147,Internal_lists_bugs!$A$2:$Z$73,26,FALSE())),"please select a BUG ID")</f>
        <v>
</v>
      </c>
      <c r="C1147" s="39" t="str">
        <f>IFERROR(VLOOKUP(A1147,Internal_lists_bugs!$A$2:$G2011,7,FALSE()),"please select a BUG ID")</f>
        <v>https://github.com/elastic/elasticsearch/commit/e88535a67e9594f3135465b5021ba9b502fef950</v>
      </c>
      <c r="D1147" s="1" t="s">
        <v>1268</v>
      </c>
      <c r="E1147" s="50"/>
      <c r="F1147" s="43"/>
      <c r="G1147" s="50"/>
      <c r="H1147" s="43"/>
    </row>
    <row r="1148">
      <c r="A1148" s="16" t="s">
        <v>79</v>
      </c>
      <c r="B1148" s="59" t="str">
        <f>IFERROR(HYPERLINK(VLOOKUP(A1148,Internal_lists_bugs!$A$2:$C$73,3,FALSE()), VLOOKUP(A1148,Internal_lists_bugs!$A$2:$C$73,3,FALSE())&amp;Char(10) &amp; Char(10) &amp; VLOOKUP(A1148,Internal_lists_bugs!$A$2:$Z$73,26,FALSE())),"please select a BUG ID")</f>
        <v>
</v>
      </c>
      <c r="C1148" s="39" t="str">
        <f>IFERROR(VLOOKUP(A1148,Internal_lists_bugs!$A$2:$G2011,7,FALSE()),"please select a BUG ID")</f>
        <v>https://github.com/elastic/elasticsearch/commit/e88535a67e9594f3135465b5021ba9b502fef950</v>
      </c>
      <c r="D1148" s="1" t="s">
        <v>1273</v>
      </c>
      <c r="E1148" s="50"/>
      <c r="F1148" s="43"/>
      <c r="G1148" s="50"/>
      <c r="H1148" s="43"/>
    </row>
    <row r="1149">
      <c r="A1149" s="16" t="s">
        <v>79</v>
      </c>
      <c r="B1149" s="59" t="str">
        <f>IFERROR(HYPERLINK(VLOOKUP(A1149,Internal_lists_bugs!$A$2:$C$73,3,FALSE()), VLOOKUP(A1149,Internal_lists_bugs!$A$2:$C$73,3,FALSE())&amp;Char(10) &amp; Char(10) &amp; VLOOKUP(A1149,Internal_lists_bugs!$A$2:$Z$73,26,FALSE())),"please select a BUG ID")</f>
        <v>
</v>
      </c>
      <c r="C1149" s="39" t="str">
        <f>IFERROR(VLOOKUP(A1149,Internal_lists_bugs!$A$2:$G2011,7,FALSE()),"please select a BUG ID")</f>
        <v>https://github.com/elastic/elasticsearch/commit/e88535a67e9594f3135465b5021ba9b502fef950</v>
      </c>
      <c r="D1149" s="1" t="s">
        <v>1275</v>
      </c>
      <c r="F1149" s="43"/>
      <c r="H1149" s="43"/>
    </row>
    <row r="1150">
      <c r="A1150" s="16" t="s">
        <v>79</v>
      </c>
      <c r="B1150" s="59" t="str">
        <f>IFERROR(HYPERLINK(VLOOKUP(A1150,Internal_lists_bugs!$A$2:$C$73,3,FALSE()), VLOOKUP(A1150,Internal_lists_bugs!$A$2:$C$73,3,FALSE())&amp;Char(10) &amp; Char(10) &amp; VLOOKUP(A1150,Internal_lists_bugs!$A$2:$Z$73,26,FALSE())),"please select a BUG ID")</f>
        <v>
</v>
      </c>
      <c r="C1150" s="39" t="str">
        <f>IFERROR(VLOOKUP(A1150,Internal_lists_bugs!$A$2:$G2011,7,FALSE()),"please select a BUG ID")</f>
        <v>https://github.com/elastic/elasticsearch/commit/e88535a67e9594f3135465b5021ba9b502fef950</v>
      </c>
      <c r="D1150" s="16" t="s">
        <v>1274</v>
      </c>
      <c r="F1150" s="43"/>
      <c r="H1150" s="43"/>
    </row>
    <row r="1151">
      <c r="A1151" s="16" t="s">
        <v>79</v>
      </c>
      <c r="B1151" s="59" t="str">
        <f>IFERROR(HYPERLINK(VLOOKUP(A1151,Internal_lists_bugs!$A$2:$C$73,3,FALSE()), VLOOKUP(A1151,Internal_lists_bugs!$A$2:$C$73,3,FALSE())&amp;Char(10) &amp; Char(10) &amp; VLOOKUP(A1151,Internal_lists_bugs!$A$2:$Z$73,26,FALSE())),"please select a BUG ID")</f>
        <v>
</v>
      </c>
      <c r="C1151" s="39" t="str">
        <f>IFERROR(VLOOKUP(A1151,Internal_lists_bugs!$A$2:$G2011,7,FALSE()),"please select a BUG ID")</f>
        <v>https://github.com/elastic/elasticsearch/commit/e88535a67e9594f3135465b5021ba9b502fef950</v>
      </c>
      <c r="D1151" s="16" t="s">
        <v>1276</v>
      </c>
      <c r="F1151" s="43"/>
      <c r="H1151" s="43"/>
    </row>
    <row r="1152">
      <c r="A1152" s="16" t="s">
        <v>69</v>
      </c>
      <c r="B1152" s="59" t="str">
        <f>IFERROR(HYPERLINK(VLOOKUP(A1152,Internal_lists_bugs!$A$2:$C$73,3,FALSE()), VLOOKUP(A1152,Internal_lists_bugs!$A$2:$C$73,3,FALSE())&amp;Char(10) &amp; Char(10) &amp; VLOOKUP(A1152,Internal_lists_bugs!$A$2:$Z$73,26,FALSE())),"please select a BUG ID")</f>
        <v>
</v>
      </c>
      <c r="C1152" s="39" t="str">
        <f>IFERROR(VLOOKUP(A1152,Internal_lists_bugs!$A$2:$G2011,7,FALSE()),"please select a BUG ID")</f>
        <v>https://github.com/elastic/elasticsearch/commit/a75adaaaaaa632c036464da8fa24770796f77852</v>
      </c>
      <c r="D1152" s="16" t="s">
        <v>1261</v>
      </c>
      <c r="E1152" s="50"/>
      <c r="F1152" s="16" t="s">
        <v>1189</v>
      </c>
      <c r="G1152" s="50"/>
      <c r="H1152" s="122" t="s">
        <v>1262</v>
      </c>
    </row>
    <row r="1153">
      <c r="A1153" s="16" t="s">
        <v>69</v>
      </c>
      <c r="B1153" s="59" t="str">
        <f>IFERROR(HYPERLINK(VLOOKUP(A1153,Internal_lists_bugs!$A$2:$C$73,3,FALSE()), VLOOKUP(A1153,Internal_lists_bugs!$A$2:$C$73,3,FALSE())&amp;Char(10) &amp; Char(10) &amp; VLOOKUP(A1153,Internal_lists_bugs!$A$2:$Z$73,26,FALSE())),"please select a BUG ID")</f>
        <v>
</v>
      </c>
      <c r="C1153" s="39" t="str">
        <f>IFERROR(VLOOKUP(A1153,Internal_lists_bugs!$A$2:$G2011,7,FALSE()),"please select a BUG ID")</f>
        <v>https://github.com/elastic/elasticsearch/commit/a75adaaaaaa632c036464da8fa24770796f77852</v>
      </c>
      <c r="D1153" s="16" t="s">
        <v>1258</v>
      </c>
      <c r="E1153" s="50"/>
      <c r="F1153" s="43"/>
      <c r="G1153" s="50"/>
      <c r="H1153" s="122" t="s">
        <v>1267</v>
      </c>
    </row>
    <row r="1154">
      <c r="A1154" s="16" t="s">
        <v>69</v>
      </c>
      <c r="B1154" s="59" t="str">
        <f>IFERROR(HYPERLINK(VLOOKUP(A1154,Internal_lists_bugs!$A$2:$C$73,3,FALSE()), VLOOKUP(A1154,Internal_lists_bugs!$A$2:$C$73,3,FALSE())&amp;Char(10) &amp; Char(10) &amp; VLOOKUP(A1154,Internal_lists_bugs!$A$2:$Z$73,26,FALSE())),"please select a BUG ID")</f>
        <v>
</v>
      </c>
      <c r="C1154" s="39" t="str">
        <f>IFERROR(VLOOKUP(A1154,Internal_lists_bugs!$A$2:$G2011,7,FALSE()),"please select a BUG ID")</f>
        <v>https://github.com/elastic/elasticsearch/commit/a75adaaaaaa632c036464da8fa24770796f77852</v>
      </c>
      <c r="D1154" s="1" t="s">
        <v>1264</v>
      </c>
      <c r="E1154" s="50"/>
      <c r="F1154" s="43"/>
      <c r="G1154" s="50"/>
      <c r="H1154" s="122" t="s">
        <v>1263</v>
      </c>
    </row>
    <row r="1155">
      <c r="A1155" s="16" t="s">
        <v>69</v>
      </c>
      <c r="B1155" s="59" t="str">
        <f>IFERROR(HYPERLINK(VLOOKUP(A1155,Internal_lists_bugs!$A$2:$C$73,3,FALSE()), VLOOKUP(A1155,Internal_lists_bugs!$A$2:$C$73,3,FALSE())&amp;Char(10) &amp; Char(10) &amp; VLOOKUP(A1155,Internal_lists_bugs!$A$2:$Z$73,26,FALSE())),"please select a BUG ID")</f>
        <v>
</v>
      </c>
      <c r="C1155" s="39" t="str">
        <f>IFERROR(VLOOKUP(A1155,Internal_lists_bugs!$A$2:$G2011,7,FALSE()),"please select a BUG ID")</f>
        <v>https://github.com/elastic/elasticsearch/commit/a75adaaaaaa632c036464da8fa24770796f77852</v>
      </c>
      <c r="D1155" s="1" t="s">
        <v>1253</v>
      </c>
      <c r="E1155" s="50"/>
      <c r="F1155" s="43"/>
      <c r="G1155" s="50"/>
      <c r="H1155" s="122" t="s">
        <v>1265</v>
      </c>
    </row>
    <row r="1156">
      <c r="A1156" s="16" t="s">
        <v>69</v>
      </c>
      <c r="B1156" s="59" t="str">
        <f>IFERROR(HYPERLINK(VLOOKUP(A1156,Internal_lists_bugs!$A$2:$C$73,3,FALSE()), VLOOKUP(A1156,Internal_lists_bugs!$A$2:$C$73,3,FALSE())&amp;Char(10) &amp; Char(10) &amp; VLOOKUP(A1156,Internal_lists_bugs!$A$2:$Z$73,26,FALSE())),"please select a BUG ID")</f>
        <v>
</v>
      </c>
      <c r="C1156" s="39" t="str">
        <f>IFERROR(VLOOKUP(A1156,Internal_lists_bugs!$A$2:$G2011,7,FALSE()),"please select a BUG ID")</f>
        <v>https://github.com/elastic/elasticsearch/commit/a75adaaaaaa632c036464da8fa24770796f77852</v>
      </c>
      <c r="D1156" s="9" t="s">
        <v>1269</v>
      </c>
      <c r="E1156" s="50"/>
      <c r="F1156" s="43"/>
      <c r="G1156" s="50"/>
      <c r="H1156" s="16" t="s">
        <v>1266</v>
      </c>
    </row>
    <row r="1157">
      <c r="A1157" s="16" t="s">
        <v>69</v>
      </c>
      <c r="B1157" s="59" t="str">
        <f>IFERROR(HYPERLINK(VLOOKUP(A1157,Internal_lists_bugs!$A$2:$C$73,3,FALSE()), VLOOKUP(A1157,Internal_lists_bugs!$A$2:$C$73,3,FALSE())&amp;Char(10) &amp; Char(10) &amp; VLOOKUP(A1157,Internal_lists_bugs!$A$2:$Z$73,26,FALSE())),"please select a BUG ID")</f>
        <v>
</v>
      </c>
      <c r="C1157" s="39" t="str">
        <f>IFERROR(VLOOKUP(A1157,Internal_lists_bugs!$A$2:$G2011,7,FALSE()),"please select a BUG ID")</f>
        <v>https://github.com/elastic/elasticsearch/commit/a75adaaaaaa632c036464da8fa24770796f77852</v>
      </c>
      <c r="D1157" s="1" t="s">
        <v>1254</v>
      </c>
      <c r="E1157" s="50"/>
      <c r="F1157" s="43"/>
      <c r="G1157" s="50"/>
      <c r="H1157" s="16" t="s">
        <v>1271</v>
      </c>
    </row>
    <row r="1158">
      <c r="A1158" s="16" t="s">
        <v>69</v>
      </c>
      <c r="B1158" s="59" t="str">
        <f>IFERROR(HYPERLINK(VLOOKUP(A1158,Internal_lists_bugs!$A$2:$C$73,3,FALSE()), VLOOKUP(A1158,Internal_lists_bugs!$A$2:$C$73,3,FALSE())&amp;Char(10) &amp; Char(10) &amp; VLOOKUP(A1158,Internal_lists_bugs!$A$2:$Z$73,26,FALSE())),"please select a BUG ID")</f>
        <v>
</v>
      </c>
      <c r="C1158" s="39" t="str">
        <f>IFERROR(VLOOKUP(A1158,Internal_lists_bugs!$A$2:$G2011,7,FALSE()),"please select a BUG ID")</f>
        <v>https://github.com/elastic/elasticsearch/commit/a75adaaaaaa632c036464da8fa24770796f77852</v>
      </c>
      <c r="D1158" s="1" t="s">
        <v>1250</v>
      </c>
      <c r="E1158" s="50"/>
      <c r="F1158" s="43"/>
      <c r="G1158" s="50"/>
      <c r="H1158" s="16" t="s">
        <v>1272</v>
      </c>
    </row>
    <row r="1159">
      <c r="A1159" s="16" t="s">
        <v>69</v>
      </c>
      <c r="B1159" s="59" t="str">
        <f>IFERROR(HYPERLINK(VLOOKUP(A1159,Internal_lists_bugs!$A$2:$C$73,3,FALSE()), VLOOKUP(A1159,Internal_lists_bugs!$A$2:$C$73,3,FALSE())&amp;Char(10) &amp; Char(10) &amp; VLOOKUP(A1159,Internal_lists_bugs!$A$2:$Z$73,26,FALSE())),"please select a BUG ID")</f>
        <v>
</v>
      </c>
      <c r="C1159" s="39" t="str">
        <f>IFERROR(VLOOKUP(A1159,Internal_lists_bugs!$A$2:$G2011,7,FALSE()),"please select a BUG ID")</f>
        <v>https://github.com/elastic/elasticsearch/commit/a75adaaaaaa632c036464da8fa24770796f77852</v>
      </c>
      <c r="D1159" s="1" t="s">
        <v>1268</v>
      </c>
      <c r="E1159" s="50"/>
      <c r="F1159" s="43"/>
      <c r="G1159" s="50"/>
      <c r="H1159" s="43"/>
    </row>
    <row r="1160">
      <c r="A1160" s="16" t="s">
        <v>69</v>
      </c>
      <c r="B1160" s="59" t="str">
        <f>IFERROR(HYPERLINK(VLOOKUP(A1160,Internal_lists_bugs!$A$2:$C$73,3,FALSE()), VLOOKUP(A1160,Internal_lists_bugs!$A$2:$C$73,3,FALSE())&amp;Char(10) &amp; Char(10) &amp; VLOOKUP(A1160,Internal_lists_bugs!$A$2:$Z$73,26,FALSE())),"please select a BUG ID")</f>
        <v>
</v>
      </c>
      <c r="C1160" s="39" t="str">
        <f>IFERROR(VLOOKUP(A1160,Internal_lists_bugs!$A$2:$G2011,7,FALSE()),"please select a BUG ID")</f>
        <v>https://github.com/elastic/elasticsearch/commit/a75adaaaaaa632c036464da8fa24770796f77852</v>
      </c>
      <c r="D1160" s="1" t="s">
        <v>1273</v>
      </c>
      <c r="E1160" s="50"/>
      <c r="F1160" s="43"/>
      <c r="G1160" s="50"/>
      <c r="H1160" s="43"/>
    </row>
    <row r="1161">
      <c r="A1161" s="16" t="s">
        <v>69</v>
      </c>
      <c r="B1161" s="59" t="str">
        <f>IFERROR(HYPERLINK(VLOOKUP(A1161,Internal_lists_bugs!$A$2:$C$73,3,FALSE()), VLOOKUP(A1161,Internal_lists_bugs!$A$2:$C$73,3,FALSE())&amp;Char(10) &amp; Char(10) &amp; VLOOKUP(A1161,Internal_lists_bugs!$A$2:$Z$73,26,FALSE())),"please select a BUG ID")</f>
        <v>
</v>
      </c>
      <c r="C1161" s="39" t="str">
        <f>IFERROR(VLOOKUP(A1161,Internal_lists_bugs!$A$2:$G2011,7,FALSE()),"please select a BUG ID")</f>
        <v>https://github.com/elastic/elasticsearch/commit/a75adaaaaaa632c036464da8fa24770796f77852</v>
      </c>
      <c r="D1161" s="1" t="s">
        <v>1275</v>
      </c>
      <c r="F1161" s="43"/>
      <c r="H1161" s="43"/>
    </row>
    <row r="1162">
      <c r="A1162" s="16" t="s">
        <v>69</v>
      </c>
      <c r="B1162" s="59" t="str">
        <f>IFERROR(HYPERLINK(VLOOKUP(A1162,Internal_lists_bugs!$A$2:$C$73,3,FALSE()), VLOOKUP(A1162,Internal_lists_bugs!$A$2:$C$73,3,FALSE())&amp;Char(10) &amp; Char(10) &amp; VLOOKUP(A1162,Internal_lists_bugs!$A$2:$Z$73,26,FALSE())),"please select a BUG ID")</f>
        <v>
</v>
      </c>
      <c r="C1162" s="39" t="str">
        <f>IFERROR(VLOOKUP(A1162,Internal_lists_bugs!$A$2:$G2011,7,FALSE()),"please select a BUG ID")</f>
        <v>https://github.com/elastic/elasticsearch/commit/a75adaaaaaa632c036464da8fa24770796f77852</v>
      </c>
      <c r="D1162" s="16" t="s">
        <v>1274</v>
      </c>
      <c r="F1162" s="43"/>
      <c r="H1162" s="43"/>
    </row>
    <row r="1163">
      <c r="A1163" s="16" t="s">
        <v>69</v>
      </c>
      <c r="B1163" s="59" t="str">
        <f>IFERROR(HYPERLINK(VLOOKUP(A1163,Internal_lists_bugs!$A$2:$C$73,3,FALSE()), VLOOKUP(A1163,Internal_lists_bugs!$A$2:$C$73,3,FALSE())&amp;Char(10) &amp; Char(10) &amp; VLOOKUP(A1163,Internal_lists_bugs!$A$2:$Z$73,26,FALSE())),"please select a BUG ID")</f>
        <v>
</v>
      </c>
      <c r="C1163" s="39" t="str">
        <f>IFERROR(VLOOKUP(A1163,Internal_lists_bugs!$A$2:$G2011,7,FALSE()),"please select a BUG ID")</f>
        <v>https://github.com/elastic/elasticsearch/commit/a75adaaaaaa632c036464da8fa24770796f77852</v>
      </c>
      <c r="D1163" s="16" t="s">
        <v>1277</v>
      </c>
      <c r="F1163" s="43"/>
      <c r="H1163" s="43"/>
    </row>
    <row r="1164">
      <c r="A1164" s="16" t="s">
        <v>69</v>
      </c>
      <c r="B1164" s="59" t="str">
        <f>IFERROR(HYPERLINK(VLOOKUP(A1164,Internal_lists_bugs!$A$2:$C$73,3,FALSE()), VLOOKUP(A1164,Internal_lists_bugs!$A$2:$C$73,3,FALSE())&amp;Char(10) &amp; Char(10) &amp; VLOOKUP(A1164,Internal_lists_bugs!$A$2:$Z$73,26,FALSE())),"please select a BUG ID")</f>
        <v>
</v>
      </c>
      <c r="C1164" s="39" t="str">
        <f>IFERROR(VLOOKUP(A1164,Internal_lists_bugs!$A$2:$G2011,7,FALSE()),"please select a BUG ID")</f>
        <v>https://github.com/elastic/elasticsearch/commit/a75adaaaaaa632c036464da8fa24770796f77852</v>
      </c>
      <c r="D1164" s="16" t="s">
        <v>1276</v>
      </c>
      <c r="F1164" s="43"/>
      <c r="H1164" s="43"/>
    </row>
    <row r="1165">
      <c r="A1165" s="16" t="s">
        <v>100</v>
      </c>
      <c r="B1165" s="59" t="str">
        <f>IFERROR(HYPERLINK(VLOOKUP(A1165,Internal_lists_bugs!$A$2:$C$73,3,FALSE()), VLOOKUP(A1165,Internal_lists_bugs!$A$2:$C$73,3,FALSE())&amp;Char(10) &amp; Char(10) &amp; VLOOKUP(A1165,Internal_lists_bugs!$A$2:$Z$73,26,FALSE())),"please select a BUG ID")</f>
        <v>
</v>
      </c>
      <c r="C1165" s="39" t="str">
        <f>IFERROR(VLOOKUP(A1165,Internal_lists_bugs!$A$2:$G2011,7,FALSE()),"please select a BUG ID")</f>
        <v>https://github.com/elastic/elasticsearch/commit/093791e82dfe7c3e16ddb1f199fede2cf86b6797</v>
      </c>
      <c r="D1165" s="16" t="s">
        <v>1261</v>
      </c>
      <c r="E1165" s="50"/>
      <c r="F1165" s="16" t="s">
        <v>1189</v>
      </c>
      <c r="G1165" s="50"/>
      <c r="H1165" s="122" t="s">
        <v>1262</v>
      </c>
    </row>
    <row r="1166">
      <c r="A1166" s="16" t="s">
        <v>100</v>
      </c>
      <c r="B1166" s="59" t="str">
        <f>IFERROR(HYPERLINK(VLOOKUP(A1166,Internal_lists_bugs!$A$2:$C$73,3,FALSE()), VLOOKUP(A1166,Internal_lists_bugs!$A$2:$C$73,3,FALSE())&amp;Char(10) &amp; Char(10) &amp; VLOOKUP(A1166,Internal_lists_bugs!$A$2:$Z$73,26,FALSE())),"please select a BUG ID")</f>
        <v>
</v>
      </c>
      <c r="C1166" s="39" t="str">
        <f>IFERROR(VLOOKUP(A1166,Internal_lists_bugs!$A$2:$G2011,7,FALSE()),"please select a BUG ID")</f>
        <v>https://github.com/elastic/elasticsearch/commit/093791e82dfe7c3e16ddb1f199fede2cf86b6797</v>
      </c>
      <c r="D1166" s="16" t="s">
        <v>1258</v>
      </c>
      <c r="E1166" s="50"/>
      <c r="F1166" s="43"/>
      <c r="G1166" s="50"/>
      <c r="H1166" s="122" t="s">
        <v>1267</v>
      </c>
    </row>
    <row r="1167">
      <c r="A1167" s="16" t="s">
        <v>100</v>
      </c>
      <c r="B1167" s="59" t="str">
        <f>IFERROR(HYPERLINK(VLOOKUP(A1167,Internal_lists_bugs!$A$2:$C$73,3,FALSE()), VLOOKUP(A1167,Internal_lists_bugs!$A$2:$C$73,3,FALSE())&amp;Char(10) &amp; Char(10) &amp; VLOOKUP(A1167,Internal_lists_bugs!$A$2:$Z$73,26,FALSE())),"please select a BUG ID")</f>
        <v>
</v>
      </c>
      <c r="C1167" s="39" t="str">
        <f>IFERROR(VLOOKUP(A1167,Internal_lists_bugs!$A$2:$G2011,7,FALSE()),"please select a BUG ID")</f>
        <v>https://github.com/elastic/elasticsearch/commit/093791e82dfe7c3e16ddb1f199fede2cf86b6797</v>
      </c>
      <c r="D1167" s="1" t="s">
        <v>1264</v>
      </c>
      <c r="E1167" s="50"/>
      <c r="F1167" s="43"/>
      <c r="G1167" s="50"/>
      <c r="H1167" s="122" t="s">
        <v>1263</v>
      </c>
    </row>
    <row r="1168">
      <c r="A1168" s="16" t="s">
        <v>100</v>
      </c>
      <c r="B1168" s="59" t="str">
        <f>IFERROR(HYPERLINK(VLOOKUP(A1168,Internal_lists_bugs!$A$2:$C$73,3,FALSE()), VLOOKUP(A1168,Internal_lists_bugs!$A$2:$C$73,3,FALSE())&amp;Char(10) &amp; Char(10) &amp; VLOOKUP(A1168,Internal_lists_bugs!$A$2:$Z$73,26,FALSE())),"please select a BUG ID")</f>
        <v>
</v>
      </c>
      <c r="C1168" s="39" t="str">
        <f>IFERROR(VLOOKUP(A1168,Internal_lists_bugs!$A$2:$G2011,7,FALSE()),"please select a BUG ID")</f>
        <v>https://github.com/elastic/elasticsearch/commit/093791e82dfe7c3e16ddb1f199fede2cf86b6797</v>
      </c>
      <c r="D1168" s="1" t="s">
        <v>1253</v>
      </c>
      <c r="E1168" s="50"/>
      <c r="F1168" s="43"/>
      <c r="G1168" s="50"/>
      <c r="H1168" s="122" t="s">
        <v>1265</v>
      </c>
    </row>
    <row r="1169">
      <c r="A1169" s="16" t="s">
        <v>100</v>
      </c>
      <c r="B1169" s="59" t="str">
        <f>IFERROR(HYPERLINK(VLOOKUP(A1169,Internal_lists_bugs!$A$2:$C$73,3,FALSE()), VLOOKUP(A1169,Internal_lists_bugs!$A$2:$C$73,3,FALSE())&amp;Char(10) &amp; Char(10) &amp; VLOOKUP(A1169,Internal_lists_bugs!$A$2:$Z$73,26,FALSE())),"please select a BUG ID")</f>
        <v>
</v>
      </c>
      <c r="C1169" s="39" t="str">
        <f>IFERROR(VLOOKUP(A1169,Internal_lists_bugs!$A$2:$G2011,7,FALSE()),"please select a BUG ID")</f>
        <v>https://github.com/elastic/elasticsearch/commit/093791e82dfe7c3e16ddb1f199fede2cf86b6797</v>
      </c>
      <c r="D1169" s="9" t="s">
        <v>1269</v>
      </c>
      <c r="E1169" s="50"/>
      <c r="F1169" s="43"/>
      <c r="G1169" s="50"/>
      <c r="H1169" s="16" t="s">
        <v>1266</v>
      </c>
    </row>
    <row r="1170">
      <c r="A1170" s="16" t="s">
        <v>100</v>
      </c>
      <c r="B1170" s="59" t="str">
        <f>IFERROR(HYPERLINK(VLOOKUP(A1170,Internal_lists_bugs!$A$2:$C$73,3,FALSE()), VLOOKUP(A1170,Internal_lists_bugs!$A$2:$C$73,3,FALSE())&amp;Char(10) &amp; Char(10) &amp; VLOOKUP(A1170,Internal_lists_bugs!$A$2:$Z$73,26,FALSE())),"please select a BUG ID")</f>
        <v>
</v>
      </c>
      <c r="C1170" s="39" t="str">
        <f>IFERROR(VLOOKUP(A1170,Internal_lists_bugs!$A$2:$G2011,7,FALSE()),"please select a BUG ID")</f>
        <v>https://github.com/elastic/elasticsearch/commit/093791e82dfe7c3e16ddb1f199fede2cf86b6797</v>
      </c>
      <c r="D1170" s="1" t="s">
        <v>1254</v>
      </c>
      <c r="E1170" s="50"/>
      <c r="F1170" s="43"/>
      <c r="G1170" s="50"/>
      <c r="H1170" s="16" t="s">
        <v>1271</v>
      </c>
    </row>
    <row r="1171">
      <c r="A1171" s="16" t="s">
        <v>100</v>
      </c>
      <c r="B1171" s="59" t="str">
        <f>IFERROR(HYPERLINK(VLOOKUP(A1171,Internal_lists_bugs!$A$2:$C$73,3,FALSE()), VLOOKUP(A1171,Internal_lists_bugs!$A$2:$C$73,3,FALSE())&amp;Char(10) &amp; Char(10) &amp; VLOOKUP(A1171,Internal_lists_bugs!$A$2:$Z$73,26,FALSE())),"please select a BUG ID")</f>
        <v>
</v>
      </c>
      <c r="C1171" s="39" t="str">
        <f>IFERROR(VLOOKUP(A1171,Internal_lists_bugs!$A$2:$G2011,7,FALSE()),"please select a BUG ID")</f>
        <v>https://github.com/elastic/elasticsearch/commit/093791e82dfe7c3e16ddb1f199fede2cf86b6797</v>
      </c>
      <c r="D1171" s="1" t="s">
        <v>1250</v>
      </c>
      <c r="E1171" s="50"/>
      <c r="F1171" s="43"/>
      <c r="G1171" s="50"/>
      <c r="H1171" s="16" t="s">
        <v>1272</v>
      </c>
    </row>
    <row r="1172">
      <c r="A1172" s="16" t="s">
        <v>100</v>
      </c>
      <c r="B1172" s="59" t="str">
        <f>IFERROR(HYPERLINK(VLOOKUP(A1172,Internal_lists_bugs!$A$2:$C$73,3,FALSE()), VLOOKUP(A1172,Internal_lists_bugs!$A$2:$C$73,3,FALSE())&amp;Char(10) &amp; Char(10) &amp; VLOOKUP(A1172,Internal_lists_bugs!$A$2:$Z$73,26,FALSE())),"please select a BUG ID")</f>
        <v>
</v>
      </c>
      <c r="C1172" s="39" t="str">
        <f>IFERROR(VLOOKUP(A1172,Internal_lists_bugs!$A$2:$G2011,7,FALSE()),"please select a BUG ID")</f>
        <v>https://github.com/elastic/elasticsearch/commit/093791e82dfe7c3e16ddb1f199fede2cf86b6797</v>
      </c>
      <c r="D1172" s="1" t="s">
        <v>1268</v>
      </c>
      <c r="E1172" s="50"/>
      <c r="F1172" s="43"/>
      <c r="G1172" s="50"/>
      <c r="H1172" s="43"/>
    </row>
    <row r="1173">
      <c r="A1173" s="16" t="s">
        <v>100</v>
      </c>
      <c r="B1173" s="59" t="str">
        <f>IFERROR(HYPERLINK(VLOOKUP(A1173,Internal_lists_bugs!$A$2:$C$73,3,FALSE()), VLOOKUP(A1173,Internal_lists_bugs!$A$2:$C$73,3,FALSE())&amp;Char(10) &amp; Char(10) &amp; VLOOKUP(A1173,Internal_lists_bugs!$A$2:$Z$73,26,FALSE())),"please select a BUG ID")</f>
        <v>
</v>
      </c>
      <c r="C1173" s="39" t="str">
        <f>IFERROR(VLOOKUP(A1173,Internal_lists_bugs!$A$2:$G2011,7,FALSE()),"please select a BUG ID")</f>
        <v>https://github.com/elastic/elasticsearch/commit/093791e82dfe7c3e16ddb1f199fede2cf86b6797</v>
      </c>
      <c r="D1173" s="1" t="s">
        <v>1273</v>
      </c>
      <c r="E1173" s="50"/>
      <c r="F1173" s="43"/>
      <c r="G1173" s="50"/>
      <c r="H1173" s="43"/>
    </row>
    <row r="1174">
      <c r="A1174" s="16" t="s">
        <v>100</v>
      </c>
      <c r="B1174" s="59" t="str">
        <f>IFERROR(HYPERLINK(VLOOKUP(A1174,Internal_lists_bugs!$A$2:$C$73,3,FALSE()), VLOOKUP(A1174,Internal_lists_bugs!$A$2:$C$73,3,FALSE())&amp;Char(10) &amp; Char(10) &amp; VLOOKUP(A1174,Internal_lists_bugs!$A$2:$Z$73,26,FALSE())),"please select a BUG ID")</f>
        <v>
</v>
      </c>
      <c r="C1174" s="39" t="str">
        <f>IFERROR(VLOOKUP(A1174,Internal_lists_bugs!$A$2:$G2011,7,FALSE()),"please select a BUG ID")</f>
        <v>https://github.com/elastic/elasticsearch/commit/093791e82dfe7c3e16ddb1f199fede2cf86b6797</v>
      </c>
      <c r="D1174" s="1" t="s">
        <v>1275</v>
      </c>
      <c r="F1174" s="43"/>
      <c r="H1174" s="43"/>
    </row>
    <row r="1175">
      <c r="A1175" s="16" t="s">
        <v>100</v>
      </c>
      <c r="B1175" s="59" t="str">
        <f>IFERROR(HYPERLINK(VLOOKUP(A1175,Internal_lists_bugs!$A$2:$C$73,3,FALSE()), VLOOKUP(A1175,Internal_lists_bugs!$A$2:$C$73,3,FALSE())&amp;Char(10) &amp; Char(10) &amp; VLOOKUP(A1175,Internal_lists_bugs!$A$2:$Z$73,26,FALSE())),"please select a BUG ID")</f>
        <v>
</v>
      </c>
      <c r="C1175" s="39" t="str">
        <f>IFERROR(VLOOKUP(A1175,Internal_lists_bugs!$A$2:$G2011,7,FALSE()),"please select a BUG ID")</f>
        <v>https://github.com/elastic/elasticsearch/commit/093791e82dfe7c3e16ddb1f199fede2cf86b6797</v>
      </c>
      <c r="D1175" s="16" t="s">
        <v>1274</v>
      </c>
      <c r="F1175" s="43"/>
      <c r="H1175" s="43"/>
    </row>
    <row r="1176">
      <c r="A1176" s="16" t="s">
        <v>100</v>
      </c>
      <c r="B1176" s="59" t="str">
        <f>IFERROR(HYPERLINK(VLOOKUP(A1176,Internal_lists_bugs!$A$2:$C$73,3,FALSE()), VLOOKUP(A1176,Internal_lists_bugs!$A$2:$C$73,3,FALSE())&amp;Char(10) &amp; Char(10) &amp; VLOOKUP(A1176,Internal_lists_bugs!$A$2:$Z$73,26,FALSE())),"please select a BUG ID")</f>
        <v>
</v>
      </c>
      <c r="C1176" s="39" t="str">
        <f>IFERROR(VLOOKUP(A1176,Internal_lists_bugs!$A$2:$G2011,7,FALSE()),"please select a BUG ID")</f>
        <v>https://github.com/elastic/elasticsearch/commit/093791e82dfe7c3e16ddb1f199fede2cf86b6797</v>
      </c>
      <c r="D1176" s="16" t="s">
        <v>1277</v>
      </c>
      <c r="F1176" s="43"/>
      <c r="H1176" s="43"/>
    </row>
    <row r="1177">
      <c r="A1177" s="16" t="s">
        <v>100</v>
      </c>
      <c r="B1177" s="59" t="str">
        <f>IFERROR(HYPERLINK(VLOOKUP(A1177,Internal_lists_bugs!$A$2:$C$73,3,FALSE()), VLOOKUP(A1177,Internal_lists_bugs!$A$2:$C$73,3,FALSE())&amp;Char(10) &amp; Char(10) &amp; VLOOKUP(A1177,Internal_lists_bugs!$A$2:$Z$73,26,FALSE())),"please select a BUG ID")</f>
        <v>
</v>
      </c>
      <c r="C1177" s="39" t="str">
        <f>IFERROR(VLOOKUP(A1177,Internal_lists_bugs!$A$2:$G2011,7,FALSE()),"please select a BUG ID")</f>
        <v>https://github.com/elastic/elasticsearch/commit/093791e82dfe7c3e16ddb1f199fede2cf86b6797</v>
      </c>
      <c r="D1177" s="16" t="s">
        <v>1276</v>
      </c>
      <c r="F1177" s="43"/>
      <c r="H1177" s="43"/>
    </row>
    <row r="1178">
      <c r="A1178" s="16" t="s">
        <v>95</v>
      </c>
      <c r="B1178" s="59" t="str">
        <f>IFERROR(HYPERLINK(VLOOKUP(A1178,Internal_lists_bugs!$A$2:$C$73,3,FALSE()), VLOOKUP(A1178,Internal_lists_bugs!$A$2:$C$73,3,FALSE())&amp;Char(10) &amp; Char(10) &amp; VLOOKUP(A1178,Internal_lists_bugs!$A$2:$Z$73,26,FALSE())),"please select a BUG ID")</f>
        <v>
</v>
      </c>
      <c r="C1178" s="39" t="str">
        <f>IFERROR(VLOOKUP(A1178,Internal_lists_bugs!$A$2:$G2011,7,FALSE()),"please select a BUG ID")</f>
        <v>https://github.com/elastic/elasticsearch/commit/7caee2fa4d918d4c6978bcf986a158d03bf7db2a</v>
      </c>
      <c r="D1178" s="16" t="s">
        <v>1246</v>
      </c>
      <c r="F1178" s="16" t="s">
        <v>1189</v>
      </c>
      <c r="H1178" s="16" t="s">
        <v>1243</v>
      </c>
    </row>
    <row r="1179">
      <c r="A1179" s="16" t="s">
        <v>95</v>
      </c>
      <c r="B1179" s="59" t="str">
        <f>IFERROR(HYPERLINK(VLOOKUP(A1179,Internal_lists_bugs!$A$2:$C$73,3,FALSE()), VLOOKUP(A1179,Internal_lists_bugs!$A$2:$C$73,3,FALSE())&amp;Char(10) &amp; Char(10) &amp; VLOOKUP(A1179,Internal_lists_bugs!$A$2:$Z$73,26,FALSE())),"please select a BUG ID")</f>
        <v>
</v>
      </c>
      <c r="C1179" s="39" t="str">
        <f>IFERROR(VLOOKUP(A1179,Internal_lists_bugs!$A$2:$G2011,7,FALSE()),"please select a BUG ID")</f>
        <v>https://github.com/elastic/elasticsearch/commit/7caee2fa4d918d4c6978bcf986a158d03bf7db2a</v>
      </c>
      <c r="D1179" s="16" t="s">
        <v>1276</v>
      </c>
      <c r="F1179" s="43"/>
      <c r="H1179" s="16" t="s">
        <v>1245</v>
      </c>
    </row>
    <row r="1180">
      <c r="A1180" s="16" t="s">
        <v>95</v>
      </c>
      <c r="B1180" s="59" t="str">
        <f>IFERROR(HYPERLINK(VLOOKUP(A1180,Internal_lists_bugs!$A$2:$C$73,3,FALSE()), VLOOKUP(A1180,Internal_lists_bugs!$A$2:$C$73,3,FALSE())&amp;Char(10) &amp; Char(10) &amp; VLOOKUP(A1180,Internal_lists_bugs!$A$2:$Z$73,26,FALSE())),"please select a BUG ID")</f>
        <v>
</v>
      </c>
      <c r="C1180" s="39" t="str">
        <f>IFERROR(VLOOKUP(A1180,Internal_lists_bugs!$A$2:$G2011,7,FALSE()),"please select a BUG ID")</f>
        <v>https://github.com/elastic/elasticsearch/commit/7caee2fa4d918d4c6978bcf986a158d03bf7db2a</v>
      </c>
      <c r="D1180" s="16" t="s">
        <v>1254</v>
      </c>
      <c r="F1180" s="43"/>
      <c r="H1180" s="43"/>
    </row>
    <row r="1181">
      <c r="A1181" s="43"/>
      <c r="B1181" s="59" t="str">
        <f>IFERROR(HYPERLINK(VLOOKUP(A1181,Internal_lists_bugs!$A$2:$C$73,3,FALSE()), VLOOKUP(A1181,Internal_lists_bugs!$A$2:$C$73,3,FALSE())&amp;Char(10) &amp; Char(10) &amp; VLOOKUP(A1181,Internal_lists_bugs!$A$2:$Z$73,26,FALSE())),"please select a BUG ID")</f>
        <v>please select a BUG ID</v>
      </c>
      <c r="C1181" s="51" t="str">
        <f>IFERROR(VLOOKUP(A1181,Internal_lists_bugs!$A$2:$G2011,7,FALSE()),"please select a BUG ID")</f>
        <v>please select a BUG ID</v>
      </c>
      <c r="D1181" s="43"/>
      <c r="F1181" s="43"/>
      <c r="H1181" s="43"/>
    </row>
    <row r="1182">
      <c r="A1182" s="43"/>
      <c r="B1182" s="59" t="str">
        <f>IFERROR(HYPERLINK(VLOOKUP(A1182,Internal_lists_bugs!$A$2:$C$73,3,FALSE()), VLOOKUP(A1182,Internal_lists_bugs!$A$2:$C$73,3,FALSE())&amp;Char(10) &amp; Char(10) &amp; VLOOKUP(A1182,Internal_lists_bugs!$A$2:$Z$73,26,FALSE())),"please select a BUG ID")</f>
        <v>please select a BUG ID</v>
      </c>
      <c r="C1182" s="51" t="str">
        <f>IFERROR(VLOOKUP(A1182,Internal_lists_bugs!$A$2:$G2011,7,FALSE()),"please select a BUG ID")</f>
        <v>please select a BUG ID</v>
      </c>
      <c r="D1182" s="43"/>
      <c r="F1182" s="43"/>
      <c r="H1182" s="43"/>
    </row>
    <row r="1183">
      <c r="A1183" s="43"/>
      <c r="B1183" s="59" t="str">
        <f>IFERROR(HYPERLINK(VLOOKUP(A1183,Internal_lists_bugs!$A$2:$C$73,3,FALSE()), VLOOKUP(A1183,Internal_lists_bugs!$A$2:$C$73,3,FALSE())&amp;Char(10) &amp; Char(10) &amp; VLOOKUP(A1183,Internal_lists_bugs!$A$2:$Z$73,26,FALSE())),"please select a BUG ID")</f>
        <v>please select a BUG ID</v>
      </c>
      <c r="C1183" s="51" t="str">
        <f>IFERROR(VLOOKUP(A1183,Internal_lists_bugs!$A$2:$G2011,7,FALSE()),"please select a BUG ID")</f>
        <v>please select a BUG ID</v>
      </c>
      <c r="D1183" s="43"/>
      <c r="F1183" s="43"/>
      <c r="H1183" s="43"/>
    </row>
    <row r="1184">
      <c r="A1184" s="43"/>
      <c r="B1184" s="59" t="str">
        <f>IFERROR(HYPERLINK(VLOOKUP(A1184,Internal_lists_bugs!$A$2:$C$73,3,FALSE()), VLOOKUP(A1184,Internal_lists_bugs!$A$2:$C$73,3,FALSE())&amp;Char(10) &amp; Char(10) &amp; VLOOKUP(A1184,Internal_lists_bugs!$A$2:$Z$73,26,FALSE())),"please select a BUG ID")</f>
        <v>please select a BUG ID</v>
      </c>
      <c r="C1184" s="51" t="str">
        <f>IFERROR(VLOOKUP(A1184,Internal_lists_bugs!$A$2:$G2011,7,FALSE()),"please select a BUG ID")</f>
        <v>please select a BUG ID</v>
      </c>
      <c r="D1184" s="43"/>
      <c r="F1184" s="43"/>
      <c r="H1184" s="43"/>
    </row>
    <row r="1185">
      <c r="A1185" s="43"/>
      <c r="B1185" s="59" t="str">
        <f>IFERROR(HYPERLINK(VLOOKUP(A1185,Internal_lists_bugs!$A$2:$C$73,3,FALSE()), VLOOKUP(A1185,Internal_lists_bugs!$A$2:$C$73,3,FALSE())&amp;Char(10) &amp; Char(10) &amp; VLOOKUP(A1185,Internal_lists_bugs!$A$2:$Z$73,26,FALSE())),"please select a BUG ID")</f>
        <v>please select a BUG ID</v>
      </c>
      <c r="C1185" s="51" t="str">
        <f>IFERROR(VLOOKUP(A1185,Internal_lists_bugs!$A$2:$G2011,7,FALSE()),"please select a BUG ID")</f>
        <v>please select a BUG ID</v>
      </c>
      <c r="D1185" s="43"/>
      <c r="F1185" s="43"/>
      <c r="H1185" s="43"/>
    </row>
    <row r="1186">
      <c r="A1186" s="43"/>
      <c r="B1186" s="59" t="str">
        <f>IFERROR(HYPERLINK(VLOOKUP(A1186,Internal_lists_bugs!$A$2:$C$73,3,FALSE()), VLOOKUP(A1186,Internal_lists_bugs!$A$2:$C$73,3,FALSE())&amp;Char(10) &amp; Char(10) &amp; VLOOKUP(A1186,Internal_lists_bugs!$A$2:$Z$73,26,FALSE())),"please select a BUG ID")</f>
        <v>please select a BUG ID</v>
      </c>
      <c r="C1186" s="51" t="str">
        <f>IFERROR(VLOOKUP(A1186,Internal_lists_bugs!$A$2:$G2011,7,FALSE()),"please select a BUG ID")</f>
        <v>please select a BUG ID</v>
      </c>
      <c r="D1186" s="43"/>
      <c r="F1186" s="43"/>
      <c r="H1186" s="43"/>
    </row>
    <row r="1187">
      <c r="A1187" s="43"/>
      <c r="B1187" s="59" t="str">
        <f>IFERROR(HYPERLINK(VLOOKUP(A1187,Internal_lists_bugs!$A$2:$C$73,3,FALSE()), VLOOKUP(A1187,Internal_lists_bugs!$A$2:$C$73,3,FALSE())&amp;Char(10) &amp; Char(10) &amp; VLOOKUP(A1187,Internal_lists_bugs!$A$2:$Z$73,26,FALSE())),"please select a BUG ID")</f>
        <v>please select a BUG ID</v>
      </c>
      <c r="C1187" s="51" t="str">
        <f>IFERROR(VLOOKUP(A1187,Internal_lists_bugs!$A$2:$G2011,7,FALSE()),"please select a BUG ID")</f>
        <v>please select a BUG ID</v>
      </c>
      <c r="D1187" s="43"/>
      <c r="F1187" s="43"/>
      <c r="H1187" s="43"/>
    </row>
    <row r="1188">
      <c r="A1188" s="43"/>
      <c r="B1188" s="59" t="str">
        <f>IFERROR(HYPERLINK(VLOOKUP(A1188,Internal_lists_bugs!$A$2:$C$73,3,FALSE()), VLOOKUP(A1188,Internal_lists_bugs!$A$2:$C$73,3,FALSE())&amp;Char(10) &amp; Char(10) &amp; VLOOKUP(A1188,Internal_lists_bugs!$A$2:$Z$73,26,FALSE())),"please select a BUG ID")</f>
        <v>please select a BUG ID</v>
      </c>
      <c r="C1188" s="51" t="str">
        <f>IFERROR(VLOOKUP(A1188,Internal_lists_bugs!$A$2:$G2011,7,FALSE()),"please select a BUG ID")</f>
        <v>please select a BUG ID</v>
      </c>
      <c r="D1188" s="43"/>
      <c r="F1188" s="43"/>
      <c r="H1188" s="43"/>
    </row>
    <row r="1189">
      <c r="A1189" s="43"/>
      <c r="B1189" s="59" t="str">
        <f>IFERROR(HYPERLINK(VLOOKUP(A1189,Internal_lists_bugs!$A$2:$C$73,3,FALSE()), VLOOKUP(A1189,Internal_lists_bugs!$A$2:$C$73,3,FALSE())&amp;Char(10) &amp; Char(10) &amp; VLOOKUP(A1189,Internal_lists_bugs!$A$2:$Z$73,26,FALSE())),"please select a BUG ID")</f>
        <v>please select a BUG ID</v>
      </c>
      <c r="C1189" s="51" t="str">
        <f>IFERROR(VLOOKUP(A1189,Internal_lists_bugs!$A$2:$G2011,7,FALSE()),"please select a BUG ID")</f>
        <v>please select a BUG ID</v>
      </c>
      <c r="D1189" s="43"/>
      <c r="F1189" s="43"/>
      <c r="H1189" s="43"/>
    </row>
    <row r="1190">
      <c r="A1190" s="43"/>
      <c r="B1190" s="59" t="str">
        <f>IFERROR(HYPERLINK(VLOOKUP(A1190,Internal_lists_bugs!$A$2:$C$73,3,FALSE()), VLOOKUP(A1190,Internal_lists_bugs!$A$2:$C$73,3,FALSE())&amp;Char(10) &amp; Char(10) &amp; VLOOKUP(A1190,Internal_lists_bugs!$A$2:$Z$73,26,FALSE())),"please select a BUG ID")</f>
        <v>please select a BUG ID</v>
      </c>
      <c r="C1190" s="51" t="str">
        <f>IFERROR(VLOOKUP(A1190,Internal_lists_bugs!$A$2:$G2011,7,FALSE()),"please select a BUG ID")</f>
        <v>please select a BUG ID</v>
      </c>
      <c r="D1190" s="43"/>
      <c r="F1190" s="43"/>
      <c r="H1190" s="43"/>
    </row>
    <row r="1191">
      <c r="A1191" s="43"/>
      <c r="B1191" s="59" t="str">
        <f>IFERROR(HYPERLINK(VLOOKUP(A1191,Internal_lists_bugs!$A$2:$C$73,3,FALSE()), VLOOKUP(A1191,Internal_lists_bugs!$A$2:$C$73,3,FALSE())&amp;Char(10) &amp; Char(10) &amp; VLOOKUP(A1191,Internal_lists_bugs!$A$2:$Z$73,26,FALSE())),"please select a BUG ID")</f>
        <v>please select a BUG ID</v>
      </c>
      <c r="C1191" s="51" t="str">
        <f>IFERROR(VLOOKUP(A1191,Internal_lists_bugs!$A$2:$G2011,7,FALSE()),"please select a BUG ID")</f>
        <v>please select a BUG ID</v>
      </c>
      <c r="D1191" s="43"/>
      <c r="F1191" s="43"/>
      <c r="H1191" s="43"/>
    </row>
    <row r="1192">
      <c r="A1192" s="43"/>
      <c r="B1192" s="59" t="str">
        <f>IFERROR(HYPERLINK(VLOOKUP(A1192,Internal_lists_bugs!$A$2:$C$73,3,FALSE()), VLOOKUP(A1192,Internal_lists_bugs!$A$2:$C$73,3,FALSE())&amp;Char(10) &amp; Char(10) &amp; VLOOKUP(A1192,Internal_lists_bugs!$A$2:$Z$73,26,FALSE())),"please select a BUG ID")</f>
        <v>please select a BUG ID</v>
      </c>
      <c r="C1192" s="51" t="str">
        <f>IFERROR(VLOOKUP(A1192,Internal_lists_bugs!$A$2:$G2011,7,FALSE()),"please select a BUG ID")</f>
        <v>please select a BUG ID</v>
      </c>
      <c r="D1192" s="43"/>
      <c r="F1192" s="43"/>
      <c r="H1192" s="43"/>
    </row>
    <row r="1193">
      <c r="A1193" s="43"/>
      <c r="B1193" s="59" t="str">
        <f>IFERROR(HYPERLINK(VLOOKUP(A1193,Internal_lists_bugs!$A$2:$C$73,3,FALSE()), VLOOKUP(A1193,Internal_lists_bugs!$A$2:$C$73,3,FALSE())&amp;Char(10) &amp; Char(10) &amp; VLOOKUP(A1193,Internal_lists_bugs!$A$2:$Z$73,26,FALSE())),"please select a BUG ID")</f>
        <v>please select a BUG ID</v>
      </c>
      <c r="C1193" s="51" t="str">
        <f>IFERROR(VLOOKUP(A1193,Internal_lists_bugs!$A$2:$G2011,7,FALSE()),"please select a BUG ID")</f>
        <v>please select a BUG ID</v>
      </c>
      <c r="D1193" s="43"/>
      <c r="F1193" s="43"/>
      <c r="H1193" s="43"/>
    </row>
    <row r="1194">
      <c r="A1194" s="43"/>
      <c r="B1194" s="59" t="str">
        <f>IFERROR(HYPERLINK(VLOOKUP(A1194,Internal_lists_bugs!$A$2:$C$73,3,FALSE()), VLOOKUP(A1194,Internal_lists_bugs!$A$2:$C$73,3,FALSE())&amp;Char(10) &amp; Char(10) &amp; VLOOKUP(A1194,Internal_lists_bugs!$A$2:$Z$73,26,FALSE())),"please select a BUG ID")</f>
        <v>please select a BUG ID</v>
      </c>
      <c r="C1194" s="51" t="str">
        <f>IFERROR(VLOOKUP(A1194,Internal_lists_bugs!$A$2:$G2011,7,FALSE()),"please select a BUG ID")</f>
        <v>please select a BUG ID</v>
      </c>
      <c r="D1194" s="43"/>
      <c r="F1194" s="43"/>
      <c r="H1194" s="43"/>
    </row>
    <row r="1195">
      <c r="A1195" s="43"/>
      <c r="B1195" s="59" t="str">
        <f>IFERROR(HYPERLINK(VLOOKUP(A1195,Internal_lists_bugs!$A$2:$C$73,3,FALSE()), VLOOKUP(A1195,Internal_lists_bugs!$A$2:$C$73,3,FALSE())&amp;Char(10) &amp; Char(10) &amp; VLOOKUP(A1195,Internal_lists_bugs!$A$2:$Z$73,26,FALSE())),"please select a BUG ID")</f>
        <v>please select a BUG ID</v>
      </c>
      <c r="C1195" s="51" t="str">
        <f>IFERROR(VLOOKUP(A1195,Internal_lists_bugs!$A$2:$G2011,7,FALSE()),"please select a BUG ID")</f>
        <v>please select a BUG ID</v>
      </c>
      <c r="D1195" s="43"/>
      <c r="F1195" s="43"/>
      <c r="H1195" s="43"/>
    </row>
    <row r="1196">
      <c r="A1196" s="43"/>
      <c r="B1196" s="59" t="str">
        <f>IFERROR(HYPERLINK(VLOOKUP(A1196,Internal_lists_bugs!$A$2:$C$73,3,FALSE()), VLOOKUP(A1196,Internal_lists_bugs!$A$2:$C$73,3,FALSE())&amp;Char(10) &amp; Char(10) &amp; VLOOKUP(A1196,Internal_lists_bugs!$A$2:$Z$73,26,FALSE())),"please select a BUG ID")</f>
        <v>please select a BUG ID</v>
      </c>
      <c r="C1196" s="51" t="str">
        <f>IFERROR(VLOOKUP(A1196,Internal_lists_bugs!$A$2:$G2011,7,FALSE()),"please select a BUG ID")</f>
        <v>please select a BUG ID</v>
      </c>
      <c r="D1196" s="43"/>
      <c r="F1196" s="43"/>
      <c r="H1196" s="43"/>
    </row>
    <row r="1197">
      <c r="A1197" s="43"/>
      <c r="B1197" s="59" t="str">
        <f>IFERROR(HYPERLINK(VLOOKUP(A1197,Internal_lists_bugs!$A$2:$C$73,3,FALSE()), VLOOKUP(A1197,Internal_lists_bugs!$A$2:$C$73,3,FALSE())&amp;Char(10) &amp; Char(10) &amp; VLOOKUP(A1197,Internal_lists_bugs!$A$2:$Z$73,26,FALSE())),"please select a BUG ID")</f>
        <v>please select a BUG ID</v>
      </c>
      <c r="C1197" s="51" t="str">
        <f>IFERROR(VLOOKUP(A1197,Internal_lists_bugs!$A$2:$G2011,7,FALSE()),"please select a BUG ID")</f>
        <v>please select a BUG ID</v>
      </c>
      <c r="D1197" s="43"/>
      <c r="F1197" s="43"/>
      <c r="H1197" s="43"/>
    </row>
    <row r="1198">
      <c r="A1198" s="43"/>
      <c r="B1198" s="59" t="str">
        <f>IFERROR(HYPERLINK(VLOOKUP(A1198,Internal_lists_bugs!$A$2:$C$73,3,FALSE()), VLOOKUP(A1198,Internal_lists_bugs!$A$2:$C$73,3,FALSE())&amp;Char(10) &amp; Char(10) &amp; VLOOKUP(A1198,Internal_lists_bugs!$A$2:$Z$73,26,FALSE())),"please select a BUG ID")</f>
        <v>please select a BUG ID</v>
      </c>
      <c r="C1198" s="51" t="str">
        <f>IFERROR(VLOOKUP(A1198,Internal_lists_bugs!$A$2:$G2011,7,FALSE()),"please select a BUG ID")</f>
        <v>please select a BUG ID</v>
      </c>
      <c r="D1198" s="43"/>
      <c r="F1198" s="43"/>
      <c r="H1198" s="43"/>
    </row>
    <row r="1199">
      <c r="A1199" s="43"/>
      <c r="B1199" s="59" t="str">
        <f>IFERROR(HYPERLINK(VLOOKUP(A1199,Internal_lists_bugs!$A$2:$C$73,3,FALSE()), VLOOKUP(A1199,Internal_lists_bugs!$A$2:$C$73,3,FALSE())&amp;Char(10) &amp; Char(10) &amp; VLOOKUP(A1199,Internal_lists_bugs!$A$2:$Z$73,26,FALSE())),"please select a BUG ID")</f>
        <v>please select a BUG ID</v>
      </c>
      <c r="C1199" s="51" t="str">
        <f>IFERROR(VLOOKUP(A1199,Internal_lists_bugs!$A$2:$G2011,7,FALSE()),"please select a BUG ID")</f>
        <v>please select a BUG ID</v>
      </c>
      <c r="D1199" s="43"/>
      <c r="F1199" s="43"/>
      <c r="H1199" s="43"/>
    </row>
    <row r="1200">
      <c r="A1200" s="43"/>
      <c r="B1200" s="59" t="str">
        <f>IFERROR(HYPERLINK(VLOOKUP(A1200,Internal_lists_bugs!$A$2:$C$73,3,FALSE()), VLOOKUP(A1200,Internal_lists_bugs!$A$2:$C$73,3,FALSE())&amp;Char(10) &amp; Char(10) &amp; VLOOKUP(A1200,Internal_lists_bugs!$A$2:$Z$73,26,FALSE())),"please select a BUG ID")</f>
        <v>please select a BUG ID</v>
      </c>
      <c r="C1200" s="51" t="str">
        <f>IFERROR(VLOOKUP(A1200,Internal_lists_bugs!$A$2:$G2011,7,FALSE()),"please select a BUG ID")</f>
        <v>please select a BUG ID</v>
      </c>
      <c r="D1200" s="43"/>
      <c r="F1200" s="43"/>
      <c r="H1200" s="43"/>
    </row>
    <row r="1201">
      <c r="A1201" s="43"/>
      <c r="B1201" s="59" t="str">
        <f>IFERROR(HYPERLINK(VLOOKUP(A1201,Internal_lists_bugs!$A$2:$C$73,3,FALSE()), VLOOKUP(A1201,Internal_lists_bugs!$A$2:$C$73,3,FALSE())&amp;Char(10) &amp; Char(10) &amp; VLOOKUP(A1201,Internal_lists_bugs!$A$2:$Z$73,26,FALSE())),"please select a BUG ID")</f>
        <v>please select a BUG ID</v>
      </c>
      <c r="C1201" s="51" t="str">
        <f>IFERROR(VLOOKUP(A1201,Internal_lists_bugs!$A$2:$G2011,7,FALSE()),"please select a BUG ID")</f>
        <v>please select a BUG ID</v>
      </c>
      <c r="D1201" s="43"/>
      <c r="F1201" s="43"/>
      <c r="H1201" s="43"/>
    </row>
    <row r="1202">
      <c r="A1202" s="43"/>
      <c r="B1202" s="59" t="str">
        <f>IFERROR(HYPERLINK(VLOOKUP(A1202,Internal_lists_bugs!$A$2:$C$73,3,FALSE()), VLOOKUP(A1202,Internal_lists_bugs!$A$2:$C$73,3,FALSE())&amp;Char(10) &amp; Char(10) &amp; VLOOKUP(A1202,Internal_lists_bugs!$A$2:$Z$73,26,FALSE())),"please select a BUG ID")</f>
        <v>please select a BUG ID</v>
      </c>
      <c r="C1202" s="51" t="str">
        <f>IFERROR(VLOOKUP(A1202,Internal_lists_bugs!$A$2:$G2011,7,FALSE()),"please select a BUG ID")</f>
        <v>please select a BUG ID</v>
      </c>
      <c r="D1202" s="43"/>
      <c r="F1202" s="43"/>
      <c r="H1202" s="43"/>
    </row>
    <row r="1203">
      <c r="A1203" s="43"/>
      <c r="B1203" s="59" t="str">
        <f>IFERROR(HYPERLINK(VLOOKUP(A1203,Internal_lists_bugs!$A$2:$C$73,3,FALSE()), VLOOKUP(A1203,Internal_lists_bugs!$A$2:$C$73,3,FALSE())&amp;Char(10) &amp; Char(10) &amp; VLOOKUP(A1203,Internal_lists_bugs!$A$2:$Z$73,26,FALSE())),"please select a BUG ID")</f>
        <v>please select a BUG ID</v>
      </c>
      <c r="C1203" s="51" t="str">
        <f>IFERROR(VLOOKUP(A1203,Internal_lists_bugs!$A$2:$G2011,7,FALSE()),"please select a BUG ID")</f>
        <v>please select a BUG ID</v>
      </c>
      <c r="D1203" s="43"/>
      <c r="F1203" s="43"/>
      <c r="H1203" s="43"/>
    </row>
    <row r="1204">
      <c r="A1204" s="43"/>
      <c r="B1204" s="59" t="str">
        <f>IFERROR(HYPERLINK(VLOOKUP(A1204,Internal_lists_bugs!$A$2:$C$73,3,FALSE()), VLOOKUP(A1204,Internal_lists_bugs!$A$2:$C$73,3,FALSE())&amp;Char(10) &amp; Char(10) &amp; VLOOKUP(A1204,Internal_lists_bugs!$A$2:$Z$73,26,FALSE())),"please select a BUG ID")</f>
        <v>please select a BUG ID</v>
      </c>
      <c r="C1204" s="51" t="str">
        <f>IFERROR(VLOOKUP(A1204,Internal_lists_bugs!$A$2:$G2011,7,FALSE()),"please select a BUG ID")</f>
        <v>please select a BUG ID</v>
      </c>
      <c r="D1204" s="43"/>
      <c r="F1204" s="43"/>
      <c r="H1204" s="43"/>
    </row>
    <row r="1205">
      <c r="A1205" s="43"/>
      <c r="B1205" s="59" t="str">
        <f>IFERROR(HYPERLINK(VLOOKUP(A1205,Internal_lists_bugs!$A$2:$C$73,3,FALSE()), VLOOKUP(A1205,Internal_lists_bugs!$A$2:$C$73,3,FALSE())&amp;Char(10) &amp; Char(10) &amp; VLOOKUP(A1205,Internal_lists_bugs!$A$2:$Z$73,26,FALSE())),"please select a BUG ID")</f>
        <v>please select a BUG ID</v>
      </c>
      <c r="C1205" s="51" t="str">
        <f>IFERROR(VLOOKUP(A1205,Internal_lists_bugs!$A$2:$G2011,7,FALSE()),"please select a BUG ID")</f>
        <v>please select a BUG ID</v>
      </c>
      <c r="D1205" s="43"/>
      <c r="F1205" s="43"/>
      <c r="H1205" s="43"/>
    </row>
    <row r="1206">
      <c r="A1206" s="43"/>
      <c r="B1206" s="59" t="str">
        <f>IFERROR(HYPERLINK(VLOOKUP(A1206,Internal_lists_bugs!$A$2:$C$73,3,FALSE()), VLOOKUP(A1206,Internal_lists_bugs!$A$2:$C$73,3,FALSE())&amp;Char(10) &amp; Char(10) &amp; VLOOKUP(A1206,Internal_lists_bugs!$A$2:$Z$73,26,FALSE())),"please select a BUG ID")</f>
        <v>please select a BUG ID</v>
      </c>
      <c r="C1206" s="51" t="str">
        <f>IFERROR(VLOOKUP(A1206,Internal_lists_bugs!$A$2:$G2011,7,FALSE()),"please select a BUG ID")</f>
        <v>please select a BUG ID</v>
      </c>
      <c r="D1206" s="43"/>
      <c r="F1206" s="43"/>
      <c r="H1206" s="43"/>
    </row>
    <row r="1207">
      <c r="A1207" s="43"/>
      <c r="B1207" s="59" t="str">
        <f>IFERROR(HYPERLINK(VLOOKUP(A1207,Internal_lists_bugs!$A$2:$C$73,3,FALSE()), VLOOKUP(A1207,Internal_lists_bugs!$A$2:$C$73,3,FALSE())&amp;Char(10) &amp; Char(10) &amp; VLOOKUP(A1207,Internal_lists_bugs!$A$2:$Z$73,26,FALSE())),"please select a BUG ID")</f>
        <v>please select a BUG ID</v>
      </c>
      <c r="C1207" s="51" t="str">
        <f>IFERROR(VLOOKUP(A1207,Internal_lists_bugs!$A$2:$G2011,7,FALSE()),"please select a BUG ID")</f>
        <v>please select a BUG ID</v>
      </c>
      <c r="D1207" s="43"/>
      <c r="F1207" s="43"/>
      <c r="H1207" s="43"/>
    </row>
    <row r="1208">
      <c r="A1208" s="43"/>
      <c r="B1208" s="59" t="str">
        <f>IFERROR(HYPERLINK(VLOOKUP(A1208,Internal_lists_bugs!$A$2:$C$73,3,FALSE()), VLOOKUP(A1208,Internal_lists_bugs!$A$2:$C$73,3,FALSE())&amp;Char(10) &amp; Char(10) &amp; VLOOKUP(A1208,Internal_lists_bugs!$A$2:$Z$73,26,FALSE())),"please select a BUG ID")</f>
        <v>please select a BUG ID</v>
      </c>
      <c r="C1208" s="51" t="str">
        <f>IFERROR(VLOOKUP(A1208,Internal_lists_bugs!$A$2:$G2011,7,FALSE()),"please select a BUG ID")</f>
        <v>please select a BUG ID</v>
      </c>
      <c r="D1208" s="43"/>
      <c r="F1208" s="43"/>
      <c r="H1208" s="43"/>
    </row>
    <row r="1209">
      <c r="A1209" s="43"/>
      <c r="B1209" s="59" t="str">
        <f>IFERROR(HYPERLINK(VLOOKUP(A1209,Internal_lists_bugs!$A$2:$C$73,3,FALSE()), VLOOKUP(A1209,Internal_lists_bugs!$A$2:$C$73,3,FALSE())&amp;Char(10) &amp; Char(10) &amp; VLOOKUP(A1209,Internal_lists_bugs!$A$2:$Z$73,26,FALSE())),"please select a BUG ID")</f>
        <v>please select a BUG ID</v>
      </c>
      <c r="C1209" s="51" t="str">
        <f>IFERROR(VLOOKUP(A1209,Internal_lists_bugs!$A$2:$G2011,7,FALSE()),"please select a BUG ID")</f>
        <v>please select a BUG ID</v>
      </c>
      <c r="D1209" s="43"/>
      <c r="F1209" s="43"/>
      <c r="H1209" s="43"/>
    </row>
    <row r="1210">
      <c r="A1210" s="43"/>
      <c r="B1210" s="59" t="str">
        <f>IFERROR(HYPERLINK(VLOOKUP(A1210,Internal_lists_bugs!$A$2:$C$73,3,FALSE()), VLOOKUP(A1210,Internal_lists_bugs!$A$2:$C$73,3,FALSE())&amp;Char(10) &amp; Char(10) &amp; VLOOKUP(A1210,Internal_lists_bugs!$A$2:$Z$73,26,FALSE())),"please select a BUG ID")</f>
        <v>please select a BUG ID</v>
      </c>
      <c r="C1210" s="51" t="str">
        <f>IFERROR(VLOOKUP(A1210,Internal_lists_bugs!$A$2:$G2011,7,FALSE()),"please select a BUG ID")</f>
        <v>please select a BUG ID</v>
      </c>
      <c r="D1210" s="43"/>
      <c r="F1210" s="43"/>
      <c r="H1210" s="43"/>
    </row>
    <row r="1211">
      <c r="A1211" s="43"/>
      <c r="B1211" s="59" t="str">
        <f>IFERROR(HYPERLINK(VLOOKUP(A1211,Internal_lists_bugs!$A$2:$C$73,3,FALSE()), VLOOKUP(A1211,Internal_lists_bugs!$A$2:$C$73,3,FALSE())&amp;Char(10) &amp; Char(10) &amp; VLOOKUP(A1211,Internal_lists_bugs!$A$2:$Z$73,26,FALSE())),"please select a BUG ID")</f>
        <v>please select a BUG ID</v>
      </c>
      <c r="C1211" s="51" t="str">
        <f>IFERROR(VLOOKUP(A1211,Internal_lists_bugs!$A$2:$G2011,7,FALSE()),"please select a BUG ID")</f>
        <v>please select a BUG ID</v>
      </c>
      <c r="D1211" s="43"/>
      <c r="F1211" s="43"/>
      <c r="H1211" s="43"/>
    </row>
    <row r="1212">
      <c r="A1212" s="43"/>
      <c r="B1212" s="59" t="str">
        <f>IFERROR(HYPERLINK(VLOOKUP(A1212,Internal_lists_bugs!$A$2:$C$73,3,FALSE()), VLOOKUP(A1212,Internal_lists_bugs!$A$2:$C$73,3,FALSE())&amp;Char(10) &amp; Char(10) &amp; VLOOKUP(A1212,Internal_lists_bugs!$A$2:$Z$73,26,FALSE())),"please select a BUG ID")</f>
        <v>please select a BUG ID</v>
      </c>
      <c r="C1212" s="51" t="str">
        <f>IFERROR(VLOOKUP(A1212,Internal_lists_bugs!$A$2:$G2011,7,FALSE()),"please select a BUG ID")</f>
        <v>please select a BUG ID</v>
      </c>
      <c r="D1212" s="43"/>
      <c r="F1212" s="43"/>
      <c r="H1212" s="43"/>
    </row>
    <row r="1213">
      <c r="A1213" s="43"/>
      <c r="B1213" s="59" t="str">
        <f>IFERROR(HYPERLINK(VLOOKUP(A1213,Internal_lists_bugs!$A$2:$C$73,3,FALSE()), VLOOKUP(A1213,Internal_lists_bugs!$A$2:$C$73,3,FALSE())&amp;Char(10) &amp; Char(10) &amp; VLOOKUP(A1213,Internal_lists_bugs!$A$2:$Z$73,26,FALSE())),"please select a BUG ID")</f>
        <v>please select a BUG ID</v>
      </c>
      <c r="C1213" s="51" t="str">
        <f>IFERROR(VLOOKUP(A1213,Internal_lists_bugs!$A$2:$G2011,7,FALSE()),"please select a BUG ID")</f>
        <v>please select a BUG ID</v>
      </c>
      <c r="D1213" s="43"/>
      <c r="F1213" s="43"/>
      <c r="H1213" s="43"/>
    </row>
    <row r="1214">
      <c r="A1214" s="43"/>
      <c r="B1214" s="59" t="str">
        <f>IFERROR(HYPERLINK(VLOOKUP(A1214,Internal_lists_bugs!$A$2:$C$73,3,FALSE()), VLOOKUP(A1214,Internal_lists_bugs!$A$2:$C$73,3,FALSE())&amp;Char(10) &amp; Char(10) &amp; VLOOKUP(A1214,Internal_lists_bugs!$A$2:$Z$73,26,FALSE())),"please select a BUG ID")</f>
        <v>please select a BUG ID</v>
      </c>
      <c r="C1214" s="51" t="str">
        <f>IFERROR(VLOOKUP(A1214,Internal_lists_bugs!$A$2:$G2011,7,FALSE()),"please select a BUG ID")</f>
        <v>please select a BUG ID</v>
      </c>
      <c r="D1214" s="43"/>
      <c r="F1214" s="43"/>
      <c r="H1214" s="43"/>
    </row>
    <row r="1215">
      <c r="A1215" s="43"/>
      <c r="B1215" s="59" t="str">
        <f>IFERROR(HYPERLINK(VLOOKUP(A1215,Internal_lists_bugs!$A$2:$C$73,3,FALSE()), VLOOKUP(A1215,Internal_lists_bugs!$A$2:$C$73,3,FALSE())&amp;Char(10) &amp; Char(10) &amp; VLOOKUP(A1215,Internal_lists_bugs!$A$2:$Z$73,26,FALSE())),"please select a BUG ID")</f>
        <v>please select a BUG ID</v>
      </c>
      <c r="C1215" s="51" t="str">
        <f>IFERROR(VLOOKUP(A1215,Internal_lists_bugs!$A$2:$G2011,7,FALSE()),"please select a BUG ID")</f>
        <v>please select a BUG ID</v>
      </c>
      <c r="D1215" s="43"/>
      <c r="F1215" s="43"/>
      <c r="H1215" s="43"/>
    </row>
    <row r="1216">
      <c r="A1216" s="43"/>
      <c r="B1216" s="59" t="str">
        <f>IFERROR(HYPERLINK(VLOOKUP(A1216,Internal_lists_bugs!$A$2:$C$73,3,FALSE()), VLOOKUP(A1216,Internal_lists_bugs!$A$2:$C$73,3,FALSE())&amp;Char(10) &amp; Char(10) &amp; VLOOKUP(A1216,Internal_lists_bugs!$A$2:$Z$73,26,FALSE())),"please select a BUG ID")</f>
        <v>please select a BUG ID</v>
      </c>
      <c r="C1216" s="51" t="str">
        <f>IFERROR(VLOOKUP(A1216,Internal_lists_bugs!$A$2:$G2011,7,FALSE()),"please select a BUG ID")</f>
        <v>please select a BUG ID</v>
      </c>
      <c r="D1216" s="43"/>
      <c r="F1216" s="43"/>
      <c r="H1216" s="43"/>
    </row>
    <row r="1217">
      <c r="A1217" s="43"/>
      <c r="B1217" s="59" t="str">
        <f>IFERROR(HYPERLINK(VLOOKUP(A1217,Internal_lists_bugs!$A$2:$C$73,3,FALSE()), VLOOKUP(A1217,Internal_lists_bugs!$A$2:$C$73,3,FALSE())&amp;Char(10) &amp; Char(10) &amp; VLOOKUP(A1217,Internal_lists_bugs!$A$2:$Z$73,26,FALSE())),"please select a BUG ID")</f>
        <v>please select a BUG ID</v>
      </c>
      <c r="C1217" s="51" t="str">
        <f>IFERROR(VLOOKUP(A1217,Internal_lists_bugs!$A$2:$G2011,7,FALSE()),"please select a BUG ID")</f>
        <v>please select a BUG ID</v>
      </c>
      <c r="D1217" s="43"/>
      <c r="F1217" s="43"/>
      <c r="H1217" s="43"/>
    </row>
    <row r="1218">
      <c r="A1218" s="43"/>
      <c r="B1218" s="59" t="str">
        <f>IFERROR(HYPERLINK(VLOOKUP(A1218,Internal_lists_bugs!$A$2:$C$73,3,FALSE()), VLOOKUP(A1218,Internal_lists_bugs!$A$2:$C$73,3,FALSE())&amp;Char(10) &amp; Char(10) &amp; VLOOKUP(A1218,Internal_lists_bugs!$A$2:$Z$73,26,FALSE())),"please select a BUG ID")</f>
        <v>please select a BUG ID</v>
      </c>
      <c r="C1218" s="51" t="str">
        <f>IFERROR(VLOOKUP(A1218,Internal_lists_bugs!$A$2:$G2011,7,FALSE()),"please select a BUG ID")</f>
        <v>please select a BUG ID</v>
      </c>
      <c r="D1218" s="43"/>
      <c r="F1218" s="43"/>
      <c r="H1218" s="43"/>
    </row>
    <row r="1219">
      <c r="A1219" s="43"/>
      <c r="B1219" s="59" t="str">
        <f>IFERROR(HYPERLINK(VLOOKUP(A1219,Internal_lists_bugs!$A$2:$C$73,3,FALSE()), VLOOKUP(A1219,Internal_lists_bugs!$A$2:$C$73,3,FALSE())&amp;Char(10) &amp; Char(10) &amp; VLOOKUP(A1219,Internal_lists_bugs!$A$2:$Z$73,26,FALSE())),"please select a BUG ID")</f>
        <v>please select a BUG ID</v>
      </c>
      <c r="C1219" s="51" t="str">
        <f>IFERROR(VLOOKUP(A1219,Internal_lists_bugs!$A$2:$G2011,7,FALSE()),"please select a BUG ID")</f>
        <v>please select a BUG ID</v>
      </c>
      <c r="D1219" s="43"/>
      <c r="F1219" s="43"/>
      <c r="H1219" s="43"/>
    </row>
    <row r="1220">
      <c r="A1220" s="43"/>
      <c r="B1220" s="59" t="str">
        <f>IFERROR(HYPERLINK(VLOOKUP(A1220,Internal_lists_bugs!$A$2:$C$73,3,FALSE()), VLOOKUP(A1220,Internal_lists_bugs!$A$2:$C$73,3,FALSE())&amp;Char(10) &amp; Char(10) &amp; VLOOKUP(A1220,Internal_lists_bugs!$A$2:$Z$73,26,FALSE())),"please select a BUG ID")</f>
        <v>please select a BUG ID</v>
      </c>
      <c r="C1220" s="51" t="str">
        <f>IFERROR(VLOOKUP(A1220,Internal_lists_bugs!$A$2:$G2011,7,FALSE()),"please select a BUG ID")</f>
        <v>please select a BUG ID</v>
      </c>
      <c r="D1220" s="43"/>
      <c r="F1220" s="43"/>
      <c r="H1220" s="43"/>
    </row>
    <row r="1221">
      <c r="A1221" s="43"/>
      <c r="B1221" s="59" t="str">
        <f>IFERROR(HYPERLINK(VLOOKUP(A1221,Internal_lists_bugs!$A$2:$C$73,3,FALSE()), VLOOKUP(A1221,Internal_lists_bugs!$A$2:$C$73,3,FALSE())&amp;Char(10) &amp; Char(10) &amp; VLOOKUP(A1221,Internal_lists_bugs!$A$2:$Z$73,26,FALSE())),"please select a BUG ID")</f>
        <v>please select a BUG ID</v>
      </c>
      <c r="C1221" s="51" t="str">
        <f>IFERROR(VLOOKUP(A1221,Internal_lists_bugs!$A$2:$G2011,7,FALSE()),"please select a BUG ID")</f>
        <v>please select a BUG ID</v>
      </c>
      <c r="D1221" s="43"/>
      <c r="F1221" s="43"/>
      <c r="H1221" s="43"/>
    </row>
    <row r="1222">
      <c r="A1222" s="43"/>
      <c r="B1222" s="59" t="str">
        <f>IFERROR(HYPERLINK(VLOOKUP(A1222,Internal_lists_bugs!$A$2:$C$73,3,FALSE()), VLOOKUP(A1222,Internal_lists_bugs!$A$2:$C$73,3,FALSE())&amp;Char(10) &amp; Char(10) &amp; VLOOKUP(A1222,Internal_lists_bugs!$A$2:$Z$73,26,FALSE())),"please select a BUG ID")</f>
        <v>please select a BUG ID</v>
      </c>
      <c r="C1222" s="51" t="str">
        <f>IFERROR(VLOOKUP(A1222,Internal_lists_bugs!$A$2:$G2011,7,FALSE()),"please select a BUG ID")</f>
        <v>please select a BUG ID</v>
      </c>
      <c r="D1222" s="43"/>
      <c r="F1222" s="43"/>
      <c r="H1222" s="43"/>
    </row>
    <row r="1223">
      <c r="A1223" s="43"/>
      <c r="B1223" s="59" t="str">
        <f>IFERROR(HYPERLINK(VLOOKUP(A1223,Internal_lists_bugs!$A$2:$C$73,3,FALSE()), VLOOKUP(A1223,Internal_lists_bugs!$A$2:$C$73,3,FALSE())&amp;Char(10) &amp; Char(10) &amp; VLOOKUP(A1223,Internal_lists_bugs!$A$2:$Z$73,26,FALSE())),"please select a BUG ID")</f>
        <v>please select a BUG ID</v>
      </c>
      <c r="C1223" s="51" t="str">
        <f>IFERROR(VLOOKUP(A1223,Internal_lists_bugs!$A$2:$G2011,7,FALSE()),"please select a BUG ID")</f>
        <v>please select a BUG ID</v>
      </c>
      <c r="D1223" s="43"/>
      <c r="F1223" s="43"/>
      <c r="H1223" s="43"/>
    </row>
    <row r="1224">
      <c r="A1224" s="43"/>
      <c r="B1224" s="59" t="str">
        <f>IFERROR(HYPERLINK(VLOOKUP(A1224,Internal_lists_bugs!$A$2:$C$73,3,FALSE()), VLOOKUP(A1224,Internal_lists_bugs!$A$2:$C$73,3,FALSE())&amp;Char(10) &amp; Char(10) &amp; VLOOKUP(A1224,Internal_lists_bugs!$A$2:$Z$73,26,FALSE())),"please select a BUG ID")</f>
        <v>please select a BUG ID</v>
      </c>
      <c r="C1224" s="51" t="str">
        <f>IFERROR(VLOOKUP(A1224,Internal_lists_bugs!$A$2:$G2011,7,FALSE()),"please select a BUG ID")</f>
        <v>please select a BUG ID</v>
      </c>
      <c r="D1224" s="43"/>
      <c r="F1224" s="43"/>
      <c r="H1224" s="43"/>
    </row>
    <row r="1225">
      <c r="A1225" s="43"/>
      <c r="B1225" s="59" t="str">
        <f>IFERROR(HYPERLINK(VLOOKUP(A1225,Internal_lists_bugs!$A$2:$C$73,3,FALSE()), VLOOKUP(A1225,Internal_lists_bugs!$A$2:$C$73,3,FALSE())&amp;Char(10) &amp; Char(10) &amp; VLOOKUP(A1225,Internal_lists_bugs!$A$2:$Z$73,26,FALSE())),"please select a BUG ID")</f>
        <v>please select a BUG ID</v>
      </c>
      <c r="C1225" s="51" t="str">
        <f>IFERROR(VLOOKUP(A1225,Internal_lists_bugs!$A$2:$G2011,7,FALSE()),"please select a BUG ID")</f>
        <v>please select a BUG ID</v>
      </c>
      <c r="D1225" s="43"/>
      <c r="F1225" s="43"/>
      <c r="H1225" s="43"/>
    </row>
    <row r="1226">
      <c r="A1226" s="43"/>
      <c r="B1226" s="59" t="str">
        <f>IFERROR(HYPERLINK(VLOOKUP(A1226,Internal_lists_bugs!$A$2:$C$73,3,FALSE()), VLOOKUP(A1226,Internal_lists_bugs!$A$2:$C$73,3,FALSE())&amp;Char(10) &amp; Char(10) &amp; VLOOKUP(A1226,Internal_lists_bugs!$A$2:$Z$73,26,FALSE())),"please select a BUG ID")</f>
        <v>please select a BUG ID</v>
      </c>
      <c r="C1226" s="51" t="str">
        <f>IFERROR(VLOOKUP(A1226,Internal_lists_bugs!$A$2:$G2011,7,FALSE()),"please select a BUG ID")</f>
        <v>please select a BUG ID</v>
      </c>
      <c r="D1226" s="43"/>
      <c r="F1226" s="43"/>
      <c r="H1226" s="43"/>
    </row>
    <row r="1227">
      <c r="A1227" s="43"/>
      <c r="B1227" s="59" t="str">
        <f>IFERROR(HYPERLINK(VLOOKUP(A1227,Internal_lists_bugs!$A$2:$C$73,3,FALSE()), VLOOKUP(A1227,Internal_lists_bugs!$A$2:$C$73,3,FALSE())&amp;Char(10) &amp; Char(10) &amp; VLOOKUP(A1227,Internal_lists_bugs!$A$2:$Z$73,26,FALSE())),"please select a BUG ID")</f>
        <v>please select a BUG ID</v>
      </c>
      <c r="C1227" s="51" t="str">
        <f>IFERROR(VLOOKUP(A1227,Internal_lists_bugs!$A$2:$G2011,7,FALSE()),"please select a BUG ID")</f>
        <v>please select a BUG ID</v>
      </c>
      <c r="D1227" s="43"/>
      <c r="F1227" s="43"/>
      <c r="H1227" s="43"/>
    </row>
    <row r="1228">
      <c r="A1228" s="43"/>
      <c r="B1228" s="59" t="str">
        <f>IFERROR(HYPERLINK(VLOOKUP(A1228,Internal_lists_bugs!$A$2:$C$73,3,FALSE()), VLOOKUP(A1228,Internal_lists_bugs!$A$2:$C$73,3,FALSE())&amp;Char(10) &amp; Char(10) &amp; VLOOKUP(A1228,Internal_lists_bugs!$A$2:$Z$73,26,FALSE())),"please select a BUG ID")</f>
        <v>please select a BUG ID</v>
      </c>
      <c r="C1228" s="51" t="str">
        <f>IFERROR(VLOOKUP(A1228,Internal_lists_bugs!$A$2:$G2011,7,FALSE()),"please select a BUG ID")</f>
        <v>please select a BUG ID</v>
      </c>
      <c r="D1228" s="43"/>
      <c r="F1228" s="43"/>
      <c r="H1228" s="43"/>
    </row>
    <row r="1229">
      <c r="A1229" s="43"/>
      <c r="B1229" s="59" t="str">
        <f>IFERROR(HYPERLINK(VLOOKUP(A1229,Internal_lists_bugs!$A$2:$C$73,3,FALSE()), VLOOKUP(A1229,Internal_lists_bugs!$A$2:$C$73,3,FALSE())&amp;Char(10) &amp; Char(10) &amp; VLOOKUP(A1229,Internal_lists_bugs!$A$2:$Z$73,26,FALSE())),"please select a BUG ID")</f>
        <v>please select a BUG ID</v>
      </c>
      <c r="C1229" s="51" t="str">
        <f>IFERROR(VLOOKUP(A1229,Internal_lists_bugs!$A$2:$G2011,7,FALSE()),"please select a BUG ID")</f>
        <v>please select a BUG ID</v>
      </c>
      <c r="D1229" s="43"/>
      <c r="F1229" s="43"/>
      <c r="H1229" s="43"/>
    </row>
    <row r="1230">
      <c r="A1230" s="43"/>
      <c r="B1230" s="59" t="str">
        <f>IFERROR(HYPERLINK(VLOOKUP(A1230,Internal_lists_bugs!$A$2:$C$73,3,FALSE()), VLOOKUP(A1230,Internal_lists_bugs!$A$2:$C$73,3,FALSE())&amp;Char(10) &amp; Char(10) &amp; VLOOKUP(A1230,Internal_lists_bugs!$A$2:$Z$73,26,FALSE())),"please select a BUG ID")</f>
        <v>please select a BUG ID</v>
      </c>
      <c r="C1230" s="51" t="str">
        <f>IFERROR(VLOOKUP(A1230,Internal_lists_bugs!$A$2:$G2011,7,FALSE()),"please select a BUG ID")</f>
        <v>please select a BUG ID</v>
      </c>
      <c r="D1230" s="43"/>
      <c r="F1230" s="43"/>
      <c r="H1230" s="43"/>
    </row>
    <row r="1231">
      <c r="A1231" s="43"/>
      <c r="B1231" s="59" t="str">
        <f>IFERROR(HYPERLINK(VLOOKUP(A1231,Internal_lists_bugs!$A$2:$C$73,3,FALSE()), VLOOKUP(A1231,Internal_lists_bugs!$A$2:$C$73,3,FALSE())&amp;Char(10) &amp; Char(10) &amp; VLOOKUP(A1231,Internal_lists_bugs!$A$2:$Z$73,26,FALSE())),"please select a BUG ID")</f>
        <v>please select a BUG ID</v>
      </c>
      <c r="C1231" s="51" t="str">
        <f>IFERROR(VLOOKUP(A1231,Internal_lists_bugs!$A$2:$G2011,7,FALSE()),"please select a BUG ID")</f>
        <v>please select a BUG ID</v>
      </c>
      <c r="D1231" s="43"/>
      <c r="F1231" s="43"/>
      <c r="H1231" s="43"/>
    </row>
    <row r="1232">
      <c r="A1232" s="43"/>
      <c r="B1232" s="59" t="str">
        <f>IFERROR(HYPERLINK(VLOOKUP(A1232,Internal_lists_bugs!$A$2:$C$73,3,FALSE()), VLOOKUP(A1232,Internal_lists_bugs!$A$2:$C$73,3,FALSE())&amp;Char(10) &amp; Char(10) &amp; VLOOKUP(A1232,Internal_lists_bugs!$A$2:$Z$73,26,FALSE())),"please select a BUG ID")</f>
        <v>please select a BUG ID</v>
      </c>
      <c r="C1232" s="51" t="str">
        <f>IFERROR(VLOOKUP(A1232,Internal_lists_bugs!$A$2:$G2011,7,FALSE()),"please select a BUG ID")</f>
        <v>please select a BUG ID</v>
      </c>
      <c r="D1232" s="43"/>
      <c r="F1232" s="43"/>
      <c r="H1232" s="43"/>
    </row>
    <row r="1233">
      <c r="A1233" s="43"/>
      <c r="B1233" s="59" t="str">
        <f>IFERROR(HYPERLINK(VLOOKUP(A1233,Internal_lists_bugs!$A$2:$C$73,3,FALSE()), VLOOKUP(A1233,Internal_lists_bugs!$A$2:$C$73,3,FALSE())&amp;Char(10) &amp; Char(10) &amp; VLOOKUP(A1233,Internal_lists_bugs!$A$2:$Z$73,26,FALSE())),"please select a BUG ID")</f>
        <v>please select a BUG ID</v>
      </c>
      <c r="C1233" s="51" t="str">
        <f>IFERROR(VLOOKUP(A1233,Internal_lists_bugs!$A$2:$G2011,7,FALSE()),"please select a BUG ID")</f>
        <v>please select a BUG ID</v>
      </c>
      <c r="D1233" s="43"/>
      <c r="F1233" s="43"/>
      <c r="H1233" s="43"/>
    </row>
    <row r="1234">
      <c r="A1234" s="43"/>
      <c r="B1234" s="59" t="str">
        <f>IFERROR(HYPERLINK(VLOOKUP(A1234,Internal_lists_bugs!$A$2:$C$73,3,FALSE()), VLOOKUP(A1234,Internal_lists_bugs!$A$2:$C$73,3,FALSE())&amp;Char(10) &amp; Char(10) &amp; VLOOKUP(A1234,Internal_lists_bugs!$A$2:$Z$73,26,FALSE())),"please select a BUG ID")</f>
        <v>please select a BUG ID</v>
      </c>
      <c r="C1234" s="51" t="str">
        <f>IFERROR(VLOOKUP(A1234,Internal_lists_bugs!$A$2:$G2011,7,FALSE()),"please select a BUG ID")</f>
        <v>please select a BUG ID</v>
      </c>
      <c r="D1234" s="43"/>
      <c r="F1234" s="43"/>
      <c r="H1234" s="43"/>
    </row>
    <row r="1235">
      <c r="A1235" s="43"/>
      <c r="B1235" s="59" t="str">
        <f>IFERROR(HYPERLINK(VLOOKUP(A1235,Internal_lists_bugs!$A$2:$C$73,3,FALSE()), VLOOKUP(A1235,Internal_lists_bugs!$A$2:$C$73,3,FALSE())&amp;Char(10) &amp; Char(10) &amp; VLOOKUP(A1235,Internal_lists_bugs!$A$2:$Z$73,26,FALSE())),"please select a BUG ID")</f>
        <v>please select a BUG ID</v>
      </c>
      <c r="C1235" s="51" t="str">
        <f>IFERROR(VLOOKUP(A1235,Internal_lists_bugs!$A$2:$G2011,7,FALSE()),"please select a BUG ID")</f>
        <v>please select a BUG ID</v>
      </c>
      <c r="D1235" s="43"/>
      <c r="F1235" s="43"/>
      <c r="H1235" s="43"/>
    </row>
    <row r="1236">
      <c r="A1236" s="43"/>
      <c r="B1236" s="59" t="str">
        <f>IFERROR(HYPERLINK(VLOOKUP(A1236,Internal_lists_bugs!$A$2:$C$73,3,FALSE()), VLOOKUP(A1236,Internal_lists_bugs!$A$2:$C$73,3,FALSE())&amp;Char(10) &amp; Char(10) &amp; VLOOKUP(A1236,Internal_lists_bugs!$A$2:$Z$73,26,FALSE())),"please select a BUG ID")</f>
        <v>please select a BUG ID</v>
      </c>
      <c r="C1236" s="51" t="str">
        <f>IFERROR(VLOOKUP(A1236,Internal_lists_bugs!$A$2:$G2011,7,FALSE()),"please select a BUG ID")</f>
        <v>please select a BUG ID</v>
      </c>
      <c r="D1236" s="43"/>
      <c r="F1236" s="43"/>
      <c r="H1236" s="43"/>
    </row>
    <row r="1237">
      <c r="A1237" s="43"/>
      <c r="B1237" s="59" t="str">
        <f>IFERROR(HYPERLINK(VLOOKUP(A1237,Internal_lists_bugs!$A$2:$C$73,3,FALSE()), VLOOKUP(A1237,Internal_lists_bugs!$A$2:$C$73,3,FALSE())&amp;Char(10) &amp; Char(10) &amp; VLOOKUP(A1237,Internal_lists_bugs!$A$2:$Z$73,26,FALSE())),"please select a BUG ID")</f>
        <v>please select a BUG ID</v>
      </c>
      <c r="C1237" s="51" t="str">
        <f>IFERROR(VLOOKUP(A1237,Internal_lists_bugs!$A$2:$G2011,7,FALSE()),"please select a BUG ID")</f>
        <v>please select a BUG ID</v>
      </c>
      <c r="D1237" s="43"/>
      <c r="F1237" s="43"/>
      <c r="H1237" s="43"/>
    </row>
    <row r="1238">
      <c r="A1238" s="43"/>
      <c r="B1238" s="59" t="str">
        <f>IFERROR(HYPERLINK(VLOOKUP(A1238,Internal_lists_bugs!$A$2:$C$73,3,FALSE()), VLOOKUP(A1238,Internal_lists_bugs!$A$2:$C$73,3,FALSE())&amp;Char(10) &amp; Char(10) &amp; VLOOKUP(A1238,Internal_lists_bugs!$A$2:$Z$73,26,FALSE())),"please select a BUG ID")</f>
        <v>please select a BUG ID</v>
      </c>
      <c r="C1238" s="51" t="str">
        <f>IFERROR(VLOOKUP(A1238,Internal_lists_bugs!$A$2:$G2011,7,FALSE()),"please select a BUG ID")</f>
        <v>please select a BUG ID</v>
      </c>
      <c r="D1238" s="43"/>
      <c r="F1238" s="43"/>
      <c r="H1238" s="43"/>
    </row>
    <row r="1239">
      <c r="A1239" s="43"/>
      <c r="B1239" s="59" t="str">
        <f>IFERROR(HYPERLINK(VLOOKUP(A1239,Internal_lists_bugs!$A$2:$C$73,3,FALSE()), VLOOKUP(A1239,Internal_lists_bugs!$A$2:$C$73,3,FALSE())&amp;Char(10) &amp; Char(10) &amp; VLOOKUP(A1239,Internal_lists_bugs!$A$2:$Z$73,26,FALSE())),"please select a BUG ID")</f>
        <v>please select a BUG ID</v>
      </c>
      <c r="C1239" s="51" t="str">
        <f>IFERROR(VLOOKUP(A1239,Internal_lists_bugs!$A$2:$G2011,7,FALSE()),"please select a BUG ID")</f>
        <v>please select a BUG ID</v>
      </c>
      <c r="D1239" s="43"/>
      <c r="F1239" s="43"/>
      <c r="H1239" s="43"/>
    </row>
    <row r="1240">
      <c r="A1240" s="43"/>
      <c r="B1240" s="59" t="str">
        <f>IFERROR(HYPERLINK(VLOOKUP(A1240,Internal_lists_bugs!$A$2:$C$73,3,FALSE()), VLOOKUP(A1240,Internal_lists_bugs!$A$2:$C$73,3,FALSE())&amp;Char(10) &amp; Char(10) &amp; VLOOKUP(A1240,Internal_lists_bugs!$A$2:$Z$73,26,FALSE())),"please select a BUG ID")</f>
        <v>please select a BUG ID</v>
      </c>
      <c r="C1240" s="51" t="str">
        <f>IFERROR(VLOOKUP(A1240,Internal_lists_bugs!$A$2:$G2011,7,FALSE()),"please select a BUG ID")</f>
        <v>please select a BUG ID</v>
      </c>
      <c r="D1240" s="43"/>
      <c r="F1240" s="43"/>
      <c r="H1240" s="43"/>
    </row>
    <row r="1241">
      <c r="A1241" s="43"/>
      <c r="B1241" s="59" t="str">
        <f>IFERROR(HYPERLINK(VLOOKUP(A1241,Internal_lists_bugs!$A$2:$C$73,3,FALSE()), VLOOKUP(A1241,Internal_lists_bugs!$A$2:$C$73,3,FALSE())&amp;Char(10) &amp; Char(10) &amp; VLOOKUP(A1241,Internal_lists_bugs!$A$2:$Z$73,26,FALSE())),"please select a BUG ID")</f>
        <v>please select a BUG ID</v>
      </c>
      <c r="C1241" s="51" t="str">
        <f>IFERROR(VLOOKUP(A1241,Internal_lists_bugs!$A$2:$G2011,7,FALSE()),"please select a BUG ID")</f>
        <v>please select a BUG ID</v>
      </c>
      <c r="D1241" s="43"/>
      <c r="F1241" s="43"/>
      <c r="H1241" s="43"/>
    </row>
    <row r="1242">
      <c r="A1242" s="43"/>
      <c r="B1242" s="59" t="str">
        <f>IFERROR(HYPERLINK(VLOOKUP(A1242,Internal_lists_bugs!$A$2:$C$73,3,FALSE()), VLOOKUP(A1242,Internal_lists_bugs!$A$2:$C$73,3,FALSE())&amp;Char(10) &amp; Char(10) &amp; VLOOKUP(A1242,Internal_lists_bugs!$A$2:$Z$73,26,FALSE())),"please select a BUG ID")</f>
        <v>please select a BUG ID</v>
      </c>
      <c r="C1242" s="51" t="str">
        <f>IFERROR(VLOOKUP(A1242,Internal_lists_bugs!$A$2:$G2011,7,FALSE()),"please select a BUG ID")</f>
        <v>please select a BUG ID</v>
      </c>
      <c r="D1242" s="43"/>
      <c r="F1242" s="43"/>
      <c r="H1242" s="43"/>
    </row>
    <row r="1243">
      <c r="A1243" s="43"/>
      <c r="B1243" s="59" t="str">
        <f>IFERROR(HYPERLINK(VLOOKUP(A1243,Internal_lists_bugs!$A$2:$C$73,3,FALSE()), VLOOKUP(A1243,Internal_lists_bugs!$A$2:$C$73,3,FALSE())&amp;Char(10) &amp; Char(10) &amp; VLOOKUP(A1243,Internal_lists_bugs!$A$2:$Z$73,26,FALSE())),"please select a BUG ID")</f>
        <v>please select a BUG ID</v>
      </c>
      <c r="C1243" s="51" t="str">
        <f>IFERROR(VLOOKUP(A1243,Internal_lists_bugs!$A$2:$G2011,7,FALSE()),"please select a BUG ID")</f>
        <v>please select a BUG ID</v>
      </c>
      <c r="D1243" s="43"/>
      <c r="F1243" s="43"/>
      <c r="H1243" s="43"/>
    </row>
    <row r="1244">
      <c r="A1244" s="43"/>
      <c r="B1244" s="59" t="str">
        <f>IFERROR(HYPERLINK(VLOOKUP(A1244,Internal_lists_bugs!$A$2:$C$73,3,FALSE()), VLOOKUP(A1244,Internal_lists_bugs!$A$2:$C$73,3,FALSE())&amp;Char(10) &amp; Char(10) &amp; VLOOKUP(A1244,Internal_lists_bugs!$A$2:$Z$73,26,FALSE())),"please select a BUG ID")</f>
        <v>please select a BUG ID</v>
      </c>
      <c r="C1244" s="51" t="str">
        <f>IFERROR(VLOOKUP(A1244,Internal_lists_bugs!$A$2:$G2011,7,FALSE()),"please select a BUG ID")</f>
        <v>please select a BUG ID</v>
      </c>
      <c r="D1244" s="43"/>
      <c r="F1244" s="43"/>
      <c r="H1244" s="43"/>
    </row>
    <row r="1245">
      <c r="A1245" s="43"/>
      <c r="B1245" s="59" t="str">
        <f>IFERROR(HYPERLINK(VLOOKUP(A1245,Internal_lists_bugs!$A$2:$C$73,3,FALSE()), VLOOKUP(A1245,Internal_lists_bugs!$A$2:$C$73,3,FALSE())&amp;Char(10) &amp; Char(10) &amp; VLOOKUP(A1245,Internal_lists_bugs!$A$2:$Z$73,26,FALSE())),"please select a BUG ID")</f>
        <v>please select a BUG ID</v>
      </c>
      <c r="C1245" s="51" t="str">
        <f>IFERROR(VLOOKUP(A1245,Internal_lists_bugs!$A$2:$G2011,7,FALSE()),"please select a BUG ID")</f>
        <v>please select a BUG ID</v>
      </c>
      <c r="D1245" s="43"/>
      <c r="F1245" s="43"/>
      <c r="H1245" s="43"/>
    </row>
    <row r="1246">
      <c r="A1246" s="43"/>
      <c r="B1246" s="59" t="str">
        <f>IFERROR(HYPERLINK(VLOOKUP(A1246,Internal_lists_bugs!$A$2:$C$73,3,FALSE()), VLOOKUP(A1246,Internal_lists_bugs!$A$2:$C$73,3,FALSE())&amp;Char(10) &amp; Char(10) &amp; VLOOKUP(A1246,Internal_lists_bugs!$A$2:$Z$73,26,FALSE())),"please select a BUG ID")</f>
        <v>please select a BUG ID</v>
      </c>
      <c r="C1246" s="51" t="str">
        <f>IFERROR(VLOOKUP(A1246,Internal_lists_bugs!$A$2:$G2011,7,FALSE()),"please select a BUG ID")</f>
        <v>please select a BUG ID</v>
      </c>
      <c r="D1246" s="43"/>
      <c r="F1246" s="43"/>
      <c r="H1246" s="43"/>
    </row>
    <row r="1247">
      <c r="A1247" s="43"/>
      <c r="B1247" s="59" t="str">
        <f>IFERROR(HYPERLINK(VLOOKUP(A1247,Internal_lists_bugs!$A$2:$C$73,3,FALSE()), VLOOKUP(A1247,Internal_lists_bugs!$A$2:$C$73,3,FALSE())&amp;Char(10) &amp; Char(10) &amp; VLOOKUP(A1247,Internal_lists_bugs!$A$2:$Z$73,26,FALSE())),"please select a BUG ID")</f>
        <v>please select a BUG ID</v>
      </c>
      <c r="C1247" s="51" t="str">
        <f>IFERROR(VLOOKUP(A1247,Internal_lists_bugs!$A$2:$G2011,7,FALSE()),"please select a BUG ID")</f>
        <v>please select a BUG ID</v>
      </c>
      <c r="D1247" s="43"/>
      <c r="F1247" s="43"/>
      <c r="H1247" s="43"/>
    </row>
    <row r="1248">
      <c r="A1248" s="43"/>
      <c r="B1248" s="59" t="str">
        <f>IFERROR(HYPERLINK(VLOOKUP(A1248,Internal_lists_bugs!$A$2:$C$73,3,FALSE()), VLOOKUP(A1248,Internal_lists_bugs!$A$2:$C$73,3,FALSE())&amp;Char(10) &amp; Char(10) &amp; VLOOKUP(A1248,Internal_lists_bugs!$A$2:$Z$73,26,FALSE())),"please select a BUG ID")</f>
        <v>please select a BUG ID</v>
      </c>
      <c r="C1248" s="51" t="str">
        <f>IFERROR(VLOOKUP(A1248,Internal_lists_bugs!$A$2:$G2011,7,FALSE()),"please select a BUG ID")</f>
        <v>please select a BUG ID</v>
      </c>
      <c r="D1248" s="43"/>
      <c r="F1248" s="43"/>
      <c r="H1248" s="43"/>
    </row>
    <row r="1249">
      <c r="A1249" s="43"/>
      <c r="B1249" s="59" t="str">
        <f>IFERROR(HYPERLINK(VLOOKUP(A1249,Internal_lists_bugs!$A$2:$C$73,3,FALSE()), VLOOKUP(A1249,Internal_lists_bugs!$A$2:$C$73,3,FALSE())&amp;Char(10) &amp; Char(10) &amp; VLOOKUP(A1249,Internal_lists_bugs!$A$2:$Z$73,26,FALSE())),"please select a BUG ID")</f>
        <v>please select a BUG ID</v>
      </c>
      <c r="C1249" s="51" t="str">
        <f>IFERROR(VLOOKUP(A1249,Internal_lists_bugs!$A$2:$G2011,7,FALSE()),"please select a BUG ID")</f>
        <v>please select a BUG ID</v>
      </c>
      <c r="D1249" s="43"/>
      <c r="F1249" s="43"/>
      <c r="H1249" s="43"/>
    </row>
    <row r="1250">
      <c r="A1250" s="43"/>
      <c r="B1250" s="59" t="str">
        <f>IFERROR(HYPERLINK(VLOOKUP(A1250,Internal_lists_bugs!$A$2:$C$73,3,FALSE()), VLOOKUP(A1250,Internal_lists_bugs!$A$2:$C$73,3,FALSE())&amp;Char(10) &amp; Char(10) &amp; VLOOKUP(A1250,Internal_lists_bugs!$A$2:$Z$73,26,FALSE())),"please select a BUG ID")</f>
        <v>please select a BUG ID</v>
      </c>
      <c r="C1250" s="51" t="str">
        <f>IFERROR(VLOOKUP(A1250,Internal_lists_bugs!$A$2:$G2011,7,FALSE()),"please select a BUG ID")</f>
        <v>please select a BUG ID</v>
      </c>
      <c r="D1250" s="43"/>
      <c r="F1250" s="43"/>
      <c r="H1250" s="43"/>
    </row>
    <row r="1251">
      <c r="A1251" s="43"/>
      <c r="B1251" s="59" t="str">
        <f>IFERROR(HYPERLINK(VLOOKUP(A1251,Internal_lists_bugs!$A$2:$C$73,3,FALSE()), VLOOKUP(A1251,Internal_lists_bugs!$A$2:$C$73,3,FALSE())&amp;Char(10) &amp; Char(10) &amp; VLOOKUP(A1251,Internal_lists_bugs!$A$2:$Z$73,26,FALSE())),"please select a BUG ID")</f>
        <v>please select a BUG ID</v>
      </c>
      <c r="C1251" s="51" t="str">
        <f>IFERROR(VLOOKUP(A1251,Internal_lists_bugs!$A$2:$G2011,7,FALSE()),"please select a BUG ID")</f>
        <v>please select a BUG ID</v>
      </c>
      <c r="D1251" s="43"/>
      <c r="F1251" s="43"/>
      <c r="H1251" s="43"/>
    </row>
    <row r="1252">
      <c r="A1252" s="43"/>
      <c r="B1252" s="59" t="str">
        <f>IFERROR(HYPERLINK(VLOOKUP(A1252,Internal_lists_bugs!$A$2:$C$73,3,FALSE()), VLOOKUP(A1252,Internal_lists_bugs!$A$2:$C$73,3,FALSE())&amp;Char(10) &amp; Char(10) &amp; VLOOKUP(A1252,Internal_lists_bugs!$A$2:$Z$73,26,FALSE())),"please select a BUG ID")</f>
        <v>please select a BUG ID</v>
      </c>
      <c r="C1252" s="51" t="str">
        <f>IFERROR(VLOOKUP(A1252,Internal_lists_bugs!$A$2:$G2011,7,FALSE()),"please select a BUG ID")</f>
        <v>please select a BUG ID</v>
      </c>
      <c r="D1252" s="43"/>
      <c r="F1252" s="43"/>
      <c r="H1252" s="43"/>
    </row>
    <row r="1253">
      <c r="A1253" s="43"/>
      <c r="B1253" s="59" t="str">
        <f>IFERROR(HYPERLINK(VLOOKUP(A1253,Internal_lists_bugs!$A$2:$C$73,3,FALSE()), VLOOKUP(A1253,Internal_lists_bugs!$A$2:$C$73,3,FALSE())&amp;Char(10) &amp; Char(10) &amp; VLOOKUP(A1253,Internal_lists_bugs!$A$2:$Z$73,26,FALSE())),"please select a BUG ID")</f>
        <v>please select a BUG ID</v>
      </c>
      <c r="C1253" s="51" t="str">
        <f>IFERROR(VLOOKUP(A1253,Internal_lists_bugs!$A$2:$G2011,7,FALSE()),"please select a BUG ID")</f>
        <v>please select a BUG ID</v>
      </c>
      <c r="D1253" s="43"/>
      <c r="F1253" s="43"/>
      <c r="H1253" s="43"/>
    </row>
    <row r="1254">
      <c r="A1254" s="43"/>
      <c r="B1254" s="59" t="str">
        <f>IFERROR(HYPERLINK(VLOOKUP(A1254,Internal_lists_bugs!$A$2:$C$73,3,FALSE()), VLOOKUP(A1254,Internal_lists_bugs!$A$2:$C$73,3,FALSE())&amp;Char(10) &amp; Char(10) &amp; VLOOKUP(A1254,Internal_lists_bugs!$A$2:$Z$73,26,FALSE())),"please select a BUG ID")</f>
        <v>please select a BUG ID</v>
      </c>
      <c r="C1254" s="51" t="str">
        <f>IFERROR(VLOOKUP(A1254,Internal_lists_bugs!$A$2:$G2011,7,FALSE()),"please select a BUG ID")</f>
        <v>please select a BUG ID</v>
      </c>
      <c r="D1254" s="43"/>
      <c r="F1254" s="43"/>
      <c r="H1254" s="43"/>
    </row>
    <row r="1255">
      <c r="A1255" s="43"/>
      <c r="B1255" s="59" t="str">
        <f>IFERROR(HYPERLINK(VLOOKUP(A1255,Internal_lists_bugs!$A$2:$C$73,3,FALSE()), VLOOKUP(A1255,Internal_lists_bugs!$A$2:$C$73,3,FALSE())&amp;Char(10) &amp; Char(10) &amp; VLOOKUP(A1255,Internal_lists_bugs!$A$2:$Z$73,26,FALSE())),"please select a BUG ID")</f>
        <v>please select a BUG ID</v>
      </c>
      <c r="C1255" s="51" t="str">
        <f>IFERROR(VLOOKUP(A1255,Internal_lists_bugs!$A$2:$G2011,7,FALSE()),"please select a BUG ID")</f>
        <v>please select a BUG ID</v>
      </c>
      <c r="D1255" s="43"/>
      <c r="F1255" s="43"/>
      <c r="H1255" s="43"/>
    </row>
    <row r="1256">
      <c r="A1256" s="43"/>
      <c r="B1256" s="59" t="str">
        <f>IFERROR(HYPERLINK(VLOOKUP(A1256,Internal_lists_bugs!$A$2:$C$73,3,FALSE()), VLOOKUP(A1256,Internal_lists_bugs!$A$2:$C$73,3,FALSE())&amp;Char(10) &amp; Char(10) &amp; VLOOKUP(A1256,Internal_lists_bugs!$A$2:$Z$73,26,FALSE())),"please select a BUG ID")</f>
        <v>please select a BUG ID</v>
      </c>
      <c r="C1256" s="51" t="str">
        <f>IFERROR(VLOOKUP(A1256,Internal_lists_bugs!$A$2:$G2011,7,FALSE()),"please select a BUG ID")</f>
        <v>please select a BUG ID</v>
      </c>
      <c r="D1256" s="43"/>
      <c r="F1256" s="43"/>
      <c r="H1256" s="43"/>
    </row>
    <row r="1257">
      <c r="A1257" s="43"/>
      <c r="B1257" s="59" t="str">
        <f>IFERROR(HYPERLINK(VLOOKUP(A1257,Internal_lists_bugs!$A$2:$C$73,3,FALSE()), VLOOKUP(A1257,Internal_lists_bugs!$A$2:$C$73,3,FALSE())&amp;Char(10) &amp; Char(10) &amp; VLOOKUP(A1257,Internal_lists_bugs!$A$2:$Z$73,26,FALSE())),"please select a BUG ID")</f>
        <v>please select a BUG ID</v>
      </c>
      <c r="C1257" s="51" t="str">
        <f>IFERROR(VLOOKUP(A1257,Internal_lists_bugs!$A$2:$G2011,7,FALSE()),"please select a BUG ID")</f>
        <v>please select a BUG ID</v>
      </c>
      <c r="D1257" s="43"/>
      <c r="F1257" s="43"/>
      <c r="H1257" s="43"/>
    </row>
    <row r="1258">
      <c r="A1258" s="43"/>
      <c r="B1258" s="59" t="str">
        <f>IFERROR(HYPERLINK(VLOOKUP(A1258,Internal_lists_bugs!$A$2:$C$73,3,FALSE()), VLOOKUP(A1258,Internal_lists_bugs!$A$2:$C$73,3,FALSE())&amp;Char(10) &amp; Char(10) &amp; VLOOKUP(A1258,Internal_lists_bugs!$A$2:$Z$73,26,FALSE())),"please select a BUG ID")</f>
        <v>please select a BUG ID</v>
      </c>
      <c r="C1258" s="51" t="str">
        <f>IFERROR(VLOOKUP(A1258,Internal_lists_bugs!$A$2:$G2011,7,FALSE()),"please select a BUG ID")</f>
        <v>please select a BUG ID</v>
      </c>
      <c r="D1258" s="43"/>
      <c r="F1258" s="43"/>
      <c r="H1258" s="43"/>
    </row>
    <row r="1259">
      <c r="A1259" s="43"/>
      <c r="B1259" s="59" t="str">
        <f>IFERROR(HYPERLINK(VLOOKUP(A1259,Internal_lists_bugs!$A$2:$C$73,3,FALSE()), VLOOKUP(A1259,Internal_lists_bugs!$A$2:$C$73,3,FALSE())&amp;Char(10) &amp; Char(10) &amp; VLOOKUP(A1259,Internal_lists_bugs!$A$2:$Z$73,26,FALSE())),"please select a BUG ID")</f>
        <v>please select a BUG ID</v>
      </c>
      <c r="C1259" s="51" t="str">
        <f>IFERROR(VLOOKUP(A1259,Internal_lists_bugs!$A$2:$G2011,7,FALSE()),"please select a BUG ID")</f>
        <v>please select a BUG ID</v>
      </c>
      <c r="D1259" s="43"/>
      <c r="F1259" s="43"/>
      <c r="H1259" s="43"/>
    </row>
    <row r="1260">
      <c r="A1260" s="43"/>
      <c r="B1260" s="59" t="str">
        <f>IFERROR(HYPERLINK(VLOOKUP(A1260,Internal_lists_bugs!$A$2:$C$73,3,FALSE()), VLOOKUP(A1260,Internal_lists_bugs!$A$2:$C$73,3,FALSE())&amp;Char(10) &amp; Char(10) &amp; VLOOKUP(A1260,Internal_lists_bugs!$A$2:$Z$73,26,FALSE())),"please select a BUG ID")</f>
        <v>please select a BUG ID</v>
      </c>
      <c r="C1260" s="51" t="str">
        <f>IFERROR(VLOOKUP(A1260,Internal_lists_bugs!$A$2:$G2011,7,FALSE()),"please select a BUG ID")</f>
        <v>please select a BUG ID</v>
      </c>
      <c r="D1260" s="43"/>
      <c r="F1260" s="43"/>
      <c r="H1260" s="43"/>
    </row>
    <row r="1261">
      <c r="A1261" s="43"/>
      <c r="B1261" s="59" t="str">
        <f>IFERROR(HYPERLINK(VLOOKUP(A1261,Internal_lists_bugs!$A$2:$C$73,3,FALSE()), VLOOKUP(A1261,Internal_lists_bugs!$A$2:$C$73,3,FALSE())&amp;Char(10) &amp; Char(10) &amp; VLOOKUP(A1261,Internal_lists_bugs!$A$2:$Z$73,26,FALSE())),"please select a BUG ID")</f>
        <v>please select a BUG ID</v>
      </c>
      <c r="C1261" s="51" t="str">
        <f>IFERROR(VLOOKUP(A1261,Internal_lists_bugs!$A$2:$G2011,7,FALSE()),"please select a BUG ID")</f>
        <v>please select a BUG ID</v>
      </c>
      <c r="D1261" s="43"/>
      <c r="F1261" s="43"/>
      <c r="H1261" s="43"/>
    </row>
    <row r="1262">
      <c r="A1262" s="43"/>
      <c r="B1262" s="59" t="str">
        <f>IFERROR(HYPERLINK(VLOOKUP(A1262,Internal_lists_bugs!$A$2:$C$73,3,FALSE()), VLOOKUP(A1262,Internal_lists_bugs!$A$2:$C$73,3,FALSE())&amp;Char(10) &amp; Char(10) &amp; VLOOKUP(A1262,Internal_lists_bugs!$A$2:$Z$73,26,FALSE())),"please select a BUG ID")</f>
        <v>please select a BUG ID</v>
      </c>
      <c r="C1262" s="51" t="str">
        <f>IFERROR(VLOOKUP(A1262,Internal_lists_bugs!$A$2:$G2011,7,FALSE()),"please select a BUG ID")</f>
        <v>please select a BUG ID</v>
      </c>
      <c r="D1262" s="43"/>
      <c r="F1262" s="43"/>
      <c r="H1262" s="43"/>
    </row>
    <row r="1263">
      <c r="A1263" s="43"/>
      <c r="B1263" s="59" t="str">
        <f>IFERROR(HYPERLINK(VLOOKUP(A1263,Internal_lists_bugs!$A$2:$C$73,3,FALSE()), VLOOKUP(A1263,Internal_lists_bugs!$A$2:$C$73,3,FALSE())&amp;Char(10) &amp; Char(10) &amp; VLOOKUP(A1263,Internal_lists_bugs!$A$2:$Z$73,26,FALSE())),"please select a BUG ID")</f>
        <v>please select a BUG ID</v>
      </c>
      <c r="C1263" s="51" t="str">
        <f>IFERROR(VLOOKUP(A1263,Internal_lists_bugs!$A$2:$G2011,7,FALSE()),"please select a BUG ID")</f>
        <v>please select a BUG ID</v>
      </c>
      <c r="D1263" s="43"/>
      <c r="F1263" s="43"/>
      <c r="H1263" s="43"/>
    </row>
    <row r="1264">
      <c r="A1264" s="43"/>
      <c r="B1264" s="59" t="str">
        <f>IFERROR(HYPERLINK(VLOOKUP(A1264,Internal_lists_bugs!$A$2:$C$73,3,FALSE()), VLOOKUP(A1264,Internal_lists_bugs!$A$2:$C$73,3,FALSE())&amp;Char(10) &amp; Char(10) &amp; VLOOKUP(A1264,Internal_lists_bugs!$A$2:$Z$73,26,FALSE())),"please select a BUG ID")</f>
        <v>please select a BUG ID</v>
      </c>
      <c r="C1264" s="51" t="str">
        <f>IFERROR(VLOOKUP(A1264,Internal_lists_bugs!$A$2:$G2011,7,FALSE()),"please select a BUG ID")</f>
        <v>please select a BUG ID</v>
      </c>
      <c r="D1264" s="43"/>
      <c r="F1264" s="43"/>
      <c r="H1264" s="43"/>
    </row>
    <row r="1265">
      <c r="A1265" s="43"/>
      <c r="B1265" s="59" t="str">
        <f>IFERROR(HYPERLINK(VLOOKUP(A1265,Internal_lists_bugs!$A$2:$C$73,3,FALSE()), VLOOKUP(A1265,Internal_lists_bugs!$A$2:$C$73,3,FALSE())&amp;Char(10) &amp; Char(10) &amp; VLOOKUP(A1265,Internal_lists_bugs!$A$2:$Z$73,26,FALSE())),"please select a BUG ID")</f>
        <v>please select a BUG ID</v>
      </c>
      <c r="C1265" s="51" t="str">
        <f>IFERROR(VLOOKUP(A1265,Internal_lists_bugs!$A$2:$G2011,7,FALSE()),"please select a BUG ID")</f>
        <v>please select a BUG ID</v>
      </c>
      <c r="D1265" s="43"/>
      <c r="F1265" s="43"/>
      <c r="H1265" s="43"/>
    </row>
    <row r="1266">
      <c r="A1266" s="43"/>
      <c r="B1266" s="59" t="str">
        <f>IFERROR(HYPERLINK(VLOOKUP(A1266,Internal_lists_bugs!$A$2:$C$73,3,FALSE()), VLOOKUP(A1266,Internal_lists_bugs!$A$2:$C$73,3,FALSE())&amp;Char(10) &amp; Char(10) &amp; VLOOKUP(A1266,Internal_lists_bugs!$A$2:$Z$73,26,FALSE())),"please select a BUG ID")</f>
        <v>please select a BUG ID</v>
      </c>
      <c r="C1266" s="51" t="str">
        <f>IFERROR(VLOOKUP(A1266,Internal_lists_bugs!$A$2:$G2011,7,FALSE()),"please select a BUG ID")</f>
        <v>please select a BUG ID</v>
      </c>
      <c r="D1266" s="43"/>
      <c r="F1266" s="43"/>
      <c r="H1266" s="43"/>
    </row>
    <row r="1267">
      <c r="A1267" s="43"/>
      <c r="B1267" s="59" t="str">
        <f>IFERROR(HYPERLINK(VLOOKUP(A1267,Internal_lists_bugs!$A$2:$C$73,3,FALSE()), VLOOKUP(A1267,Internal_lists_bugs!$A$2:$C$73,3,FALSE())&amp;Char(10) &amp; Char(10) &amp; VLOOKUP(A1267,Internal_lists_bugs!$A$2:$Z$73,26,FALSE())),"please select a BUG ID")</f>
        <v>please select a BUG ID</v>
      </c>
      <c r="C1267" s="51" t="str">
        <f>IFERROR(VLOOKUP(A1267,Internal_lists_bugs!$A$2:$G2011,7,FALSE()),"please select a BUG ID")</f>
        <v>please select a BUG ID</v>
      </c>
      <c r="D1267" s="43"/>
      <c r="F1267" s="43"/>
      <c r="H1267" s="43"/>
    </row>
    <row r="1268">
      <c r="A1268" s="43"/>
      <c r="B1268" s="59" t="str">
        <f>IFERROR(HYPERLINK(VLOOKUP(A1268,Internal_lists_bugs!$A$2:$C$73,3,FALSE()), VLOOKUP(A1268,Internal_lists_bugs!$A$2:$C$73,3,FALSE())&amp;Char(10) &amp; Char(10) &amp; VLOOKUP(A1268,Internal_lists_bugs!$A$2:$Z$73,26,FALSE())),"please select a BUG ID")</f>
        <v>please select a BUG ID</v>
      </c>
      <c r="C1268" s="51" t="str">
        <f>IFERROR(VLOOKUP(A1268,Internal_lists_bugs!$A$2:$G2011,7,FALSE()),"please select a BUG ID")</f>
        <v>please select a BUG ID</v>
      </c>
      <c r="D1268" s="43"/>
      <c r="F1268" s="43"/>
      <c r="H1268" s="43"/>
    </row>
    <row r="1269">
      <c r="A1269" s="43"/>
      <c r="B1269" s="59" t="str">
        <f>IFERROR(HYPERLINK(VLOOKUP(A1269,Internal_lists_bugs!$A$2:$C$73,3,FALSE()), VLOOKUP(A1269,Internal_lists_bugs!$A$2:$C$73,3,FALSE())&amp;Char(10) &amp; Char(10) &amp; VLOOKUP(A1269,Internal_lists_bugs!$A$2:$Z$73,26,FALSE())),"please select a BUG ID")</f>
        <v>please select a BUG ID</v>
      </c>
      <c r="C1269" s="51" t="str">
        <f>IFERROR(VLOOKUP(A1269,Internal_lists_bugs!$A$2:$G2011,7,FALSE()),"please select a BUG ID")</f>
        <v>please select a BUG ID</v>
      </c>
      <c r="D1269" s="43"/>
      <c r="F1269" s="43"/>
      <c r="H1269" s="43"/>
    </row>
    <row r="1270">
      <c r="A1270" s="43"/>
      <c r="B1270" s="59" t="str">
        <f>IFERROR(HYPERLINK(VLOOKUP(A1270,Internal_lists_bugs!$A$2:$C$73,3,FALSE()), VLOOKUP(A1270,Internal_lists_bugs!$A$2:$C$73,3,FALSE())&amp;Char(10) &amp; Char(10) &amp; VLOOKUP(A1270,Internal_lists_bugs!$A$2:$Z$73,26,FALSE())),"please select a BUG ID")</f>
        <v>please select a BUG ID</v>
      </c>
      <c r="C1270" s="51" t="str">
        <f>IFERROR(VLOOKUP(A1270,Internal_lists_bugs!$A$2:$G2011,7,FALSE()),"please select a BUG ID")</f>
        <v>please select a BUG ID</v>
      </c>
      <c r="D1270" s="43"/>
      <c r="F1270" s="43"/>
      <c r="H1270" s="43"/>
    </row>
    <row r="1271">
      <c r="A1271" s="43"/>
      <c r="B1271" s="59" t="str">
        <f>IFERROR(HYPERLINK(VLOOKUP(A1271,Internal_lists_bugs!$A$2:$C$73,3,FALSE()), VLOOKUP(A1271,Internal_lists_bugs!$A$2:$C$73,3,FALSE())&amp;Char(10) &amp; Char(10) &amp; VLOOKUP(A1271,Internal_lists_bugs!$A$2:$Z$73,26,FALSE())),"please select a BUG ID")</f>
        <v>please select a BUG ID</v>
      </c>
      <c r="C1271" s="51" t="str">
        <f>IFERROR(VLOOKUP(A1271,Internal_lists_bugs!$A$2:$G2011,7,FALSE()),"please select a BUG ID")</f>
        <v>please select a BUG ID</v>
      </c>
      <c r="D1271" s="43"/>
      <c r="F1271" s="43"/>
      <c r="H1271" s="43"/>
    </row>
    <row r="1272">
      <c r="A1272" s="43"/>
      <c r="B1272" s="59" t="str">
        <f>IFERROR(HYPERLINK(VLOOKUP(A1272,Internal_lists_bugs!$A$2:$C$73,3,FALSE()), VLOOKUP(A1272,Internal_lists_bugs!$A$2:$C$73,3,FALSE())&amp;Char(10) &amp; Char(10) &amp; VLOOKUP(A1272,Internal_lists_bugs!$A$2:$Z$73,26,FALSE())),"please select a BUG ID")</f>
        <v>please select a BUG ID</v>
      </c>
      <c r="C1272" s="51" t="str">
        <f>IFERROR(VLOOKUP(A1272,Internal_lists_bugs!$A$2:$G2011,7,FALSE()),"please select a BUG ID")</f>
        <v>please select a BUG ID</v>
      </c>
      <c r="D1272" s="43"/>
      <c r="F1272" s="43"/>
      <c r="H1272" s="43"/>
    </row>
    <row r="1273">
      <c r="A1273" s="43"/>
      <c r="B1273" s="59" t="str">
        <f>IFERROR(HYPERLINK(VLOOKUP(A1273,Internal_lists_bugs!$A$2:$C$73,3,FALSE()), VLOOKUP(A1273,Internal_lists_bugs!$A$2:$C$73,3,FALSE())&amp;Char(10) &amp; Char(10) &amp; VLOOKUP(A1273,Internal_lists_bugs!$A$2:$Z$73,26,FALSE())),"please select a BUG ID")</f>
        <v>please select a BUG ID</v>
      </c>
      <c r="C1273" s="51" t="str">
        <f>IFERROR(VLOOKUP(A1273,Internal_lists_bugs!$A$2:$G2011,7,FALSE()),"please select a BUG ID")</f>
        <v>please select a BUG ID</v>
      </c>
      <c r="D1273" s="43"/>
      <c r="F1273" s="43"/>
      <c r="H1273" s="43"/>
    </row>
    <row r="1274">
      <c r="A1274" s="43"/>
      <c r="B1274" s="59" t="str">
        <f>IFERROR(HYPERLINK(VLOOKUP(A1274,Internal_lists_bugs!$A$2:$C$73,3,FALSE()), VLOOKUP(A1274,Internal_lists_bugs!$A$2:$C$73,3,FALSE())&amp;Char(10) &amp; Char(10) &amp; VLOOKUP(A1274,Internal_lists_bugs!$A$2:$Z$73,26,FALSE())),"please select a BUG ID")</f>
        <v>please select a BUG ID</v>
      </c>
      <c r="C1274" s="51" t="str">
        <f>IFERROR(VLOOKUP(A1274,Internal_lists_bugs!$A$2:$G2011,7,FALSE()),"please select a BUG ID")</f>
        <v>please select a BUG ID</v>
      </c>
      <c r="D1274" s="43"/>
      <c r="F1274" s="43"/>
      <c r="H1274" s="43"/>
    </row>
    <row r="1275">
      <c r="A1275" s="43"/>
      <c r="B1275" s="59" t="str">
        <f>IFERROR(HYPERLINK(VLOOKUP(A1275,Internal_lists_bugs!$A$2:$C$73,3,FALSE()), VLOOKUP(A1275,Internal_lists_bugs!$A$2:$C$73,3,FALSE())&amp;Char(10) &amp; Char(10) &amp; VLOOKUP(A1275,Internal_lists_bugs!$A$2:$Z$73,26,FALSE())),"please select a BUG ID")</f>
        <v>please select a BUG ID</v>
      </c>
      <c r="C1275" s="51" t="str">
        <f>IFERROR(VLOOKUP(A1275,Internal_lists_bugs!$A$2:$G2011,7,FALSE()),"please select a BUG ID")</f>
        <v>please select a BUG ID</v>
      </c>
      <c r="D1275" s="43"/>
      <c r="F1275" s="43"/>
      <c r="H1275" s="43"/>
    </row>
    <row r="1276">
      <c r="A1276" s="43"/>
      <c r="B1276" s="59" t="str">
        <f>IFERROR(HYPERLINK(VLOOKUP(A1276,Internal_lists_bugs!$A$2:$C$73,3,FALSE()), VLOOKUP(A1276,Internal_lists_bugs!$A$2:$C$73,3,FALSE())&amp;Char(10) &amp; Char(10) &amp; VLOOKUP(A1276,Internal_lists_bugs!$A$2:$Z$73,26,FALSE())),"please select a BUG ID")</f>
        <v>please select a BUG ID</v>
      </c>
      <c r="C1276" s="51" t="str">
        <f>IFERROR(VLOOKUP(A1276,Internal_lists_bugs!$A$2:$G2011,7,FALSE()),"please select a BUG ID")</f>
        <v>please select a BUG ID</v>
      </c>
      <c r="D1276" s="43"/>
      <c r="F1276" s="43"/>
      <c r="H1276" s="43"/>
    </row>
    <row r="1277">
      <c r="A1277" s="43"/>
      <c r="B1277" s="59" t="str">
        <f>IFERROR(HYPERLINK(VLOOKUP(A1277,Internal_lists_bugs!$A$2:$C$73,3,FALSE()), VLOOKUP(A1277,Internal_lists_bugs!$A$2:$C$73,3,FALSE())&amp;Char(10) &amp; Char(10) &amp; VLOOKUP(A1277,Internal_lists_bugs!$A$2:$Z$73,26,FALSE())),"please select a BUG ID")</f>
        <v>please select a BUG ID</v>
      </c>
      <c r="C1277" s="51" t="str">
        <f>IFERROR(VLOOKUP(A1277,Internal_lists_bugs!$A$2:$G2011,7,FALSE()),"please select a BUG ID")</f>
        <v>please select a BUG ID</v>
      </c>
      <c r="D1277" s="43"/>
      <c r="F1277" s="43"/>
      <c r="H1277" s="43"/>
    </row>
    <row r="1278">
      <c r="A1278" s="43"/>
      <c r="B1278" s="59" t="str">
        <f>IFERROR(HYPERLINK(VLOOKUP(A1278,Internal_lists_bugs!$A$2:$C$73,3,FALSE()), VLOOKUP(A1278,Internal_lists_bugs!$A$2:$C$73,3,FALSE())&amp;Char(10) &amp; Char(10) &amp; VLOOKUP(A1278,Internal_lists_bugs!$A$2:$Z$73,26,FALSE())),"please select a BUG ID")</f>
        <v>please select a BUG ID</v>
      </c>
      <c r="C1278" s="51" t="str">
        <f>IFERROR(VLOOKUP(A1278,Internal_lists_bugs!$A$2:$G2011,7,FALSE()),"please select a BUG ID")</f>
        <v>please select a BUG ID</v>
      </c>
      <c r="D1278" s="43"/>
      <c r="F1278" s="43"/>
      <c r="H1278" s="43"/>
    </row>
    <row r="1279">
      <c r="A1279" s="43"/>
      <c r="B1279" s="59" t="str">
        <f>IFERROR(HYPERLINK(VLOOKUP(A1279,Internal_lists_bugs!$A$2:$C$73,3,FALSE()), VLOOKUP(A1279,Internal_lists_bugs!$A$2:$C$73,3,FALSE())&amp;Char(10) &amp; Char(10) &amp; VLOOKUP(A1279,Internal_lists_bugs!$A$2:$Z$73,26,FALSE())),"please select a BUG ID")</f>
        <v>please select a BUG ID</v>
      </c>
      <c r="C1279" s="51" t="str">
        <f>IFERROR(VLOOKUP(A1279,Internal_lists_bugs!$A$2:$G2011,7,FALSE()),"please select a BUG ID")</f>
        <v>please select a BUG ID</v>
      </c>
      <c r="D1279" s="43"/>
      <c r="F1279" s="43"/>
      <c r="H1279" s="43"/>
    </row>
    <row r="1280">
      <c r="A1280" s="43"/>
      <c r="B1280" s="59" t="str">
        <f>IFERROR(HYPERLINK(VLOOKUP(A1280,Internal_lists_bugs!$A$2:$C$73,3,FALSE()), VLOOKUP(A1280,Internal_lists_bugs!$A$2:$C$73,3,FALSE())&amp;Char(10) &amp; Char(10) &amp; VLOOKUP(A1280,Internal_lists_bugs!$A$2:$Z$73,26,FALSE())),"please select a BUG ID")</f>
        <v>please select a BUG ID</v>
      </c>
      <c r="C1280" s="51" t="str">
        <f>IFERROR(VLOOKUP(A1280,Internal_lists_bugs!$A$2:$G2011,7,FALSE()),"please select a BUG ID")</f>
        <v>please select a BUG ID</v>
      </c>
      <c r="D1280" s="43"/>
      <c r="F1280" s="43"/>
      <c r="H1280" s="43"/>
    </row>
    <row r="1281">
      <c r="A1281" s="43"/>
      <c r="B1281" s="59" t="str">
        <f>IFERROR(HYPERLINK(VLOOKUP(A1281,Internal_lists_bugs!$A$2:$C$73,3,FALSE()), VLOOKUP(A1281,Internal_lists_bugs!$A$2:$C$73,3,FALSE())&amp;Char(10) &amp; Char(10) &amp; VLOOKUP(A1281,Internal_lists_bugs!$A$2:$Z$73,26,FALSE())),"please select a BUG ID")</f>
        <v>please select a BUG ID</v>
      </c>
      <c r="C1281" s="51" t="str">
        <f>IFERROR(VLOOKUP(A1281,Internal_lists_bugs!$A$2:$G2011,7,FALSE()),"please select a BUG ID")</f>
        <v>please select a BUG ID</v>
      </c>
      <c r="D1281" s="43"/>
      <c r="F1281" s="43"/>
      <c r="H1281" s="43"/>
    </row>
    <row r="1282">
      <c r="A1282" s="43"/>
      <c r="B1282" s="59" t="str">
        <f>IFERROR(HYPERLINK(VLOOKUP(A1282,Internal_lists_bugs!$A$2:$C$73,3,FALSE()), VLOOKUP(A1282,Internal_lists_bugs!$A$2:$C$73,3,FALSE())&amp;Char(10) &amp; Char(10) &amp; VLOOKUP(A1282,Internal_lists_bugs!$A$2:$Z$73,26,FALSE())),"please select a BUG ID")</f>
        <v>please select a BUG ID</v>
      </c>
      <c r="C1282" s="51" t="str">
        <f>IFERROR(VLOOKUP(A1282,Internal_lists_bugs!$A$2:$G2011,7,FALSE()),"please select a BUG ID")</f>
        <v>please select a BUG ID</v>
      </c>
      <c r="D1282" s="43"/>
      <c r="F1282" s="43"/>
      <c r="H1282" s="43"/>
    </row>
    <row r="1283">
      <c r="A1283" s="43"/>
      <c r="B1283" s="59" t="str">
        <f>IFERROR(HYPERLINK(VLOOKUP(A1283,Internal_lists_bugs!$A$2:$C$73,3,FALSE()), VLOOKUP(A1283,Internal_lists_bugs!$A$2:$C$73,3,FALSE())&amp;Char(10) &amp; Char(10) &amp; VLOOKUP(A1283,Internal_lists_bugs!$A$2:$Z$73,26,FALSE())),"please select a BUG ID")</f>
        <v>please select a BUG ID</v>
      </c>
      <c r="C1283" s="51" t="str">
        <f>IFERROR(VLOOKUP(A1283,Internal_lists_bugs!$A$2:$G2011,7,FALSE()),"please select a BUG ID")</f>
        <v>please select a BUG ID</v>
      </c>
      <c r="D1283" s="43"/>
      <c r="F1283" s="43"/>
      <c r="H1283" s="43"/>
    </row>
    <row r="1284">
      <c r="A1284" s="43"/>
      <c r="B1284" s="59" t="str">
        <f>IFERROR(HYPERLINK(VLOOKUP(A1284,Internal_lists_bugs!$A$2:$C$73,3,FALSE()), VLOOKUP(A1284,Internal_lists_bugs!$A$2:$C$73,3,FALSE())&amp;Char(10) &amp; Char(10) &amp; VLOOKUP(A1284,Internal_lists_bugs!$A$2:$Z$73,26,FALSE())),"please select a BUG ID")</f>
        <v>please select a BUG ID</v>
      </c>
      <c r="C1284" s="51" t="str">
        <f>IFERROR(VLOOKUP(A1284,Internal_lists_bugs!$A$2:$G2011,7,FALSE()),"please select a BUG ID")</f>
        <v>please select a BUG ID</v>
      </c>
      <c r="D1284" s="43"/>
      <c r="F1284" s="43"/>
      <c r="H1284" s="43"/>
    </row>
    <row r="1285">
      <c r="A1285" s="43"/>
      <c r="B1285" s="59" t="str">
        <f>IFERROR(HYPERLINK(VLOOKUP(A1285,Internal_lists_bugs!$A$2:$C$73,3,FALSE()), VLOOKUP(A1285,Internal_lists_bugs!$A$2:$C$73,3,FALSE())&amp;Char(10) &amp; Char(10) &amp; VLOOKUP(A1285,Internal_lists_bugs!$A$2:$Z$73,26,FALSE())),"please select a BUG ID")</f>
        <v>please select a BUG ID</v>
      </c>
      <c r="C1285" s="51" t="str">
        <f>IFERROR(VLOOKUP(A1285,Internal_lists_bugs!$A$2:$G2011,7,FALSE()),"please select a BUG ID")</f>
        <v>please select a BUG ID</v>
      </c>
      <c r="D1285" s="43"/>
      <c r="F1285" s="43"/>
      <c r="H1285" s="43"/>
    </row>
    <row r="1286">
      <c r="A1286" s="43"/>
      <c r="B1286" s="59" t="str">
        <f>IFERROR(HYPERLINK(VLOOKUP(A1286,Internal_lists_bugs!$A$2:$C$73,3,FALSE()), VLOOKUP(A1286,Internal_lists_bugs!$A$2:$C$73,3,FALSE())&amp;Char(10) &amp; Char(10) &amp; VLOOKUP(A1286,Internal_lists_bugs!$A$2:$Z$73,26,FALSE())),"please select a BUG ID")</f>
        <v>please select a BUG ID</v>
      </c>
      <c r="C1286" s="51" t="str">
        <f>IFERROR(VLOOKUP(A1286,Internal_lists_bugs!$A$2:$G2011,7,FALSE()),"please select a BUG ID")</f>
        <v>please select a BUG ID</v>
      </c>
      <c r="D1286" s="43"/>
      <c r="F1286" s="43"/>
      <c r="H1286" s="43"/>
    </row>
    <row r="1287">
      <c r="A1287" s="43"/>
      <c r="B1287" s="59" t="str">
        <f>IFERROR(HYPERLINK(VLOOKUP(A1287,Internal_lists_bugs!$A$2:$C$73,3,FALSE()), VLOOKUP(A1287,Internal_lists_bugs!$A$2:$C$73,3,FALSE())&amp;Char(10) &amp; Char(10) &amp; VLOOKUP(A1287,Internal_lists_bugs!$A$2:$Z$73,26,FALSE())),"please select a BUG ID")</f>
        <v>please select a BUG ID</v>
      </c>
      <c r="C1287" s="51" t="str">
        <f>IFERROR(VLOOKUP(A1287,Internal_lists_bugs!$A$2:$G2011,7,FALSE()),"please select a BUG ID")</f>
        <v>please select a BUG ID</v>
      </c>
      <c r="D1287" s="43"/>
      <c r="F1287" s="43"/>
      <c r="H1287" s="43"/>
    </row>
    <row r="1288">
      <c r="A1288" s="43"/>
      <c r="B1288" s="59" t="str">
        <f>IFERROR(HYPERLINK(VLOOKUP(A1288,Internal_lists_bugs!$A$2:$C$73,3,FALSE()), VLOOKUP(A1288,Internal_lists_bugs!$A$2:$C$73,3,FALSE())&amp;Char(10) &amp; Char(10) &amp; VLOOKUP(A1288,Internal_lists_bugs!$A$2:$Z$73,26,FALSE())),"please select a BUG ID")</f>
        <v>please select a BUG ID</v>
      </c>
      <c r="C1288" s="51" t="str">
        <f>IFERROR(VLOOKUP(A1288,Internal_lists_bugs!$A$2:$G2011,7,FALSE()),"please select a BUG ID")</f>
        <v>please select a BUG ID</v>
      </c>
      <c r="D1288" s="43"/>
      <c r="F1288" s="43"/>
      <c r="H1288" s="43"/>
    </row>
    <row r="1289">
      <c r="A1289" s="43"/>
      <c r="B1289" s="59" t="str">
        <f>IFERROR(HYPERLINK(VLOOKUP(A1289,Internal_lists_bugs!$A$2:$C$73,3,FALSE()), VLOOKUP(A1289,Internal_lists_bugs!$A$2:$C$73,3,FALSE())&amp;Char(10) &amp; Char(10) &amp; VLOOKUP(A1289,Internal_lists_bugs!$A$2:$Z$73,26,FALSE())),"please select a BUG ID")</f>
        <v>please select a BUG ID</v>
      </c>
      <c r="C1289" s="51" t="str">
        <f>IFERROR(VLOOKUP(A1289,Internal_lists_bugs!$A$2:$G2011,7,FALSE()),"please select a BUG ID")</f>
        <v>please select a BUG ID</v>
      </c>
      <c r="D1289" s="43"/>
      <c r="F1289" s="43"/>
      <c r="H1289" s="43"/>
    </row>
    <row r="1290">
      <c r="A1290" s="43"/>
      <c r="B1290" s="59" t="str">
        <f>IFERROR(HYPERLINK(VLOOKUP(A1290,Internal_lists_bugs!$A$2:$C$73,3,FALSE()), VLOOKUP(A1290,Internal_lists_bugs!$A$2:$C$73,3,FALSE())&amp;Char(10) &amp; Char(10) &amp; VLOOKUP(A1290,Internal_lists_bugs!$A$2:$Z$73,26,FALSE())),"please select a BUG ID")</f>
        <v>please select a BUG ID</v>
      </c>
      <c r="C1290" s="51" t="str">
        <f>IFERROR(VLOOKUP(A1290,Internal_lists_bugs!$A$2:$G2011,7,FALSE()),"please select a BUG ID")</f>
        <v>please select a BUG ID</v>
      </c>
      <c r="D1290" s="43"/>
      <c r="F1290" s="43"/>
      <c r="H1290" s="43"/>
    </row>
    <row r="1291">
      <c r="A1291" s="43"/>
      <c r="B1291" s="59" t="str">
        <f>IFERROR(HYPERLINK(VLOOKUP(A1291,Internal_lists_bugs!$A$2:$C$73,3,FALSE()), VLOOKUP(A1291,Internal_lists_bugs!$A$2:$C$73,3,FALSE())&amp;Char(10) &amp; Char(10) &amp; VLOOKUP(A1291,Internal_lists_bugs!$A$2:$Z$73,26,FALSE())),"please select a BUG ID")</f>
        <v>please select a BUG ID</v>
      </c>
      <c r="C1291" s="51" t="str">
        <f>IFERROR(VLOOKUP(A1291,Internal_lists_bugs!$A$2:$G2011,7,FALSE()),"please select a BUG ID")</f>
        <v>please select a BUG ID</v>
      </c>
      <c r="D1291" s="43"/>
      <c r="F1291" s="43"/>
      <c r="H1291" s="43"/>
    </row>
    <row r="1292">
      <c r="A1292" s="43"/>
      <c r="B1292" s="59" t="str">
        <f>IFERROR(HYPERLINK(VLOOKUP(A1292,Internal_lists_bugs!$A$2:$C$73,3,FALSE()), VLOOKUP(A1292,Internal_lists_bugs!$A$2:$C$73,3,FALSE())&amp;Char(10) &amp; Char(10) &amp; VLOOKUP(A1292,Internal_lists_bugs!$A$2:$Z$73,26,FALSE())),"please select a BUG ID")</f>
        <v>please select a BUG ID</v>
      </c>
      <c r="C1292" s="51" t="str">
        <f>IFERROR(VLOOKUP(A1292,Internal_lists_bugs!$A$2:$G2011,7,FALSE()),"please select a BUG ID")</f>
        <v>please select a BUG ID</v>
      </c>
      <c r="D1292" s="43"/>
      <c r="F1292" s="43"/>
      <c r="H1292" s="43"/>
    </row>
    <row r="1293">
      <c r="A1293" s="43"/>
      <c r="B1293" s="59" t="str">
        <f>IFERROR(HYPERLINK(VLOOKUP(A1293,Internal_lists_bugs!$A$2:$C$73,3,FALSE()), VLOOKUP(A1293,Internal_lists_bugs!$A$2:$C$73,3,FALSE())&amp;Char(10) &amp; Char(10) &amp; VLOOKUP(A1293,Internal_lists_bugs!$A$2:$Z$73,26,FALSE())),"please select a BUG ID")</f>
        <v>please select a BUG ID</v>
      </c>
      <c r="C1293" s="51" t="str">
        <f>IFERROR(VLOOKUP(A1293,Internal_lists_bugs!$A$2:$G2011,7,FALSE()),"please select a BUG ID")</f>
        <v>please select a BUG ID</v>
      </c>
      <c r="D1293" s="43"/>
      <c r="F1293" s="43"/>
      <c r="H1293" s="43"/>
    </row>
    <row r="1294">
      <c r="A1294" s="43"/>
      <c r="B1294" s="59" t="str">
        <f>IFERROR(HYPERLINK(VLOOKUP(A1294,Internal_lists_bugs!$A$2:$C$73,3,FALSE()), VLOOKUP(A1294,Internal_lists_bugs!$A$2:$C$73,3,FALSE())&amp;Char(10) &amp; Char(10) &amp; VLOOKUP(A1294,Internal_lists_bugs!$A$2:$Z$73,26,FALSE())),"please select a BUG ID")</f>
        <v>please select a BUG ID</v>
      </c>
      <c r="C1294" s="51" t="str">
        <f>IFERROR(VLOOKUP(A1294,Internal_lists_bugs!$A$2:$G2011,7,FALSE()),"please select a BUG ID")</f>
        <v>please select a BUG ID</v>
      </c>
      <c r="D1294" s="43"/>
      <c r="F1294" s="43"/>
      <c r="H1294" s="43"/>
    </row>
    <row r="1295">
      <c r="A1295" s="43"/>
      <c r="B1295" s="59" t="str">
        <f>IFERROR(HYPERLINK(VLOOKUP(A1295,Internal_lists_bugs!$A$2:$C$73,3,FALSE()), VLOOKUP(A1295,Internal_lists_bugs!$A$2:$C$73,3,FALSE())&amp;Char(10) &amp; Char(10) &amp; VLOOKUP(A1295,Internal_lists_bugs!$A$2:$Z$73,26,FALSE())),"please select a BUG ID")</f>
        <v>please select a BUG ID</v>
      </c>
      <c r="C1295" s="51" t="str">
        <f>IFERROR(VLOOKUP(A1295,Internal_lists_bugs!$A$2:$G2011,7,FALSE()),"please select a BUG ID")</f>
        <v>please select a BUG ID</v>
      </c>
      <c r="D1295" s="43"/>
      <c r="F1295" s="43"/>
      <c r="H1295" s="43"/>
    </row>
    <row r="1296">
      <c r="A1296" s="43"/>
      <c r="B1296" s="59" t="str">
        <f>IFERROR(HYPERLINK(VLOOKUP(A1296,Internal_lists_bugs!$A$2:$C$73,3,FALSE()), VLOOKUP(A1296,Internal_lists_bugs!$A$2:$C$73,3,FALSE())&amp;Char(10) &amp; Char(10) &amp; VLOOKUP(A1296,Internal_lists_bugs!$A$2:$Z$73,26,FALSE())),"please select a BUG ID")</f>
        <v>please select a BUG ID</v>
      </c>
      <c r="C1296" s="51" t="str">
        <f>IFERROR(VLOOKUP(A1296,Internal_lists_bugs!$A$2:$G2011,7,FALSE()),"please select a BUG ID")</f>
        <v>please select a BUG ID</v>
      </c>
      <c r="D1296" s="43"/>
      <c r="F1296" s="43"/>
      <c r="H1296" s="43"/>
    </row>
    <row r="1297">
      <c r="A1297" s="43"/>
      <c r="B1297" s="59" t="str">
        <f>IFERROR(HYPERLINK(VLOOKUP(A1297,Internal_lists_bugs!$A$2:$C$73,3,FALSE()), VLOOKUP(A1297,Internal_lists_bugs!$A$2:$C$73,3,FALSE())&amp;Char(10) &amp; Char(10) &amp; VLOOKUP(A1297,Internal_lists_bugs!$A$2:$Z$73,26,FALSE())),"please select a BUG ID")</f>
        <v>please select a BUG ID</v>
      </c>
      <c r="C1297" s="51" t="str">
        <f>IFERROR(VLOOKUP(A1297,Internal_lists_bugs!$A$2:$G2011,7,FALSE()),"please select a BUG ID")</f>
        <v>please select a BUG ID</v>
      </c>
      <c r="D1297" s="43"/>
      <c r="F1297" s="43"/>
      <c r="H1297" s="43"/>
    </row>
    <row r="1298">
      <c r="A1298" s="43"/>
      <c r="B1298" s="59" t="str">
        <f>IFERROR(HYPERLINK(VLOOKUP(A1298,Internal_lists_bugs!$A$2:$C$73,3,FALSE()), VLOOKUP(A1298,Internal_lists_bugs!$A$2:$C$73,3,FALSE())&amp;Char(10) &amp; Char(10) &amp; VLOOKUP(A1298,Internal_lists_bugs!$A$2:$Z$73,26,FALSE())),"please select a BUG ID")</f>
        <v>please select a BUG ID</v>
      </c>
      <c r="C1298" s="51" t="str">
        <f>IFERROR(VLOOKUP(A1298,Internal_lists_bugs!$A$2:$G2011,7,FALSE()),"please select a BUG ID")</f>
        <v>please select a BUG ID</v>
      </c>
      <c r="D1298" s="43"/>
      <c r="F1298" s="43"/>
      <c r="H1298" s="43"/>
    </row>
    <row r="1299">
      <c r="A1299" s="43"/>
      <c r="B1299" s="59" t="str">
        <f>IFERROR(HYPERLINK(VLOOKUP(A1299,Internal_lists_bugs!$A$2:$C$73,3,FALSE()), VLOOKUP(A1299,Internal_lists_bugs!$A$2:$C$73,3,FALSE())&amp;Char(10) &amp; Char(10) &amp; VLOOKUP(A1299,Internal_lists_bugs!$A$2:$Z$73,26,FALSE())),"please select a BUG ID")</f>
        <v>please select a BUG ID</v>
      </c>
      <c r="C1299" s="51" t="str">
        <f>IFERROR(VLOOKUP(A1299,Internal_lists_bugs!$A$2:$G2011,7,FALSE()),"please select a BUG ID")</f>
        <v>please select a BUG ID</v>
      </c>
      <c r="D1299" s="43"/>
      <c r="F1299" s="43"/>
      <c r="H1299" s="43"/>
    </row>
    <row r="1300">
      <c r="A1300" s="43"/>
      <c r="B1300" s="59" t="str">
        <f>IFERROR(HYPERLINK(VLOOKUP(A1300,Internal_lists_bugs!$A$2:$C$73,3,FALSE()), VLOOKUP(A1300,Internal_lists_bugs!$A$2:$C$73,3,FALSE())&amp;Char(10) &amp; Char(10) &amp; VLOOKUP(A1300,Internal_lists_bugs!$A$2:$Z$73,26,FALSE())),"please select a BUG ID")</f>
        <v>please select a BUG ID</v>
      </c>
      <c r="C1300" s="51" t="str">
        <f>IFERROR(VLOOKUP(A1300,Internal_lists_bugs!$A$2:$G2011,7,FALSE()),"please select a BUG ID")</f>
        <v>please select a BUG ID</v>
      </c>
      <c r="D1300" s="43"/>
      <c r="F1300" s="43"/>
      <c r="H1300" s="43"/>
    </row>
    <row r="1301">
      <c r="A1301" s="43"/>
      <c r="B1301" s="59" t="str">
        <f>IFERROR(HYPERLINK(VLOOKUP(A1301,Internal_lists_bugs!$A$2:$C$73,3,FALSE()), VLOOKUP(A1301,Internal_lists_bugs!$A$2:$C$73,3,FALSE())&amp;Char(10) &amp; Char(10) &amp; VLOOKUP(A1301,Internal_lists_bugs!$A$2:$Z$73,26,FALSE())),"please select a BUG ID")</f>
        <v>please select a BUG ID</v>
      </c>
      <c r="C1301" s="51" t="str">
        <f>IFERROR(VLOOKUP(A1301,Internal_lists_bugs!$A$2:$G2011,7,FALSE()),"please select a BUG ID")</f>
        <v>please select a BUG ID</v>
      </c>
      <c r="D1301" s="43"/>
      <c r="F1301" s="43"/>
      <c r="H1301" s="43"/>
    </row>
    <row r="1302">
      <c r="A1302" s="43"/>
      <c r="B1302" s="59" t="str">
        <f>IFERROR(HYPERLINK(VLOOKUP(A1302,Internal_lists_bugs!$A$2:$C$73,3,FALSE()), VLOOKUP(A1302,Internal_lists_bugs!$A$2:$C$73,3,FALSE())&amp;Char(10) &amp; Char(10) &amp; VLOOKUP(A1302,Internal_lists_bugs!$A$2:$Z$73,26,FALSE())),"please select a BUG ID")</f>
        <v>please select a BUG ID</v>
      </c>
      <c r="C1302" s="51" t="str">
        <f>IFERROR(VLOOKUP(A1302,Internal_lists_bugs!$A$2:$G2011,7,FALSE()),"please select a BUG ID")</f>
        <v>please select a BUG ID</v>
      </c>
      <c r="D1302" s="43"/>
      <c r="F1302" s="43"/>
      <c r="H1302" s="43"/>
    </row>
    <row r="1303">
      <c r="A1303" s="43"/>
      <c r="B1303" s="59" t="str">
        <f>IFERROR(HYPERLINK(VLOOKUP(A1303,Internal_lists_bugs!$A$2:$C$73,3,FALSE()), VLOOKUP(A1303,Internal_lists_bugs!$A$2:$C$73,3,FALSE())&amp;Char(10) &amp; Char(10) &amp; VLOOKUP(A1303,Internal_lists_bugs!$A$2:$Z$73,26,FALSE())),"please select a BUG ID")</f>
        <v>please select a BUG ID</v>
      </c>
      <c r="C1303" s="51" t="str">
        <f>IFERROR(VLOOKUP(A1303,Internal_lists_bugs!$A$2:$G2011,7,FALSE()),"please select a BUG ID")</f>
        <v>please select a BUG ID</v>
      </c>
      <c r="D1303" s="43"/>
      <c r="F1303" s="43"/>
      <c r="H1303" s="43"/>
    </row>
    <row r="1304">
      <c r="A1304" s="43"/>
      <c r="B1304" s="59" t="str">
        <f>IFERROR(HYPERLINK(VLOOKUP(A1304,Internal_lists_bugs!$A$2:$C$73,3,FALSE()), VLOOKUP(A1304,Internal_lists_bugs!$A$2:$C$73,3,FALSE())&amp;Char(10) &amp; Char(10) &amp; VLOOKUP(A1304,Internal_lists_bugs!$A$2:$Z$73,26,FALSE())),"please select a BUG ID")</f>
        <v>please select a BUG ID</v>
      </c>
      <c r="C1304" s="51" t="str">
        <f>IFERROR(VLOOKUP(A1304,Internal_lists_bugs!$A$2:$G2011,7,FALSE()),"please select a BUG ID")</f>
        <v>please select a BUG ID</v>
      </c>
      <c r="D1304" s="43"/>
      <c r="F1304" s="43"/>
      <c r="H1304" s="43"/>
    </row>
    <row r="1305">
      <c r="A1305" s="43"/>
      <c r="B1305" s="59" t="str">
        <f>IFERROR(HYPERLINK(VLOOKUP(A1305,Internal_lists_bugs!$A$2:$C$73,3,FALSE()), VLOOKUP(A1305,Internal_lists_bugs!$A$2:$C$73,3,FALSE())&amp;Char(10) &amp; Char(10) &amp; VLOOKUP(A1305,Internal_lists_bugs!$A$2:$Z$73,26,FALSE())),"please select a BUG ID")</f>
        <v>please select a BUG ID</v>
      </c>
      <c r="C1305" s="51" t="str">
        <f>IFERROR(VLOOKUP(A1305,Internal_lists_bugs!$A$2:$G2011,7,FALSE()),"please select a BUG ID")</f>
        <v>please select a BUG ID</v>
      </c>
      <c r="D1305" s="43"/>
      <c r="F1305" s="43"/>
      <c r="H1305" s="43"/>
    </row>
    <row r="1306">
      <c r="A1306" s="43"/>
      <c r="B1306" s="59" t="str">
        <f>IFERROR(HYPERLINK(VLOOKUP(A1306,Internal_lists_bugs!$A$2:$C$73,3,FALSE()), VLOOKUP(A1306,Internal_lists_bugs!$A$2:$C$73,3,FALSE())&amp;Char(10) &amp; Char(10) &amp; VLOOKUP(A1306,Internal_lists_bugs!$A$2:$Z$73,26,FALSE())),"please select a BUG ID")</f>
        <v>please select a BUG ID</v>
      </c>
      <c r="C1306" s="51" t="str">
        <f>IFERROR(VLOOKUP(A1306,Internal_lists_bugs!$A$2:$G2011,7,FALSE()),"please select a BUG ID")</f>
        <v>please select a BUG ID</v>
      </c>
      <c r="D1306" s="43"/>
      <c r="F1306" s="43"/>
      <c r="H1306" s="43"/>
    </row>
    <row r="1307">
      <c r="A1307" s="43"/>
      <c r="B1307" s="59" t="str">
        <f>IFERROR(HYPERLINK(VLOOKUP(A1307,Internal_lists_bugs!$A$2:$C$73,3,FALSE()), VLOOKUP(A1307,Internal_lists_bugs!$A$2:$C$73,3,FALSE())&amp;Char(10) &amp; Char(10) &amp; VLOOKUP(A1307,Internal_lists_bugs!$A$2:$Z$73,26,FALSE())),"please select a BUG ID")</f>
        <v>please select a BUG ID</v>
      </c>
      <c r="C1307" s="51" t="str">
        <f>IFERROR(VLOOKUP(A1307,Internal_lists_bugs!$A$2:$G2011,7,FALSE()),"please select a BUG ID")</f>
        <v>please select a BUG ID</v>
      </c>
      <c r="D1307" s="43"/>
      <c r="F1307" s="43"/>
      <c r="H1307" s="43"/>
    </row>
    <row r="1308">
      <c r="A1308" s="43"/>
      <c r="B1308" s="59" t="str">
        <f>IFERROR(HYPERLINK(VLOOKUP(A1308,Internal_lists_bugs!$A$2:$C$73,3,FALSE()), VLOOKUP(A1308,Internal_lists_bugs!$A$2:$C$73,3,FALSE())&amp;Char(10) &amp; Char(10) &amp; VLOOKUP(A1308,Internal_lists_bugs!$A$2:$Z$73,26,FALSE())),"please select a BUG ID")</f>
        <v>please select a BUG ID</v>
      </c>
      <c r="C1308" s="51" t="str">
        <f>IFERROR(VLOOKUP(A1308,Internal_lists_bugs!$A$2:$G2011,7,FALSE()),"please select a BUG ID")</f>
        <v>please select a BUG ID</v>
      </c>
      <c r="D1308" s="43"/>
      <c r="F1308" s="43"/>
      <c r="H1308" s="43"/>
    </row>
    <row r="1309">
      <c r="A1309" s="43"/>
      <c r="B1309" s="59" t="str">
        <f>IFERROR(HYPERLINK(VLOOKUP(A1309,Internal_lists_bugs!$A$2:$C$73,3,FALSE()), VLOOKUP(A1309,Internal_lists_bugs!$A$2:$C$73,3,FALSE())&amp;Char(10) &amp; Char(10) &amp; VLOOKUP(A1309,Internal_lists_bugs!$A$2:$Z$73,26,FALSE())),"please select a BUG ID")</f>
        <v>please select a BUG ID</v>
      </c>
      <c r="C1309" s="51" t="str">
        <f>IFERROR(VLOOKUP(A1309,Internal_lists_bugs!$A$2:$G2011,7,FALSE()),"please select a BUG ID")</f>
        <v>please select a BUG ID</v>
      </c>
      <c r="D1309" s="43"/>
      <c r="F1309" s="43"/>
      <c r="H1309" s="43"/>
    </row>
    <row r="1310">
      <c r="A1310" s="43"/>
      <c r="B1310" s="59" t="str">
        <f>IFERROR(HYPERLINK(VLOOKUP(A1310,Internal_lists_bugs!$A$2:$C$73,3,FALSE()), VLOOKUP(A1310,Internal_lists_bugs!$A$2:$C$73,3,FALSE())&amp;Char(10) &amp; Char(10) &amp; VLOOKUP(A1310,Internal_lists_bugs!$A$2:$Z$73,26,FALSE())),"please select a BUG ID")</f>
        <v>please select a BUG ID</v>
      </c>
      <c r="C1310" s="51" t="str">
        <f>IFERROR(VLOOKUP(A1310,Internal_lists_bugs!$A$2:$G2011,7,FALSE()),"please select a BUG ID")</f>
        <v>please select a BUG ID</v>
      </c>
      <c r="D1310" s="43"/>
      <c r="F1310" s="43"/>
      <c r="H1310" s="43"/>
    </row>
    <row r="1311">
      <c r="A1311" s="43"/>
      <c r="B1311" s="59" t="str">
        <f>IFERROR(HYPERLINK(VLOOKUP(A1311,Internal_lists_bugs!$A$2:$C$73,3,FALSE()), VLOOKUP(A1311,Internal_lists_bugs!$A$2:$C$73,3,FALSE())&amp;Char(10) &amp; Char(10) &amp; VLOOKUP(A1311,Internal_lists_bugs!$A$2:$Z$73,26,FALSE())),"please select a BUG ID")</f>
        <v>please select a BUG ID</v>
      </c>
      <c r="C1311" s="51" t="str">
        <f>IFERROR(VLOOKUP(A1311,Internal_lists_bugs!$A$2:$G2011,7,FALSE()),"please select a BUG ID")</f>
        <v>please select a BUG ID</v>
      </c>
      <c r="D1311" s="43"/>
      <c r="F1311" s="43"/>
      <c r="H1311" s="43"/>
    </row>
    <row r="1312">
      <c r="A1312" s="43"/>
      <c r="B1312" s="59" t="str">
        <f>IFERROR(HYPERLINK(VLOOKUP(A1312,Internal_lists_bugs!$A$2:$C$73,3,FALSE()), VLOOKUP(A1312,Internal_lists_bugs!$A$2:$C$73,3,FALSE())&amp;Char(10) &amp; Char(10) &amp; VLOOKUP(A1312,Internal_lists_bugs!$A$2:$Z$73,26,FALSE())),"please select a BUG ID")</f>
        <v>please select a BUG ID</v>
      </c>
      <c r="C1312" s="51" t="str">
        <f>IFERROR(VLOOKUP(A1312,Internal_lists_bugs!$A$2:$G2011,7,FALSE()),"please select a BUG ID")</f>
        <v>please select a BUG ID</v>
      </c>
      <c r="D1312" s="43"/>
      <c r="F1312" s="43"/>
      <c r="H1312" s="43"/>
    </row>
    <row r="1313">
      <c r="A1313" s="43"/>
      <c r="B1313" s="59" t="str">
        <f>IFERROR(HYPERLINK(VLOOKUP(A1313,Internal_lists_bugs!$A$2:$C$73,3,FALSE()), VLOOKUP(A1313,Internal_lists_bugs!$A$2:$C$73,3,FALSE())&amp;Char(10) &amp; Char(10) &amp; VLOOKUP(A1313,Internal_lists_bugs!$A$2:$Z$73,26,FALSE())),"please select a BUG ID")</f>
        <v>please select a BUG ID</v>
      </c>
      <c r="C1313" s="51" t="str">
        <f>IFERROR(VLOOKUP(A1313,Internal_lists_bugs!$A$2:$G2011,7,FALSE()),"please select a BUG ID")</f>
        <v>please select a BUG ID</v>
      </c>
      <c r="D1313" s="43"/>
      <c r="F1313" s="43"/>
      <c r="H1313" s="43"/>
    </row>
    <row r="1314">
      <c r="A1314" s="43"/>
      <c r="B1314" s="59" t="str">
        <f>IFERROR(HYPERLINK(VLOOKUP(A1314,Internal_lists_bugs!$A$2:$C$73,3,FALSE()), VLOOKUP(A1314,Internal_lists_bugs!$A$2:$C$73,3,FALSE())&amp;Char(10) &amp; Char(10) &amp; VLOOKUP(A1314,Internal_lists_bugs!$A$2:$Z$73,26,FALSE())),"please select a BUG ID")</f>
        <v>please select a BUG ID</v>
      </c>
      <c r="C1314" s="51" t="str">
        <f>IFERROR(VLOOKUP(A1314,Internal_lists_bugs!$A$2:$G2011,7,FALSE()),"please select a BUG ID")</f>
        <v>please select a BUG ID</v>
      </c>
      <c r="D1314" s="43"/>
      <c r="F1314" s="43"/>
      <c r="H1314" s="43"/>
    </row>
    <row r="1315">
      <c r="A1315" s="43"/>
      <c r="B1315" s="59" t="str">
        <f>IFERROR(HYPERLINK(VLOOKUP(A1315,Internal_lists_bugs!$A$2:$C$73,3,FALSE()), VLOOKUP(A1315,Internal_lists_bugs!$A$2:$C$73,3,FALSE())&amp;Char(10) &amp; Char(10) &amp; VLOOKUP(A1315,Internal_lists_bugs!$A$2:$Z$73,26,FALSE())),"please select a BUG ID")</f>
        <v>please select a BUG ID</v>
      </c>
      <c r="C1315" s="51" t="str">
        <f>IFERROR(VLOOKUP(A1315,Internal_lists_bugs!$A$2:$G2011,7,FALSE()),"please select a BUG ID")</f>
        <v>please select a BUG ID</v>
      </c>
      <c r="D1315" s="43"/>
      <c r="F1315" s="43"/>
      <c r="H1315" s="43"/>
    </row>
    <row r="1316">
      <c r="A1316" s="43"/>
      <c r="B1316" s="59" t="str">
        <f>IFERROR(HYPERLINK(VLOOKUP(A1316,Internal_lists_bugs!$A$2:$C$73,3,FALSE()), VLOOKUP(A1316,Internal_lists_bugs!$A$2:$C$73,3,FALSE())&amp;Char(10) &amp; Char(10) &amp; VLOOKUP(A1316,Internal_lists_bugs!$A$2:$Z$73,26,FALSE())),"please select a BUG ID")</f>
        <v>please select a BUG ID</v>
      </c>
      <c r="C1316" s="51" t="str">
        <f>IFERROR(VLOOKUP(A1316,Internal_lists_bugs!$A$2:$G2011,7,FALSE()),"please select a BUG ID")</f>
        <v>please select a BUG ID</v>
      </c>
      <c r="D1316" s="43"/>
      <c r="F1316" s="43"/>
      <c r="H1316" s="43"/>
    </row>
    <row r="1317">
      <c r="A1317" s="43"/>
      <c r="B1317" s="59" t="str">
        <f>IFERROR(HYPERLINK(VLOOKUP(A1317,Internal_lists_bugs!$A$2:$C$73,3,FALSE()), VLOOKUP(A1317,Internal_lists_bugs!$A$2:$C$73,3,FALSE())&amp;Char(10) &amp; Char(10) &amp; VLOOKUP(A1317,Internal_lists_bugs!$A$2:$Z$73,26,FALSE())),"please select a BUG ID")</f>
        <v>please select a BUG ID</v>
      </c>
      <c r="C1317" s="51" t="str">
        <f>IFERROR(VLOOKUP(A1317,Internal_lists_bugs!$A$2:$G2011,7,FALSE()),"please select a BUG ID")</f>
        <v>please select a BUG ID</v>
      </c>
      <c r="D1317" s="43"/>
      <c r="F1317" s="43"/>
      <c r="H1317" s="43"/>
    </row>
    <row r="1318">
      <c r="A1318" s="43"/>
      <c r="B1318" s="59" t="str">
        <f>IFERROR(HYPERLINK(VLOOKUP(A1318,Internal_lists_bugs!$A$2:$C$73,3,FALSE()), VLOOKUP(A1318,Internal_lists_bugs!$A$2:$C$73,3,FALSE())&amp;Char(10) &amp; Char(10) &amp; VLOOKUP(A1318,Internal_lists_bugs!$A$2:$Z$73,26,FALSE())),"please select a BUG ID")</f>
        <v>please select a BUG ID</v>
      </c>
      <c r="C1318" s="51" t="str">
        <f>IFERROR(VLOOKUP(A1318,Internal_lists_bugs!$A$2:$G2011,7,FALSE()),"please select a BUG ID")</f>
        <v>please select a BUG ID</v>
      </c>
      <c r="D1318" s="43"/>
      <c r="F1318" s="43"/>
      <c r="H1318" s="43"/>
    </row>
    <row r="1319">
      <c r="A1319" s="43"/>
      <c r="B1319" s="59" t="str">
        <f>IFERROR(HYPERLINK(VLOOKUP(A1319,Internal_lists_bugs!$A$2:$C$73,3,FALSE()), VLOOKUP(A1319,Internal_lists_bugs!$A$2:$C$73,3,FALSE())&amp;Char(10) &amp; Char(10) &amp; VLOOKUP(A1319,Internal_lists_bugs!$A$2:$Z$73,26,FALSE())),"please select a BUG ID")</f>
        <v>please select a BUG ID</v>
      </c>
      <c r="C1319" s="51" t="str">
        <f>IFERROR(VLOOKUP(A1319,Internal_lists_bugs!$A$2:$G2011,7,FALSE()),"please select a BUG ID")</f>
        <v>please select a BUG ID</v>
      </c>
      <c r="D1319" s="43"/>
      <c r="F1319" s="43"/>
      <c r="H1319" s="43"/>
    </row>
    <row r="1320">
      <c r="A1320" s="43"/>
      <c r="B1320" s="59" t="str">
        <f>IFERROR(HYPERLINK(VLOOKUP(A1320,Internal_lists_bugs!$A$2:$C$73,3,FALSE()), VLOOKUP(A1320,Internal_lists_bugs!$A$2:$C$73,3,FALSE())&amp;Char(10) &amp; Char(10) &amp; VLOOKUP(A1320,Internal_lists_bugs!$A$2:$Z$73,26,FALSE())),"please select a BUG ID")</f>
        <v>please select a BUG ID</v>
      </c>
      <c r="C1320" s="51" t="str">
        <f>IFERROR(VLOOKUP(A1320,Internal_lists_bugs!$A$2:$G2011,7,FALSE()),"please select a BUG ID")</f>
        <v>please select a BUG ID</v>
      </c>
      <c r="D1320" s="43"/>
      <c r="F1320" s="43"/>
      <c r="H1320" s="43"/>
    </row>
    <row r="1321">
      <c r="A1321" s="43"/>
      <c r="B1321" s="59" t="str">
        <f>IFERROR(HYPERLINK(VLOOKUP(A1321,Internal_lists_bugs!$A$2:$C$73,3,FALSE()), VLOOKUP(A1321,Internal_lists_bugs!$A$2:$C$73,3,FALSE())&amp;Char(10) &amp; Char(10) &amp; VLOOKUP(A1321,Internal_lists_bugs!$A$2:$Z$73,26,FALSE())),"please select a BUG ID")</f>
        <v>please select a BUG ID</v>
      </c>
      <c r="C1321" s="51" t="str">
        <f>IFERROR(VLOOKUP(A1321,Internal_lists_bugs!$A$2:$G2011,7,FALSE()),"please select a BUG ID")</f>
        <v>please select a BUG ID</v>
      </c>
      <c r="D1321" s="43"/>
      <c r="F1321" s="43"/>
      <c r="H1321" s="43"/>
    </row>
    <row r="1322">
      <c r="A1322" s="43"/>
      <c r="B1322" s="59" t="str">
        <f>IFERROR(HYPERLINK(VLOOKUP(A1322,Internal_lists_bugs!$A$2:$C$73,3,FALSE()), VLOOKUP(A1322,Internal_lists_bugs!$A$2:$C$73,3,FALSE())&amp;Char(10) &amp; Char(10) &amp; VLOOKUP(A1322,Internal_lists_bugs!$A$2:$Z$73,26,FALSE())),"please select a BUG ID")</f>
        <v>please select a BUG ID</v>
      </c>
      <c r="C1322" s="51" t="str">
        <f>IFERROR(VLOOKUP(A1322,Internal_lists_bugs!$A$2:$G2011,7,FALSE()),"please select a BUG ID")</f>
        <v>please select a BUG ID</v>
      </c>
      <c r="D1322" s="43"/>
      <c r="F1322" s="43"/>
      <c r="H1322" s="43"/>
    </row>
    <row r="1323">
      <c r="A1323" s="43"/>
      <c r="B1323" s="59" t="str">
        <f>IFERROR(HYPERLINK(VLOOKUP(A1323,Internal_lists_bugs!$A$2:$C$73,3,FALSE()), VLOOKUP(A1323,Internal_lists_bugs!$A$2:$C$73,3,FALSE())&amp;Char(10) &amp; Char(10) &amp; VLOOKUP(A1323,Internal_lists_bugs!$A$2:$Z$73,26,FALSE())),"please select a BUG ID")</f>
        <v>please select a BUG ID</v>
      </c>
      <c r="C1323" s="51" t="str">
        <f>IFERROR(VLOOKUP(A1323,Internal_lists_bugs!$A$2:$G2011,7,FALSE()),"please select a BUG ID")</f>
        <v>please select a BUG ID</v>
      </c>
      <c r="D1323" s="43"/>
      <c r="F1323" s="43"/>
      <c r="H1323" s="43"/>
    </row>
    <row r="1324">
      <c r="A1324" s="43"/>
      <c r="B1324" s="59" t="str">
        <f>IFERROR(HYPERLINK(VLOOKUP(A1324,Internal_lists_bugs!$A$2:$C$73,3,FALSE()), VLOOKUP(A1324,Internal_lists_bugs!$A$2:$C$73,3,FALSE())&amp;Char(10) &amp; Char(10) &amp; VLOOKUP(A1324,Internal_lists_bugs!$A$2:$Z$73,26,FALSE())),"please select a BUG ID")</f>
        <v>please select a BUG ID</v>
      </c>
      <c r="C1324" s="51" t="str">
        <f>IFERROR(VLOOKUP(A1324,Internal_lists_bugs!$A$2:$G2011,7,FALSE()),"please select a BUG ID")</f>
        <v>please select a BUG ID</v>
      </c>
      <c r="D1324" s="43"/>
      <c r="F1324" s="43"/>
      <c r="H1324" s="43"/>
    </row>
    <row r="1325">
      <c r="A1325" s="43"/>
      <c r="B1325" s="59" t="str">
        <f>IFERROR(HYPERLINK(VLOOKUP(A1325,Internal_lists_bugs!$A$2:$C$73,3,FALSE()), VLOOKUP(A1325,Internal_lists_bugs!$A$2:$C$73,3,FALSE())&amp;Char(10) &amp; Char(10) &amp; VLOOKUP(A1325,Internal_lists_bugs!$A$2:$Z$73,26,FALSE())),"please select a BUG ID")</f>
        <v>please select a BUG ID</v>
      </c>
      <c r="C1325" s="51" t="str">
        <f>IFERROR(VLOOKUP(A1325,Internal_lists_bugs!$A$2:$G2011,7,FALSE()),"please select a BUG ID")</f>
        <v>please select a BUG ID</v>
      </c>
      <c r="D1325" s="43"/>
      <c r="F1325" s="43"/>
      <c r="H1325" s="43"/>
    </row>
    <row r="1326">
      <c r="A1326" s="43"/>
      <c r="B1326" s="59" t="str">
        <f>IFERROR(HYPERLINK(VLOOKUP(A1326,Internal_lists_bugs!$A$2:$C$73,3,FALSE()), VLOOKUP(A1326,Internal_lists_bugs!$A$2:$C$73,3,FALSE())&amp;Char(10) &amp; Char(10) &amp; VLOOKUP(A1326,Internal_lists_bugs!$A$2:$Z$73,26,FALSE())),"please select a BUG ID")</f>
        <v>please select a BUG ID</v>
      </c>
      <c r="C1326" s="51" t="str">
        <f>IFERROR(VLOOKUP(A1326,Internal_lists_bugs!$A$2:$G2011,7,FALSE()),"please select a BUG ID")</f>
        <v>please select a BUG ID</v>
      </c>
      <c r="D1326" s="43"/>
      <c r="F1326" s="43"/>
      <c r="H1326" s="43"/>
    </row>
    <row r="1327">
      <c r="A1327" s="43"/>
      <c r="B1327" s="59" t="str">
        <f>IFERROR(HYPERLINK(VLOOKUP(A1327,Internal_lists_bugs!$A$2:$C$73,3,FALSE()), VLOOKUP(A1327,Internal_lists_bugs!$A$2:$C$73,3,FALSE())&amp;Char(10) &amp; Char(10) &amp; VLOOKUP(A1327,Internal_lists_bugs!$A$2:$Z$73,26,FALSE())),"please select a BUG ID")</f>
        <v>please select a BUG ID</v>
      </c>
      <c r="C1327" s="51" t="str">
        <f>IFERROR(VLOOKUP(A1327,Internal_lists_bugs!$A$2:$G2011,7,FALSE()),"please select a BUG ID")</f>
        <v>please select a BUG ID</v>
      </c>
      <c r="D1327" s="43"/>
      <c r="F1327" s="43"/>
      <c r="H1327" s="43"/>
    </row>
    <row r="1328">
      <c r="A1328" s="43"/>
      <c r="B1328" s="59" t="str">
        <f>IFERROR(HYPERLINK(VLOOKUP(A1328,Internal_lists_bugs!$A$2:$C$73,3,FALSE()), VLOOKUP(A1328,Internal_lists_bugs!$A$2:$C$73,3,FALSE())&amp;Char(10) &amp; Char(10) &amp; VLOOKUP(A1328,Internal_lists_bugs!$A$2:$Z$73,26,FALSE())),"please select a BUG ID")</f>
        <v>please select a BUG ID</v>
      </c>
      <c r="C1328" s="51" t="str">
        <f>IFERROR(VLOOKUP(A1328,Internal_lists_bugs!$A$2:$G2011,7,FALSE()),"please select a BUG ID")</f>
        <v>please select a BUG ID</v>
      </c>
      <c r="D1328" s="43"/>
      <c r="F1328" s="43"/>
      <c r="H1328" s="43"/>
    </row>
    <row r="1329">
      <c r="A1329" s="43"/>
      <c r="B1329" s="59" t="str">
        <f>IFERROR(HYPERLINK(VLOOKUP(A1329,Internal_lists_bugs!$A$2:$C$73,3,FALSE()), VLOOKUP(A1329,Internal_lists_bugs!$A$2:$C$73,3,FALSE())&amp;Char(10) &amp; Char(10) &amp; VLOOKUP(A1329,Internal_lists_bugs!$A$2:$Z$73,26,FALSE())),"please select a BUG ID")</f>
        <v>please select a BUG ID</v>
      </c>
      <c r="C1329" s="51" t="str">
        <f>IFERROR(VLOOKUP(A1329,Internal_lists_bugs!$A$2:$G2011,7,FALSE()),"please select a BUG ID")</f>
        <v>please select a BUG ID</v>
      </c>
      <c r="D1329" s="43"/>
      <c r="F1329" s="43"/>
      <c r="H1329" s="43"/>
    </row>
    <row r="1330">
      <c r="A1330" s="43"/>
      <c r="B1330" s="59" t="str">
        <f>IFERROR(HYPERLINK(VLOOKUP(A1330,Internal_lists_bugs!$A$2:$C$73,3,FALSE()), VLOOKUP(A1330,Internal_lists_bugs!$A$2:$C$73,3,FALSE())&amp;Char(10) &amp; Char(10) &amp; VLOOKUP(A1330,Internal_lists_bugs!$A$2:$Z$73,26,FALSE())),"please select a BUG ID")</f>
        <v>please select a BUG ID</v>
      </c>
      <c r="C1330" s="51" t="str">
        <f>IFERROR(VLOOKUP(A1330,Internal_lists_bugs!$A$2:$G2011,7,FALSE()),"please select a BUG ID")</f>
        <v>please select a BUG ID</v>
      </c>
      <c r="D1330" s="43"/>
      <c r="F1330" s="43"/>
      <c r="H1330" s="43"/>
    </row>
    <row r="1331">
      <c r="A1331" s="43"/>
      <c r="B1331" s="59" t="str">
        <f>IFERROR(HYPERLINK(VLOOKUP(A1331,Internal_lists_bugs!$A$2:$C$73,3,FALSE()), VLOOKUP(A1331,Internal_lists_bugs!$A$2:$C$73,3,FALSE())&amp;Char(10) &amp; Char(10) &amp; VLOOKUP(A1331,Internal_lists_bugs!$A$2:$Z$73,26,FALSE())),"please select a BUG ID")</f>
        <v>please select a BUG ID</v>
      </c>
      <c r="C1331" s="51" t="str">
        <f>IFERROR(VLOOKUP(A1331,Internal_lists_bugs!$A$2:$G2011,7,FALSE()),"please select a BUG ID")</f>
        <v>please select a BUG ID</v>
      </c>
      <c r="D1331" s="43"/>
      <c r="F1331" s="43"/>
      <c r="H1331" s="43"/>
    </row>
    <row r="1332">
      <c r="A1332" s="43"/>
      <c r="B1332" s="59" t="str">
        <f>IFERROR(HYPERLINK(VLOOKUP(A1332,Internal_lists_bugs!$A$2:$C$73,3,FALSE()), VLOOKUP(A1332,Internal_lists_bugs!$A$2:$C$73,3,FALSE())&amp;Char(10) &amp; Char(10) &amp; VLOOKUP(A1332,Internal_lists_bugs!$A$2:$Z$73,26,FALSE())),"please select a BUG ID")</f>
        <v>please select a BUG ID</v>
      </c>
      <c r="C1332" s="51" t="str">
        <f>IFERROR(VLOOKUP(A1332,Internal_lists_bugs!$A$2:$G2011,7,FALSE()),"please select a BUG ID")</f>
        <v>please select a BUG ID</v>
      </c>
      <c r="D1332" s="43"/>
      <c r="F1332" s="43"/>
      <c r="H1332" s="43"/>
    </row>
    <row r="1333">
      <c r="A1333" s="43"/>
      <c r="B1333" s="59" t="str">
        <f>IFERROR(HYPERLINK(VLOOKUP(A1333,Internal_lists_bugs!$A$2:$C$73,3,FALSE()), VLOOKUP(A1333,Internal_lists_bugs!$A$2:$C$73,3,FALSE())&amp;Char(10) &amp; Char(10) &amp; VLOOKUP(A1333,Internal_lists_bugs!$A$2:$Z$73,26,FALSE())),"please select a BUG ID")</f>
        <v>please select a BUG ID</v>
      </c>
      <c r="C1333" s="51" t="str">
        <f>IFERROR(VLOOKUP(A1333,Internal_lists_bugs!$A$2:$G2011,7,FALSE()),"please select a BUG ID")</f>
        <v>please select a BUG ID</v>
      </c>
      <c r="D1333" s="43"/>
      <c r="F1333" s="43"/>
      <c r="H1333" s="43"/>
    </row>
    <row r="1334">
      <c r="A1334" s="43"/>
      <c r="B1334" s="59" t="str">
        <f>IFERROR(HYPERLINK(VLOOKUP(A1334,Internal_lists_bugs!$A$2:$C$73,3,FALSE()), VLOOKUP(A1334,Internal_lists_bugs!$A$2:$C$73,3,FALSE())&amp;Char(10) &amp; Char(10) &amp; VLOOKUP(A1334,Internal_lists_bugs!$A$2:$Z$73,26,FALSE())),"please select a BUG ID")</f>
        <v>please select a BUG ID</v>
      </c>
      <c r="C1334" s="51" t="str">
        <f>IFERROR(VLOOKUP(A1334,Internal_lists_bugs!$A$2:$G2011,7,FALSE()),"please select a BUG ID")</f>
        <v>please select a BUG ID</v>
      </c>
      <c r="D1334" s="43"/>
      <c r="F1334" s="43"/>
      <c r="H1334" s="43"/>
    </row>
    <row r="1335">
      <c r="A1335" s="43"/>
      <c r="B1335" s="59" t="str">
        <f>IFERROR(HYPERLINK(VLOOKUP(A1335,Internal_lists_bugs!$A$2:$C$73,3,FALSE()), VLOOKUP(A1335,Internal_lists_bugs!$A$2:$C$73,3,FALSE())&amp;Char(10) &amp; Char(10) &amp; VLOOKUP(A1335,Internal_lists_bugs!$A$2:$Z$73,26,FALSE())),"please select a BUG ID")</f>
        <v>please select a BUG ID</v>
      </c>
      <c r="C1335" s="51" t="str">
        <f>IFERROR(VLOOKUP(A1335,Internal_lists_bugs!$A$2:$G2011,7,FALSE()),"please select a BUG ID")</f>
        <v>please select a BUG ID</v>
      </c>
      <c r="D1335" s="43"/>
      <c r="F1335" s="43"/>
      <c r="H1335" s="43"/>
    </row>
    <row r="1336">
      <c r="A1336" s="43"/>
      <c r="B1336" s="59" t="str">
        <f>IFERROR(HYPERLINK(VLOOKUP(A1336,Internal_lists_bugs!$A$2:$C$73,3,FALSE()), VLOOKUP(A1336,Internal_lists_bugs!$A$2:$C$73,3,FALSE())&amp;Char(10) &amp; Char(10) &amp; VLOOKUP(A1336,Internal_lists_bugs!$A$2:$Z$73,26,FALSE())),"please select a BUG ID")</f>
        <v>please select a BUG ID</v>
      </c>
      <c r="C1336" s="51" t="str">
        <f>IFERROR(VLOOKUP(A1336,Internal_lists_bugs!$A$2:$G2011,7,FALSE()),"please select a BUG ID")</f>
        <v>please select a BUG ID</v>
      </c>
      <c r="D1336" s="43"/>
      <c r="F1336" s="43"/>
      <c r="H1336" s="43"/>
    </row>
    <row r="1337">
      <c r="A1337" s="43"/>
      <c r="B1337" s="59" t="str">
        <f>IFERROR(HYPERLINK(VLOOKUP(A1337,Internal_lists_bugs!$A$2:$C$73,3,FALSE()), VLOOKUP(A1337,Internal_lists_bugs!$A$2:$C$73,3,FALSE())&amp;Char(10) &amp; Char(10) &amp; VLOOKUP(A1337,Internal_lists_bugs!$A$2:$Z$73,26,FALSE())),"please select a BUG ID")</f>
        <v>please select a BUG ID</v>
      </c>
      <c r="C1337" s="51" t="str">
        <f>IFERROR(VLOOKUP(A1337,Internal_lists_bugs!$A$2:$G2011,7,FALSE()),"please select a BUG ID")</f>
        <v>please select a BUG ID</v>
      </c>
      <c r="D1337" s="43"/>
      <c r="F1337" s="43"/>
      <c r="H1337" s="43"/>
    </row>
    <row r="1338">
      <c r="A1338" s="43"/>
      <c r="B1338" s="59" t="str">
        <f>IFERROR(HYPERLINK(VLOOKUP(A1338,Internal_lists_bugs!$A$2:$C$73,3,FALSE()), VLOOKUP(A1338,Internal_lists_bugs!$A$2:$C$73,3,FALSE())&amp;Char(10) &amp; Char(10) &amp; VLOOKUP(A1338,Internal_lists_bugs!$A$2:$Z$73,26,FALSE())),"please select a BUG ID")</f>
        <v>please select a BUG ID</v>
      </c>
      <c r="C1338" s="51" t="str">
        <f>IFERROR(VLOOKUP(A1338,Internal_lists_bugs!$A$2:$G2011,7,FALSE()),"please select a BUG ID")</f>
        <v>please select a BUG ID</v>
      </c>
      <c r="D1338" s="43"/>
      <c r="F1338" s="43"/>
      <c r="H1338" s="43"/>
    </row>
    <row r="1339">
      <c r="A1339" s="43"/>
      <c r="B1339" s="59" t="str">
        <f>IFERROR(HYPERLINK(VLOOKUP(A1339,Internal_lists_bugs!$A$2:$C$73,3,FALSE()), VLOOKUP(A1339,Internal_lists_bugs!$A$2:$C$73,3,FALSE())&amp;Char(10) &amp; Char(10) &amp; VLOOKUP(A1339,Internal_lists_bugs!$A$2:$Z$73,26,FALSE())),"please select a BUG ID")</f>
        <v>please select a BUG ID</v>
      </c>
      <c r="C1339" s="51" t="str">
        <f>IFERROR(VLOOKUP(A1339,Internal_lists_bugs!$A$2:$G2011,7,FALSE()),"please select a BUG ID")</f>
        <v>please select a BUG ID</v>
      </c>
      <c r="D1339" s="43"/>
      <c r="F1339" s="43"/>
      <c r="H1339" s="43"/>
    </row>
    <row r="1340">
      <c r="A1340" s="43"/>
      <c r="B1340" s="59" t="str">
        <f>IFERROR(HYPERLINK(VLOOKUP(A1340,Internal_lists_bugs!$A$2:$C$73,3,FALSE()), VLOOKUP(A1340,Internal_lists_bugs!$A$2:$C$73,3,FALSE())&amp;Char(10) &amp; Char(10) &amp; VLOOKUP(A1340,Internal_lists_bugs!$A$2:$Z$73,26,FALSE())),"please select a BUG ID")</f>
        <v>please select a BUG ID</v>
      </c>
      <c r="C1340" s="51" t="str">
        <f>IFERROR(VLOOKUP(A1340,Internal_lists_bugs!$A$2:$G2011,7,FALSE()),"please select a BUG ID")</f>
        <v>please select a BUG ID</v>
      </c>
      <c r="D1340" s="43"/>
      <c r="F1340" s="43"/>
      <c r="H1340" s="43"/>
    </row>
    <row r="1341">
      <c r="A1341" s="43"/>
      <c r="B1341" s="59" t="str">
        <f>IFERROR(HYPERLINK(VLOOKUP(A1341,Internal_lists_bugs!$A$2:$C$73,3,FALSE()), VLOOKUP(A1341,Internal_lists_bugs!$A$2:$C$73,3,FALSE())&amp;Char(10) &amp; Char(10) &amp; VLOOKUP(A1341,Internal_lists_bugs!$A$2:$Z$73,26,FALSE())),"please select a BUG ID")</f>
        <v>please select a BUG ID</v>
      </c>
      <c r="C1341" s="51" t="str">
        <f>IFERROR(VLOOKUP(A1341,Internal_lists_bugs!$A$2:$G2011,7,FALSE()),"please select a BUG ID")</f>
        <v>please select a BUG ID</v>
      </c>
      <c r="D1341" s="43"/>
      <c r="F1341" s="43"/>
      <c r="H1341" s="43"/>
    </row>
    <row r="1342">
      <c r="A1342" s="43"/>
      <c r="B1342" s="59" t="str">
        <f>IFERROR(HYPERLINK(VLOOKUP(A1342,Internal_lists_bugs!$A$2:$C$73,3,FALSE()), VLOOKUP(A1342,Internal_lists_bugs!$A$2:$C$73,3,FALSE())&amp;Char(10) &amp; Char(10) &amp; VLOOKUP(A1342,Internal_lists_bugs!$A$2:$Z$73,26,FALSE())),"please select a BUG ID")</f>
        <v>please select a BUG ID</v>
      </c>
      <c r="C1342" s="51" t="str">
        <f>IFERROR(VLOOKUP(A1342,Internal_lists_bugs!$A$2:$G2011,7,FALSE()),"please select a BUG ID")</f>
        <v>please select a BUG ID</v>
      </c>
      <c r="D1342" s="43"/>
      <c r="F1342" s="43"/>
      <c r="H1342" s="43"/>
    </row>
    <row r="1343">
      <c r="A1343" s="43"/>
      <c r="B1343" s="59" t="str">
        <f>IFERROR(HYPERLINK(VLOOKUP(A1343,Internal_lists_bugs!$A$2:$C$73,3,FALSE()), VLOOKUP(A1343,Internal_lists_bugs!$A$2:$C$73,3,FALSE())&amp;Char(10) &amp; Char(10) &amp; VLOOKUP(A1343,Internal_lists_bugs!$A$2:$Z$73,26,FALSE())),"please select a BUG ID")</f>
        <v>please select a BUG ID</v>
      </c>
      <c r="C1343" s="51" t="str">
        <f>IFERROR(VLOOKUP(A1343,Internal_lists_bugs!$A$2:$G2011,7,FALSE()),"please select a BUG ID")</f>
        <v>please select a BUG ID</v>
      </c>
      <c r="D1343" s="43"/>
      <c r="F1343" s="43"/>
      <c r="H1343" s="43"/>
    </row>
    <row r="1344">
      <c r="A1344" s="43"/>
      <c r="B1344" s="59" t="str">
        <f>IFERROR(HYPERLINK(VLOOKUP(A1344,Internal_lists_bugs!$A$2:$C$73,3,FALSE()), VLOOKUP(A1344,Internal_lists_bugs!$A$2:$C$73,3,FALSE())&amp;Char(10) &amp; Char(10) &amp; VLOOKUP(A1344,Internal_lists_bugs!$A$2:$Z$73,26,FALSE())),"please select a BUG ID")</f>
        <v>please select a BUG ID</v>
      </c>
      <c r="C1344" s="51" t="str">
        <f>IFERROR(VLOOKUP(A1344,Internal_lists_bugs!$A$2:$G2011,7,FALSE()),"please select a BUG ID")</f>
        <v>please select a BUG ID</v>
      </c>
      <c r="D1344" s="43"/>
      <c r="F1344" s="43"/>
      <c r="H1344" s="43"/>
    </row>
    <row r="1345">
      <c r="A1345" s="43"/>
      <c r="B1345" s="59" t="str">
        <f>IFERROR(HYPERLINK(VLOOKUP(A1345,Internal_lists_bugs!$A$2:$C$73,3,FALSE()), VLOOKUP(A1345,Internal_lists_bugs!$A$2:$C$73,3,FALSE())&amp;Char(10) &amp; Char(10) &amp; VLOOKUP(A1345,Internal_lists_bugs!$A$2:$Z$73,26,FALSE())),"please select a BUG ID")</f>
        <v>please select a BUG ID</v>
      </c>
      <c r="C1345" s="51" t="str">
        <f>IFERROR(VLOOKUP(A1345,Internal_lists_bugs!$A$2:$G2011,7,FALSE()),"please select a BUG ID")</f>
        <v>please select a BUG ID</v>
      </c>
      <c r="D1345" s="43"/>
      <c r="F1345" s="43"/>
      <c r="H1345" s="43"/>
    </row>
    <row r="1346">
      <c r="A1346" s="43"/>
      <c r="B1346" s="59" t="str">
        <f>IFERROR(HYPERLINK(VLOOKUP(A1346,Internal_lists_bugs!$A$2:$C$73,3,FALSE()), VLOOKUP(A1346,Internal_lists_bugs!$A$2:$C$73,3,FALSE())&amp;Char(10) &amp; Char(10) &amp; VLOOKUP(A1346,Internal_lists_bugs!$A$2:$Z$73,26,FALSE())),"please select a BUG ID")</f>
        <v>please select a BUG ID</v>
      </c>
      <c r="C1346" s="51" t="str">
        <f>IFERROR(VLOOKUP(A1346,Internal_lists_bugs!$A$2:$G2011,7,FALSE()),"please select a BUG ID")</f>
        <v>please select a BUG ID</v>
      </c>
      <c r="D1346" s="43"/>
      <c r="F1346" s="43"/>
      <c r="H1346" s="43"/>
    </row>
    <row r="1347">
      <c r="A1347" s="43"/>
      <c r="B1347" s="59" t="str">
        <f>IFERROR(HYPERLINK(VLOOKUP(A1347,Internal_lists_bugs!$A$2:$C$73,3,FALSE()), VLOOKUP(A1347,Internal_lists_bugs!$A$2:$C$73,3,FALSE())&amp;Char(10) &amp; Char(10) &amp; VLOOKUP(A1347,Internal_lists_bugs!$A$2:$Z$73,26,FALSE())),"please select a BUG ID")</f>
        <v>please select a BUG ID</v>
      </c>
      <c r="C1347" s="51" t="str">
        <f>IFERROR(VLOOKUP(A1347,Internal_lists_bugs!$A$2:$G2011,7,FALSE()),"please select a BUG ID")</f>
        <v>please select a BUG ID</v>
      </c>
      <c r="D1347" s="43"/>
      <c r="F1347" s="43"/>
      <c r="H1347" s="43"/>
    </row>
    <row r="1348">
      <c r="A1348" s="43"/>
      <c r="B1348" s="59" t="str">
        <f>IFERROR(HYPERLINK(VLOOKUP(A1348,Internal_lists_bugs!$A$2:$C$73,3,FALSE()), VLOOKUP(A1348,Internal_lists_bugs!$A$2:$C$73,3,FALSE())&amp;Char(10) &amp; Char(10) &amp; VLOOKUP(A1348,Internal_lists_bugs!$A$2:$Z$73,26,FALSE())),"please select a BUG ID")</f>
        <v>please select a BUG ID</v>
      </c>
      <c r="C1348" s="51" t="str">
        <f>IFERROR(VLOOKUP(A1348,Internal_lists_bugs!$A$2:$G2011,7,FALSE()),"please select a BUG ID")</f>
        <v>please select a BUG ID</v>
      </c>
      <c r="D1348" s="43"/>
      <c r="F1348" s="43"/>
      <c r="H1348" s="43"/>
    </row>
    <row r="1349">
      <c r="A1349" s="43"/>
      <c r="B1349" s="59" t="str">
        <f>IFERROR(HYPERLINK(VLOOKUP(A1349,Internal_lists_bugs!$A$2:$C$73,3,FALSE()), VLOOKUP(A1349,Internal_lists_bugs!$A$2:$C$73,3,FALSE())&amp;Char(10) &amp; Char(10) &amp; VLOOKUP(A1349,Internal_lists_bugs!$A$2:$Z$73,26,FALSE())),"please select a BUG ID")</f>
        <v>please select a BUG ID</v>
      </c>
      <c r="C1349" s="51" t="str">
        <f>IFERROR(VLOOKUP(A1349,Internal_lists_bugs!$A$2:$G2011,7,FALSE()),"please select a BUG ID")</f>
        <v>please select a BUG ID</v>
      </c>
      <c r="D1349" s="43"/>
      <c r="F1349" s="43"/>
      <c r="H1349" s="43"/>
    </row>
    <row r="1350">
      <c r="A1350" s="43"/>
      <c r="B1350" s="59" t="str">
        <f>IFERROR(HYPERLINK(VLOOKUP(A1350,Internal_lists_bugs!$A$2:$C$73,3,FALSE()), VLOOKUP(A1350,Internal_lists_bugs!$A$2:$C$73,3,FALSE())&amp;Char(10) &amp; Char(10) &amp; VLOOKUP(A1350,Internal_lists_bugs!$A$2:$Z$73,26,FALSE())),"please select a BUG ID")</f>
        <v>please select a BUG ID</v>
      </c>
      <c r="C1350" s="51" t="str">
        <f>IFERROR(VLOOKUP(A1350,Internal_lists_bugs!$A$2:$G2011,7,FALSE()),"please select a BUG ID")</f>
        <v>please select a BUG ID</v>
      </c>
      <c r="D1350" s="43"/>
      <c r="F1350" s="43"/>
      <c r="H1350" s="43"/>
    </row>
    <row r="1351">
      <c r="A1351" s="43"/>
      <c r="B1351" s="59" t="str">
        <f>IFERROR(HYPERLINK(VLOOKUP(A1351,Internal_lists_bugs!$A$2:$C$73,3,FALSE()), VLOOKUP(A1351,Internal_lists_bugs!$A$2:$C$73,3,FALSE())&amp;Char(10) &amp; Char(10) &amp; VLOOKUP(A1351,Internal_lists_bugs!$A$2:$Z$73,26,FALSE())),"please select a BUG ID")</f>
        <v>please select a BUG ID</v>
      </c>
      <c r="C1351" s="51" t="str">
        <f>IFERROR(VLOOKUP(A1351,Internal_lists_bugs!$A$2:$G2011,7,FALSE()),"please select a BUG ID")</f>
        <v>please select a BUG ID</v>
      </c>
      <c r="D1351" s="43"/>
      <c r="F1351" s="43"/>
      <c r="H1351" s="43"/>
    </row>
    <row r="1352">
      <c r="A1352" s="43"/>
      <c r="B1352" s="59" t="str">
        <f>IFERROR(HYPERLINK(VLOOKUP(A1352,Internal_lists_bugs!$A$2:$C$73,3,FALSE()), VLOOKUP(A1352,Internal_lists_bugs!$A$2:$C$73,3,FALSE())&amp;Char(10) &amp; Char(10) &amp; VLOOKUP(A1352,Internal_lists_bugs!$A$2:$Z$73,26,FALSE())),"please select a BUG ID")</f>
        <v>please select a BUG ID</v>
      </c>
      <c r="C1352" s="51" t="str">
        <f>IFERROR(VLOOKUP(A1352,Internal_lists_bugs!$A$2:$G2011,7,FALSE()),"please select a BUG ID")</f>
        <v>please select a BUG ID</v>
      </c>
      <c r="D1352" s="43"/>
      <c r="F1352" s="43"/>
      <c r="H1352" s="43"/>
    </row>
    <row r="1353">
      <c r="A1353" s="43"/>
      <c r="B1353" s="59" t="str">
        <f>IFERROR(HYPERLINK(VLOOKUP(A1353,Internal_lists_bugs!$A$2:$C$73,3,FALSE()), VLOOKUP(A1353,Internal_lists_bugs!$A$2:$C$73,3,FALSE())&amp;Char(10) &amp; Char(10) &amp; VLOOKUP(A1353,Internal_lists_bugs!$A$2:$Z$73,26,FALSE())),"please select a BUG ID")</f>
        <v>please select a BUG ID</v>
      </c>
      <c r="C1353" s="51" t="str">
        <f>IFERROR(VLOOKUP(A1353,Internal_lists_bugs!$A$2:$G2011,7,FALSE()),"please select a BUG ID")</f>
        <v>please select a BUG ID</v>
      </c>
      <c r="D1353" s="43"/>
      <c r="F1353" s="43"/>
      <c r="H1353" s="43"/>
    </row>
    <row r="1354">
      <c r="A1354" s="43"/>
      <c r="B1354" s="59" t="str">
        <f>IFERROR(HYPERLINK(VLOOKUP(A1354,Internal_lists_bugs!$A$2:$C$73,3,FALSE()), VLOOKUP(A1354,Internal_lists_bugs!$A$2:$C$73,3,FALSE())&amp;Char(10) &amp; Char(10) &amp; VLOOKUP(A1354,Internal_lists_bugs!$A$2:$Z$73,26,FALSE())),"please select a BUG ID")</f>
        <v>please select a BUG ID</v>
      </c>
      <c r="C1354" s="51" t="str">
        <f>IFERROR(VLOOKUP(A1354,Internal_lists_bugs!$A$2:$G2011,7,FALSE()),"please select a BUG ID")</f>
        <v>please select a BUG ID</v>
      </c>
      <c r="D1354" s="43"/>
      <c r="F1354" s="43"/>
      <c r="H1354" s="43"/>
    </row>
    <row r="1355">
      <c r="A1355" s="43"/>
      <c r="B1355" s="59" t="str">
        <f>IFERROR(HYPERLINK(VLOOKUP(A1355,Internal_lists_bugs!$A$2:$C$73,3,FALSE()), VLOOKUP(A1355,Internal_lists_bugs!$A$2:$C$73,3,FALSE())&amp;Char(10) &amp; Char(10) &amp; VLOOKUP(A1355,Internal_lists_bugs!$A$2:$Z$73,26,FALSE())),"please select a BUG ID")</f>
        <v>please select a BUG ID</v>
      </c>
      <c r="C1355" s="51" t="str">
        <f>IFERROR(VLOOKUP(A1355,Internal_lists_bugs!$A$2:$G2011,7,FALSE()),"please select a BUG ID")</f>
        <v>please select a BUG ID</v>
      </c>
      <c r="D1355" s="43"/>
      <c r="F1355" s="43"/>
      <c r="H1355" s="43"/>
    </row>
    <row r="1356">
      <c r="A1356" s="43"/>
      <c r="B1356" s="59" t="str">
        <f>IFERROR(HYPERLINK(VLOOKUP(A1356,Internal_lists_bugs!$A$2:$C$73,3,FALSE()), VLOOKUP(A1356,Internal_lists_bugs!$A$2:$C$73,3,FALSE())&amp;Char(10) &amp; Char(10) &amp; VLOOKUP(A1356,Internal_lists_bugs!$A$2:$Z$73,26,FALSE())),"please select a BUG ID")</f>
        <v>please select a BUG ID</v>
      </c>
      <c r="C1356" s="51" t="str">
        <f>IFERROR(VLOOKUP(A1356,Internal_lists_bugs!$A$2:$G2011,7,FALSE()),"please select a BUG ID")</f>
        <v>please select a BUG ID</v>
      </c>
      <c r="D1356" s="43"/>
      <c r="F1356" s="43"/>
      <c r="H1356" s="43"/>
    </row>
    <row r="1357">
      <c r="A1357" s="43"/>
      <c r="B1357" s="59" t="str">
        <f>IFERROR(HYPERLINK(VLOOKUP(A1357,Internal_lists_bugs!$A$2:$C$73,3,FALSE()), VLOOKUP(A1357,Internal_lists_bugs!$A$2:$C$73,3,FALSE())&amp;Char(10) &amp; Char(10) &amp; VLOOKUP(A1357,Internal_lists_bugs!$A$2:$Z$73,26,FALSE())),"please select a BUG ID")</f>
        <v>please select a BUG ID</v>
      </c>
      <c r="C1357" s="51" t="str">
        <f>IFERROR(VLOOKUP(A1357,Internal_lists_bugs!$A$2:$G2011,7,FALSE()),"please select a BUG ID")</f>
        <v>please select a BUG ID</v>
      </c>
      <c r="D1357" s="43"/>
      <c r="F1357" s="43"/>
      <c r="H1357" s="43"/>
    </row>
    <row r="1358">
      <c r="A1358" s="43"/>
      <c r="B1358" s="59" t="str">
        <f>IFERROR(HYPERLINK(VLOOKUP(A1358,Internal_lists_bugs!$A$2:$C$73,3,FALSE()), VLOOKUP(A1358,Internal_lists_bugs!$A$2:$C$73,3,FALSE())&amp;Char(10) &amp; Char(10) &amp; VLOOKUP(A1358,Internal_lists_bugs!$A$2:$Z$73,26,FALSE())),"please select a BUG ID")</f>
        <v>please select a BUG ID</v>
      </c>
      <c r="C1358" s="51" t="str">
        <f>IFERROR(VLOOKUP(A1358,Internal_lists_bugs!$A$2:$G2011,7,FALSE()),"please select a BUG ID")</f>
        <v>please select a BUG ID</v>
      </c>
      <c r="D1358" s="43"/>
      <c r="F1358" s="43"/>
      <c r="H1358" s="43"/>
    </row>
    <row r="1359">
      <c r="A1359" s="43"/>
      <c r="B1359" s="59" t="str">
        <f>IFERROR(HYPERLINK(VLOOKUP(A1359,Internal_lists_bugs!$A$2:$C$73,3,FALSE()), VLOOKUP(A1359,Internal_lists_bugs!$A$2:$C$73,3,FALSE())&amp;Char(10) &amp; Char(10) &amp; VLOOKUP(A1359,Internal_lists_bugs!$A$2:$Z$73,26,FALSE())),"please select a BUG ID")</f>
        <v>please select a BUG ID</v>
      </c>
      <c r="C1359" s="51" t="str">
        <f>IFERROR(VLOOKUP(A1359,Internal_lists_bugs!$A$2:$G2011,7,FALSE()),"please select a BUG ID")</f>
        <v>please select a BUG ID</v>
      </c>
      <c r="D1359" s="43"/>
      <c r="F1359" s="43"/>
      <c r="H1359" s="43"/>
    </row>
    <row r="1360">
      <c r="A1360" s="43"/>
      <c r="B1360" s="59" t="str">
        <f>IFERROR(HYPERLINK(VLOOKUP(A1360,Internal_lists_bugs!$A$2:$C$73,3,FALSE()), VLOOKUP(A1360,Internal_lists_bugs!$A$2:$C$73,3,FALSE())&amp;Char(10) &amp; Char(10) &amp; VLOOKUP(A1360,Internal_lists_bugs!$A$2:$Z$73,26,FALSE())),"please select a BUG ID")</f>
        <v>please select a BUG ID</v>
      </c>
      <c r="C1360" s="51" t="str">
        <f>IFERROR(VLOOKUP(A1360,Internal_lists_bugs!$A$2:$G2011,7,FALSE()),"please select a BUG ID")</f>
        <v>please select a BUG ID</v>
      </c>
      <c r="D1360" s="43"/>
      <c r="F1360" s="43"/>
      <c r="H1360" s="43"/>
    </row>
    <row r="1361">
      <c r="A1361" s="43"/>
      <c r="B1361" s="59" t="str">
        <f>IFERROR(HYPERLINK(VLOOKUP(A1361,Internal_lists_bugs!$A$2:$C$73,3,FALSE()), VLOOKUP(A1361,Internal_lists_bugs!$A$2:$C$73,3,FALSE())&amp;Char(10) &amp; Char(10) &amp; VLOOKUP(A1361,Internal_lists_bugs!$A$2:$Z$73,26,FALSE())),"please select a BUG ID")</f>
        <v>please select a BUG ID</v>
      </c>
      <c r="C1361" s="51" t="str">
        <f>IFERROR(VLOOKUP(A1361,Internal_lists_bugs!$A$2:$G2011,7,FALSE()),"please select a BUG ID")</f>
        <v>please select a BUG ID</v>
      </c>
      <c r="D1361" s="43"/>
      <c r="F1361" s="43"/>
      <c r="H1361" s="43"/>
    </row>
    <row r="1362">
      <c r="A1362" s="43"/>
      <c r="B1362" s="59" t="str">
        <f>IFERROR(HYPERLINK(VLOOKUP(A1362,Internal_lists_bugs!$A$2:$C$73,3,FALSE()), VLOOKUP(A1362,Internal_lists_bugs!$A$2:$C$73,3,FALSE())&amp;Char(10) &amp; Char(10) &amp; VLOOKUP(A1362,Internal_lists_bugs!$A$2:$Z$73,26,FALSE())),"please select a BUG ID")</f>
        <v>please select a BUG ID</v>
      </c>
      <c r="C1362" s="51" t="str">
        <f>IFERROR(VLOOKUP(A1362,Internal_lists_bugs!$A$2:$G2011,7,FALSE()),"please select a BUG ID")</f>
        <v>please select a BUG ID</v>
      </c>
      <c r="D1362" s="43"/>
      <c r="F1362" s="43"/>
      <c r="H1362" s="43"/>
    </row>
    <row r="1363">
      <c r="A1363" s="43"/>
      <c r="B1363" s="59" t="str">
        <f>IFERROR(HYPERLINK(VLOOKUP(A1363,Internal_lists_bugs!$A$2:$C$73,3,FALSE()), VLOOKUP(A1363,Internal_lists_bugs!$A$2:$C$73,3,FALSE())&amp;Char(10) &amp; Char(10) &amp; VLOOKUP(A1363,Internal_lists_bugs!$A$2:$Z$73,26,FALSE())),"please select a BUG ID")</f>
        <v>please select a BUG ID</v>
      </c>
      <c r="C1363" s="51" t="str">
        <f>IFERROR(VLOOKUP(A1363,Internal_lists_bugs!$A$2:$G2011,7,FALSE()),"please select a BUG ID")</f>
        <v>please select a BUG ID</v>
      </c>
      <c r="D1363" s="43"/>
      <c r="F1363" s="43"/>
      <c r="H1363" s="43"/>
    </row>
    <row r="1364">
      <c r="A1364" s="43"/>
      <c r="B1364" s="59" t="str">
        <f>IFERROR(HYPERLINK(VLOOKUP(A1364,Internal_lists_bugs!$A$2:$C$73,3,FALSE()), VLOOKUP(A1364,Internal_lists_bugs!$A$2:$C$73,3,FALSE())&amp;Char(10) &amp; Char(10) &amp; VLOOKUP(A1364,Internal_lists_bugs!$A$2:$Z$73,26,FALSE())),"please select a BUG ID")</f>
        <v>please select a BUG ID</v>
      </c>
      <c r="C1364" s="51" t="str">
        <f>IFERROR(VLOOKUP(A1364,Internal_lists_bugs!$A$2:$G2011,7,FALSE()),"please select a BUG ID")</f>
        <v>please select a BUG ID</v>
      </c>
      <c r="D1364" s="43"/>
      <c r="F1364" s="43"/>
      <c r="H1364" s="43"/>
    </row>
    <row r="1365">
      <c r="A1365" s="43"/>
      <c r="B1365" s="59" t="str">
        <f>IFERROR(HYPERLINK(VLOOKUP(A1365,Internal_lists_bugs!$A$2:$C$73,3,FALSE()), VLOOKUP(A1365,Internal_lists_bugs!$A$2:$C$73,3,FALSE())&amp;Char(10) &amp; Char(10) &amp; VLOOKUP(A1365,Internal_lists_bugs!$A$2:$Z$73,26,FALSE())),"please select a BUG ID")</f>
        <v>please select a BUG ID</v>
      </c>
      <c r="C1365" s="51" t="str">
        <f>IFERROR(VLOOKUP(A1365,Internal_lists_bugs!$A$2:$G2011,7,FALSE()),"please select a BUG ID")</f>
        <v>please select a BUG ID</v>
      </c>
      <c r="D1365" s="43"/>
      <c r="F1365" s="43"/>
      <c r="H1365" s="43"/>
    </row>
    <row r="1366">
      <c r="A1366" s="43"/>
      <c r="B1366" s="59" t="str">
        <f>IFERROR(HYPERLINK(VLOOKUP(A1366,Internal_lists_bugs!$A$2:$C$73,3,FALSE()), VLOOKUP(A1366,Internal_lists_bugs!$A$2:$C$73,3,FALSE())&amp;Char(10) &amp; Char(10) &amp; VLOOKUP(A1366,Internal_lists_bugs!$A$2:$Z$73,26,FALSE())),"please select a BUG ID")</f>
        <v>please select a BUG ID</v>
      </c>
      <c r="C1366" s="51" t="str">
        <f>IFERROR(VLOOKUP(A1366,Internal_lists_bugs!$A$2:$G2011,7,FALSE()),"please select a BUG ID")</f>
        <v>please select a BUG ID</v>
      </c>
      <c r="D1366" s="43"/>
      <c r="F1366" s="43"/>
      <c r="H1366" s="43"/>
    </row>
    <row r="1367">
      <c r="A1367" s="43"/>
      <c r="B1367" s="59" t="str">
        <f>IFERROR(HYPERLINK(VLOOKUP(A1367,Internal_lists_bugs!$A$2:$C$73,3,FALSE()), VLOOKUP(A1367,Internal_lists_bugs!$A$2:$C$73,3,FALSE())&amp;Char(10) &amp; Char(10) &amp; VLOOKUP(A1367,Internal_lists_bugs!$A$2:$Z$73,26,FALSE())),"please select a BUG ID")</f>
        <v>please select a BUG ID</v>
      </c>
      <c r="C1367" s="51" t="str">
        <f>IFERROR(VLOOKUP(A1367,Internal_lists_bugs!$A$2:$G2011,7,FALSE()),"please select a BUG ID")</f>
        <v>please select a BUG ID</v>
      </c>
      <c r="D1367" s="43"/>
      <c r="F1367" s="43"/>
      <c r="H1367" s="43"/>
    </row>
    <row r="1368">
      <c r="A1368" s="43"/>
      <c r="B1368" s="59" t="str">
        <f>IFERROR(HYPERLINK(VLOOKUP(A1368,Internal_lists_bugs!$A$2:$C$73,3,FALSE()), VLOOKUP(A1368,Internal_lists_bugs!$A$2:$C$73,3,FALSE())&amp;Char(10) &amp; Char(10) &amp; VLOOKUP(A1368,Internal_lists_bugs!$A$2:$Z$73,26,FALSE())),"please select a BUG ID")</f>
        <v>please select a BUG ID</v>
      </c>
      <c r="C1368" s="51" t="str">
        <f>IFERROR(VLOOKUP(A1368,Internal_lists_bugs!$A$2:$G2011,7,FALSE()),"please select a BUG ID")</f>
        <v>please select a BUG ID</v>
      </c>
      <c r="D1368" s="43"/>
      <c r="F1368" s="43"/>
      <c r="H1368" s="43"/>
    </row>
    <row r="1369">
      <c r="A1369" s="43"/>
      <c r="B1369" s="59" t="str">
        <f>IFERROR(HYPERLINK(VLOOKUP(A1369,Internal_lists_bugs!$A$2:$C$73,3,FALSE()), VLOOKUP(A1369,Internal_lists_bugs!$A$2:$C$73,3,FALSE())&amp;Char(10) &amp; Char(10) &amp; VLOOKUP(A1369,Internal_lists_bugs!$A$2:$Z$73,26,FALSE())),"please select a BUG ID")</f>
        <v>please select a BUG ID</v>
      </c>
      <c r="C1369" s="51" t="str">
        <f>IFERROR(VLOOKUP(A1369,Internal_lists_bugs!$A$2:$G2011,7,FALSE()),"please select a BUG ID")</f>
        <v>please select a BUG ID</v>
      </c>
      <c r="D1369" s="43"/>
      <c r="F1369" s="43"/>
      <c r="H1369" s="43"/>
    </row>
    <row r="1370">
      <c r="A1370" s="43"/>
      <c r="B1370" s="59" t="str">
        <f>IFERROR(HYPERLINK(VLOOKUP(A1370,Internal_lists_bugs!$A$2:$C$73,3,FALSE()), VLOOKUP(A1370,Internal_lists_bugs!$A$2:$C$73,3,FALSE())&amp;Char(10) &amp; Char(10) &amp; VLOOKUP(A1370,Internal_lists_bugs!$A$2:$Z$73,26,FALSE())),"please select a BUG ID")</f>
        <v>please select a BUG ID</v>
      </c>
      <c r="C1370" s="51" t="str">
        <f>IFERROR(VLOOKUP(A1370,Internal_lists_bugs!$A$2:$G2011,7,FALSE()),"please select a BUG ID")</f>
        <v>please select a BUG ID</v>
      </c>
      <c r="D1370" s="43"/>
      <c r="F1370" s="43"/>
      <c r="H1370" s="43"/>
    </row>
    <row r="1371">
      <c r="A1371" s="43"/>
      <c r="B1371" s="59" t="str">
        <f>IFERROR(HYPERLINK(VLOOKUP(A1371,Internal_lists_bugs!$A$2:$C$73,3,FALSE()), VLOOKUP(A1371,Internal_lists_bugs!$A$2:$C$73,3,FALSE())&amp;Char(10) &amp; Char(10) &amp; VLOOKUP(A1371,Internal_lists_bugs!$A$2:$Z$73,26,FALSE())),"please select a BUG ID")</f>
        <v>please select a BUG ID</v>
      </c>
      <c r="C1371" s="51" t="str">
        <f>IFERROR(VLOOKUP(A1371,Internal_lists_bugs!$A$2:$G2011,7,FALSE()),"please select a BUG ID")</f>
        <v>please select a BUG ID</v>
      </c>
      <c r="D1371" s="43"/>
      <c r="F1371" s="43"/>
      <c r="H1371" s="43"/>
    </row>
    <row r="1372">
      <c r="A1372" s="43"/>
      <c r="B1372" s="59" t="str">
        <f>IFERROR(HYPERLINK(VLOOKUP(A1372,Internal_lists_bugs!$A$2:$C$73,3,FALSE()), VLOOKUP(A1372,Internal_lists_bugs!$A$2:$C$73,3,FALSE())&amp;Char(10) &amp; Char(10) &amp; VLOOKUP(A1372,Internal_lists_bugs!$A$2:$Z$73,26,FALSE())),"please select a BUG ID")</f>
        <v>please select a BUG ID</v>
      </c>
      <c r="C1372" s="51" t="str">
        <f>IFERROR(VLOOKUP(A1372,Internal_lists_bugs!$A$2:$G2011,7,FALSE()),"please select a BUG ID")</f>
        <v>please select a BUG ID</v>
      </c>
      <c r="D1372" s="43"/>
      <c r="F1372" s="43"/>
      <c r="H1372" s="43"/>
    </row>
    <row r="1373">
      <c r="A1373" s="43"/>
      <c r="B1373" s="59" t="str">
        <f>IFERROR(HYPERLINK(VLOOKUP(A1373,Internal_lists_bugs!$A$2:$C$73,3,FALSE()), VLOOKUP(A1373,Internal_lists_bugs!$A$2:$C$73,3,FALSE())&amp;Char(10) &amp; Char(10) &amp; VLOOKUP(A1373,Internal_lists_bugs!$A$2:$Z$73,26,FALSE())),"please select a BUG ID")</f>
        <v>please select a BUG ID</v>
      </c>
      <c r="C1373" s="51" t="str">
        <f>IFERROR(VLOOKUP(A1373,Internal_lists_bugs!$A$2:$G2011,7,FALSE()),"please select a BUG ID")</f>
        <v>please select a BUG ID</v>
      </c>
      <c r="D1373" s="43"/>
      <c r="F1373" s="43"/>
      <c r="H1373" s="43"/>
    </row>
    <row r="1374">
      <c r="A1374" s="43"/>
      <c r="B1374" s="59" t="str">
        <f>IFERROR(HYPERLINK(VLOOKUP(A1374,Internal_lists_bugs!$A$2:$C$73,3,FALSE()), VLOOKUP(A1374,Internal_lists_bugs!$A$2:$C$73,3,FALSE())&amp;Char(10) &amp; Char(10) &amp; VLOOKUP(A1374,Internal_lists_bugs!$A$2:$Z$73,26,FALSE())),"please select a BUG ID")</f>
        <v>please select a BUG ID</v>
      </c>
      <c r="C1374" s="51" t="str">
        <f>IFERROR(VLOOKUP(A1374,Internal_lists_bugs!$A$2:$G2011,7,FALSE()),"please select a BUG ID")</f>
        <v>please select a BUG ID</v>
      </c>
      <c r="D1374" s="43"/>
      <c r="F1374" s="43"/>
      <c r="H1374" s="43"/>
    </row>
    <row r="1375">
      <c r="A1375" s="43"/>
      <c r="B1375" s="59" t="str">
        <f>IFERROR(HYPERLINK(VLOOKUP(A1375,Internal_lists_bugs!$A$2:$C$73,3,FALSE()), VLOOKUP(A1375,Internal_lists_bugs!$A$2:$C$73,3,FALSE())&amp;Char(10) &amp; Char(10) &amp; VLOOKUP(A1375,Internal_lists_bugs!$A$2:$Z$73,26,FALSE())),"please select a BUG ID")</f>
        <v>please select a BUG ID</v>
      </c>
      <c r="C1375" s="51" t="str">
        <f>IFERROR(VLOOKUP(A1375,Internal_lists_bugs!$A$2:$G2011,7,FALSE()),"please select a BUG ID")</f>
        <v>please select a BUG ID</v>
      </c>
      <c r="D1375" s="43"/>
      <c r="F1375" s="43"/>
      <c r="H1375" s="43"/>
    </row>
    <row r="1376">
      <c r="A1376" s="43"/>
      <c r="B1376" s="59" t="str">
        <f>IFERROR(HYPERLINK(VLOOKUP(A1376,Internal_lists_bugs!$A$2:$C$73,3,FALSE()), VLOOKUP(A1376,Internal_lists_bugs!$A$2:$C$73,3,FALSE())&amp;Char(10) &amp; Char(10) &amp; VLOOKUP(A1376,Internal_lists_bugs!$A$2:$Z$73,26,FALSE())),"please select a BUG ID")</f>
        <v>please select a BUG ID</v>
      </c>
      <c r="C1376" s="51" t="str">
        <f>IFERROR(VLOOKUP(A1376,Internal_lists_bugs!$A$2:$G2011,7,FALSE()),"please select a BUG ID")</f>
        <v>please select a BUG ID</v>
      </c>
      <c r="D1376" s="43"/>
      <c r="F1376" s="43"/>
      <c r="H1376" s="43"/>
    </row>
    <row r="1377">
      <c r="A1377" s="43"/>
      <c r="B1377" s="59" t="str">
        <f>IFERROR(HYPERLINK(VLOOKUP(A1377,Internal_lists_bugs!$A$2:$C$73,3,FALSE()), VLOOKUP(A1377,Internal_lists_bugs!$A$2:$C$73,3,FALSE())&amp;Char(10) &amp; Char(10) &amp; VLOOKUP(A1377,Internal_lists_bugs!$A$2:$Z$73,26,FALSE())),"please select a BUG ID")</f>
        <v>please select a BUG ID</v>
      </c>
      <c r="C1377" s="51" t="str">
        <f>IFERROR(VLOOKUP(A1377,Internal_lists_bugs!$A$2:$G2011,7,FALSE()),"please select a BUG ID")</f>
        <v>please select a BUG ID</v>
      </c>
      <c r="D1377" s="43"/>
      <c r="F1377" s="43"/>
      <c r="H1377" s="43"/>
    </row>
    <row r="1378">
      <c r="A1378" s="43"/>
      <c r="B1378" s="59" t="str">
        <f>IFERROR(HYPERLINK(VLOOKUP(A1378,Internal_lists_bugs!$A$2:$C$73,3,FALSE()), VLOOKUP(A1378,Internal_lists_bugs!$A$2:$C$73,3,FALSE())&amp;Char(10) &amp; Char(10) &amp; VLOOKUP(A1378,Internal_lists_bugs!$A$2:$Z$73,26,FALSE())),"please select a BUG ID")</f>
        <v>please select a BUG ID</v>
      </c>
      <c r="C1378" s="51" t="str">
        <f>IFERROR(VLOOKUP(A1378,Internal_lists_bugs!$A$2:$G2011,7,FALSE()),"please select a BUG ID")</f>
        <v>please select a BUG ID</v>
      </c>
      <c r="D1378" s="43"/>
      <c r="F1378" s="43"/>
      <c r="H1378" s="43"/>
    </row>
    <row r="1379">
      <c r="A1379" s="43"/>
      <c r="B1379" s="59" t="str">
        <f>IFERROR(HYPERLINK(VLOOKUP(A1379,Internal_lists_bugs!$A$2:$C$73,3,FALSE()), VLOOKUP(A1379,Internal_lists_bugs!$A$2:$C$73,3,FALSE())&amp;Char(10) &amp; Char(10) &amp; VLOOKUP(A1379,Internal_lists_bugs!$A$2:$Z$73,26,FALSE())),"please select a BUG ID")</f>
        <v>please select a BUG ID</v>
      </c>
      <c r="C1379" s="51" t="str">
        <f>IFERROR(VLOOKUP(A1379,Internal_lists_bugs!$A$2:$G2011,7,FALSE()),"please select a BUG ID")</f>
        <v>please select a BUG ID</v>
      </c>
      <c r="D1379" s="43"/>
      <c r="F1379" s="43"/>
      <c r="H1379" s="43"/>
    </row>
    <row r="1380">
      <c r="A1380" s="43"/>
      <c r="B1380" s="59" t="str">
        <f>IFERROR(HYPERLINK(VLOOKUP(A1380,Internal_lists_bugs!$A$2:$C$73,3,FALSE()), VLOOKUP(A1380,Internal_lists_bugs!$A$2:$C$73,3,FALSE())&amp;Char(10) &amp; Char(10) &amp; VLOOKUP(A1380,Internal_lists_bugs!$A$2:$Z$73,26,FALSE())),"please select a BUG ID")</f>
        <v>please select a BUG ID</v>
      </c>
      <c r="C1380" s="51" t="str">
        <f>IFERROR(VLOOKUP(A1380,Internal_lists_bugs!$A$2:$G2011,7,FALSE()),"please select a BUG ID")</f>
        <v>please select a BUG ID</v>
      </c>
      <c r="D1380" s="43"/>
      <c r="F1380" s="43"/>
      <c r="H1380" s="43"/>
    </row>
    <row r="1381">
      <c r="A1381" s="43"/>
      <c r="B1381" s="59" t="str">
        <f>IFERROR(HYPERLINK(VLOOKUP(A1381,Internal_lists_bugs!$A$2:$C$73,3,FALSE()), VLOOKUP(A1381,Internal_lists_bugs!$A$2:$C$73,3,FALSE())&amp;Char(10) &amp; Char(10) &amp; VLOOKUP(A1381,Internal_lists_bugs!$A$2:$Z$73,26,FALSE())),"please select a BUG ID")</f>
        <v>please select a BUG ID</v>
      </c>
      <c r="C1381" s="51" t="str">
        <f>IFERROR(VLOOKUP(A1381,Internal_lists_bugs!$A$2:$G2011,7,FALSE()),"please select a BUG ID")</f>
        <v>please select a BUG ID</v>
      </c>
      <c r="D1381" s="43"/>
      <c r="F1381" s="43"/>
      <c r="H1381" s="43"/>
    </row>
    <row r="1382">
      <c r="A1382" s="43"/>
      <c r="B1382" s="59" t="str">
        <f>IFERROR(HYPERLINK(VLOOKUP(A1382,Internal_lists_bugs!$A$2:$C$73,3,FALSE()), VLOOKUP(A1382,Internal_lists_bugs!$A$2:$C$73,3,FALSE())&amp;Char(10) &amp; Char(10) &amp; VLOOKUP(A1382,Internal_lists_bugs!$A$2:$Z$73,26,FALSE())),"please select a BUG ID")</f>
        <v>please select a BUG ID</v>
      </c>
      <c r="C1382" s="51" t="str">
        <f>IFERROR(VLOOKUP(A1382,Internal_lists_bugs!$A$2:$G2011,7,FALSE()),"please select a BUG ID")</f>
        <v>please select a BUG ID</v>
      </c>
      <c r="D1382" s="43"/>
      <c r="F1382" s="43"/>
      <c r="H1382" s="43"/>
    </row>
    <row r="1383">
      <c r="A1383" s="43"/>
      <c r="B1383" s="59" t="str">
        <f>IFERROR(HYPERLINK(VLOOKUP(A1383,Internal_lists_bugs!$A$2:$C$73,3,FALSE()), VLOOKUP(A1383,Internal_lists_bugs!$A$2:$C$73,3,FALSE())&amp;Char(10) &amp; Char(10) &amp; VLOOKUP(A1383,Internal_lists_bugs!$A$2:$Z$73,26,FALSE())),"please select a BUG ID")</f>
        <v>please select a BUG ID</v>
      </c>
      <c r="C1383" s="51" t="str">
        <f>IFERROR(VLOOKUP(A1383,Internal_lists_bugs!$A$2:$G2011,7,FALSE()),"please select a BUG ID")</f>
        <v>please select a BUG ID</v>
      </c>
      <c r="D1383" s="43"/>
      <c r="F1383" s="43"/>
      <c r="H1383" s="43"/>
    </row>
    <row r="1384">
      <c r="A1384" s="43"/>
      <c r="B1384" s="59" t="str">
        <f>IFERROR(HYPERLINK(VLOOKUP(A1384,Internal_lists_bugs!$A$2:$C$73,3,FALSE()), VLOOKUP(A1384,Internal_lists_bugs!$A$2:$C$73,3,FALSE())&amp;Char(10) &amp; Char(10) &amp; VLOOKUP(A1384,Internal_lists_bugs!$A$2:$Z$73,26,FALSE())),"please select a BUG ID")</f>
        <v>please select a BUG ID</v>
      </c>
      <c r="C1384" s="51" t="str">
        <f>IFERROR(VLOOKUP(A1384,Internal_lists_bugs!$A$2:$G2011,7,FALSE()),"please select a BUG ID")</f>
        <v>please select a BUG ID</v>
      </c>
      <c r="D1384" s="43"/>
      <c r="F1384" s="43"/>
      <c r="H1384" s="43"/>
    </row>
    <row r="1385">
      <c r="A1385" s="43"/>
      <c r="B1385" s="59" t="str">
        <f>IFERROR(HYPERLINK(VLOOKUP(A1385,Internal_lists_bugs!$A$2:$C$73,3,FALSE()), VLOOKUP(A1385,Internal_lists_bugs!$A$2:$C$73,3,FALSE())&amp;Char(10) &amp; Char(10) &amp; VLOOKUP(A1385,Internal_lists_bugs!$A$2:$Z$73,26,FALSE())),"please select a BUG ID")</f>
        <v>please select a BUG ID</v>
      </c>
      <c r="C1385" s="51" t="str">
        <f>IFERROR(VLOOKUP(A1385,Internal_lists_bugs!$A$2:$G2011,7,FALSE()),"please select a BUG ID")</f>
        <v>please select a BUG ID</v>
      </c>
      <c r="D1385" s="43"/>
      <c r="F1385" s="43"/>
      <c r="H1385" s="43"/>
    </row>
    <row r="1386">
      <c r="A1386" s="43"/>
      <c r="B1386" s="59" t="str">
        <f>IFERROR(HYPERLINK(VLOOKUP(A1386,Internal_lists_bugs!$A$2:$C$73,3,FALSE()), VLOOKUP(A1386,Internal_lists_bugs!$A$2:$C$73,3,FALSE())&amp;Char(10) &amp; Char(10) &amp; VLOOKUP(A1386,Internal_lists_bugs!$A$2:$Z$73,26,FALSE())),"please select a BUG ID")</f>
        <v>please select a BUG ID</v>
      </c>
      <c r="C1386" s="51" t="str">
        <f>IFERROR(VLOOKUP(A1386,Internal_lists_bugs!$A$2:$G2011,7,FALSE()),"please select a BUG ID")</f>
        <v>please select a BUG ID</v>
      </c>
      <c r="D1386" s="43"/>
      <c r="F1386" s="43"/>
      <c r="H1386" s="43"/>
    </row>
    <row r="1387">
      <c r="A1387" s="43"/>
      <c r="B1387" s="59" t="str">
        <f>IFERROR(HYPERLINK(VLOOKUP(A1387,Internal_lists_bugs!$A$2:$C$73,3,FALSE()), VLOOKUP(A1387,Internal_lists_bugs!$A$2:$C$73,3,FALSE())&amp;Char(10) &amp; Char(10) &amp; VLOOKUP(A1387,Internal_lists_bugs!$A$2:$Z$73,26,FALSE())),"please select a BUG ID")</f>
        <v>please select a BUG ID</v>
      </c>
      <c r="C1387" s="51" t="str">
        <f>IFERROR(VLOOKUP(A1387,Internal_lists_bugs!$A$2:$G2011,7,FALSE()),"please select a BUG ID")</f>
        <v>please select a BUG ID</v>
      </c>
      <c r="D1387" s="43"/>
      <c r="F1387" s="43"/>
      <c r="H1387" s="43"/>
    </row>
    <row r="1388">
      <c r="A1388" s="43"/>
      <c r="B1388" s="59" t="str">
        <f>IFERROR(HYPERLINK(VLOOKUP(A1388,Internal_lists_bugs!$A$2:$C$73,3,FALSE()), VLOOKUP(A1388,Internal_lists_bugs!$A$2:$C$73,3,FALSE())&amp;Char(10) &amp; Char(10) &amp; VLOOKUP(A1388,Internal_lists_bugs!$A$2:$Z$73,26,FALSE())),"please select a BUG ID")</f>
        <v>please select a BUG ID</v>
      </c>
      <c r="C1388" s="51" t="str">
        <f>IFERROR(VLOOKUP(A1388,Internal_lists_bugs!$A$2:$G2011,7,FALSE()),"please select a BUG ID")</f>
        <v>please select a BUG ID</v>
      </c>
      <c r="D1388" s="43"/>
      <c r="F1388" s="43"/>
      <c r="H1388" s="43"/>
    </row>
    <row r="1389">
      <c r="A1389" s="43"/>
      <c r="B1389" s="59" t="str">
        <f>IFERROR(HYPERLINK(VLOOKUP(A1389,Internal_lists_bugs!$A$2:$C$73,3,FALSE()), VLOOKUP(A1389,Internal_lists_bugs!$A$2:$C$73,3,FALSE())&amp;Char(10) &amp; Char(10) &amp; VLOOKUP(A1389,Internal_lists_bugs!$A$2:$Z$73,26,FALSE())),"please select a BUG ID")</f>
        <v>please select a BUG ID</v>
      </c>
      <c r="C1389" s="51" t="str">
        <f>IFERROR(VLOOKUP(A1389,Internal_lists_bugs!$A$2:$G2011,7,FALSE()),"please select a BUG ID")</f>
        <v>please select a BUG ID</v>
      </c>
      <c r="D1389" s="43"/>
      <c r="F1389" s="43"/>
      <c r="H1389" s="43"/>
    </row>
    <row r="1390">
      <c r="A1390" s="43"/>
      <c r="B1390" s="59" t="str">
        <f>IFERROR(HYPERLINK(VLOOKUP(A1390,Internal_lists_bugs!$A$2:$C$73,3,FALSE()), VLOOKUP(A1390,Internal_lists_bugs!$A$2:$C$73,3,FALSE())&amp;Char(10) &amp; Char(10) &amp; VLOOKUP(A1390,Internal_lists_bugs!$A$2:$Z$73,26,FALSE())),"please select a BUG ID")</f>
        <v>please select a BUG ID</v>
      </c>
      <c r="C1390" s="51" t="str">
        <f>IFERROR(VLOOKUP(A1390,Internal_lists_bugs!$A$2:$G2011,7,FALSE()),"please select a BUG ID")</f>
        <v>please select a BUG ID</v>
      </c>
      <c r="D1390" s="43"/>
      <c r="F1390" s="43"/>
      <c r="H1390" s="43"/>
    </row>
    <row r="1391">
      <c r="A1391" s="43"/>
      <c r="B1391" s="59" t="str">
        <f>IFERROR(HYPERLINK(VLOOKUP(A1391,Internal_lists_bugs!$A$2:$C$73,3,FALSE()), VLOOKUP(A1391,Internal_lists_bugs!$A$2:$C$73,3,FALSE())&amp;Char(10) &amp; Char(10) &amp; VLOOKUP(A1391,Internal_lists_bugs!$A$2:$Z$73,26,FALSE())),"please select a BUG ID")</f>
        <v>please select a BUG ID</v>
      </c>
      <c r="C1391" s="51" t="str">
        <f>IFERROR(VLOOKUP(A1391,Internal_lists_bugs!$A$2:$G2011,7,FALSE()),"please select a BUG ID")</f>
        <v>please select a BUG ID</v>
      </c>
      <c r="D1391" s="43"/>
      <c r="F1391" s="43"/>
      <c r="H1391" s="43"/>
    </row>
    <row r="1392">
      <c r="A1392" s="43"/>
      <c r="B1392" s="59" t="str">
        <f>IFERROR(HYPERLINK(VLOOKUP(A1392,Internal_lists_bugs!$A$2:$C$73,3,FALSE()), VLOOKUP(A1392,Internal_lists_bugs!$A$2:$C$73,3,FALSE())&amp;Char(10) &amp; Char(10) &amp; VLOOKUP(A1392,Internal_lists_bugs!$A$2:$Z$73,26,FALSE())),"please select a BUG ID")</f>
        <v>please select a BUG ID</v>
      </c>
      <c r="C1392" s="51" t="str">
        <f>IFERROR(VLOOKUP(A1392,Internal_lists_bugs!$A$2:$G2011,7,FALSE()),"please select a BUG ID")</f>
        <v>please select a BUG ID</v>
      </c>
      <c r="D1392" s="43"/>
      <c r="F1392" s="43"/>
      <c r="H1392" s="43"/>
    </row>
    <row r="1393">
      <c r="A1393" s="43"/>
      <c r="B1393" s="59" t="str">
        <f>IFERROR(HYPERLINK(VLOOKUP(A1393,Internal_lists_bugs!$A$2:$C$73,3,FALSE()), VLOOKUP(A1393,Internal_lists_bugs!$A$2:$C$73,3,FALSE())&amp;Char(10) &amp; Char(10) &amp; VLOOKUP(A1393,Internal_lists_bugs!$A$2:$Z$73,26,FALSE())),"please select a BUG ID")</f>
        <v>please select a BUG ID</v>
      </c>
      <c r="C1393" s="51" t="str">
        <f>IFERROR(VLOOKUP(A1393,Internal_lists_bugs!$A$2:$G2011,7,FALSE()),"please select a BUG ID")</f>
        <v>please select a BUG ID</v>
      </c>
      <c r="D1393" s="43"/>
      <c r="F1393" s="43"/>
      <c r="H1393" s="43"/>
    </row>
    <row r="1394">
      <c r="A1394" s="43"/>
      <c r="B1394" s="59" t="str">
        <f>IFERROR(HYPERLINK(VLOOKUP(A1394,Internal_lists_bugs!$A$2:$C$73,3,FALSE()), VLOOKUP(A1394,Internal_lists_bugs!$A$2:$C$73,3,FALSE())&amp;Char(10) &amp; Char(10) &amp; VLOOKUP(A1394,Internal_lists_bugs!$A$2:$Z$73,26,FALSE())),"please select a BUG ID")</f>
        <v>please select a BUG ID</v>
      </c>
      <c r="C1394" s="51" t="str">
        <f>IFERROR(VLOOKUP(A1394,Internal_lists_bugs!$A$2:$G2011,7,FALSE()),"please select a BUG ID")</f>
        <v>please select a BUG ID</v>
      </c>
      <c r="D1394" s="43"/>
      <c r="F1394" s="43"/>
      <c r="H1394" s="43"/>
    </row>
    <row r="1395">
      <c r="A1395" s="43"/>
      <c r="B1395" s="59" t="str">
        <f>IFERROR(HYPERLINK(VLOOKUP(A1395,Internal_lists_bugs!$A$2:$C$73,3,FALSE()), VLOOKUP(A1395,Internal_lists_bugs!$A$2:$C$73,3,FALSE())&amp;Char(10) &amp; Char(10) &amp; VLOOKUP(A1395,Internal_lists_bugs!$A$2:$Z$73,26,FALSE())),"please select a BUG ID")</f>
        <v>please select a BUG ID</v>
      </c>
      <c r="C1395" s="51" t="str">
        <f>IFERROR(VLOOKUP(A1395,Internal_lists_bugs!$A$2:$G2011,7,FALSE()),"please select a BUG ID")</f>
        <v>please select a BUG ID</v>
      </c>
      <c r="D1395" s="43"/>
      <c r="F1395" s="43"/>
      <c r="H1395" s="43"/>
    </row>
    <row r="1396">
      <c r="A1396" s="43"/>
      <c r="B1396" s="59" t="str">
        <f>IFERROR(HYPERLINK(VLOOKUP(A1396,Internal_lists_bugs!$A$2:$C$73,3,FALSE()), VLOOKUP(A1396,Internal_lists_bugs!$A$2:$C$73,3,FALSE())&amp;Char(10) &amp; Char(10) &amp; VLOOKUP(A1396,Internal_lists_bugs!$A$2:$Z$73,26,FALSE())),"please select a BUG ID")</f>
        <v>please select a BUG ID</v>
      </c>
      <c r="C1396" s="51" t="str">
        <f>IFERROR(VLOOKUP(A1396,Internal_lists_bugs!$A$2:$G2011,7,FALSE()),"please select a BUG ID")</f>
        <v>please select a BUG ID</v>
      </c>
      <c r="D1396" s="43"/>
      <c r="F1396" s="43"/>
      <c r="H1396" s="43"/>
    </row>
    <row r="1397">
      <c r="A1397" s="43"/>
      <c r="B1397" s="59" t="str">
        <f>IFERROR(HYPERLINK(VLOOKUP(A1397,Internal_lists_bugs!$A$2:$C$73,3,FALSE()), VLOOKUP(A1397,Internal_lists_bugs!$A$2:$C$73,3,FALSE())&amp;Char(10) &amp; Char(10) &amp; VLOOKUP(A1397,Internal_lists_bugs!$A$2:$Z$73,26,FALSE())),"please select a BUG ID")</f>
        <v>please select a BUG ID</v>
      </c>
      <c r="C1397" s="51" t="str">
        <f>IFERROR(VLOOKUP(A1397,Internal_lists_bugs!$A$2:$G2011,7,FALSE()),"please select a BUG ID")</f>
        <v>please select a BUG ID</v>
      </c>
      <c r="D1397" s="43"/>
      <c r="F1397" s="43"/>
      <c r="H1397" s="43"/>
    </row>
    <row r="1398">
      <c r="A1398" s="43"/>
      <c r="B1398" s="59" t="str">
        <f>IFERROR(HYPERLINK(VLOOKUP(A1398,Internal_lists_bugs!$A$2:$C$73,3,FALSE()), VLOOKUP(A1398,Internal_lists_bugs!$A$2:$C$73,3,FALSE())&amp;Char(10) &amp; Char(10) &amp; VLOOKUP(A1398,Internal_lists_bugs!$A$2:$Z$73,26,FALSE())),"please select a BUG ID")</f>
        <v>please select a BUG ID</v>
      </c>
      <c r="C1398" s="51" t="str">
        <f>IFERROR(VLOOKUP(A1398,Internal_lists_bugs!$A$2:$G2011,7,FALSE()),"please select a BUG ID")</f>
        <v>please select a BUG ID</v>
      </c>
      <c r="D1398" s="43"/>
      <c r="F1398" s="43"/>
      <c r="H1398" s="43"/>
    </row>
    <row r="1399">
      <c r="A1399" s="43"/>
      <c r="B1399" s="59" t="str">
        <f>IFERROR(HYPERLINK(VLOOKUP(A1399,Internal_lists_bugs!$A$2:$C$73,3,FALSE()), VLOOKUP(A1399,Internal_lists_bugs!$A$2:$C$73,3,FALSE())&amp;Char(10) &amp; Char(10) &amp; VLOOKUP(A1399,Internal_lists_bugs!$A$2:$Z$73,26,FALSE())),"please select a BUG ID")</f>
        <v>please select a BUG ID</v>
      </c>
      <c r="C1399" s="51" t="str">
        <f>IFERROR(VLOOKUP(A1399,Internal_lists_bugs!$A$2:$G2011,7,FALSE()),"please select a BUG ID")</f>
        <v>please select a BUG ID</v>
      </c>
      <c r="D1399" s="43"/>
      <c r="F1399" s="43"/>
      <c r="H1399" s="43"/>
    </row>
    <row r="1400">
      <c r="A1400" s="43"/>
      <c r="B1400" s="59" t="str">
        <f>IFERROR(HYPERLINK(VLOOKUP(A1400,Internal_lists_bugs!$A$2:$C$73,3,FALSE()), VLOOKUP(A1400,Internal_lists_bugs!$A$2:$C$73,3,FALSE())&amp;Char(10) &amp; Char(10) &amp; VLOOKUP(A1400,Internal_lists_bugs!$A$2:$Z$73,26,FALSE())),"please select a BUG ID")</f>
        <v>please select a BUG ID</v>
      </c>
      <c r="C1400" s="51" t="str">
        <f>IFERROR(VLOOKUP(A1400,Internal_lists_bugs!$A$2:$G2011,7,FALSE()),"please select a BUG ID")</f>
        <v>please select a BUG ID</v>
      </c>
      <c r="D1400" s="43"/>
      <c r="F1400" s="43"/>
      <c r="H1400" s="43"/>
    </row>
    <row r="1401">
      <c r="A1401" s="43"/>
      <c r="B1401" s="59" t="str">
        <f>IFERROR(HYPERLINK(VLOOKUP(A1401,Internal_lists_bugs!$A$2:$C$73,3,FALSE()), VLOOKUP(A1401,Internal_lists_bugs!$A$2:$C$73,3,FALSE())&amp;Char(10) &amp; Char(10) &amp; VLOOKUP(A1401,Internal_lists_bugs!$A$2:$Z$73,26,FALSE())),"please select a BUG ID")</f>
        <v>please select a BUG ID</v>
      </c>
      <c r="C1401" s="51" t="str">
        <f>IFERROR(VLOOKUP(A1401,Internal_lists_bugs!$A$2:$G2011,7,FALSE()),"please select a BUG ID")</f>
        <v>please select a BUG ID</v>
      </c>
      <c r="D1401" s="43"/>
      <c r="F1401" s="43"/>
      <c r="H1401" s="43"/>
    </row>
    <row r="1402">
      <c r="A1402" s="43"/>
      <c r="B1402" s="59" t="str">
        <f>IFERROR(HYPERLINK(VLOOKUP(A1402,Internal_lists_bugs!$A$2:$C$73,3,FALSE()), VLOOKUP(A1402,Internal_lists_bugs!$A$2:$C$73,3,FALSE())&amp;Char(10) &amp; Char(10) &amp; VLOOKUP(A1402,Internal_lists_bugs!$A$2:$Z$73,26,FALSE())),"please select a BUG ID")</f>
        <v>please select a BUG ID</v>
      </c>
      <c r="C1402" s="51" t="str">
        <f>IFERROR(VLOOKUP(A1402,Internal_lists_bugs!$A$2:$G2011,7,FALSE()),"please select a BUG ID")</f>
        <v>please select a BUG ID</v>
      </c>
      <c r="D1402" s="43"/>
      <c r="F1402" s="43"/>
      <c r="H1402" s="43"/>
    </row>
    <row r="1403">
      <c r="A1403" s="43"/>
      <c r="B1403" s="59" t="str">
        <f>IFERROR(HYPERLINK(VLOOKUP(A1403,Internal_lists_bugs!$A$2:$C$73,3,FALSE()), VLOOKUP(A1403,Internal_lists_bugs!$A$2:$C$73,3,FALSE())&amp;Char(10) &amp; Char(10) &amp; VLOOKUP(A1403,Internal_lists_bugs!$A$2:$Z$73,26,FALSE())),"please select a BUG ID")</f>
        <v>please select a BUG ID</v>
      </c>
      <c r="C1403" s="51" t="str">
        <f>IFERROR(VLOOKUP(A1403,Internal_lists_bugs!$A$2:$G2011,7,FALSE()),"please select a BUG ID")</f>
        <v>please select a BUG ID</v>
      </c>
      <c r="D1403" s="43"/>
      <c r="F1403" s="43"/>
      <c r="H1403" s="43"/>
    </row>
    <row r="1404">
      <c r="A1404" s="43"/>
      <c r="B1404" s="59" t="str">
        <f>IFERROR(HYPERLINK(VLOOKUP(A1404,Internal_lists_bugs!$A$2:$C$73,3,FALSE()), VLOOKUP(A1404,Internal_lists_bugs!$A$2:$C$73,3,FALSE())&amp;Char(10) &amp; Char(10) &amp; VLOOKUP(A1404,Internal_lists_bugs!$A$2:$Z$73,26,FALSE())),"please select a BUG ID")</f>
        <v>please select a BUG ID</v>
      </c>
      <c r="C1404" s="51" t="str">
        <f>IFERROR(VLOOKUP(A1404,Internal_lists_bugs!$A$2:$G2011,7,FALSE()),"please select a BUG ID")</f>
        <v>please select a BUG ID</v>
      </c>
      <c r="D1404" s="43"/>
      <c r="F1404" s="43"/>
      <c r="H1404" s="43"/>
    </row>
    <row r="1405">
      <c r="A1405" s="43"/>
      <c r="B1405" s="59" t="str">
        <f>IFERROR(HYPERLINK(VLOOKUP(A1405,Internal_lists_bugs!$A$2:$C$73,3,FALSE()), VLOOKUP(A1405,Internal_lists_bugs!$A$2:$C$73,3,FALSE())&amp;Char(10) &amp; Char(10) &amp; VLOOKUP(A1405,Internal_lists_bugs!$A$2:$Z$73,26,FALSE())),"please select a BUG ID")</f>
        <v>please select a BUG ID</v>
      </c>
      <c r="C1405" s="51" t="str">
        <f>IFERROR(VLOOKUP(A1405,Internal_lists_bugs!$A$2:$G2011,7,FALSE()),"please select a BUG ID")</f>
        <v>please select a BUG ID</v>
      </c>
      <c r="D1405" s="43"/>
      <c r="F1405" s="43"/>
      <c r="H1405" s="43"/>
    </row>
    <row r="1406">
      <c r="A1406" s="43"/>
      <c r="B1406" s="59" t="str">
        <f>IFERROR(HYPERLINK(VLOOKUP(A1406,Internal_lists_bugs!$A$2:$C$73,3,FALSE()), VLOOKUP(A1406,Internal_lists_bugs!$A$2:$C$73,3,FALSE())&amp;Char(10) &amp; Char(10) &amp; VLOOKUP(A1406,Internal_lists_bugs!$A$2:$Z$73,26,FALSE())),"please select a BUG ID")</f>
        <v>please select a BUG ID</v>
      </c>
      <c r="C1406" s="51" t="str">
        <f>IFERROR(VLOOKUP(A1406,Internal_lists_bugs!$A$2:$G2011,7,FALSE()),"please select a BUG ID")</f>
        <v>please select a BUG ID</v>
      </c>
      <c r="D1406" s="43"/>
      <c r="F1406" s="43"/>
      <c r="H1406" s="43"/>
    </row>
    <row r="1407">
      <c r="A1407" s="43"/>
      <c r="B1407" s="59" t="str">
        <f>IFERROR(HYPERLINK(VLOOKUP(A1407,Internal_lists_bugs!$A$2:$C$73,3,FALSE()), VLOOKUP(A1407,Internal_lists_bugs!$A$2:$C$73,3,FALSE())&amp;Char(10) &amp; Char(10) &amp; VLOOKUP(A1407,Internal_lists_bugs!$A$2:$Z$73,26,FALSE())),"please select a BUG ID")</f>
        <v>please select a BUG ID</v>
      </c>
      <c r="C1407" s="51" t="str">
        <f>IFERROR(VLOOKUP(A1407,Internal_lists_bugs!$A$2:$G2011,7,FALSE()),"please select a BUG ID")</f>
        <v>please select a BUG ID</v>
      </c>
      <c r="D1407" s="43"/>
      <c r="F1407" s="43"/>
      <c r="H1407" s="43"/>
    </row>
    <row r="1408">
      <c r="A1408" s="43"/>
      <c r="B1408" s="59" t="str">
        <f>IFERROR(HYPERLINK(VLOOKUP(A1408,Internal_lists_bugs!$A$2:$C$73,3,FALSE()), VLOOKUP(A1408,Internal_lists_bugs!$A$2:$C$73,3,FALSE())&amp;Char(10) &amp; Char(10) &amp; VLOOKUP(A1408,Internal_lists_bugs!$A$2:$Z$73,26,FALSE())),"please select a BUG ID")</f>
        <v>please select a BUG ID</v>
      </c>
      <c r="C1408" s="51" t="str">
        <f>IFERROR(VLOOKUP(A1408,Internal_lists_bugs!$A$2:$G2011,7,FALSE()),"please select a BUG ID")</f>
        <v>please select a BUG ID</v>
      </c>
      <c r="D1408" s="43"/>
      <c r="F1408" s="43"/>
      <c r="H1408" s="43"/>
    </row>
    <row r="1409">
      <c r="A1409" s="43"/>
      <c r="B1409" s="59" t="str">
        <f>IFERROR(HYPERLINK(VLOOKUP(A1409,Internal_lists_bugs!$A$2:$C$73,3,FALSE()), VLOOKUP(A1409,Internal_lists_bugs!$A$2:$C$73,3,FALSE())&amp;Char(10) &amp; Char(10) &amp; VLOOKUP(A1409,Internal_lists_bugs!$A$2:$Z$73,26,FALSE())),"please select a BUG ID")</f>
        <v>please select a BUG ID</v>
      </c>
      <c r="C1409" s="51" t="str">
        <f>IFERROR(VLOOKUP(A1409,Internal_lists_bugs!$A$2:$G2011,7,FALSE()),"please select a BUG ID")</f>
        <v>please select a BUG ID</v>
      </c>
      <c r="D1409" s="43"/>
      <c r="F1409" s="43"/>
      <c r="H1409" s="43"/>
    </row>
    <row r="1410">
      <c r="A1410" s="43"/>
      <c r="B1410" s="59" t="str">
        <f>IFERROR(HYPERLINK(VLOOKUP(A1410,Internal_lists_bugs!$A$2:$C$73,3,FALSE()), VLOOKUP(A1410,Internal_lists_bugs!$A$2:$C$73,3,FALSE())&amp;Char(10) &amp; Char(10) &amp; VLOOKUP(A1410,Internal_lists_bugs!$A$2:$Z$73,26,FALSE())),"please select a BUG ID")</f>
        <v>please select a BUG ID</v>
      </c>
      <c r="C1410" s="51" t="str">
        <f>IFERROR(VLOOKUP(A1410,Internal_lists_bugs!$A$2:$G2011,7,FALSE()),"please select a BUG ID")</f>
        <v>please select a BUG ID</v>
      </c>
      <c r="D1410" s="43"/>
      <c r="F1410" s="43"/>
      <c r="H1410" s="43"/>
    </row>
    <row r="1411">
      <c r="A1411" s="43"/>
      <c r="B1411" s="59" t="str">
        <f>IFERROR(HYPERLINK(VLOOKUP(A1411,Internal_lists_bugs!$A$2:$C$73,3,FALSE()), VLOOKUP(A1411,Internal_lists_bugs!$A$2:$C$73,3,FALSE())&amp;Char(10) &amp; Char(10) &amp; VLOOKUP(A1411,Internal_lists_bugs!$A$2:$Z$73,26,FALSE())),"please select a BUG ID")</f>
        <v>please select a BUG ID</v>
      </c>
      <c r="C1411" s="51" t="str">
        <f>IFERROR(VLOOKUP(A1411,Internal_lists_bugs!$A$2:$G2011,7,FALSE()),"please select a BUG ID")</f>
        <v>please select a BUG ID</v>
      </c>
      <c r="D1411" s="43"/>
      <c r="F1411" s="43"/>
      <c r="H1411" s="43"/>
    </row>
    <row r="1412">
      <c r="A1412" s="43"/>
      <c r="B1412" s="59" t="str">
        <f>IFERROR(HYPERLINK(VLOOKUP(A1412,Internal_lists_bugs!$A$2:$C$73,3,FALSE()), VLOOKUP(A1412,Internal_lists_bugs!$A$2:$C$73,3,FALSE())&amp;Char(10) &amp; Char(10) &amp; VLOOKUP(A1412,Internal_lists_bugs!$A$2:$Z$73,26,FALSE())),"please select a BUG ID")</f>
        <v>please select a BUG ID</v>
      </c>
      <c r="C1412" s="51" t="str">
        <f>IFERROR(VLOOKUP(A1412,Internal_lists_bugs!$A$2:$G2011,7,FALSE()),"please select a BUG ID")</f>
        <v>please select a BUG ID</v>
      </c>
      <c r="D1412" s="43"/>
      <c r="F1412" s="43"/>
      <c r="H1412" s="43"/>
    </row>
    <row r="1413">
      <c r="A1413" s="43"/>
      <c r="B1413" s="59" t="str">
        <f>IFERROR(HYPERLINK(VLOOKUP(A1413,Internal_lists_bugs!$A$2:$C$73,3,FALSE()), VLOOKUP(A1413,Internal_lists_bugs!$A$2:$C$73,3,FALSE())&amp;Char(10) &amp; Char(10) &amp; VLOOKUP(A1413,Internal_lists_bugs!$A$2:$Z$73,26,FALSE())),"please select a BUG ID")</f>
        <v>please select a BUG ID</v>
      </c>
      <c r="C1413" s="51" t="str">
        <f>IFERROR(VLOOKUP(A1413,Internal_lists_bugs!$A$2:$G2011,7,FALSE()),"please select a BUG ID")</f>
        <v>please select a BUG ID</v>
      </c>
      <c r="D1413" s="43"/>
      <c r="F1413" s="43"/>
      <c r="H1413" s="43"/>
    </row>
    <row r="1414">
      <c r="A1414" s="43"/>
      <c r="B1414" s="59" t="str">
        <f>IFERROR(HYPERLINK(VLOOKUP(A1414,Internal_lists_bugs!$A$2:$C$73,3,FALSE()), VLOOKUP(A1414,Internal_lists_bugs!$A$2:$C$73,3,FALSE())&amp;Char(10) &amp; Char(10) &amp; VLOOKUP(A1414,Internal_lists_bugs!$A$2:$Z$73,26,FALSE())),"please select a BUG ID")</f>
        <v>please select a BUG ID</v>
      </c>
      <c r="C1414" s="51" t="str">
        <f>IFERROR(VLOOKUP(A1414,Internal_lists_bugs!$A$2:$G2011,7,FALSE()),"please select a BUG ID")</f>
        <v>please select a BUG ID</v>
      </c>
      <c r="D1414" s="43"/>
      <c r="F1414" s="43"/>
      <c r="H1414" s="43"/>
    </row>
    <row r="1415">
      <c r="A1415" s="43"/>
      <c r="B1415" s="59" t="str">
        <f>IFERROR(HYPERLINK(VLOOKUP(A1415,Internal_lists_bugs!$A$2:$C$73,3,FALSE()), VLOOKUP(A1415,Internal_lists_bugs!$A$2:$C$73,3,FALSE())&amp;Char(10) &amp; Char(10) &amp; VLOOKUP(A1415,Internal_lists_bugs!$A$2:$Z$73,26,FALSE())),"please select a BUG ID")</f>
        <v>please select a BUG ID</v>
      </c>
      <c r="C1415" s="51" t="str">
        <f>IFERROR(VLOOKUP(A1415,Internal_lists_bugs!$A$2:$G2011,7,FALSE()),"please select a BUG ID")</f>
        <v>please select a BUG ID</v>
      </c>
      <c r="D1415" s="43"/>
      <c r="F1415" s="43"/>
      <c r="H1415" s="43"/>
    </row>
    <row r="1416">
      <c r="A1416" s="43"/>
      <c r="B1416" s="59" t="str">
        <f>IFERROR(HYPERLINK(VLOOKUP(A1416,Internal_lists_bugs!$A$2:$C$73,3,FALSE()), VLOOKUP(A1416,Internal_lists_bugs!$A$2:$C$73,3,FALSE())&amp;Char(10) &amp; Char(10) &amp; VLOOKUP(A1416,Internal_lists_bugs!$A$2:$Z$73,26,FALSE())),"please select a BUG ID")</f>
        <v>please select a BUG ID</v>
      </c>
      <c r="C1416" s="51" t="str">
        <f>IFERROR(VLOOKUP(A1416,Internal_lists_bugs!$A$2:$G2011,7,FALSE()),"please select a BUG ID")</f>
        <v>please select a BUG ID</v>
      </c>
      <c r="D1416" s="43"/>
      <c r="F1416" s="43"/>
      <c r="H1416" s="43"/>
    </row>
    <row r="1417">
      <c r="A1417" s="43"/>
      <c r="B1417" s="59" t="str">
        <f>IFERROR(HYPERLINK(VLOOKUP(A1417,Internal_lists_bugs!$A$2:$C$73,3,FALSE()), VLOOKUP(A1417,Internal_lists_bugs!$A$2:$C$73,3,FALSE())&amp;Char(10) &amp; Char(10) &amp; VLOOKUP(A1417,Internal_lists_bugs!$A$2:$Z$73,26,FALSE())),"please select a BUG ID")</f>
        <v>please select a BUG ID</v>
      </c>
      <c r="C1417" s="51" t="str">
        <f>IFERROR(VLOOKUP(A1417,Internal_lists_bugs!$A$2:$G2011,7,FALSE()),"please select a BUG ID")</f>
        <v>please select a BUG ID</v>
      </c>
      <c r="D1417" s="43"/>
      <c r="F1417" s="43"/>
      <c r="H1417" s="43"/>
    </row>
    <row r="1418">
      <c r="A1418" s="43"/>
      <c r="B1418" s="59" t="str">
        <f>IFERROR(HYPERLINK(VLOOKUP(A1418,Internal_lists_bugs!$A$2:$C$73,3,FALSE()), VLOOKUP(A1418,Internal_lists_bugs!$A$2:$C$73,3,FALSE())&amp;Char(10) &amp; Char(10) &amp; VLOOKUP(A1418,Internal_lists_bugs!$A$2:$Z$73,26,FALSE())),"please select a BUG ID")</f>
        <v>please select a BUG ID</v>
      </c>
      <c r="C1418" s="51" t="str">
        <f>IFERROR(VLOOKUP(A1418,Internal_lists_bugs!$A$2:$G2011,7,FALSE()),"please select a BUG ID")</f>
        <v>please select a BUG ID</v>
      </c>
      <c r="D1418" s="43"/>
      <c r="F1418" s="43"/>
      <c r="H1418" s="43"/>
    </row>
    <row r="1419">
      <c r="A1419" s="43"/>
      <c r="B1419" s="59" t="str">
        <f>IFERROR(HYPERLINK(VLOOKUP(A1419,Internal_lists_bugs!$A$2:$C$73,3,FALSE()), VLOOKUP(A1419,Internal_lists_bugs!$A$2:$C$73,3,FALSE())&amp;Char(10) &amp; Char(10) &amp; VLOOKUP(A1419,Internal_lists_bugs!$A$2:$Z$73,26,FALSE())),"please select a BUG ID")</f>
        <v>please select a BUG ID</v>
      </c>
      <c r="C1419" s="51" t="str">
        <f>IFERROR(VLOOKUP(A1419,Internal_lists_bugs!$A$2:$G2011,7,FALSE()),"please select a BUG ID")</f>
        <v>please select a BUG ID</v>
      </c>
      <c r="D1419" s="43"/>
      <c r="F1419" s="43"/>
      <c r="H1419" s="43"/>
    </row>
    <row r="1420">
      <c r="A1420" s="43"/>
      <c r="B1420" s="59" t="str">
        <f>IFERROR(HYPERLINK(VLOOKUP(A1420,Internal_lists_bugs!$A$2:$C$73,3,FALSE()), VLOOKUP(A1420,Internal_lists_bugs!$A$2:$C$73,3,FALSE())&amp;Char(10) &amp; Char(10) &amp; VLOOKUP(A1420,Internal_lists_bugs!$A$2:$Z$73,26,FALSE())),"please select a BUG ID")</f>
        <v>please select a BUG ID</v>
      </c>
      <c r="C1420" s="51" t="str">
        <f>IFERROR(VLOOKUP(A1420,Internal_lists_bugs!$A$2:$G2011,7,FALSE()),"please select a BUG ID")</f>
        <v>please select a BUG ID</v>
      </c>
      <c r="D1420" s="43"/>
      <c r="F1420" s="43"/>
      <c r="H1420" s="43"/>
    </row>
    <row r="1421">
      <c r="A1421" s="43"/>
      <c r="B1421" s="59" t="str">
        <f>IFERROR(HYPERLINK(VLOOKUP(A1421,Internal_lists_bugs!$A$2:$C$73,3,FALSE()), VLOOKUP(A1421,Internal_lists_bugs!$A$2:$C$73,3,FALSE())&amp;Char(10) &amp; Char(10) &amp; VLOOKUP(A1421,Internal_lists_bugs!$A$2:$Z$73,26,FALSE())),"please select a BUG ID")</f>
        <v>please select a BUG ID</v>
      </c>
      <c r="C1421" s="51" t="str">
        <f>IFERROR(VLOOKUP(A1421,Internal_lists_bugs!$A$2:$G2011,7,FALSE()),"please select a BUG ID")</f>
        <v>please select a BUG ID</v>
      </c>
      <c r="D1421" s="43"/>
      <c r="F1421" s="43"/>
      <c r="H1421" s="43"/>
    </row>
    <row r="1422">
      <c r="A1422" s="43"/>
      <c r="B1422" s="59" t="str">
        <f>IFERROR(HYPERLINK(VLOOKUP(A1422,Internal_lists_bugs!$A$2:$C$73,3,FALSE()), VLOOKUP(A1422,Internal_lists_bugs!$A$2:$C$73,3,FALSE())&amp;Char(10) &amp; Char(10) &amp; VLOOKUP(A1422,Internal_lists_bugs!$A$2:$Z$73,26,FALSE())),"please select a BUG ID")</f>
        <v>please select a BUG ID</v>
      </c>
      <c r="C1422" s="51" t="str">
        <f>IFERROR(VLOOKUP(A1422,Internal_lists_bugs!$A$2:$G2011,7,FALSE()),"please select a BUG ID")</f>
        <v>please select a BUG ID</v>
      </c>
      <c r="D1422" s="43"/>
      <c r="F1422" s="43"/>
      <c r="H1422" s="43"/>
    </row>
    <row r="1423">
      <c r="A1423" s="43"/>
      <c r="B1423" s="59" t="str">
        <f>IFERROR(HYPERLINK(VLOOKUP(A1423,Internal_lists_bugs!$A$2:$C$73,3,FALSE()), VLOOKUP(A1423,Internal_lists_bugs!$A$2:$C$73,3,FALSE())&amp;Char(10) &amp; Char(10) &amp; VLOOKUP(A1423,Internal_lists_bugs!$A$2:$Z$73,26,FALSE())),"please select a BUG ID")</f>
        <v>please select a BUG ID</v>
      </c>
      <c r="C1423" s="51" t="str">
        <f>IFERROR(VLOOKUP(A1423,Internal_lists_bugs!$A$2:$G2011,7,FALSE()),"please select a BUG ID")</f>
        <v>please select a BUG ID</v>
      </c>
      <c r="D1423" s="43"/>
      <c r="F1423" s="43"/>
      <c r="H1423" s="43"/>
    </row>
    <row r="1424">
      <c r="A1424" s="43"/>
      <c r="B1424" s="59" t="str">
        <f>IFERROR(HYPERLINK(VLOOKUP(A1424,Internal_lists_bugs!$A$2:$C$73,3,FALSE()), VLOOKUP(A1424,Internal_lists_bugs!$A$2:$C$73,3,FALSE())&amp;Char(10) &amp; Char(10) &amp; VLOOKUP(A1424,Internal_lists_bugs!$A$2:$Z$73,26,FALSE())),"please select a BUG ID")</f>
        <v>please select a BUG ID</v>
      </c>
      <c r="C1424" s="51" t="str">
        <f>IFERROR(VLOOKUP(A1424,Internal_lists_bugs!$A$2:$G2011,7,FALSE()),"please select a BUG ID")</f>
        <v>please select a BUG ID</v>
      </c>
      <c r="D1424" s="43"/>
      <c r="F1424" s="43"/>
      <c r="H1424" s="43"/>
    </row>
    <row r="1425">
      <c r="A1425" s="43"/>
      <c r="B1425" s="59" t="str">
        <f>IFERROR(HYPERLINK(VLOOKUP(A1425,Internal_lists_bugs!$A$2:$C$73,3,FALSE()), VLOOKUP(A1425,Internal_lists_bugs!$A$2:$C$73,3,FALSE())&amp;Char(10) &amp; Char(10) &amp; VLOOKUP(A1425,Internal_lists_bugs!$A$2:$Z$73,26,FALSE())),"please select a BUG ID")</f>
        <v>please select a BUG ID</v>
      </c>
      <c r="C1425" s="51" t="str">
        <f>IFERROR(VLOOKUP(A1425,Internal_lists_bugs!$A$2:$G2011,7,FALSE()),"please select a BUG ID")</f>
        <v>please select a BUG ID</v>
      </c>
      <c r="D1425" s="43"/>
      <c r="F1425" s="43"/>
      <c r="H1425" s="43"/>
    </row>
    <row r="1426">
      <c r="A1426" s="43"/>
      <c r="B1426" s="59" t="str">
        <f>IFERROR(HYPERLINK(VLOOKUP(A1426,Internal_lists_bugs!$A$2:$C$73,3,FALSE()), VLOOKUP(A1426,Internal_lists_bugs!$A$2:$C$73,3,FALSE())&amp;Char(10) &amp; Char(10) &amp; VLOOKUP(A1426,Internal_lists_bugs!$A$2:$Z$73,26,FALSE())),"please select a BUG ID")</f>
        <v>please select a BUG ID</v>
      </c>
      <c r="C1426" s="51" t="str">
        <f>IFERROR(VLOOKUP(A1426,Internal_lists_bugs!$A$2:$G2011,7,FALSE()),"please select a BUG ID")</f>
        <v>please select a BUG ID</v>
      </c>
      <c r="D1426" s="43"/>
      <c r="F1426" s="43"/>
      <c r="H1426" s="43"/>
    </row>
    <row r="1427">
      <c r="A1427" s="43"/>
      <c r="B1427" s="59" t="str">
        <f>IFERROR(HYPERLINK(VLOOKUP(A1427,Internal_lists_bugs!$A$2:$C$73,3,FALSE()), VLOOKUP(A1427,Internal_lists_bugs!$A$2:$C$73,3,FALSE())&amp;Char(10) &amp; Char(10) &amp; VLOOKUP(A1427,Internal_lists_bugs!$A$2:$Z$73,26,FALSE())),"please select a BUG ID")</f>
        <v>please select a BUG ID</v>
      </c>
      <c r="C1427" s="51" t="str">
        <f>IFERROR(VLOOKUP(A1427,Internal_lists_bugs!$A$2:$G2011,7,FALSE()),"please select a BUG ID")</f>
        <v>please select a BUG ID</v>
      </c>
      <c r="D1427" s="43"/>
      <c r="F1427" s="43"/>
      <c r="H1427" s="43"/>
    </row>
    <row r="1428">
      <c r="A1428" s="43"/>
      <c r="B1428" s="59" t="str">
        <f>IFERROR(HYPERLINK(VLOOKUP(A1428,Internal_lists_bugs!$A$2:$C$73,3,FALSE()), VLOOKUP(A1428,Internal_lists_bugs!$A$2:$C$73,3,FALSE())&amp;Char(10) &amp; Char(10) &amp; VLOOKUP(A1428,Internal_lists_bugs!$A$2:$Z$73,26,FALSE())),"please select a BUG ID")</f>
        <v>please select a BUG ID</v>
      </c>
      <c r="C1428" s="51" t="str">
        <f>IFERROR(VLOOKUP(A1428,Internal_lists_bugs!$A$2:$G2011,7,FALSE()),"please select a BUG ID")</f>
        <v>please select a BUG ID</v>
      </c>
      <c r="D1428" s="43"/>
      <c r="F1428" s="43"/>
      <c r="H1428" s="43"/>
    </row>
    <row r="1429">
      <c r="A1429" s="43"/>
      <c r="B1429" s="59" t="str">
        <f>IFERROR(HYPERLINK(VLOOKUP(A1429,Internal_lists_bugs!$A$2:$C$73,3,FALSE()), VLOOKUP(A1429,Internal_lists_bugs!$A$2:$C$73,3,FALSE())&amp;Char(10) &amp; Char(10) &amp; VLOOKUP(A1429,Internal_lists_bugs!$A$2:$Z$73,26,FALSE())),"please select a BUG ID")</f>
        <v>please select a BUG ID</v>
      </c>
      <c r="C1429" s="51" t="str">
        <f>IFERROR(VLOOKUP(A1429,Internal_lists_bugs!$A$2:$G2011,7,FALSE()),"please select a BUG ID")</f>
        <v>please select a BUG ID</v>
      </c>
      <c r="D1429" s="43"/>
      <c r="F1429" s="43"/>
      <c r="H1429" s="43"/>
    </row>
    <row r="1430">
      <c r="A1430" s="43"/>
      <c r="B1430" s="59" t="str">
        <f>IFERROR(HYPERLINK(VLOOKUP(A1430,Internal_lists_bugs!$A$2:$C$73,3,FALSE()), VLOOKUP(A1430,Internal_lists_bugs!$A$2:$C$73,3,FALSE())&amp;Char(10) &amp; Char(10) &amp; VLOOKUP(A1430,Internal_lists_bugs!$A$2:$Z$73,26,FALSE())),"please select a BUG ID")</f>
        <v>please select a BUG ID</v>
      </c>
      <c r="C1430" s="51" t="str">
        <f>IFERROR(VLOOKUP(A1430,Internal_lists_bugs!$A$2:$G2011,7,FALSE()),"please select a BUG ID")</f>
        <v>please select a BUG ID</v>
      </c>
      <c r="D1430" s="43"/>
      <c r="F1430" s="43"/>
      <c r="H1430" s="43"/>
    </row>
    <row r="1431">
      <c r="A1431" s="43"/>
      <c r="B1431" s="59" t="str">
        <f>IFERROR(HYPERLINK(VLOOKUP(A1431,Internal_lists_bugs!$A$2:$C$73,3,FALSE()), VLOOKUP(A1431,Internal_lists_bugs!$A$2:$C$73,3,FALSE())&amp;Char(10) &amp; Char(10) &amp; VLOOKUP(A1431,Internal_lists_bugs!$A$2:$Z$73,26,FALSE())),"please select a BUG ID")</f>
        <v>please select a BUG ID</v>
      </c>
      <c r="C1431" s="51" t="str">
        <f>IFERROR(VLOOKUP(A1431,Internal_lists_bugs!$A$2:$G2011,7,FALSE()),"please select a BUG ID")</f>
        <v>please select a BUG ID</v>
      </c>
      <c r="D1431" s="43"/>
      <c r="F1431" s="43"/>
      <c r="H1431" s="43"/>
    </row>
    <row r="1432">
      <c r="A1432" s="43"/>
      <c r="B1432" s="59" t="str">
        <f>IFERROR(HYPERLINK(VLOOKUP(A1432,Internal_lists_bugs!$A$2:$C$73,3,FALSE()), VLOOKUP(A1432,Internal_lists_bugs!$A$2:$C$73,3,FALSE())&amp;Char(10) &amp; Char(10) &amp; VLOOKUP(A1432,Internal_lists_bugs!$A$2:$Z$73,26,FALSE())),"please select a BUG ID")</f>
        <v>please select a BUG ID</v>
      </c>
      <c r="C1432" s="51" t="str">
        <f>IFERROR(VLOOKUP(A1432,Internal_lists_bugs!$A$2:$G2011,7,FALSE()),"please select a BUG ID")</f>
        <v>please select a BUG ID</v>
      </c>
      <c r="D1432" s="43"/>
      <c r="F1432" s="43"/>
      <c r="H1432" s="43"/>
    </row>
    <row r="1433">
      <c r="A1433" s="43"/>
      <c r="B1433" s="59" t="str">
        <f>IFERROR(HYPERLINK(VLOOKUP(A1433,Internal_lists_bugs!$A$2:$C$73,3,FALSE()), VLOOKUP(A1433,Internal_lists_bugs!$A$2:$C$73,3,FALSE())&amp;Char(10) &amp; Char(10) &amp; VLOOKUP(A1433,Internal_lists_bugs!$A$2:$Z$73,26,FALSE())),"please select a BUG ID")</f>
        <v>please select a BUG ID</v>
      </c>
      <c r="C1433" s="51" t="str">
        <f>IFERROR(VLOOKUP(A1433,Internal_lists_bugs!$A$2:$G2011,7,FALSE()),"please select a BUG ID")</f>
        <v>please select a BUG ID</v>
      </c>
      <c r="D1433" s="43"/>
      <c r="F1433" s="43"/>
      <c r="H1433" s="43"/>
    </row>
    <row r="1434">
      <c r="A1434" s="43"/>
      <c r="B1434" s="59" t="str">
        <f>IFERROR(HYPERLINK(VLOOKUP(A1434,Internal_lists_bugs!$A$2:$C$73,3,FALSE()), VLOOKUP(A1434,Internal_lists_bugs!$A$2:$C$73,3,FALSE())&amp;Char(10) &amp; Char(10) &amp; VLOOKUP(A1434,Internal_lists_bugs!$A$2:$Z$73,26,FALSE())),"please select a BUG ID")</f>
        <v>please select a BUG ID</v>
      </c>
      <c r="C1434" s="51" t="str">
        <f>IFERROR(VLOOKUP(A1434,Internal_lists_bugs!$A$2:$G2011,7,FALSE()),"please select a BUG ID")</f>
        <v>please select a BUG ID</v>
      </c>
      <c r="D1434" s="43"/>
      <c r="F1434" s="43"/>
      <c r="H1434" s="43"/>
    </row>
    <row r="1435">
      <c r="A1435" s="43"/>
      <c r="B1435" s="59" t="str">
        <f>IFERROR(HYPERLINK(VLOOKUP(A1435,Internal_lists_bugs!$A$2:$C$73,3,FALSE()), VLOOKUP(A1435,Internal_lists_bugs!$A$2:$C$73,3,FALSE())&amp;Char(10) &amp; Char(10) &amp; VLOOKUP(A1435,Internal_lists_bugs!$A$2:$Z$73,26,FALSE())),"please select a BUG ID")</f>
        <v>please select a BUG ID</v>
      </c>
      <c r="C1435" s="51" t="str">
        <f>IFERROR(VLOOKUP(A1435,Internal_lists_bugs!$A$2:$G2011,7,FALSE()),"please select a BUG ID")</f>
        <v>please select a BUG ID</v>
      </c>
      <c r="D1435" s="43"/>
      <c r="F1435" s="43"/>
      <c r="H1435" s="43"/>
    </row>
    <row r="1436">
      <c r="A1436" s="43"/>
      <c r="B1436" s="59" t="str">
        <f>IFERROR(HYPERLINK(VLOOKUP(A1436,Internal_lists_bugs!$A$2:$C$73,3,FALSE()), VLOOKUP(A1436,Internal_lists_bugs!$A$2:$C$73,3,FALSE())&amp;Char(10) &amp; Char(10) &amp; VLOOKUP(A1436,Internal_lists_bugs!$A$2:$Z$73,26,FALSE())),"please select a BUG ID")</f>
        <v>please select a BUG ID</v>
      </c>
      <c r="C1436" s="51" t="str">
        <f>IFERROR(VLOOKUP(A1436,Internal_lists_bugs!$A$2:$G2011,7,FALSE()),"please select a BUG ID")</f>
        <v>please select a BUG ID</v>
      </c>
      <c r="D1436" s="43"/>
      <c r="F1436" s="43"/>
      <c r="H1436" s="43"/>
    </row>
    <row r="1437">
      <c r="A1437" s="43"/>
      <c r="B1437" s="59" t="str">
        <f>IFERROR(HYPERLINK(VLOOKUP(A1437,Internal_lists_bugs!$A$2:$C$73,3,FALSE()), VLOOKUP(A1437,Internal_lists_bugs!$A$2:$C$73,3,FALSE())&amp;Char(10) &amp; Char(10) &amp; VLOOKUP(A1437,Internal_lists_bugs!$A$2:$Z$73,26,FALSE())),"please select a BUG ID")</f>
        <v>please select a BUG ID</v>
      </c>
      <c r="C1437" s="51" t="str">
        <f>IFERROR(VLOOKUP(A1437,Internal_lists_bugs!$A$2:$G2011,7,FALSE()),"please select a BUG ID")</f>
        <v>please select a BUG ID</v>
      </c>
      <c r="D1437" s="43"/>
      <c r="F1437" s="43"/>
      <c r="H1437" s="43"/>
    </row>
    <row r="1438">
      <c r="A1438" s="43"/>
      <c r="B1438" s="59" t="str">
        <f>IFERROR(HYPERLINK(VLOOKUP(A1438,Internal_lists_bugs!$A$2:$C$73,3,FALSE()), VLOOKUP(A1438,Internal_lists_bugs!$A$2:$C$73,3,FALSE())&amp;Char(10) &amp; Char(10) &amp; VLOOKUP(A1438,Internal_lists_bugs!$A$2:$Z$73,26,FALSE())),"please select a BUG ID")</f>
        <v>please select a BUG ID</v>
      </c>
      <c r="C1438" s="51" t="str">
        <f>IFERROR(VLOOKUP(A1438,Internal_lists_bugs!$A$2:$G2011,7,FALSE()),"please select a BUG ID")</f>
        <v>please select a BUG ID</v>
      </c>
      <c r="D1438" s="43"/>
      <c r="F1438" s="43"/>
      <c r="H1438" s="43"/>
    </row>
    <row r="1439">
      <c r="A1439" s="43"/>
      <c r="B1439" s="59" t="str">
        <f>IFERROR(HYPERLINK(VLOOKUP(A1439,Internal_lists_bugs!$A$2:$C$73,3,FALSE()), VLOOKUP(A1439,Internal_lists_bugs!$A$2:$C$73,3,FALSE())&amp;Char(10) &amp; Char(10) &amp; VLOOKUP(A1439,Internal_lists_bugs!$A$2:$Z$73,26,FALSE())),"please select a BUG ID")</f>
        <v>please select a BUG ID</v>
      </c>
      <c r="C1439" s="51" t="str">
        <f>IFERROR(VLOOKUP(A1439,Internal_lists_bugs!$A$2:$G2011,7,FALSE()),"please select a BUG ID")</f>
        <v>please select a BUG ID</v>
      </c>
      <c r="D1439" s="43"/>
      <c r="F1439" s="43"/>
      <c r="H1439" s="43"/>
    </row>
    <row r="1440">
      <c r="A1440" s="43"/>
      <c r="B1440" s="59" t="str">
        <f>IFERROR(HYPERLINK(VLOOKUP(A1440,Internal_lists_bugs!$A$2:$C$73,3,FALSE()), VLOOKUP(A1440,Internal_lists_bugs!$A$2:$C$73,3,FALSE())&amp;Char(10) &amp; Char(10) &amp; VLOOKUP(A1440,Internal_lists_bugs!$A$2:$Z$73,26,FALSE())),"please select a BUG ID")</f>
        <v>please select a BUG ID</v>
      </c>
      <c r="C1440" s="51" t="str">
        <f>IFERROR(VLOOKUP(A1440,Internal_lists_bugs!$A$2:$G2011,7,FALSE()),"please select a BUG ID")</f>
        <v>please select a BUG ID</v>
      </c>
      <c r="D1440" s="43"/>
      <c r="F1440" s="43"/>
      <c r="H1440" s="43"/>
    </row>
    <row r="1441">
      <c r="A1441" s="43"/>
      <c r="B1441" s="59" t="str">
        <f>IFERROR(HYPERLINK(VLOOKUP(A1441,Internal_lists_bugs!$A$2:$C$73,3,FALSE()), VLOOKUP(A1441,Internal_lists_bugs!$A$2:$C$73,3,FALSE())&amp;Char(10) &amp; Char(10) &amp; VLOOKUP(A1441,Internal_lists_bugs!$A$2:$Z$73,26,FALSE())),"please select a BUG ID")</f>
        <v>please select a BUG ID</v>
      </c>
      <c r="C1441" s="51" t="str">
        <f>IFERROR(VLOOKUP(A1441,Internal_lists_bugs!$A$2:$G2011,7,FALSE()),"please select a BUG ID")</f>
        <v>please select a BUG ID</v>
      </c>
      <c r="D1441" s="43"/>
      <c r="F1441" s="43"/>
      <c r="H1441" s="43"/>
    </row>
    <row r="1442">
      <c r="A1442" s="43"/>
      <c r="B1442" s="59" t="str">
        <f>IFERROR(HYPERLINK(VLOOKUP(A1442,Internal_lists_bugs!$A$2:$C$73,3,FALSE()), VLOOKUP(A1442,Internal_lists_bugs!$A$2:$C$73,3,FALSE())&amp;Char(10) &amp; Char(10) &amp; VLOOKUP(A1442,Internal_lists_bugs!$A$2:$Z$73,26,FALSE())),"please select a BUG ID")</f>
        <v>please select a BUG ID</v>
      </c>
      <c r="C1442" s="51" t="str">
        <f>IFERROR(VLOOKUP(A1442,Internal_lists_bugs!$A$2:$G2011,7,FALSE()),"please select a BUG ID")</f>
        <v>please select a BUG ID</v>
      </c>
      <c r="D1442" s="43"/>
      <c r="F1442" s="43"/>
      <c r="H1442" s="43"/>
    </row>
    <row r="1443">
      <c r="A1443" s="43"/>
      <c r="B1443" s="59" t="str">
        <f>IFERROR(HYPERLINK(VLOOKUP(A1443,Internal_lists_bugs!$A$2:$C$73,3,FALSE()), VLOOKUP(A1443,Internal_lists_bugs!$A$2:$C$73,3,FALSE())&amp;Char(10) &amp; Char(10) &amp; VLOOKUP(A1443,Internal_lists_bugs!$A$2:$Z$73,26,FALSE())),"please select a BUG ID")</f>
        <v>please select a BUG ID</v>
      </c>
      <c r="C1443" s="51" t="str">
        <f>IFERROR(VLOOKUP(A1443,Internal_lists_bugs!$A$2:$G2011,7,FALSE()),"please select a BUG ID")</f>
        <v>please select a BUG ID</v>
      </c>
      <c r="D1443" s="43"/>
      <c r="F1443" s="43"/>
      <c r="H1443" s="43"/>
    </row>
    <row r="1444">
      <c r="A1444" s="43"/>
      <c r="B1444" s="59" t="str">
        <f>IFERROR(HYPERLINK(VLOOKUP(A1444,Internal_lists_bugs!$A$2:$C$73,3,FALSE()), VLOOKUP(A1444,Internal_lists_bugs!$A$2:$C$73,3,FALSE())&amp;Char(10) &amp; Char(10) &amp; VLOOKUP(A1444,Internal_lists_bugs!$A$2:$Z$73,26,FALSE())),"please select a BUG ID")</f>
        <v>please select a BUG ID</v>
      </c>
      <c r="C1444" s="51" t="str">
        <f>IFERROR(VLOOKUP(A1444,Internal_lists_bugs!$A$2:$G2011,7,FALSE()),"please select a BUG ID")</f>
        <v>please select a BUG ID</v>
      </c>
      <c r="D1444" s="43"/>
      <c r="F1444" s="43"/>
      <c r="H1444" s="43"/>
    </row>
    <row r="1445">
      <c r="A1445" s="43"/>
      <c r="B1445" s="59" t="str">
        <f>IFERROR(HYPERLINK(VLOOKUP(A1445,Internal_lists_bugs!$A$2:$C$73,3,FALSE()), VLOOKUP(A1445,Internal_lists_bugs!$A$2:$C$73,3,FALSE())&amp;Char(10) &amp; Char(10) &amp; VLOOKUP(A1445,Internal_lists_bugs!$A$2:$Z$73,26,FALSE())),"please select a BUG ID")</f>
        <v>please select a BUG ID</v>
      </c>
      <c r="C1445" s="51" t="str">
        <f>IFERROR(VLOOKUP(A1445,Internal_lists_bugs!$A$2:$G2011,7,FALSE()),"please select a BUG ID")</f>
        <v>please select a BUG ID</v>
      </c>
      <c r="D1445" s="43"/>
      <c r="F1445" s="43"/>
      <c r="H1445" s="43"/>
    </row>
    <row r="1446">
      <c r="A1446" s="43"/>
      <c r="B1446" s="59" t="str">
        <f>IFERROR(HYPERLINK(VLOOKUP(A1446,Internal_lists_bugs!$A$2:$C$73,3,FALSE()), VLOOKUP(A1446,Internal_lists_bugs!$A$2:$C$73,3,FALSE())&amp;Char(10) &amp; Char(10) &amp; VLOOKUP(A1446,Internal_lists_bugs!$A$2:$Z$73,26,FALSE())),"please select a BUG ID")</f>
        <v>please select a BUG ID</v>
      </c>
      <c r="C1446" s="51" t="str">
        <f>IFERROR(VLOOKUP(A1446,Internal_lists_bugs!$A$2:$G2011,7,FALSE()),"please select a BUG ID")</f>
        <v>please select a BUG ID</v>
      </c>
      <c r="D1446" s="43"/>
      <c r="F1446" s="43"/>
      <c r="H1446" s="43"/>
    </row>
    <row r="1447">
      <c r="A1447" s="43"/>
      <c r="B1447" s="59" t="str">
        <f>IFERROR(HYPERLINK(VLOOKUP(A1447,Internal_lists_bugs!$A$2:$C$73,3,FALSE()), VLOOKUP(A1447,Internal_lists_bugs!$A$2:$C$73,3,FALSE())&amp;Char(10) &amp; Char(10) &amp; VLOOKUP(A1447,Internal_lists_bugs!$A$2:$Z$73,26,FALSE())),"please select a BUG ID")</f>
        <v>please select a BUG ID</v>
      </c>
      <c r="C1447" s="51" t="str">
        <f>IFERROR(VLOOKUP(A1447,Internal_lists_bugs!$A$2:$G2011,7,FALSE()),"please select a BUG ID")</f>
        <v>please select a BUG ID</v>
      </c>
      <c r="D1447" s="43"/>
      <c r="F1447" s="43"/>
      <c r="H1447" s="43"/>
    </row>
    <row r="1448">
      <c r="A1448" s="43"/>
      <c r="B1448" s="59" t="str">
        <f>IFERROR(HYPERLINK(VLOOKUP(A1448,Internal_lists_bugs!$A$2:$C$73,3,FALSE()), VLOOKUP(A1448,Internal_lists_bugs!$A$2:$C$73,3,FALSE())&amp;Char(10) &amp; Char(10) &amp; VLOOKUP(A1448,Internal_lists_bugs!$A$2:$Z$73,26,FALSE())),"please select a BUG ID")</f>
        <v>please select a BUG ID</v>
      </c>
      <c r="C1448" s="51" t="str">
        <f>IFERROR(VLOOKUP(A1448,Internal_lists_bugs!$A$2:$G2011,7,FALSE()),"please select a BUG ID")</f>
        <v>please select a BUG ID</v>
      </c>
      <c r="D1448" s="43"/>
      <c r="F1448" s="43"/>
      <c r="H1448" s="43"/>
    </row>
    <row r="1449">
      <c r="A1449" s="43"/>
      <c r="B1449" s="59" t="str">
        <f>IFERROR(HYPERLINK(VLOOKUP(A1449,Internal_lists_bugs!$A$2:$C$73,3,FALSE()), VLOOKUP(A1449,Internal_lists_bugs!$A$2:$C$73,3,FALSE())&amp;Char(10) &amp; Char(10) &amp; VLOOKUP(A1449,Internal_lists_bugs!$A$2:$Z$73,26,FALSE())),"please select a BUG ID")</f>
        <v>please select a BUG ID</v>
      </c>
      <c r="C1449" s="51" t="str">
        <f>IFERROR(VLOOKUP(A1449,Internal_lists_bugs!$A$2:$G2011,7,FALSE()),"please select a BUG ID")</f>
        <v>please select a BUG ID</v>
      </c>
      <c r="D1449" s="43"/>
      <c r="F1449" s="43"/>
      <c r="H1449" s="43"/>
    </row>
    <row r="1450">
      <c r="A1450" s="43"/>
      <c r="B1450" s="59" t="str">
        <f>IFERROR(HYPERLINK(VLOOKUP(A1450,Internal_lists_bugs!$A$2:$C$73,3,FALSE()), VLOOKUP(A1450,Internal_lists_bugs!$A$2:$C$73,3,FALSE())&amp;Char(10) &amp; Char(10) &amp; VLOOKUP(A1450,Internal_lists_bugs!$A$2:$Z$73,26,FALSE())),"please select a BUG ID")</f>
        <v>please select a BUG ID</v>
      </c>
      <c r="C1450" s="51" t="str">
        <f>IFERROR(VLOOKUP(A1450,Internal_lists_bugs!$A$2:$G2011,7,FALSE()),"please select a BUG ID")</f>
        <v>please select a BUG ID</v>
      </c>
      <c r="D1450" s="43"/>
      <c r="F1450" s="43"/>
      <c r="H1450" s="43"/>
    </row>
    <row r="1451">
      <c r="A1451" s="43"/>
      <c r="B1451" s="59" t="str">
        <f>IFERROR(HYPERLINK(VLOOKUP(A1451,Internal_lists_bugs!$A$2:$C$73,3,FALSE()), VLOOKUP(A1451,Internal_lists_bugs!$A$2:$C$73,3,FALSE())&amp;Char(10) &amp; Char(10) &amp; VLOOKUP(A1451,Internal_lists_bugs!$A$2:$Z$73,26,FALSE())),"please select a BUG ID")</f>
        <v>please select a BUG ID</v>
      </c>
      <c r="C1451" s="51" t="str">
        <f>IFERROR(VLOOKUP(A1451,Internal_lists_bugs!$A$2:$G2011,7,FALSE()),"please select a BUG ID")</f>
        <v>please select a BUG ID</v>
      </c>
      <c r="D1451" s="43"/>
      <c r="F1451" s="43"/>
      <c r="H1451" s="43"/>
    </row>
    <row r="1452">
      <c r="A1452" s="43"/>
      <c r="B1452" s="59" t="str">
        <f>IFERROR(HYPERLINK(VLOOKUP(A1452,Internal_lists_bugs!$A$2:$C$73,3,FALSE()), VLOOKUP(A1452,Internal_lists_bugs!$A$2:$C$73,3,FALSE())&amp;Char(10) &amp; Char(10) &amp; VLOOKUP(A1452,Internal_lists_bugs!$A$2:$Z$73,26,FALSE())),"please select a BUG ID")</f>
        <v>please select a BUG ID</v>
      </c>
      <c r="C1452" s="51" t="str">
        <f>IFERROR(VLOOKUP(A1452,Internal_lists_bugs!$A$2:$G2011,7,FALSE()),"please select a BUG ID")</f>
        <v>please select a BUG ID</v>
      </c>
      <c r="D1452" s="43"/>
      <c r="F1452" s="43"/>
      <c r="H1452" s="43"/>
    </row>
    <row r="1453">
      <c r="A1453" s="43"/>
      <c r="B1453" s="59" t="str">
        <f>IFERROR(HYPERLINK(VLOOKUP(A1453,Internal_lists_bugs!$A$2:$C$73,3,FALSE()), VLOOKUP(A1453,Internal_lists_bugs!$A$2:$C$73,3,FALSE())&amp;Char(10) &amp; Char(10) &amp; VLOOKUP(A1453,Internal_lists_bugs!$A$2:$Z$73,26,FALSE())),"please select a BUG ID")</f>
        <v>please select a BUG ID</v>
      </c>
      <c r="C1453" s="51" t="str">
        <f>IFERROR(VLOOKUP(A1453,Internal_lists_bugs!$A$2:$G2011,7,FALSE()),"please select a BUG ID")</f>
        <v>please select a BUG ID</v>
      </c>
      <c r="D1453" s="43"/>
      <c r="F1453" s="43"/>
      <c r="H1453" s="43"/>
    </row>
    <row r="1454">
      <c r="A1454" s="43"/>
      <c r="B1454" s="59" t="str">
        <f>IFERROR(HYPERLINK(VLOOKUP(A1454,Internal_lists_bugs!$A$2:$C$73,3,FALSE()), VLOOKUP(A1454,Internal_lists_bugs!$A$2:$C$73,3,FALSE())&amp;Char(10) &amp; Char(10) &amp; VLOOKUP(A1454,Internal_lists_bugs!$A$2:$Z$73,26,FALSE())),"please select a BUG ID")</f>
        <v>please select a BUG ID</v>
      </c>
      <c r="C1454" s="51" t="str">
        <f>IFERROR(VLOOKUP(A1454,Internal_lists_bugs!$A$2:$G2011,7,FALSE()),"please select a BUG ID")</f>
        <v>please select a BUG ID</v>
      </c>
      <c r="D1454" s="43"/>
      <c r="F1454" s="43"/>
      <c r="H1454" s="43"/>
    </row>
    <row r="1455">
      <c r="A1455" s="43"/>
      <c r="B1455" s="59" t="str">
        <f>IFERROR(HYPERLINK(VLOOKUP(A1455,Internal_lists_bugs!$A$2:$C$73,3,FALSE()), VLOOKUP(A1455,Internal_lists_bugs!$A$2:$C$73,3,FALSE())&amp;Char(10) &amp; Char(10) &amp; VLOOKUP(A1455,Internal_lists_bugs!$A$2:$Z$73,26,FALSE())),"please select a BUG ID")</f>
        <v>please select a BUG ID</v>
      </c>
      <c r="C1455" s="51" t="str">
        <f>IFERROR(VLOOKUP(A1455,Internal_lists_bugs!$A$2:$G2011,7,FALSE()),"please select a BUG ID")</f>
        <v>please select a BUG ID</v>
      </c>
      <c r="D1455" s="43"/>
      <c r="F1455" s="43"/>
      <c r="H1455" s="43"/>
    </row>
    <row r="1456">
      <c r="A1456" s="43"/>
      <c r="B1456" s="59" t="str">
        <f>IFERROR(HYPERLINK(VLOOKUP(A1456,Internal_lists_bugs!$A$2:$C$73,3,FALSE()), VLOOKUP(A1456,Internal_lists_bugs!$A$2:$C$73,3,FALSE())&amp;Char(10) &amp; Char(10) &amp; VLOOKUP(A1456,Internal_lists_bugs!$A$2:$Z$73,26,FALSE())),"please select a BUG ID")</f>
        <v>please select a BUG ID</v>
      </c>
      <c r="C1456" s="51" t="str">
        <f>IFERROR(VLOOKUP(A1456,Internal_lists_bugs!$A$2:$G2011,7,FALSE()),"please select a BUG ID")</f>
        <v>please select a BUG ID</v>
      </c>
      <c r="D1456" s="43"/>
      <c r="F1456" s="43"/>
      <c r="H1456" s="43"/>
    </row>
    <row r="1457">
      <c r="A1457" s="43"/>
      <c r="B1457" s="59" t="str">
        <f>IFERROR(HYPERLINK(VLOOKUP(A1457,Internal_lists_bugs!$A$2:$C$73,3,FALSE()), VLOOKUP(A1457,Internal_lists_bugs!$A$2:$C$73,3,FALSE())&amp;Char(10) &amp; Char(10) &amp; VLOOKUP(A1457,Internal_lists_bugs!$A$2:$Z$73,26,FALSE())),"please select a BUG ID")</f>
        <v>please select a BUG ID</v>
      </c>
      <c r="C1457" s="51" t="str">
        <f>IFERROR(VLOOKUP(A1457,Internal_lists_bugs!$A$2:$G2011,7,FALSE()),"please select a BUG ID")</f>
        <v>please select a BUG ID</v>
      </c>
      <c r="D1457" s="43"/>
      <c r="F1457" s="43"/>
      <c r="H1457" s="43"/>
    </row>
    <row r="1458">
      <c r="A1458" s="43"/>
      <c r="B1458" s="59" t="str">
        <f>IFERROR(HYPERLINK(VLOOKUP(A1458,Internal_lists_bugs!$A$2:$C$73,3,FALSE()), VLOOKUP(A1458,Internal_lists_bugs!$A$2:$C$73,3,FALSE())&amp;Char(10) &amp; Char(10) &amp; VLOOKUP(A1458,Internal_lists_bugs!$A$2:$Z$73,26,FALSE())),"please select a BUG ID")</f>
        <v>please select a BUG ID</v>
      </c>
      <c r="C1458" s="51" t="str">
        <f>IFERROR(VLOOKUP(A1458,Internal_lists_bugs!$A$2:$G2011,7,FALSE()),"please select a BUG ID")</f>
        <v>please select a BUG ID</v>
      </c>
      <c r="D1458" s="43"/>
      <c r="F1458" s="43"/>
      <c r="H1458" s="43"/>
    </row>
    <row r="1459">
      <c r="A1459" s="43"/>
      <c r="B1459" s="59" t="str">
        <f>IFERROR(HYPERLINK(VLOOKUP(A1459,Internal_lists_bugs!$A$2:$C$73,3,FALSE()), VLOOKUP(A1459,Internal_lists_bugs!$A$2:$C$73,3,FALSE())&amp;Char(10) &amp; Char(10) &amp; VLOOKUP(A1459,Internal_lists_bugs!$A$2:$Z$73,26,FALSE())),"please select a BUG ID")</f>
        <v>please select a BUG ID</v>
      </c>
      <c r="C1459" s="51" t="str">
        <f>IFERROR(VLOOKUP(A1459,Internal_lists_bugs!$A$2:$G2011,7,FALSE()),"please select a BUG ID")</f>
        <v>please select a BUG ID</v>
      </c>
      <c r="D1459" s="43"/>
      <c r="F1459" s="43"/>
      <c r="H1459" s="43"/>
    </row>
    <row r="1460">
      <c r="A1460" s="43"/>
      <c r="B1460" s="59" t="str">
        <f>IFERROR(HYPERLINK(VLOOKUP(A1460,Internal_lists_bugs!$A$2:$C$73,3,FALSE()), VLOOKUP(A1460,Internal_lists_bugs!$A$2:$C$73,3,FALSE())&amp;Char(10) &amp; Char(10) &amp; VLOOKUP(A1460,Internal_lists_bugs!$A$2:$Z$73,26,FALSE())),"please select a BUG ID")</f>
        <v>please select a BUG ID</v>
      </c>
      <c r="C1460" s="51" t="str">
        <f>IFERROR(VLOOKUP(A1460,Internal_lists_bugs!$A$2:$G2011,7,FALSE()),"please select a BUG ID")</f>
        <v>please select a BUG ID</v>
      </c>
      <c r="D1460" s="43"/>
      <c r="F1460" s="43"/>
      <c r="H1460" s="43"/>
    </row>
    <row r="1461">
      <c r="A1461" s="43"/>
      <c r="B1461" s="59" t="str">
        <f>IFERROR(HYPERLINK(VLOOKUP(A1461,Internal_lists_bugs!$A$2:$C$73,3,FALSE()), VLOOKUP(A1461,Internal_lists_bugs!$A$2:$C$73,3,FALSE())&amp;Char(10) &amp; Char(10) &amp; VLOOKUP(A1461,Internal_lists_bugs!$A$2:$Z$73,26,FALSE())),"please select a BUG ID")</f>
        <v>please select a BUG ID</v>
      </c>
      <c r="C1461" s="51" t="str">
        <f>IFERROR(VLOOKUP(A1461,Internal_lists_bugs!$A$2:$G2011,7,FALSE()),"please select a BUG ID")</f>
        <v>please select a BUG ID</v>
      </c>
      <c r="D1461" s="43"/>
      <c r="F1461" s="43"/>
      <c r="H1461" s="43"/>
    </row>
    <row r="1462">
      <c r="A1462" s="43"/>
      <c r="B1462" s="59" t="str">
        <f>IFERROR(HYPERLINK(VLOOKUP(A1462,Internal_lists_bugs!$A$2:$C$73,3,FALSE()), VLOOKUP(A1462,Internal_lists_bugs!$A$2:$C$73,3,FALSE())&amp;Char(10) &amp; Char(10) &amp; VLOOKUP(A1462,Internal_lists_bugs!$A$2:$Z$73,26,FALSE())),"please select a BUG ID")</f>
        <v>please select a BUG ID</v>
      </c>
      <c r="C1462" s="51" t="str">
        <f>IFERROR(VLOOKUP(A1462,Internal_lists_bugs!$A$2:$G2011,7,FALSE()),"please select a BUG ID")</f>
        <v>please select a BUG ID</v>
      </c>
      <c r="D1462" s="43"/>
      <c r="F1462" s="43"/>
      <c r="H1462" s="43"/>
    </row>
    <row r="1463">
      <c r="A1463" s="43"/>
      <c r="B1463" s="59" t="str">
        <f>IFERROR(HYPERLINK(VLOOKUP(A1463,Internal_lists_bugs!$A$2:$C$73,3,FALSE()), VLOOKUP(A1463,Internal_lists_bugs!$A$2:$C$73,3,FALSE())&amp;Char(10) &amp; Char(10) &amp; VLOOKUP(A1463,Internal_lists_bugs!$A$2:$Z$73,26,FALSE())),"please select a BUG ID")</f>
        <v>please select a BUG ID</v>
      </c>
      <c r="C1463" s="51" t="str">
        <f>IFERROR(VLOOKUP(A1463,Internal_lists_bugs!$A$2:$G2011,7,FALSE()),"please select a BUG ID")</f>
        <v>please select a BUG ID</v>
      </c>
      <c r="D1463" s="43"/>
      <c r="F1463" s="43"/>
      <c r="H1463" s="43"/>
    </row>
    <row r="1464">
      <c r="A1464" s="43"/>
      <c r="B1464" s="59" t="str">
        <f>IFERROR(HYPERLINK(VLOOKUP(A1464,Internal_lists_bugs!$A$2:$C$73,3,FALSE()), VLOOKUP(A1464,Internal_lists_bugs!$A$2:$C$73,3,FALSE())&amp;Char(10) &amp; Char(10) &amp; VLOOKUP(A1464,Internal_lists_bugs!$A$2:$Z$73,26,FALSE())),"please select a BUG ID")</f>
        <v>please select a BUG ID</v>
      </c>
      <c r="C1464" s="51" t="str">
        <f>IFERROR(VLOOKUP(A1464,Internal_lists_bugs!$A$2:$G2011,7,FALSE()),"please select a BUG ID")</f>
        <v>please select a BUG ID</v>
      </c>
      <c r="D1464" s="43"/>
      <c r="F1464" s="43"/>
      <c r="H1464" s="43"/>
    </row>
    <row r="1465">
      <c r="A1465" s="43"/>
      <c r="B1465" s="59" t="str">
        <f>IFERROR(HYPERLINK(VLOOKUP(A1465,Internal_lists_bugs!$A$2:$C$73,3,FALSE()), VLOOKUP(A1465,Internal_lists_bugs!$A$2:$C$73,3,FALSE())&amp;Char(10) &amp; Char(10) &amp; VLOOKUP(A1465,Internal_lists_bugs!$A$2:$Z$73,26,FALSE())),"please select a BUG ID")</f>
        <v>please select a BUG ID</v>
      </c>
      <c r="C1465" s="51" t="str">
        <f>IFERROR(VLOOKUP(A1465,Internal_lists_bugs!$A$2:$G2011,7,FALSE()),"please select a BUG ID")</f>
        <v>please select a BUG ID</v>
      </c>
      <c r="D1465" s="43"/>
      <c r="F1465" s="43"/>
      <c r="H1465" s="43"/>
    </row>
    <row r="1466">
      <c r="A1466" s="43"/>
      <c r="B1466" s="59" t="str">
        <f>IFERROR(HYPERLINK(VLOOKUP(A1466,Internal_lists_bugs!$A$2:$C$73,3,FALSE()), VLOOKUP(A1466,Internal_lists_bugs!$A$2:$C$73,3,FALSE())&amp;Char(10) &amp; Char(10) &amp; VLOOKUP(A1466,Internal_lists_bugs!$A$2:$Z$73,26,FALSE())),"please select a BUG ID")</f>
        <v>please select a BUG ID</v>
      </c>
      <c r="C1466" s="51" t="str">
        <f>IFERROR(VLOOKUP(A1466,Internal_lists_bugs!$A$2:$G2011,7,FALSE()),"please select a BUG ID")</f>
        <v>please select a BUG ID</v>
      </c>
      <c r="D1466" s="43"/>
      <c r="F1466" s="43"/>
      <c r="H1466" s="43"/>
    </row>
    <row r="1467">
      <c r="A1467" s="43"/>
      <c r="B1467" s="59" t="str">
        <f>IFERROR(HYPERLINK(VLOOKUP(A1467,Internal_lists_bugs!$A$2:$C$73,3,FALSE()), VLOOKUP(A1467,Internal_lists_bugs!$A$2:$C$73,3,FALSE())&amp;Char(10) &amp; Char(10) &amp; VLOOKUP(A1467,Internal_lists_bugs!$A$2:$Z$73,26,FALSE())),"please select a BUG ID")</f>
        <v>please select a BUG ID</v>
      </c>
      <c r="C1467" s="51" t="str">
        <f>IFERROR(VLOOKUP(A1467,Internal_lists_bugs!$A$2:$G2011,7,FALSE()),"please select a BUG ID")</f>
        <v>please select a BUG ID</v>
      </c>
      <c r="D1467" s="43"/>
      <c r="F1467" s="43"/>
      <c r="H1467" s="43"/>
    </row>
    <row r="1468">
      <c r="A1468" s="43"/>
      <c r="B1468" s="59" t="str">
        <f>IFERROR(HYPERLINK(VLOOKUP(A1468,Internal_lists_bugs!$A$2:$C$73,3,FALSE()), VLOOKUP(A1468,Internal_lists_bugs!$A$2:$C$73,3,FALSE())&amp;Char(10) &amp; Char(10) &amp; VLOOKUP(A1468,Internal_lists_bugs!$A$2:$Z$73,26,FALSE())),"please select a BUG ID")</f>
        <v>please select a BUG ID</v>
      </c>
      <c r="C1468" s="51" t="str">
        <f>IFERROR(VLOOKUP(A1468,Internal_lists_bugs!$A$2:$G2011,7,FALSE()),"please select a BUG ID")</f>
        <v>please select a BUG ID</v>
      </c>
      <c r="D1468" s="43"/>
      <c r="F1468" s="43"/>
      <c r="H1468" s="43"/>
    </row>
    <row r="1469">
      <c r="A1469" s="43"/>
      <c r="B1469" s="59" t="str">
        <f>IFERROR(HYPERLINK(VLOOKUP(A1469,Internal_lists_bugs!$A$2:$C$73,3,FALSE()), VLOOKUP(A1469,Internal_lists_bugs!$A$2:$C$73,3,FALSE())&amp;Char(10) &amp; Char(10) &amp; VLOOKUP(A1469,Internal_lists_bugs!$A$2:$Z$73,26,FALSE())),"please select a BUG ID")</f>
        <v>please select a BUG ID</v>
      </c>
      <c r="C1469" s="51" t="str">
        <f>IFERROR(VLOOKUP(A1469,Internal_lists_bugs!$A$2:$G2011,7,FALSE()),"please select a BUG ID")</f>
        <v>please select a BUG ID</v>
      </c>
      <c r="D1469" s="43"/>
      <c r="F1469" s="43"/>
      <c r="H1469" s="43"/>
    </row>
    <row r="1470">
      <c r="A1470" s="43"/>
      <c r="B1470" s="59" t="str">
        <f>IFERROR(HYPERLINK(VLOOKUP(A1470,Internal_lists_bugs!$A$2:$C$73,3,FALSE()), VLOOKUP(A1470,Internal_lists_bugs!$A$2:$C$73,3,FALSE())&amp;Char(10) &amp; Char(10) &amp; VLOOKUP(A1470,Internal_lists_bugs!$A$2:$Z$73,26,FALSE())),"please select a BUG ID")</f>
        <v>please select a BUG ID</v>
      </c>
      <c r="C1470" s="51" t="str">
        <f>IFERROR(VLOOKUP(A1470,Internal_lists_bugs!$A$2:$G2011,7,FALSE()),"please select a BUG ID")</f>
        <v>please select a BUG ID</v>
      </c>
      <c r="D1470" s="43"/>
      <c r="F1470" s="43"/>
      <c r="H1470" s="43"/>
    </row>
    <row r="1471">
      <c r="A1471" s="43"/>
      <c r="B1471" s="59" t="str">
        <f>IFERROR(HYPERLINK(VLOOKUP(A1471,Internal_lists_bugs!$A$2:$C$73,3,FALSE()), VLOOKUP(A1471,Internal_lists_bugs!$A$2:$C$73,3,FALSE())&amp;Char(10) &amp; Char(10) &amp; VLOOKUP(A1471,Internal_lists_bugs!$A$2:$Z$73,26,FALSE())),"please select a BUG ID")</f>
        <v>please select a BUG ID</v>
      </c>
      <c r="C1471" s="51" t="str">
        <f>IFERROR(VLOOKUP(A1471,Internal_lists_bugs!$A$2:$G2011,7,FALSE()),"please select a BUG ID")</f>
        <v>please select a BUG ID</v>
      </c>
      <c r="D1471" s="43"/>
      <c r="F1471" s="43"/>
      <c r="H1471" s="43"/>
    </row>
    <row r="1472">
      <c r="A1472" s="43"/>
      <c r="B1472" s="59" t="str">
        <f>IFERROR(HYPERLINK(VLOOKUP(A1472,Internal_lists_bugs!$A$2:$C$73,3,FALSE()), VLOOKUP(A1472,Internal_lists_bugs!$A$2:$C$73,3,FALSE())&amp;Char(10) &amp; Char(10) &amp; VLOOKUP(A1472,Internal_lists_bugs!$A$2:$Z$73,26,FALSE())),"please select a BUG ID")</f>
        <v>please select a BUG ID</v>
      </c>
      <c r="C1472" s="51" t="str">
        <f>IFERROR(VLOOKUP(A1472,Internal_lists_bugs!$A$2:$G2011,7,FALSE()),"please select a BUG ID")</f>
        <v>please select a BUG ID</v>
      </c>
      <c r="D1472" s="43"/>
      <c r="F1472" s="43"/>
      <c r="H1472" s="43"/>
    </row>
    <row r="1473">
      <c r="A1473" s="43"/>
      <c r="B1473" s="59" t="str">
        <f>IFERROR(HYPERLINK(VLOOKUP(A1473,Internal_lists_bugs!$A$2:$C$73,3,FALSE()), VLOOKUP(A1473,Internal_lists_bugs!$A$2:$C$73,3,FALSE())&amp;Char(10) &amp; Char(10) &amp; VLOOKUP(A1473,Internal_lists_bugs!$A$2:$Z$73,26,FALSE())),"please select a BUG ID")</f>
        <v>please select a BUG ID</v>
      </c>
      <c r="C1473" s="51" t="str">
        <f>IFERROR(VLOOKUP(A1473,Internal_lists_bugs!$A$2:$G2011,7,FALSE()),"please select a BUG ID")</f>
        <v>please select a BUG ID</v>
      </c>
      <c r="D1473" s="43"/>
      <c r="F1473" s="43"/>
      <c r="H1473" s="43"/>
    </row>
    <row r="1474">
      <c r="A1474" s="43"/>
      <c r="B1474" s="59" t="str">
        <f>IFERROR(HYPERLINK(VLOOKUP(A1474,Internal_lists_bugs!$A$2:$C$73,3,FALSE()), VLOOKUP(A1474,Internal_lists_bugs!$A$2:$C$73,3,FALSE())&amp;Char(10) &amp; Char(10) &amp; VLOOKUP(A1474,Internal_lists_bugs!$A$2:$Z$73,26,FALSE())),"please select a BUG ID")</f>
        <v>please select a BUG ID</v>
      </c>
      <c r="C1474" s="51" t="str">
        <f>IFERROR(VLOOKUP(A1474,Internal_lists_bugs!$A$2:$G2011,7,FALSE()),"please select a BUG ID")</f>
        <v>please select a BUG ID</v>
      </c>
      <c r="D1474" s="43"/>
      <c r="F1474" s="43"/>
      <c r="H1474" s="43"/>
    </row>
    <row r="1475">
      <c r="A1475" s="43"/>
      <c r="B1475" s="59" t="str">
        <f>IFERROR(HYPERLINK(VLOOKUP(A1475,Internal_lists_bugs!$A$2:$C$73,3,FALSE()), VLOOKUP(A1475,Internal_lists_bugs!$A$2:$C$73,3,FALSE())&amp;Char(10) &amp; Char(10) &amp; VLOOKUP(A1475,Internal_lists_bugs!$A$2:$Z$73,26,FALSE())),"please select a BUG ID")</f>
        <v>please select a BUG ID</v>
      </c>
      <c r="C1475" s="51" t="str">
        <f>IFERROR(VLOOKUP(A1475,Internal_lists_bugs!$A$2:$G2011,7,FALSE()),"please select a BUG ID")</f>
        <v>please select a BUG ID</v>
      </c>
      <c r="D1475" s="43"/>
      <c r="F1475" s="43"/>
      <c r="H1475" s="43"/>
    </row>
    <row r="1476">
      <c r="A1476" s="43"/>
      <c r="B1476" s="59" t="str">
        <f>IFERROR(HYPERLINK(VLOOKUP(A1476,Internal_lists_bugs!$A$2:$C$73,3,FALSE()), VLOOKUP(A1476,Internal_lists_bugs!$A$2:$C$73,3,FALSE())&amp;Char(10) &amp; Char(10) &amp; VLOOKUP(A1476,Internal_lists_bugs!$A$2:$Z$73,26,FALSE())),"please select a BUG ID")</f>
        <v>please select a BUG ID</v>
      </c>
      <c r="C1476" s="51" t="str">
        <f>IFERROR(VLOOKUP(A1476,Internal_lists_bugs!$A$2:$G2011,7,FALSE()),"please select a BUG ID")</f>
        <v>please select a BUG ID</v>
      </c>
      <c r="D1476" s="43"/>
      <c r="F1476" s="43"/>
      <c r="H1476" s="43"/>
    </row>
    <row r="1477">
      <c r="A1477" s="43"/>
      <c r="B1477" s="59" t="str">
        <f>IFERROR(HYPERLINK(VLOOKUP(A1477,Internal_lists_bugs!$A$2:$C$73,3,FALSE()), VLOOKUP(A1477,Internal_lists_bugs!$A$2:$C$73,3,FALSE())&amp;Char(10) &amp; Char(10) &amp; VLOOKUP(A1477,Internal_lists_bugs!$A$2:$Z$73,26,FALSE())),"please select a BUG ID")</f>
        <v>please select a BUG ID</v>
      </c>
      <c r="C1477" s="51" t="str">
        <f>IFERROR(VLOOKUP(A1477,Internal_lists_bugs!$A$2:$G2011,7,FALSE()),"please select a BUG ID")</f>
        <v>please select a BUG ID</v>
      </c>
      <c r="D1477" s="43"/>
      <c r="F1477" s="43"/>
      <c r="H1477" s="43"/>
    </row>
    <row r="1478">
      <c r="A1478" s="43"/>
      <c r="B1478" s="59" t="str">
        <f>IFERROR(HYPERLINK(VLOOKUP(A1478,Internal_lists_bugs!$A$2:$C$73,3,FALSE()), VLOOKUP(A1478,Internal_lists_bugs!$A$2:$C$73,3,FALSE())&amp;Char(10) &amp; Char(10) &amp; VLOOKUP(A1478,Internal_lists_bugs!$A$2:$Z$73,26,FALSE())),"please select a BUG ID")</f>
        <v>please select a BUG ID</v>
      </c>
      <c r="C1478" s="51" t="str">
        <f>IFERROR(VLOOKUP(A1478,Internal_lists_bugs!$A$2:$G2011,7,FALSE()),"please select a BUG ID")</f>
        <v>please select a BUG ID</v>
      </c>
      <c r="D1478" s="43"/>
      <c r="F1478" s="43"/>
      <c r="H1478" s="43"/>
    </row>
    <row r="1479">
      <c r="A1479" s="43"/>
      <c r="B1479" s="59" t="str">
        <f>IFERROR(HYPERLINK(VLOOKUP(A1479,Internal_lists_bugs!$A$2:$C$73,3,FALSE()), VLOOKUP(A1479,Internal_lists_bugs!$A$2:$C$73,3,FALSE())&amp;Char(10) &amp; Char(10) &amp; VLOOKUP(A1479,Internal_lists_bugs!$A$2:$Z$73,26,FALSE())),"please select a BUG ID")</f>
        <v>please select a BUG ID</v>
      </c>
      <c r="C1479" s="51" t="str">
        <f>IFERROR(VLOOKUP(A1479,Internal_lists_bugs!$A$2:$G2011,7,FALSE()),"please select a BUG ID")</f>
        <v>please select a BUG ID</v>
      </c>
      <c r="D1479" s="43"/>
      <c r="F1479" s="43"/>
      <c r="H1479" s="43"/>
    </row>
    <row r="1480">
      <c r="A1480" s="43"/>
      <c r="B1480" s="59" t="str">
        <f>IFERROR(HYPERLINK(VLOOKUP(A1480,Internal_lists_bugs!$A$2:$C$73,3,FALSE()), VLOOKUP(A1480,Internal_lists_bugs!$A$2:$C$73,3,FALSE())&amp;Char(10) &amp; Char(10) &amp; VLOOKUP(A1480,Internal_lists_bugs!$A$2:$Z$73,26,FALSE())),"please select a BUG ID")</f>
        <v>please select a BUG ID</v>
      </c>
      <c r="C1480" s="51" t="str">
        <f>IFERROR(VLOOKUP(A1480,Internal_lists_bugs!$A$2:$G2011,7,FALSE()),"please select a BUG ID")</f>
        <v>please select a BUG ID</v>
      </c>
      <c r="D1480" s="43"/>
      <c r="F1480" s="43"/>
      <c r="H1480" s="43"/>
    </row>
    <row r="1481">
      <c r="A1481" s="43"/>
      <c r="B1481" s="59" t="str">
        <f>IFERROR(HYPERLINK(VLOOKUP(A1481,Internal_lists_bugs!$A$2:$C$73,3,FALSE()), VLOOKUP(A1481,Internal_lists_bugs!$A$2:$C$73,3,FALSE())&amp;Char(10) &amp; Char(10) &amp; VLOOKUP(A1481,Internal_lists_bugs!$A$2:$Z$73,26,FALSE())),"please select a BUG ID")</f>
        <v>please select a BUG ID</v>
      </c>
      <c r="C1481" s="51" t="str">
        <f>IFERROR(VLOOKUP(A1481,Internal_lists_bugs!$A$2:$G2011,7,FALSE()),"please select a BUG ID")</f>
        <v>please select a BUG ID</v>
      </c>
      <c r="D1481" s="43"/>
      <c r="F1481" s="43"/>
      <c r="H1481" s="43"/>
    </row>
    <row r="1482">
      <c r="A1482" s="43"/>
      <c r="B1482" s="59" t="str">
        <f>IFERROR(HYPERLINK(VLOOKUP(A1482,Internal_lists_bugs!$A$2:$C$73,3,FALSE()), VLOOKUP(A1482,Internal_lists_bugs!$A$2:$C$73,3,FALSE())&amp;Char(10) &amp; Char(10) &amp; VLOOKUP(A1482,Internal_lists_bugs!$A$2:$Z$73,26,FALSE())),"please select a BUG ID")</f>
        <v>please select a BUG ID</v>
      </c>
      <c r="C1482" s="51" t="str">
        <f>IFERROR(VLOOKUP(A1482,Internal_lists_bugs!$A$2:$G2011,7,FALSE()),"please select a BUG ID")</f>
        <v>please select a BUG ID</v>
      </c>
      <c r="D1482" s="43"/>
      <c r="F1482" s="43"/>
      <c r="H1482" s="43"/>
    </row>
    <row r="1483">
      <c r="A1483" s="43"/>
      <c r="B1483" s="59" t="str">
        <f>IFERROR(HYPERLINK(VLOOKUP(A1483,Internal_lists_bugs!$A$2:$C$73,3,FALSE()), VLOOKUP(A1483,Internal_lists_bugs!$A$2:$C$73,3,FALSE())&amp;Char(10) &amp; Char(10) &amp; VLOOKUP(A1483,Internal_lists_bugs!$A$2:$Z$73,26,FALSE())),"please select a BUG ID")</f>
        <v>please select a BUG ID</v>
      </c>
      <c r="C1483" s="51" t="str">
        <f>IFERROR(VLOOKUP(A1483,Internal_lists_bugs!$A$2:$G2011,7,FALSE()),"please select a BUG ID")</f>
        <v>please select a BUG ID</v>
      </c>
      <c r="D1483" s="43"/>
      <c r="F1483" s="43"/>
      <c r="H1483" s="43"/>
    </row>
    <row r="1484">
      <c r="A1484" s="43"/>
      <c r="B1484" s="59" t="str">
        <f>IFERROR(HYPERLINK(VLOOKUP(A1484,Internal_lists_bugs!$A$2:$C$73,3,FALSE()), VLOOKUP(A1484,Internal_lists_bugs!$A$2:$C$73,3,FALSE())&amp;Char(10) &amp; Char(10) &amp; VLOOKUP(A1484,Internal_lists_bugs!$A$2:$Z$73,26,FALSE())),"please select a BUG ID")</f>
        <v>please select a BUG ID</v>
      </c>
      <c r="C1484" s="51" t="str">
        <f>IFERROR(VLOOKUP(A1484,Internal_lists_bugs!$A$2:$G2011,7,FALSE()),"please select a BUG ID")</f>
        <v>please select a BUG ID</v>
      </c>
      <c r="D1484" s="43"/>
      <c r="F1484" s="43"/>
      <c r="H1484" s="43"/>
    </row>
    <row r="1485">
      <c r="A1485" s="43"/>
      <c r="B1485" s="59" t="str">
        <f>IFERROR(HYPERLINK(VLOOKUP(A1485,Internal_lists_bugs!$A$2:$C$73,3,FALSE()), VLOOKUP(A1485,Internal_lists_bugs!$A$2:$C$73,3,FALSE())&amp;Char(10) &amp; Char(10) &amp; VLOOKUP(A1485,Internal_lists_bugs!$A$2:$Z$73,26,FALSE())),"please select a BUG ID")</f>
        <v>please select a BUG ID</v>
      </c>
      <c r="C1485" s="51" t="str">
        <f>IFERROR(VLOOKUP(A1485,Internal_lists_bugs!$A$2:$G2011,7,FALSE()),"please select a BUG ID")</f>
        <v>please select a BUG ID</v>
      </c>
      <c r="D1485" s="43"/>
      <c r="F1485" s="43"/>
      <c r="H1485" s="43"/>
    </row>
    <row r="1486">
      <c r="A1486" s="43"/>
      <c r="B1486" s="59" t="str">
        <f>IFERROR(HYPERLINK(VLOOKUP(A1486,Internal_lists_bugs!$A$2:$C$73,3,FALSE()), VLOOKUP(A1486,Internal_lists_bugs!$A$2:$C$73,3,FALSE())&amp;Char(10) &amp; Char(10) &amp; VLOOKUP(A1486,Internal_lists_bugs!$A$2:$Z$73,26,FALSE())),"please select a BUG ID")</f>
        <v>please select a BUG ID</v>
      </c>
      <c r="C1486" s="51" t="str">
        <f>IFERROR(VLOOKUP(A1486,Internal_lists_bugs!$A$2:$G2011,7,FALSE()),"please select a BUG ID")</f>
        <v>please select a BUG ID</v>
      </c>
      <c r="D1486" s="43"/>
      <c r="F1486" s="43"/>
      <c r="H1486" s="43"/>
    </row>
    <row r="1487">
      <c r="A1487" s="43"/>
      <c r="B1487" s="59" t="str">
        <f>IFERROR(HYPERLINK(VLOOKUP(A1487,Internal_lists_bugs!$A$2:$C$73,3,FALSE()), VLOOKUP(A1487,Internal_lists_bugs!$A$2:$C$73,3,FALSE())&amp;Char(10) &amp; Char(10) &amp; VLOOKUP(A1487,Internal_lists_bugs!$A$2:$Z$73,26,FALSE())),"please select a BUG ID")</f>
        <v>please select a BUG ID</v>
      </c>
      <c r="C1487" s="51" t="str">
        <f>IFERROR(VLOOKUP(A1487,Internal_lists_bugs!$A$2:$G2011,7,FALSE()),"please select a BUG ID")</f>
        <v>please select a BUG ID</v>
      </c>
      <c r="D1487" s="43"/>
      <c r="F1487" s="43"/>
      <c r="H1487" s="43"/>
    </row>
    <row r="1488">
      <c r="A1488" s="43"/>
      <c r="B1488" s="59" t="str">
        <f>IFERROR(HYPERLINK(VLOOKUP(A1488,Internal_lists_bugs!$A$2:$C$73,3,FALSE()), VLOOKUP(A1488,Internal_lists_bugs!$A$2:$C$73,3,FALSE())&amp;Char(10) &amp; Char(10) &amp; VLOOKUP(A1488,Internal_lists_bugs!$A$2:$Z$73,26,FALSE())),"please select a BUG ID")</f>
        <v>please select a BUG ID</v>
      </c>
      <c r="C1488" s="51" t="str">
        <f>IFERROR(VLOOKUP(A1488,Internal_lists_bugs!$A$2:$G2011,7,FALSE()),"please select a BUG ID")</f>
        <v>please select a BUG ID</v>
      </c>
      <c r="D1488" s="43"/>
      <c r="F1488" s="43"/>
      <c r="H1488" s="43"/>
    </row>
    <row r="1489">
      <c r="A1489" s="43"/>
      <c r="B1489" s="59" t="str">
        <f>IFERROR(HYPERLINK(VLOOKUP(A1489,Internal_lists_bugs!$A$2:$C$73,3,FALSE()), VLOOKUP(A1489,Internal_lists_bugs!$A$2:$C$73,3,FALSE())&amp;Char(10) &amp; Char(10) &amp; VLOOKUP(A1489,Internal_lists_bugs!$A$2:$Z$73,26,FALSE())),"please select a BUG ID")</f>
        <v>please select a BUG ID</v>
      </c>
      <c r="C1489" s="51" t="str">
        <f>IFERROR(VLOOKUP(A1489,Internal_lists_bugs!$A$2:$G2011,7,FALSE()),"please select a BUG ID")</f>
        <v>please select a BUG ID</v>
      </c>
      <c r="D1489" s="43"/>
      <c r="F1489" s="43"/>
      <c r="H1489" s="43"/>
    </row>
    <row r="1490">
      <c r="A1490" s="43"/>
      <c r="B1490" s="59" t="str">
        <f>IFERROR(HYPERLINK(VLOOKUP(A1490,Internal_lists_bugs!$A$2:$C$73,3,FALSE()), VLOOKUP(A1490,Internal_lists_bugs!$A$2:$C$73,3,FALSE())&amp;Char(10) &amp; Char(10) &amp; VLOOKUP(A1490,Internal_lists_bugs!$A$2:$Z$73,26,FALSE())),"please select a BUG ID")</f>
        <v>please select a BUG ID</v>
      </c>
      <c r="C1490" s="51" t="str">
        <f>IFERROR(VLOOKUP(A1490,Internal_lists_bugs!$A$2:$G2011,7,FALSE()),"please select a BUG ID")</f>
        <v>please select a BUG ID</v>
      </c>
      <c r="D1490" s="43"/>
      <c r="F1490" s="43"/>
      <c r="H1490" s="43"/>
    </row>
    <row r="1491">
      <c r="A1491" s="43"/>
      <c r="B1491" s="59" t="str">
        <f>IFERROR(HYPERLINK(VLOOKUP(A1491,Internal_lists_bugs!$A$2:$C$73,3,FALSE()), VLOOKUP(A1491,Internal_lists_bugs!$A$2:$C$73,3,FALSE())&amp;Char(10) &amp; Char(10) &amp; VLOOKUP(A1491,Internal_lists_bugs!$A$2:$Z$73,26,FALSE())),"please select a BUG ID")</f>
        <v>please select a BUG ID</v>
      </c>
      <c r="C1491" s="51" t="str">
        <f>IFERROR(VLOOKUP(A1491,Internal_lists_bugs!$A$2:$G2011,7,FALSE()),"please select a BUG ID")</f>
        <v>please select a BUG ID</v>
      </c>
      <c r="D1491" s="43"/>
      <c r="F1491" s="43"/>
      <c r="H1491" s="43"/>
    </row>
    <row r="1492">
      <c r="A1492" s="43"/>
      <c r="B1492" s="59" t="str">
        <f>IFERROR(HYPERLINK(VLOOKUP(A1492,Internal_lists_bugs!$A$2:$C$73,3,FALSE()), VLOOKUP(A1492,Internal_lists_bugs!$A$2:$C$73,3,FALSE())&amp;Char(10) &amp; Char(10) &amp; VLOOKUP(A1492,Internal_lists_bugs!$A$2:$Z$73,26,FALSE())),"please select a BUG ID")</f>
        <v>please select a BUG ID</v>
      </c>
      <c r="C1492" s="51" t="str">
        <f>IFERROR(VLOOKUP(A1492,Internal_lists_bugs!$A$2:$G2011,7,FALSE()),"please select a BUG ID")</f>
        <v>please select a BUG ID</v>
      </c>
      <c r="D1492" s="43"/>
      <c r="F1492" s="43"/>
      <c r="H1492" s="43"/>
    </row>
    <row r="1493">
      <c r="A1493" s="43"/>
      <c r="B1493" s="59" t="str">
        <f>IFERROR(HYPERLINK(VLOOKUP(A1493,Internal_lists_bugs!$A$2:$C$73,3,FALSE()), VLOOKUP(A1493,Internal_lists_bugs!$A$2:$C$73,3,FALSE())&amp;Char(10) &amp; Char(10) &amp; VLOOKUP(A1493,Internal_lists_bugs!$A$2:$Z$73,26,FALSE())),"please select a BUG ID")</f>
        <v>please select a BUG ID</v>
      </c>
      <c r="C1493" s="51" t="str">
        <f>IFERROR(VLOOKUP(A1493,Internal_lists_bugs!$A$2:$G2011,7,FALSE()),"please select a BUG ID")</f>
        <v>please select a BUG ID</v>
      </c>
      <c r="D1493" s="43"/>
      <c r="F1493" s="43"/>
      <c r="H1493" s="43"/>
    </row>
    <row r="1494">
      <c r="A1494" s="43"/>
      <c r="B1494" s="59" t="str">
        <f>IFERROR(HYPERLINK(VLOOKUP(A1494,Internal_lists_bugs!$A$2:$C$73,3,FALSE()), VLOOKUP(A1494,Internal_lists_bugs!$A$2:$C$73,3,FALSE())&amp;Char(10) &amp; Char(10) &amp; VLOOKUP(A1494,Internal_lists_bugs!$A$2:$Z$73,26,FALSE())),"please select a BUG ID")</f>
        <v>please select a BUG ID</v>
      </c>
      <c r="C1494" s="51" t="str">
        <f>IFERROR(VLOOKUP(A1494,Internal_lists_bugs!$A$2:$G2011,7,FALSE()),"please select a BUG ID")</f>
        <v>please select a BUG ID</v>
      </c>
      <c r="D1494" s="43"/>
      <c r="F1494" s="43"/>
      <c r="H1494" s="43"/>
    </row>
    <row r="1495">
      <c r="A1495" s="43"/>
      <c r="B1495" s="59" t="str">
        <f>IFERROR(HYPERLINK(VLOOKUP(A1495,Internal_lists_bugs!$A$2:$C$73,3,FALSE()), VLOOKUP(A1495,Internal_lists_bugs!$A$2:$C$73,3,FALSE())&amp;Char(10) &amp; Char(10) &amp; VLOOKUP(A1495,Internal_lists_bugs!$A$2:$Z$73,26,FALSE())),"please select a BUG ID")</f>
        <v>please select a BUG ID</v>
      </c>
      <c r="C1495" s="51" t="str">
        <f>IFERROR(VLOOKUP(A1495,Internal_lists_bugs!$A$2:$G2011,7,FALSE()),"please select a BUG ID")</f>
        <v>please select a BUG ID</v>
      </c>
      <c r="D1495" s="43"/>
      <c r="F1495" s="43"/>
      <c r="H1495" s="43"/>
    </row>
    <row r="1496">
      <c r="A1496" s="43"/>
      <c r="B1496" s="59" t="str">
        <f>IFERROR(HYPERLINK(VLOOKUP(A1496,Internal_lists_bugs!$A$2:$C$73,3,FALSE()), VLOOKUP(A1496,Internal_lists_bugs!$A$2:$C$73,3,FALSE())&amp;Char(10) &amp; Char(10) &amp; VLOOKUP(A1496,Internal_lists_bugs!$A$2:$Z$73,26,FALSE())),"please select a BUG ID")</f>
        <v>please select a BUG ID</v>
      </c>
      <c r="C1496" s="51" t="str">
        <f>IFERROR(VLOOKUP(A1496,Internal_lists_bugs!$A$2:$G2011,7,FALSE()),"please select a BUG ID")</f>
        <v>please select a BUG ID</v>
      </c>
      <c r="D1496" s="43"/>
      <c r="F1496" s="43"/>
      <c r="H1496" s="43"/>
    </row>
    <row r="1497">
      <c r="A1497" s="43"/>
      <c r="B1497" s="59" t="str">
        <f>IFERROR(HYPERLINK(VLOOKUP(A1497,Internal_lists_bugs!$A$2:$C$73,3,FALSE()), VLOOKUP(A1497,Internal_lists_bugs!$A$2:$C$73,3,FALSE())&amp;Char(10) &amp; Char(10) &amp; VLOOKUP(A1497,Internal_lists_bugs!$A$2:$Z$73,26,FALSE())),"please select a BUG ID")</f>
        <v>please select a BUG ID</v>
      </c>
      <c r="C1497" s="51" t="str">
        <f>IFERROR(VLOOKUP(A1497,Internal_lists_bugs!$A$2:$G2011,7,FALSE()),"please select a BUG ID")</f>
        <v>please select a BUG ID</v>
      </c>
      <c r="D1497" s="43"/>
      <c r="F1497" s="43"/>
      <c r="H1497" s="43"/>
    </row>
    <row r="1498">
      <c r="A1498" s="43"/>
      <c r="B1498" s="59" t="str">
        <f>IFERROR(HYPERLINK(VLOOKUP(A1498,Internal_lists_bugs!$A$2:$C$73,3,FALSE()), VLOOKUP(A1498,Internal_lists_bugs!$A$2:$C$73,3,FALSE())&amp;Char(10) &amp; Char(10) &amp; VLOOKUP(A1498,Internal_lists_bugs!$A$2:$Z$73,26,FALSE())),"please select a BUG ID")</f>
        <v>please select a BUG ID</v>
      </c>
      <c r="C1498" s="51" t="str">
        <f>IFERROR(VLOOKUP(A1498,Internal_lists_bugs!$A$2:$G2011,7,FALSE()),"please select a BUG ID")</f>
        <v>please select a BUG ID</v>
      </c>
      <c r="D1498" s="43"/>
      <c r="F1498" s="43"/>
      <c r="H1498" s="43"/>
    </row>
    <row r="1499">
      <c r="A1499" s="43"/>
      <c r="B1499" s="59" t="str">
        <f>IFERROR(HYPERLINK(VLOOKUP(A1499,Internal_lists_bugs!$A$2:$C$73,3,FALSE()), VLOOKUP(A1499,Internal_lists_bugs!$A$2:$C$73,3,FALSE())&amp;Char(10) &amp; Char(10) &amp; VLOOKUP(A1499,Internal_lists_bugs!$A$2:$Z$73,26,FALSE())),"please select a BUG ID")</f>
        <v>please select a BUG ID</v>
      </c>
      <c r="C1499" s="51" t="str">
        <f>IFERROR(VLOOKUP(A1499,Internal_lists_bugs!$A$2:$G2011,7,FALSE()),"please select a BUG ID")</f>
        <v>please select a BUG ID</v>
      </c>
      <c r="D1499" s="43"/>
      <c r="F1499" s="43"/>
      <c r="H1499" s="43"/>
    </row>
    <row r="1500">
      <c r="A1500" s="43"/>
      <c r="B1500" s="59" t="str">
        <f>IFERROR(HYPERLINK(VLOOKUP(A1500,Internal_lists_bugs!$A$2:$C$73,3,FALSE()), VLOOKUP(A1500,Internal_lists_bugs!$A$2:$C$73,3,FALSE())&amp;Char(10) &amp; Char(10) &amp; VLOOKUP(A1500,Internal_lists_bugs!$A$2:$Z$73,26,FALSE())),"please select a BUG ID")</f>
        <v>please select a BUG ID</v>
      </c>
      <c r="C1500" s="51" t="str">
        <f>IFERROR(VLOOKUP(A1500,Internal_lists_bugs!$A$2:$G2011,7,FALSE()),"please select a BUG ID")</f>
        <v>please select a BUG ID</v>
      </c>
      <c r="D1500" s="43"/>
      <c r="F1500" s="43"/>
      <c r="H1500" s="43"/>
    </row>
    <row r="1501">
      <c r="A1501" s="43"/>
      <c r="B1501" s="59" t="str">
        <f>IFERROR(HYPERLINK(VLOOKUP(A1501,Internal_lists_bugs!$A$2:$C$73,3,FALSE()), VLOOKUP(A1501,Internal_lists_bugs!$A$2:$C$73,3,FALSE())&amp;Char(10) &amp; Char(10) &amp; VLOOKUP(A1501,Internal_lists_bugs!$A$2:$Z$73,26,FALSE())),"please select a BUG ID")</f>
        <v>please select a BUG ID</v>
      </c>
      <c r="C1501" s="51" t="str">
        <f>IFERROR(VLOOKUP(A1501,Internal_lists_bugs!$A$2:$G2011,7,FALSE()),"please select a BUG ID")</f>
        <v>please select a BUG ID</v>
      </c>
      <c r="D1501" s="43"/>
      <c r="F1501" s="43"/>
      <c r="H1501" s="43"/>
    </row>
    <row r="1502">
      <c r="A1502" s="43"/>
      <c r="B1502" s="59" t="str">
        <f>IFERROR(HYPERLINK(VLOOKUP(A1502,Internal_lists_bugs!$A$2:$C$73,3,FALSE()), VLOOKUP(A1502,Internal_lists_bugs!$A$2:$C$73,3,FALSE())&amp;Char(10) &amp; Char(10) &amp; VLOOKUP(A1502,Internal_lists_bugs!$A$2:$Z$73,26,FALSE())),"please select a BUG ID")</f>
        <v>please select a BUG ID</v>
      </c>
      <c r="C1502" s="51" t="str">
        <f>IFERROR(VLOOKUP(A1502,Internal_lists_bugs!$A$2:$G2011,7,FALSE()),"please select a BUG ID")</f>
        <v>please select a BUG ID</v>
      </c>
      <c r="D1502" s="43"/>
      <c r="F1502" s="43"/>
      <c r="H1502" s="43"/>
    </row>
    <row r="1503">
      <c r="A1503" s="43"/>
      <c r="B1503" s="59" t="str">
        <f>IFERROR(HYPERLINK(VLOOKUP(A1503,Internal_lists_bugs!$A$2:$C$73,3,FALSE()), VLOOKUP(A1503,Internal_lists_bugs!$A$2:$C$73,3,FALSE())&amp;Char(10) &amp; Char(10) &amp; VLOOKUP(A1503,Internal_lists_bugs!$A$2:$Z$73,26,FALSE())),"please select a BUG ID")</f>
        <v>please select a BUG ID</v>
      </c>
      <c r="C1503" s="51" t="str">
        <f>IFERROR(VLOOKUP(A1503,Internal_lists_bugs!$A$2:$G2011,7,FALSE()),"please select a BUG ID")</f>
        <v>please select a BUG ID</v>
      </c>
      <c r="D1503" s="43"/>
      <c r="F1503" s="43"/>
      <c r="H1503" s="43"/>
    </row>
    <row r="1504">
      <c r="A1504" s="43"/>
      <c r="B1504" s="59" t="str">
        <f>IFERROR(HYPERLINK(VLOOKUP(A1504,Internal_lists_bugs!$A$2:$C$73,3,FALSE()), VLOOKUP(A1504,Internal_lists_bugs!$A$2:$C$73,3,FALSE())&amp;Char(10) &amp; Char(10) &amp; VLOOKUP(A1504,Internal_lists_bugs!$A$2:$Z$73,26,FALSE())),"please select a BUG ID")</f>
        <v>please select a BUG ID</v>
      </c>
      <c r="C1504" s="51" t="str">
        <f>IFERROR(VLOOKUP(A1504,Internal_lists_bugs!$A$2:$G2011,7,FALSE()),"please select a BUG ID")</f>
        <v>please select a BUG ID</v>
      </c>
      <c r="D1504" s="43"/>
      <c r="F1504" s="43"/>
      <c r="H1504" s="43"/>
    </row>
    <row r="1505">
      <c r="A1505" s="43"/>
      <c r="B1505" s="59" t="str">
        <f>IFERROR(HYPERLINK(VLOOKUP(A1505,Internal_lists_bugs!$A$2:$C$73,3,FALSE()), VLOOKUP(A1505,Internal_lists_bugs!$A$2:$C$73,3,FALSE())&amp;Char(10) &amp; Char(10) &amp; VLOOKUP(A1505,Internal_lists_bugs!$A$2:$Z$73,26,FALSE())),"please select a BUG ID")</f>
        <v>please select a BUG ID</v>
      </c>
      <c r="C1505" s="51" t="str">
        <f>IFERROR(VLOOKUP(A1505,Internal_lists_bugs!$A$2:$G2011,7,FALSE()),"please select a BUG ID")</f>
        <v>please select a BUG ID</v>
      </c>
      <c r="D1505" s="43"/>
      <c r="F1505" s="43"/>
      <c r="H1505" s="43"/>
    </row>
    <row r="1506">
      <c r="A1506" s="43"/>
      <c r="B1506" s="59" t="str">
        <f>IFERROR(HYPERLINK(VLOOKUP(A1506,Internal_lists_bugs!$A$2:$C$73,3,FALSE()), VLOOKUP(A1506,Internal_lists_bugs!$A$2:$C$73,3,FALSE())&amp;Char(10) &amp; Char(10) &amp; VLOOKUP(A1506,Internal_lists_bugs!$A$2:$Z$73,26,FALSE())),"please select a BUG ID")</f>
        <v>please select a BUG ID</v>
      </c>
      <c r="C1506" s="51" t="str">
        <f>IFERROR(VLOOKUP(A1506,Internal_lists_bugs!$A$2:$G2011,7,FALSE()),"please select a BUG ID")</f>
        <v>please select a BUG ID</v>
      </c>
      <c r="D1506" s="43"/>
      <c r="F1506" s="43"/>
      <c r="H1506" s="43"/>
    </row>
    <row r="1507">
      <c r="A1507" s="43"/>
      <c r="B1507" s="59" t="str">
        <f>IFERROR(HYPERLINK(VLOOKUP(A1507,Internal_lists_bugs!$A$2:$C$73,3,FALSE()), VLOOKUP(A1507,Internal_lists_bugs!$A$2:$C$73,3,FALSE())&amp;Char(10) &amp; Char(10) &amp; VLOOKUP(A1507,Internal_lists_bugs!$A$2:$Z$73,26,FALSE())),"please select a BUG ID")</f>
        <v>please select a BUG ID</v>
      </c>
      <c r="C1507" s="51" t="str">
        <f>IFERROR(VLOOKUP(A1507,Internal_lists_bugs!$A$2:$G2011,7,FALSE()),"please select a BUG ID")</f>
        <v>please select a BUG ID</v>
      </c>
      <c r="D1507" s="43"/>
      <c r="F1507" s="43"/>
      <c r="H1507" s="43"/>
    </row>
    <row r="1508">
      <c r="A1508" s="43"/>
      <c r="B1508" s="59" t="str">
        <f>IFERROR(HYPERLINK(VLOOKUP(A1508,Internal_lists_bugs!$A$2:$C$73,3,FALSE()), VLOOKUP(A1508,Internal_lists_bugs!$A$2:$C$73,3,FALSE())&amp;Char(10) &amp; Char(10) &amp; VLOOKUP(A1508,Internal_lists_bugs!$A$2:$Z$73,26,FALSE())),"please select a BUG ID")</f>
        <v>please select a BUG ID</v>
      </c>
      <c r="C1508" s="51" t="str">
        <f>IFERROR(VLOOKUP(A1508,Internal_lists_bugs!$A$2:$G2011,7,FALSE()),"please select a BUG ID")</f>
        <v>please select a BUG ID</v>
      </c>
      <c r="D1508" s="43"/>
      <c r="F1508" s="43"/>
      <c r="H1508" s="43"/>
    </row>
    <row r="1509">
      <c r="A1509" s="43"/>
      <c r="B1509" s="59" t="str">
        <f>IFERROR(HYPERLINK(VLOOKUP(A1509,Internal_lists_bugs!$A$2:$C$73,3,FALSE()), VLOOKUP(A1509,Internal_lists_bugs!$A$2:$C$73,3,FALSE())&amp;Char(10) &amp; Char(10) &amp; VLOOKUP(A1509,Internal_lists_bugs!$A$2:$Z$73,26,FALSE())),"please select a BUG ID")</f>
        <v>please select a BUG ID</v>
      </c>
      <c r="C1509" s="51" t="str">
        <f>IFERROR(VLOOKUP(A1509,Internal_lists_bugs!$A$2:$G2011,7,FALSE()),"please select a BUG ID")</f>
        <v>please select a BUG ID</v>
      </c>
      <c r="D1509" s="43"/>
      <c r="F1509" s="43"/>
      <c r="H1509" s="43"/>
    </row>
    <row r="1510">
      <c r="A1510" s="43"/>
      <c r="B1510" s="59" t="str">
        <f>IFERROR(HYPERLINK(VLOOKUP(A1510,Internal_lists_bugs!$A$2:$C$73,3,FALSE()), VLOOKUP(A1510,Internal_lists_bugs!$A$2:$C$73,3,FALSE())&amp;Char(10) &amp; Char(10) &amp; VLOOKUP(A1510,Internal_lists_bugs!$A$2:$Z$73,26,FALSE())),"please select a BUG ID")</f>
        <v>please select a BUG ID</v>
      </c>
      <c r="C1510" s="51" t="str">
        <f>IFERROR(VLOOKUP(A1510,Internal_lists_bugs!$A$2:$G2011,7,FALSE()),"please select a BUG ID")</f>
        <v>please select a BUG ID</v>
      </c>
      <c r="D1510" s="43"/>
      <c r="F1510" s="43"/>
      <c r="H1510" s="43"/>
    </row>
    <row r="1511">
      <c r="A1511" s="43"/>
      <c r="B1511" s="59" t="str">
        <f>IFERROR(HYPERLINK(VLOOKUP(A1511,Internal_lists_bugs!$A$2:$C$73,3,FALSE()), VLOOKUP(A1511,Internal_lists_bugs!$A$2:$C$73,3,FALSE())&amp;Char(10) &amp; Char(10) &amp; VLOOKUP(A1511,Internal_lists_bugs!$A$2:$Z$73,26,FALSE())),"please select a BUG ID")</f>
        <v>please select a BUG ID</v>
      </c>
      <c r="C1511" s="51" t="str">
        <f>IFERROR(VLOOKUP(A1511,Internal_lists_bugs!$A$2:$G2011,7,FALSE()),"please select a BUG ID")</f>
        <v>please select a BUG ID</v>
      </c>
      <c r="D1511" s="43"/>
      <c r="F1511" s="43"/>
      <c r="H1511" s="43"/>
    </row>
    <row r="1512">
      <c r="A1512" s="43"/>
      <c r="B1512" s="59" t="str">
        <f>IFERROR(HYPERLINK(VLOOKUP(A1512,Internal_lists_bugs!$A$2:$C$73,3,FALSE()), VLOOKUP(A1512,Internal_lists_bugs!$A$2:$C$73,3,FALSE())&amp;Char(10) &amp; Char(10) &amp; VLOOKUP(A1512,Internal_lists_bugs!$A$2:$Z$73,26,FALSE())),"please select a BUG ID")</f>
        <v>please select a BUG ID</v>
      </c>
      <c r="C1512" s="51" t="str">
        <f>IFERROR(VLOOKUP(A1512,Internal_lists_bugs!$A$2:$G2011,7,FALSE()),"please select a BUG ID")</f>
        <v>please select a BUG ID</v>
      </c>
      <c r="D1512" s="43"/>
      <c r="F1512" s="43"/>
      <c r="H1512" s="43"/>
    </row>
    <row r="1513">
      <c r="A1513" s="43"/>
      <c r="B1513" s="59" t="str">
        <f>IFERROR(HYPERLINK(VLOOKUP(A1513,Internal_lists_bugs!$A$2:$C$73,3,FALSE()), VLOOKUP(A1513,Internal_lists_bugs!$A$2:$C$73,3,FALSE())&amp;Char(10) &amp; Char(10) &amp; VLOOKUP(A1513,Internal_lists_bugs!$A$2:$Z$73,26,FALSE())),"please select a BUG ID")</f>
        <v>please select a BUG ID</v>
      </c>
      <c r="C1513" s="51" t="str">
        <f>IFERROR(VLOOKUP(A1513,Internal_lists_bugs!$A$2:$G2011,7,FALSE()),"please select a BUG ID")</f>
        <v>please select a BUG ID</v>
      </c>
      <c r="D1513" s="43"/>
      <c r="F1513" s="43"/>
      <c r="H1513" s="43"/>
    </row>
    <row r="1514">
      <c r="A1514" s="43"/>
      <c r="B1514" s="59" t="str">
        <f>IFERROR(HYPERLINK(VLOOKUP(A1514,Internal_lists_bugs!$A$2:$C$73,3,FALSE()), VLOOKUP(A1514,Internal_lists_bugs!$A$2:$C$73,3,FALSE())&amp;Char(10) &amp; Char(10) &amp; VLOOKUP(A1514,Internal_lists_bugs!$A$2:$Z$73,26,FALSE())),"please select a BUG ID")</f>
        <v>please select a BUG ID</v>
      </c>
      <c r="C1514" s="51" t="str">
        <f>IFERROR(VLOOKUP(A1514,Internal_lists_bugs!$A$2:$G2011,7,FALSE()),"please select a BUG ID")</f>
        <v>please select a BUG ID</v>
      </c>
      <c r="D1514" s="43"/>
      <c r="F1514" s="43"/>
      <c r="H1514" s="43"/>
    </row>
    <row r="1515">
      <c r="A1515" s="43"/>
      <c r="B1515" s="59" t="str">
        <f>IFERROR(HYPERLINK(VLOOKUP(A1515,Internal_lists_bugs!$A$2:$C$73,3,FALSE()), VLOOKUP(A1515,Internal_lists_bugs!$A$2:$C$73,3,FALSE())&amp;Char(10) &amp; Char(10) &amp; VLOOKUP(A1515,Internal_lists_bugs!$A$2:$Z$73,26,FALSE())),"please select a BUG ID")</f>
        <v>please select a BUG ID</v>
      </c>
      <c r="C1515" s="51" t="str">
        <f>IFERROR(VLOOKUP(A1515,Internal_lists_bugs!$A$2:$G2011,7,FALSE()),"please select a BUG ID")</f>
        <v>please select a BUG ID</v>
      </c>
      <c r="D1515" s="43"/>
      <c r="F1515" s="43"/>
      <c r="H1515" s="43"/>
    </row>
    <row r="1516">
      <c r="A1516" s="43"/>
      <c r="B1516" s="59" t="str">
        <f>IFERROR(HYPERLINK(VLOOKUP(A1516,Internal_lists_bugs!$A$2:$C$73,3,FALSE()), VLOOKUP(A1516,Internal_lists_bugs!$A$2:$C$73,3,FALSE())&amp;Char(10) &amp; Char(10) &amp; VLOOKUP(A1516,Internal_lists_bugs!$A$2:$Z$73,26,FALSE())),"please select a BUG ID")</f>
        <v>please select a BUG ID</v>
      </c>
      <c r="C1516" s="51" t="str">
        <f>IFERROR(VLOOKUP(A1516,Internal_lists_bugs!$A$2:$G2011,7,FALSE()),"please select a BUG ID")</f>
        <v>please select a BUG ID</v>
      </c>
      <c r="D1516" s="43"/>
      <c r="F1516" s="43"/>
      <c r="H1516" s="43"/>
    </row>
    <row r="1517">
      <c r="A1517" s="43"/>
      <c r="B1517" s="59" t="str">
        <f>IFERROR(HYPERLINK(VLOOKUP(A1517,Internal_lists_bugs!$A$2:$C$73,3,FALSE()), VLOOKUP(A1517,Internal_lists_bugs!$A$2:$C$73,3,FALSE())&amp;Char(10) &amp; Char(10) &amp; VLOOKUP(A1517,Internal_lists_bugs!$A$2:$Z$73,26,FALSE())),"please select a BUG ID")</f>
        <v>please select a BUG ID</v>
      </c>
      <c r="C1517" s="51" t="str">
        <f>IFERROR(VLOOKUP(A1517,Internal_lists_bugs!$A$2:$G2011,7,FALSE()),"please select a BUG ID")</f>
        <v>please select a BUG ID</v>
      </c>
      <c r="D1517" s="43"/>
      <c r="F1517" s="43"/>
      <c r="H1517" s="43"/>
    </row>
    <row r="1518">
      <c r="A1518" s="43"/>
      <c r="B1518" s="59" t="str">
        <f>IFERROR(HYPERLINK(VLOOKUP(A1518,Internal_lists_bugs!$A$2:$C$73,3,FALSE()), VLOOKUP(A1518,Internal_lists_bugs!$A$2:$C$73,3,FALSE())&amp;Char(10) &amp; Char(10) &amp; VLOOKUP(A1518,Internal_lists_bugs!$A$2:$Z$73,26,FALSE())),"please select a BUG ID")</f>
        <v>please select a BUG ID</v>
      </c>
      <c r="C1518" s="51" t="str">
        <f>IFERROR(VLOOKUP(A1518,Internal_lists_bugs!$A$2:$G2011,7,FALSE()),"please select a BUG ID")</f>
        <v>please select a BUG ID</v>
      </c>
      <c r="D1518" s="43"/>
      <c r="F1518" s="43"/>
      <c r="H1518" s="43"/>
    </row>
    <row r="1519">
      <c r="A1519" s="43"/>
      <c r="B1519" s="59" t="str">
        <f>IFERROR(HYPERLINK(VLOOKUP(A1519,Internal_lists_bugs!$A$2:$C$73,3,FALSE()), VLOOKUP(A1519,Internal_lists_bugs!$A$2:$C$73,3,FALSE())&amp;Char(10) &amp; Char(10) &amp; VLOOKUP(A1519,Internal_lists_bugs!$A$2:$Z$73,26,FALSE())),"please select a BUG ID")</f>
        <v>please select a BUG ID</v>
      </c>
      <c r="C1519" s="51" t="str">
        <f>IFERROR(VLOOKUP(A1519,Internal_lists_bugs!$A$2:$G2011,7,FALSE()),"please select a BUG ID")</f>
        <v>please select a BUG ID</v>
      </c>
      <c r="D1519" s="43"/>
      <c r="F1519" s="43"/>
      <c r="H1519" s="43"/>
    </row>
    <row r="1520">
      <c r="A1520" s="43"/>
      <c r="B1520" s="59" t="str">
        <f>IFERROR(HYPERLINK(VLOOKUP(A1520,Internal_lists_bugs!$A$2:$C$73,3,FALSE()), VLOOKUP(A1520,Internal_lists_bugs!$A$2:$C$73,3,FALSE())&amp;Char(10) &amp; Char(10) &amp; VLOOKUP(A1520,Internal_lists_bugs!$A$2:$Z$73,26,FALSE())),"please select a BUG ID")</f>
        <v>please select a BUG ID</v>
      </c>
      <c r="C1520" s="51" t="str">
        <f>IFERROR(VLOOKUP(A1520,Internal_lists_bugs!$A$2:$G2011,7,FALSE()),"please select a BUG ID")</f>
        <v>please select a BUG ID</v>
      </c>
      <c r="D1520" s="43"/>
      <c r="F1520" s="43"/>
      <c r="H1520" s="43"/>
    </row>
    <row r="1521">
      <c r="A1521" s="43"/>
      <c r="B1521" s="59" t="str">
        <f>IFERROR(HYPERLINK(VLOOKUP(A1521,Internal_lists_bugs!$A$2:$C$73,3,FALSE()), VLOOKUP(A1521,Internal_lists_bugs!$A$2:$C$73,3,FALSE())&amp;Char(10) &amp; Char(10) &amp; VLOOKUP(A1521,Internal_lists_bugs!$A$2:$Z$73,26,FALSE())),"please select a BUG ID")</f>
        <v>please select a BUG ID</v>
      </c>
      <c r="C1521" s="51" t="str">
        <f>IFERROR(VLOOKUP(A1521,Internal_lists_bugs!$A$2:$G2011,7,FALSE()),"please select a BUG ID")</f>
        <v>please select a BUG ID</v>
      </c>
      <c r="D1521" s="43"/>
      <c r="F1521" s="43"/>
      <c r="H1521" s="43"/>
    </row>
    <row r="1522">
      <c r="A1522" s="43"/>
      <c r="B1522" s="59" t="str">
        <f>IFERROR(HYPERLINK(VLOOKUP(A1522,Internal_lists_bugs!$A$2:$C$73,3,FALSE()), VLOOKUP(A1522,Internal_lists_bugs!$A$2:$C$73,3,FALSE())&amp;Char(10) &amp; Char(10) &amp; VLOOKUP(A1522,Internal_lists_bugs!$A$2:$Z$73,26,FALSE())),"please select a BUG ID")</f>
        <v>please select a BUG ID</v>
      </c>
      <c r="C1522" s="51" t="str">
        <f>IFERROR(VLOOKUP(A1522,Internal_lists_bugs!$A$2:$G2011,7,FALSE()),"please select a BUG ID")</f>
        <v>please select a BUG ID</v>
      </c>
      <c r="D1522" s="43"/>
      <c r="F1522" s="43"/>
      <c r="H1522" s="43"/>
    </row>
    <row r="1523">
      <c r="A1523" s="43"/>
      <c r="B1523" s="59" t="str">
        <f>IFERROR(HYPERLINK(VLOOKUP(A1523,Internal_lists_bugs!$A$2:$C$73,3,FALSE()), VLOOKUP(A1523,Internal_lists_bugs!$A$2:$C$73,3,FALSE())&amp;Char(10) &amp; Char(10) &amp; VLOOKUP(A1523,Internal_lists_bugs!$A$2:$Z$73,26,FALSE())),"please select a BUG ID")</f>
        <v>please select a BUG ID</v>
      </c>
      <c r="C1523" s="51" t="str">
        <f>IFERROR(VLOOKUP(A1523,Internal_lists_bugs!$A$2:$G2011,7,FALSE()),"please select a BUG ID")</f>
        <v>please select a BUG ID</v>
      </c>
      <c r="D1523" s="43"/>
      <c r="F1523" s="43"/>
      <c r="H1523" s="43"/>
    </row>
    <row r="1524">
      <c r="A1524" s="43"/>
      <c r="B1524" s="59" t="str">
        <f>IFERROR(HYPERLINK(VLOOKUP(A1524,Internal_lists_bugs!$A$2:$C$73,3,FALSE()), VLOOKUP(A1524,Internal_lists_bugs!$A$2:$C$73,3,FALSE())&amp;Char(10) &amp; Char(10) &amp; VLOOKUP(A1524,Internal_lists_bugs!$A$2:$Z$73,26,FALSE())),"please select a BUG ID")</f>
        <v>please select a BUG ID</v>
      </c>
      <c r="C1524" s="51" t="str">
        <f>IFERROR(VLOOKUP(A1524,Internal_lists_bugs!$A$2:$G2011,7,FALSE()),"please select a BUG ID")</f>
        <v>please select a BUG ID</v>
      </c>
      <c r="D1524" s="43"/>
      <c r="F1524" s="43"/>
      <c r="H1524" s="43"/>
    </row>
    <row r="1525">
      <c r="A1525" s="43"/>
      <c r="B1525" s="59" t="str">
        <f>IFERROR(HYPERLINK(VLOOKUP(A1525,Internal_lists_bugs!$A$2:$C$73,3,FALSE()), VLOOKUP(A1525,Internal_lists_bugs!$A$2:$C$73,3,FALSE())&amp;Char(10) &amp; Char(10) &amp; VLOOKUP(A1525,Internal_lists_bugs!$A$2:$Z$73,26,FALSE())),"please select a BUG ID")</f>
        <v>please select a BUG ID</v>
      </c>
      <c r="C1525" s="51" t="str">
        <f>IFERROR(VLOOKUP(A1525,Internal_lists_bugs!$A$2:$G2011,7,FALSE()),"please select a BUG ID")</f>
        <v>please select a BUG ID</v>
      </c>
      <c r="D1525" s="43"/>
      <c r="F1525" s="43"/>
      <c r="H1525" s="43"/>
    </row>
    <row r="1526">
      <c r="A1526" s="43"/>
      <c r="B1526" s="59" t="str">
        <f>IFERROR(HYPERLINK(VLOOKUP(A1526,Internal_lists_bugs!$A$2:$C$73,3,FALSE()), VLOOKUP(A1526,Internal_lists_bugs!$A$2:$C$73,3,FALSE())&amp;Char(10) &amp; Char(10) &amp; VLOOKUP(A1526,Internal_lists_bugs!$A$2:$Z$73,26,FALSE())),"please select a BUG ID")</f>
        <v>please select a BUG ID</v>
      </c>
      <c r="C1526" s="51" t="str">
        <f>IFERROR(VLOOKUP(A1526,Internal_lists_bugs!$A$2:$G2011,7,FALSE()),"please select a BUG ID")</f>
        <v>please select a BUG ID</v>
      </c>
      <c r="D1526" s="43"/>
      <c r="F1526" s="43"/>
      <c r="H1526" s="43"/>
    </row>
    <row r="1527">
      <c r="A1527" s="43"/>
      <c r="B1527" s="59" t="str">
        <f>IFERROR(HYPERLINK(VLOOKUP(A1527,Internal_lists_bugs!$A$2:$C$73,3,FALSE()), VLOOKUP(A1527,Internal_lists_bugs!$A$2:$C$73,3,FALSE())&amp;Char(10) &amp; Char(10) &amp; VLOOKUP(A1527,Internal_lists_bugs!$A$2:$Z$73,26,FALSE())),"please select a BUG ID")</f>
        <v>please select a BUG ID</v>
      </c>
      <c r="C1527" s="51" t="str">
        <f>IFERROR(VLOOKUP(A1527,Internal_lists_bugs!$A$2:$G2011,7,FALSE()),"please select a BUG ID")</f>
        <v>please select a BUG ID</v>
      </c>
      <c r="D1527" s="43"/>
      <c r="F1527" s="43"/>
      <c r="H1527" s="43"/>
    </row>
    <row r="1528">
      <c r="A1528" s="43"/>
      <c r="B1528" s="59" t="str">
        <f>IFERROR(HYPERLINK(VLOOKUP(A1528,Internal_lists_bugs!$A$2:$C$73,3,FALSE()), VLOOKUP(A1528,Internal_lists_bugs!$A$2:$C$73,3,FALSE())&amp;Char(10) &amp; Char(10) &amp; VLOOKUP(A1528,Internal_lists_bugs!$A$2:$Z$73,26,FALSE())),"please select a BUG ID")</f>
        <v>please select a BUG ID</v>
      </c>
      <c r="C1528" s="51" t="str">
        <f>IFERROR(VLOOKUP(A1528,Internal_lists_bugs!$A$2:$G2011,7,FALSE()),"please select a BUG ID")</f>
        <v>please select a BUG ID</v>
      </c>
      <c r="D1528" s="43"/>
      <c r="F1528" s="43"/>
      <c r="H1528" s="43"/>
    </row>
    <row r="1529">
      <c r="A1529" s="43"/>
      <c r="B1529" s="59" t="str">
        <f>IFERROR(HYPERLINK(VLOOKUP(A1529,Internal_lists_bugs!$A$2:$C$73,3,FALSE()), VLOOKUP(A1529,Internal_lists_bugs!$A$2:$C$73,3,FALSE())&amp;Char(10) &amp; Char(10) &amp; VLOOKUP(A1529,Internal_lists_bugs!$A$2:$Z$73,26,FALSE())),"please select a BUG ID")</f>
        <v>please select a BUG ID</v>
      </c>
      <c r="C1529" s="51" t="str">
        <f>IFERROR(VLOOKUP(A1529,Internal_lists_bugs!$A$2:$G2011,7,FALSE()),"please select a BUG ID")</f>
        <v>please select a BUG ID</v>
      </c>
      <c r="D1529" s="43"/>
      <c r="F1529" s="43"/>
      <c r="H1529" s="43"/>
    </row>
    <row r="1530">
      <c r="A1530" s="43"/>
      <c r="B1530" s="59" t="str">
        <f>IFERROR(HYPERLINK(VLOOKUP(A1530,Internal_lists_bugs!$A$2:$C$73,3,FALSE()), VLOOKUP(A1530,Internal_lists_bugs!$A$2:$C$73,3,FALSE())&amp;Char(10) &amp; Char(10) &amp; VLOOKUP(A1530,Internal_lists_bugs!$A$2:$Z$73,26,FALSE())),"please select a BUG ID")</f>
        <v>please select a BUG ID</v>
      </c>
      <c r="C1530" s="51" t="str">
        <f>IFERROR(VLOOKUP(A1530,Internal_lists_bugs!$A$2:$G2011,7,FALSE()),"please select a BUG ID")</f>
        <v>please select a BUG ID</v>
      </c>
      <c r="D1530" s="43"/>
      <c r="F1530" s="43"/>
      <c r="H1530" s="43"/>
    </row>
    <row r="1531">
      <c r="A1531" s="43"/>
      <c r="B1531" s="59" t="str">
        <f>IFERROR(HYPERLINK(VLOOKUP(A1531,Internal_lists_bugs!$A$2:$C$73,3,FALSE()), VLOOKUP(A1531,Internal_lists_bugs!$A$2:$C$73,3,FALSE())&amp;Char(10) &amp; Char(10) &amp; VLOOKUP(A1531,Internal_lists_bugs!$A$2:$Z$73,26,FALSE())),"please select a BUG ID")</f>
        <v>please select a BUG ID</v>
      </c>
      <c r="C1531" s="51" t="str">
        <f>IFERROR(VLOOKUP(A1531,Internal_lists_bugs!$A$2:$G2011,7,FALSE()),"please select a BUG ID")</f>
        <v>please select a BUG ID</v>
      </c>
      <c r="D1531" s="43"/>
      <c r="F1531" s="43"/>
      <c r="H1531" s="43"/>
    </row>
    <row r="1532">
      <c r="A1532" s="43"/>
      <c r="B1532" s="59" t="str">
        <f>IFERROR(HYPERLINK(VLOOKUP(A1532,Internal_lists_bugs!$A$2:$C$73,3,FALSE()), VLOOKUP(A1532,Internal_lists_bugs!$A$2:$C$73,3,FALSE())&amp;Char(10) &amp; Char(10) &amp; VLOOKUP(A1532,Internal_lists_bugs!$A$2:$Z$73,26,FALSE())),"please select a BUG ID")</f>
        <v>please select a BUG ID</v>
      </c>
      <c r="C1532" s="51" t="str">
        <f>IFERROR(VLOOKUP(A1532,Internal_lists_bugs!$A$2:$G2011,7,FALSE()),"please select a BUG ID")</f>
        <v>please select a BUG ID</v>
      </c>
      <c r="D1532" s="43"/>
      <c r="F1532" s="43"/>
      <c r="H1532" s="43"/>
    </row>
    <row r="1533">
      <c r="A1533" s="43"/>
      <c r="B1533" s="59" t="str">
        <f>IFERROR(HYPERLINK(VLOOKUP(A1533,Internal_lists_bugs!$A$2:$C$73,3,FALSE()), VLOOKUP(A1533,Internal_lists_bugs!$A$2:$C$73,3,FALSE())&amp;Char(10) &amp; Char(10) &amp; VLOOKUP(A1533,Internal_lists_bugs!$A$2:$Z$73,26,FALSE())),"please select a BUG ID")</f>
        <v>please select a BUG ID</v>
      </c>
      <c r="C1533" s="51" t="str">
        <f>IFERROR(VLOOKUP(A1533,Internal_lists_bugs!$A$2:$G2011,7,FALSE()),"please select a BUG ID")</f>
        <v>please select a BUG ID</v>
      </c>
      <c r="D1533" s="43"/>
      <c r="F1533" s="43"/>
      <c r="H1533" s="43"/>
    </row>
    <row r="1534">
      <c r="A1534" s="43"/>
      <c r="B1534" s="59" t="str">
        <f>IFERROR(HYPERLINK(VLOOKUP(A1534,Internal_lists_bugs!$A$2:$C$73,3,FALSE()), VLOOKUP(A1534,Internal_lists_bugs!$A$2:$C$73,3,FALSE())&amp;Char(10) &amp; Char(10) &amp; VLOOKUP(A1534,Internal_lists_bugs!$A$2:$Z$73,26,FALSE())),"please select a BUG ID")</f>
        <v>please select a BUG ID</v>
      </c>
      <c r="C1534" s="51" t="str">
        <f>IFERROR(VLOOKUP(A1534,Internal_lists_bugs!$A$2:$G2011,7,FALSE()),"please select a BUG ID")</f>
        <v>please select a BUG ID</v>
      </c>
      <c r="D1534" s="43"/>
      <c r="F1534" s="43"/>
      <c r="H1534" s="43"/>
    </row>
    <row r="1535">
      <c r="A1535" s="43"/>
      <c r="B1535" s="59" t="str">
        <f>IFERROR(HYPERLINK(VLOOKUP(A1535,Internal_lists_bugs!$A$2:$C$73,3,FALSE()), VLOOKUP(A1535,Internal_lists_bugs!$A$2:$C$73,3,FALSE())&amp;Char(10) &amp; Char(10) &amp; VLOOKUP(A1535,Internal_lists_bugs!$A$2:$Z$73,26,FALSE())),"please select a BUG ID")</f>
        <v>please select a BUG ID</v>
      </c>
      <c r="C1535" s="51" t="str">
        <f>IFERROR(VLOOKUP(A1535,Internal_lists_bugs!$A$2:$G2011,7,FALSE()),"please select a BUG ID")</f>
        <v>please select a BUG ID</v>
      </c>
      <c r="D1535" s="43"/>
      <c r="F1535" s="43"/>
      <c r="H1535" s="43"/>
    </row>
    <row r="1536">
      <c r="A1536" s="43"/>
      <c r="B1536" s="59" t="str">
        <f>IFERROR(HYPERLINK(VLOOKUP(A1536,Internal_lists_bugs!$A$2:$C$73,3,FALSE()), VLOOKUP(A1536,Internal_lists_bugs!$A$2:$C$73,3,FALSE())&amp;Char(10) &amp; Char(10) &amp; VLOOKUP(A1536,Internal_lists_bugs!$A$2:$Z$73,26,FALSE())),"please select a BUG ID")</f>
        <v>please select a BUG ID</v>
      </c>
      <c r="C1536" s="51" t="str">
        <f>IFERROR(VLOOKUP(A1536,Internal_lists_bugs!$A$2:$G2011,7,FALSE()),"please select a BUG ID")</f>
        <v>please select a BUG ID</v>
      </c>
      <c r="D1536" s="43"/>
      <c r="F1536" s="43"/>
      <c r="H1536" s="43"/>
    </row>
    <row r="1537">
      <c r="A1537" s="43"/>
      <c r="B1537" s="59" t="str">
        <f>IFERROR(HYPERLINK(VLOOKUP(A1537,Internal_lists_bugs!$A$2:$C$73,3,FALSE()), VLOOKUP(A1537,Internal_lists_bugs!$A$2:$C$73,3,FALSE())&amp;Char(10) &amp; Char(10) &amp; VLOOKUP(A1537,Internal_lists_bugs!$A$2:$Z$73,26,FALSE())),"please select a BUG ID")</f>
        <v>please select a BUG ID</v>
      </c>
      <c r="C1537" s="51" t="str">
        <f>IFERROR(VLOOKUP(A1537,Internal_lists_bugs!$A$2:$G2011,7,FALSE()),"please select a BUG ID")</f>
        <v>please select a BUG ID</v>
      </c>
      <c r="D1537" s="43"/>
      <c r="F1537" s="43"/>
      <c r="H1537" s="43"/>
    </row>
    <row r="1538">
      <c r="A1538" s="43"/>
      <c r="B1538" s="59" t="str">
        <f>IFERROR(HYPERLINK(VLOOKUP(A1538,Internal_lists_bugs!$A$2:$C$73,3,FALSE()), VLOOKUP(A1538,Internal_lists_bugs!$A$2:$C$73,3,FALSE())&amp;Char(10) &amp; Char(10) &amp; VLOOKUP(A1538,Internal_lists_bugs!$A$2:$Z$73,26,FALSE())),"please select a BUG ID")</f>
        <v>please select a BUG ID</v>
      </c>
      <c r="C1538" s="51" t="str">
        <f>IFERROR(VLOOKUP(A1538,Internal_lists_bugs!$A$2:$G2011,7,FALSE()),"please select a BUG ID")</f>
        <v>please select a BUG ID</v>
      </c>
      <c r="D1538" s="43"/>
      <c r="F1538" s="43"/>
      <c r="H1538" s="43"/>
    </row>
    <row r="1539">
      <c r="A1539" s="43"/>
      <c r="B1539" s="59" t="str">
        <f>IFERROR(HYPERLINK(VLOOKUP(A1539,Internal_lists_bugs!$A$2:$C$73,3,FALSE()), VLOOKUP(A1539,Internal_lists_bugs!$A$2:$C$73,3,FALSE())&amp;Char(10) &amp; Char(10) &amp; VLOOKUP(A1539,Internal_lists_bugs!$A$2:$Z$73,26,FALSE())),"please select a BUG ID")</f>
        <v>please select a BUG ID</v>
      </c>
      <c r="C1539" s="51" t="str">
        <f>IFERROR(VLOOKUP(A1539,Internal_lists_bugs!$A$2:$G2011,7,FALSE()),"please select a BUG ID")</f>
        <v>please select a BUG ID</v>
      </c>
      <c r="D1539" s="43"/>
      <c r="F1539" s="43"/>
      <c r="H1539" s="43"/>
    </row>
    <row r="1540">
      <c r="A1540" s="43"/>
      <c r="B1540" s="59" t="str">
        <f>IFERROR(HYPERLINK(VLOOKUP(A1540,Internal_lists_bugs!$A$2:$C$73,3,FALSE()), VLOOKUP(A1540,Internal_lists_bugs!$A$2:$C$73,3,FALSE())&amp;Char(10) &amp; Char(10) &amp; VLOOKUP(A1540,Internal_lists_bugs!$A$2:$Z$73,26,FALSE())),"please select a BUG ID")</f>
        <v>please select a BUG ID</v>
      </c>
      <c r="C1540" s="51" t="str">
        <f>IFERROR(VLOOKUP(A1540,Internal_lists_bugs!$A$2:$G2011,7,FALSE()),"please select a BUG ID")</f>
        <v>please select a BUG ID</v>
      </c>
      <c r="D1540" s="43"/>
      <c r="F1540" s="43"/>
      <c r="H1540" s="43"/>
    </row>
    <row r="1541">
      <c r="A1541" s="43"/>
      <c r="B1541" s="59" t="str">
        <f>IFERROR(HYPERLINK(VLOOKUP(A1541,Internal_lists_bugs!$A$2:$C$73,3,FALSE()), VLOOKUP(A1541,Internal_lists_bugs!$A$2:$C$73,3,FALSE())&amp;Char(10) &amp; Char(10) &amp; VLOOKUP(A1541,Internal_lists_bugs!$A$2:$Z$73,26,FALSE())),"please select a BUG ID")</f>
        <v>please select a BUG ID</v>
      </c>
      <c r="C1541" s="51" t="str">
        <f>IFERROR(VLOOKUP(A1541,Internal_lists_bugs!$A$2:$G2011,7,FALSE()),"please select a BUG ID")</f>
        <v>please select a BUG ID</v>
      </c>
      <c r="D1541" s="43"/>
      <c r="F1541" s="43"/>
      <c r="H1541" s="43"/>
    </row>
    <row r="1542">
      <c r="A1542" s="43"/>
      <c r="B1542" s="59" t="str">
        <f>IFERROR(HYPERLINK(VLOOKUP(A1542,Internal_lists_bugs!$A$2:$C$73,3,FALSE()), VLOOKUP(A1542,Internal_lists_bugs!$A$2:$C$73,3,FALSE())&amp;Char(10) &amp; Char(10) &amp; VLOOKUP(A1542,Internal_lists_bugs!$A$2:$Z$73,26,FALSE())),"please select a BUG ID")</f>
        <v>please select a BUG ID</v>
      </c>
      <c r="C1542" s="51" t="str">
        <f>IFERROR(VLOOKUP(A1542,Internal_lists_bugs!$A$2:$G2011,7,FALSE()),"please select a BUG ID")</f>
        <v>please select a BUG ID</v>
      </c>
      <c r="D1542" s="43"/>
      <c r="F1542" s="43"/>
      <c r="H1542" s="43"/>
    </row>
    <row r="1543">
      <c r="A1543" s="43"/>
      <c r="B1543" s="59" t="str">
        <f>IFERROR(HYPERLINK(VLOOKUP(A1543,Internal_lists_bugs!$A$2:$C$73,3,FALSE()), VLOOKUP(A1543,Internal_lists_bugs!$A$2:$C$73,3,FALSE())&amp;Char(10) &amp; Char(10) &amp; VLOOKUP(A1543,Internal_lists_bugs!$A$2:$Z$73,26,FALSE())),"please select a BUG ID")</f>
        <v>please select a BUG ID</v>
      </c>
      <c r="C1543" s="51" t="str">
        <f>IFERROR(VLOOKUP(A1543,Internal_lists_bugs!$A$2:$G2011,7,FALSE()),"please select a BUG ID")</f>
        <v>please select a BUG ID</v>
      </c>
      <c r="D1543" s="43"/>
      <c r="F1543" s="43"/>
      <c r="H1543" s="43"/>
    </row>
    <row r="1544">
      <c r="A1544" s="43"/>
      <c r="B1544" s="59" t="str">
        <f>IFERROR(HYPERLINK(VLOOKUP(A1544,Internal_lists_bugs!$A$2:$C$73,3,FALSE()), VLOOKUP(A1544,Internal_lists_bugs!$A$2:$C$73,3,FALSE())&amp;Char(10) &amp; Char(10) &amp; VLOOKUP(A1544,Internal_lists_bugs!$A$2:$Z$73,26,FALSE())),"please select a BUG ID")</f>
        <v>please select a BUG ID</v>
      </c>
      <c r="C1544" s="51" t="str">
        <f>IFERROR(VLOOKUP(A1544,Internal_lists_bugs!$A$2:$G2011,7,FALSE()),"please select a BUG ID")</f>
        <v>please select a BUG ID</v>
      </c>
      <c r="D1544" s="43"/>
      <c r="F1544" s="43"/>
      <c r="H1544" s="43"/>
    </row>
    <row r="1545">
      <c r="A1545" s="43"/>
      <c r="B1545" s="59" t="str">
        <f>IFERROR(HYPERLINK(VLOOKUP(A1545,Internal_lists_bugs!$A$2:$C$73,3,FALSE()), VLOOKUP(A1545,Internal_lists_bugs!$A$2:$C$73,3,FALSE())&amp;Char(10) &amp; Char(10) &amp; VLOOKUP(A1545,Internal_lists_bugs!$A$2:$Z$73,26,FALSE())),"please select a BUG ID")</f>
        <v>please select a BUG ID</v>
      </c>
      <c r="C1545" s="51" t="str">
        <f>IFERROR(VLOOKUP(A1545,Internal_lists_bugs!$A$2:$G2011,7,FALSE()),"please select a BUG ID")</f>
        <v>please select a BUG ID</v>
      </c>
      <c r="D1545" s="43"/>
      <c r="F1545" s="43"/>
      <c r="H1545" s="43"/>
    </row>
    <row r="1546">
      <c r="A1546" s="43"/>
      <c r="B1546" s="59" t="str">
        <f>IFERROR(HYPERLINK(VLOOKUP(A1546,Internal_lists_bugs!$A$2:$C$73,3,FALSE()), VLOOKUP(A1546,Internal_lists_bugs!$A$2:$C$73,3,FALSE())&amp;Char(10) &amp; Char(10) &amp; VLOOKUP(A1546,Internal_lists_bugs!$A$2:$Z$73,26,FALSE())),"please select a BUG ID")</f>
        <v>please select a BUG ID</v>
      </c>
      <c r="C1546" s="51" t="str">
        <f>IFERROR(VLOOKUP(A1546,Internal_lists_bugs!$A$2:$G2011,7,FALSE()),"please select a BUG ID")</f>
        <v>please select a BUG ID</v>
      </c>
      <c r="D1546" s="43"/>
      <c r="F1546" s="43"/>
      <c r="H1546" s="43"/>
    </row>
    <row r="1547">
      <c r="A1547" s="43"/>
      <c r="B1547" s="59" t="str">
        <f>IFERROR(HYPERLINK(VLOOKUP(A1547,Internal_lists_bugs!$A$2:$C$73,3,FALSE()), VLOOKUP(A1547,Internal_lists_bugs!$A$2:$C$73,3,FALSE())&amp;Char(10) &amp; Char(10) &amp; VLOOKUP(A1547,Internal_lists_bugs!$A$2:$Z$73,26,FALSE())),"please select a BUG ID")</f>
        <v>please select a BUG ID</v>
      </c>
      <c r="C1547" s="51" t="str">
        <f>IFERROR(VLOOKUP(A1547,Internal_lists_bugs!$A$2:$G2011,7,FALSE()),"please select a BUG ID")</f>
        <v>please select a BUG ID</v>
      </c>
      <c r="D1547" s="43"/>
      <c r="F1547" s="43"/>
      <c r="H1547" s="43"/>
    </row>
    <row r="1548">
      <c r="A1548" s="43"/>
      <c r="B1548" s="59" t="str">
        <f>IFERROR(HYPERLINK(VLOOKUP(A1548,Internal_lists_bugs!$A$2:$C$73,3,FALSE()), VLOOKUP(A1548,Internal_lists_bugs!$A$2:$C$73,3,FALSE())&amp;Char(10) &amp; Char(10) &amp; VLOOKUP(A1548,Internal_lists_bugs!$A$2:$Z$73,26,FALSE())),"please select a BUG ID")</f>
        <v>please select a BUG ID</v>
      </c>
      <c r="C1548" s="51" t="str">
        <f>IFERROR(VLOOKUP(A1548,Internal_lists_bugs!$A$2:$G2011,7,FALSE()),"please select a BUG ID")</f>
        <v>please select a BUG ID</v>
      </c>
      <c r="D1548" s="43"/>
      <c r="F1548" s="43"/>
      <c r="H1548" s="43"/>
    </row>
    <row r="1549">
      <c r="A1549" s="43"/>
      <c r="B1549" s="59" t="str">
        <f>IFERROR(HYPERLINK(VLOOKUP(A1549,Internal_lists_bugs!$A$2:$C$73,3,FALSE()), VLOOKUP(A1549,Internal_lists_bugs!$A$2:$C$73,3,FALSE())&amp;Char(10) &amp; Char(10) &amp; VLOOKUP(A1549,Internal_lists_bugs!$A$2:$Z$73,26,FALSE())),"please select a BUG ID")</f>
        <v>please select a BUG ID</v>
      </c>
      <c r="C1549" s="51" t="str">
        <f>IFERROR(VLOOKUP(A1549,Internal_lists_bugs!$A$2:$G2011,7,FALSE()),"please select a BUG ID")</f>
        <v>please select a BUG ID</v>
      </c>
      <c r="D1549" s="43"/>
      <c r="F1549" s="43"/>
      <c r="H1549" s="43"/>
    </row>
    <row r="1550">
      <c r="A1550" s="43"/>
      <c r="B1550" s="59" t="str">
        <f>IFERROR(HYPERLINK(VLOOKUP(A1550,Internal_lists_bugs!$A$2:$C$73,3,FALSE()), VLOOKUP(A1550,Internal_lists_bugs!$A$2:$C$73,3,FALSE())&amp;Char(10) &amp; Char(10) &amp; VLOOKUP(A1550,Internal_lists_bugs!$A$2:$Z$73,26,FALSE())),"please select a BUG ID")</f>
        <v>please select a BUG ID</v>
      </c>
      <c r="C1550" s="51" t="str">
        <f>IFERROR(VLOOKUP(A1550,Internal_lists_bugs!$A$2:$G2011,7,FALSE()),"please select a BUG ID")</f>
        <v>please select a BUG ID</v>
      </c>
      <c r="D1550" s="43"/>
      <c r="F1550" s="43"/>
      <c r="H1550" s="43"/>
    </row>
    <row r="1551">
      <c r="A1551" s="43"/>
      <c r="B1551" s="59" t="str">
        <f>IFERROR(HYPERLINK(VLOOKUP(A1551,Internal_lists_bugs!$A$2:$C$73,3,FALSE()), VLOOKUP(A1551,Internal_lists_bugs!$A$2:$C$73,3,FALSE())&amp;Char(10) &amp; Char(10) &amp; VLOOKUP(A1551,Internal_lists_bugs!$A$2:$Z$73,26,FALSE())),"please select a BUG ID")</f>
        <v>please select a BUG ID</v>
      </c>
      <c r="C1551" s="51" t="str">
        <f>IFERROR(VLOOKUP(A1551,Internal_lists_bugs!$A$2:$G2011,7,FALSE()),"please select a BUG ID")</f>
        <v>please select a BUG ID</v>
      </c>
      <c r="D1551" s="43"/>
      <c r="F1551" s="43"/>
      <c r="H1551" s="43"/>
    </row>
    <row r="1552">
      <c r="A1552" s="43"/>
      <c r="B1552" s="59" t="str">
        <f>IFERROR(HYPERLINK(VLOOKUP(A1552,Internal_lists_bugs!$A$2:$C$73,3,FALSE()), VLOOKUP(A1552,Internal_lists_bugs!$A$2:$C$73,3,FALSE())&amp;Char(10) &amp; Char(10) &amp; VLOOKUP(A1552,Internal_lists_bugs!$A$2:$Z$73,26,FALSE())),"please select a BUG ID")</f>
        <v>please select a BUG ID</v>
      </c>
      <c r="C1552" s="51" t="str">
        <f>IFERROR(VLOOKUP(A1552,Internal_lists_bugs!$A$2:$G2011,7,FALSE()),"please select a BUG ID")</f>
        <v>please select a BUG ID</v>
      </c>
      <c r="D1552" s="43"/>
      <c r="F1552" s="43"/>
      <c r="H1552" s="43"/>
    </row>
    <row r="1553">
      <c r="A1553" s="43"/>
      <c r="B1553" s="59" t="str">
        <f>IFERROR(HYPERLINK(VLOOKUP(A1553,Internal_lists_bugs!$A$2:$C$73,3,FALSE()), VLOOKUP(A1553,Internal_lists_bugs!$A$2:$C$73,3,FALSE())&amp;Char(10) &amp; Char(10) &amp; VLOOKUP(A1553,Internal_lists_bugs!$A$2:$Z$73,26,FALSE())),"please select a BUG ID")</f>
        <v>please select a BUG ID</v>
      </c>
      <c r="C1553" s="51" t="str">
        <f>IFERROR(VLOOKUP(A1553,Internal_lists_bugs!$A$2:$G2011,7,FALSE()),"please select a BUG ID")</f>
        <v>please select a BUG ID</v>
      </c>
      <c r="D1553" s="43"/>
      <c r="F1553" s="43"/>
      <c r="H1553" s="43"/>
    </row>
    <row r="1554">
      <c r="A1554" s="43"/>
      <c r="B1554" s="59" t="str">
        <f>IFERROR(HYPERLINK(VLOOKUP(A1554,Internal_lists_bugs!$A$2:$C$73,3,FALSE()), VLOOKUP(A1554,Internal_lists_bugs!$A$2:$C$73,3,FALSE())&amp;Char(10) &amp; Char(10) &amp; VLOOKUP(A1554,Internal_lists_bugs!$A$2:$Z$73,26,FALSE())),"please select a BUG ID")</f>
        <v>please select a BUG ID</v>
      </c>
      <c r="C1554" s="51" t="str">
        <f>IFERROR(VLOOKUP(A1554,Internal_lists_bugs!$A$2:$G2011,7,FALSE()),"please select a BUG ID")</f>
        <v>please select a BUG ID</v>
      </c>
      <c r="D1554" s="43"/>
      <c r="F1554" s="43"/>
      <c r="H1554" s="43"/>
    </row>
    <row r="1555">
      <c r="A1555" s="43"/>
      <c r="B1555" s="59" t="str">
        <f>IFERROR(HYPERLINK(VLOOKUP(A1555,Internal_lists_bugs!$A$2:$C$73,3,FALSE()), VLOOKUP(A1555,Internal_lists_bugs!$A$2:$C$73,3,FALSE())&amp;Char(10) &amp; Char(10) &amp; VLOOKUP(A1555,Internal_lists_bugs!$A$2:$Z$73,26,FALSE())),"please select a BUG ID")</f>
        <v>please select a BUG ID</v>
      </c>
      <c r="C1555" s="51" t="str">
        <f>IFERROR(VLOOKUP(A1555,Internal_lists_bugs!$A$2:$G2011,7,FALSE()),"please select a BUG ID")</f>
        <v>please select a BUG ID</v>
      </c>
      <c r="D1555" s="43"/>
      <c r="F1555" s="43"/>
      <c r="H1555" s="43"/>
    </row>
    <row r="1556">
      <c r="A1556" s="43"/>
      <c r="B1556" s="59" t="str">
        <f>IFERROR(HYPERLINK(VLOOKUP(A1556,Internal_lists_bugs!$A$2:$C$73,3,FALSE()), VLOOKUP(A1556,Internal_lists_bugs!$A$2:$C$73,3,FALSE())&amp;Char(10) &amp; Char(10) &amp; VLOOKUP(A1556,Internal_lists_bugs!$A$2:$Z$73,26,FALSE())),"please select a BUG ID")</f>
        <v>please select a BUG ID</v>
      </c>
      <c r="C1556" s="51" t="str">
        <f>IFERROR(VLOOKUP(A1556,Internal_lists_bugs!$A$2:$G2011,7,FALSE()),"please select a BUG ID")</f>
        <v>please select a BUG ID</v>
      </c>
      <c r="D1556" s="43"/>
      <c r="F1556" s="43"/>
      <c r="H1556" s="43"/>
    </row>
    <row r="1557">
      <c r="A1557" s="43"/>
      <c r="B1557" s="59" t="str">
        <f>IFERROR(HYPERLINK(VLOOKUP(A1557,Internal_lists_bugs!$A$2:$C$73,3,FALSE()), VLOOKUP(A1557,Internal_lists_bugs!$A$2:$C$73,3,FALSE())&amp;Char(10) &amp; Char(10) &amp; VLOOKUP(A1557,Internal_lists_bugs!$A$2:$Z$73,26,FALSE())),"please select a BUG ID")</f>
        <v>please select a BUG ID</v>
      </c>
      <c r="C1557" s="51" t="str">
        <f>IFERROR(VLOOKUP(A1557,Internal_lists_bugs!$A$2:$G2011,7,FALSE()),"please select a BUG ID")</f>
        <v>please select a BUG ID</v>
      </c>
      <c r="D1557" s="43"/>
      <c r="F1557" s="43"/>
      <c r="H1557" s="43"/>
    </row>
    <row r="1558">
      <c r="A1558" s="43"/>
      <c r="B1558" s="59" t="str">
        <f>IFERROR(HYPERLINK(VLOOKUP(A1558,Internal_lists_bugs!$A$2:$C$73,3,FALSE()), VLOOKUP(A1558,Internal_lists_bugs!$A$2:$C$73,3,FALSE())&amp;Char(10) &amp; Char(10) &amp; VLOOKUP(A1558,Internal_lists_bugs!$A$2:$Z$73,26,FALSE())),"please select a BUG ID")</f>
        <v>please select a BUG ID</v>
      </c>
      <c r="C1558" s="51" t="str">
        <f>IFERROR(VLOOKUP(A1558,Internal_lists_bugs!$A$2:$G2011,7,FALSE()),"please select a BUG ID")</f>
        <v>please select a BUG ID</v>
      </c>
      <c r="D1558" s="43"/>
      <c r="F1558" s="43"/>
      <c r="H1558" s="43"/>
    </row>
    <row r="1559">
      <c r="A1559" s="43"/>
      <c r="B1559" s="59" t="str">
        <f>IFERROR(HYPERLINK(VLOOKUP(A1559,Internal_lists_bugs!$A$2:$C$73,3,FALSE()), VLOOKUP(A1559,Internal_lists_bugs!$A$2:$C$73,3,FALSE())&amp;Char(10) &amp; Char(10) &amp; VLOOKUP(A1559,Internal_lists_bugs!$A$2:$Z$73,26,FALSE())),"please select a BUG ID")</f>
        <v>please select a BUG ID</v>
      </c>
      <c r="C1559" s="51" t="str">
        <f>IFERROR(VLOOKUP(A1559,Internal_lists_bugs!$A$2:$G2011,7,FALSE()),"please select a BUG ID")</f>
        <v>please select a BUG ID</v>
      </c>
      <c r="D1559" s="43"/>
      <c r="F1559" s="43"/>
      <c r="H1559" s="43"/>
    </row>
    <row r="1560">
      <c r="A1560" s="43"/>
      <c r="B1560" s="59" t="str">
        <f>IFERROR(HYPERLINK(VLOOKUP(A1560,Internal_lists_bugs!$A$2:$C$73,3,FALSE()), VLOOKUP(A1560,Internal_lists_bugs!$A$2:$C$73,3,FALSE())&amp;Char(10) &amp; Char(10) &amp; VLOOKUP(A1560,Internal_lists_bugs!$A$2:$Z$73,26,FALSE())),"please select a BUG ID")</f>
        <v>please select a BUG ID</v>
      </c>
      <c r="C1560" s="51" t="str">
        <f>IFERROR(VLOOKUP(A1560,Internal_lists_bugs!$A$2:$G2011,7,FALSE()),"please select a BUG ID")</f>
        <v>please select a BUG ID</v>
      </c>
      <c r="D1560" s="43"/>
      <c r="F1560" s="43"/>
      <c r="H1560" s="43"/>
    </row>
    <row r="1561">
      <c r="A1561" s="43"/>
      <c r="B1561" s="59" t="str">
        <f>IFERROR(HYPERLINK(VLOOKUP(A1561,Internal_lists_bugs!$A$2:$C$73,3,FALSE()), VLOOKUP(A1561,Internal_lists_bugs!$A$2:$C$73,3,FALSE())&amp;Char(10) &amp; Char(10) &amp; VLOOKUP(A1561,Internal_lists_bugs!$A$2:$Z$73,26,FALSE())),"please select a BUG ID")</f>
        <v>please select a BUG ID</v>
      </c>
      <c r="C1561" s="51" t="str">
        <f>IFERROR(VLOOKUP(A1561,Internal_lists_bugs!$A$2:$G2011,7,FALSE()),"please select a BUG ID")</f>
        <v>please select a BUG ID</v>
      </c>
      <c r="D1561" s="43"/>
      <c r="F1561" s="43"/>
      <c r="H1561" s="43"/>
    </row>
    <row r="1562">
      <c r="A1562" s="43"/>
      <c r="B1562" s="59"/>
      <c r="C1562" s="51"/>
      <c r="D1562" s="43"/>
      <c r="F1562" s="43"/>
      <c r="H1562" s="43"/>
    </row>
    <row r="1563">
      <c r="A1563" s="43"/>
      <c r="B1563" s="59"/>
      <c r="C1563" s="51"/>
      <c r="D1563" s="43"/>
      <c r="F1563" s="43"/>
      <c r="H1563" s="43"/>
    </row>
    <row r="1564">
      <c r="A1564" s="43"/>
      <c r="B1564" s="59"/>
      <c r="C1564" s="51"/>
      <c r="D1564" s="43"/>
      <c r="F1564" s="43"/>
      <c r="H1564" s="43"/>
    </row>
    <row r="1565">
      <c r="A1565" s="43"/>
      <c r="B1565" s="59"/>
      <c r="C1565" s="51"/>
      <c r="D1565" s="43"/>
      <c r="F1565" s="43"/>
      <c r="H1565" s="43"/>
    </row>
    <row r="1566">
      <c r="A1566" s="43"/>
      <c r="B1566" s="59"/>
      <c r="C1566" s="51"/>
      <c r="D1566" s="43"/>
      <c r="F1566" s="43"/>
      <c r="H1566" s="43"/>
    </row>
    <row r="1567">
      <c r="A1567" s="43"/>
      <c r="B1567" s="59"/>
      <c r="C1567" s="51"/>
      <c r="D1567" s="43"/>
      <c r="F1567" s="43"/>
      <c r="H1567" s="43"/>
    </row>
    <row r="1568">
      <c r="A1568" s="43"/>
      <c r="B1568" s="59"/>
      <c r="C1568" s="51"/>
      <c r="D1568" s="43"/>
      <c r="F1568" s="43"/>
      <c r="H1568" s="43"/>
    </row>
    <row r="1569">
      <c r="A1569" s="43"/>
      <c r="B1569" s="59"/>
      <c r="C1569" s="51"/>
      <c r="D1569" s="43"/>
      <c r="F1569" s="43"/>
      <c r="H1569" s="43"/>
    </row>
    <row r="1570">
      <c r="A1570" s="43"/>
      <c r="B1570" s="59"/>
      <c r="C1570" s="51"/>
      <c r="D1570" s="43"/>
      <c r="F1570" s="43"/>
      <c r="H1570" s="43"/>
    </row>
    <row r="1571">
      <c r="A1571" s="43"/>
      <c r="B1571" s="59"/>
      <c r="C1571" s="51"/>
      <c r="D1571" s="43"/>
      <c r="F1571" s="43"/>
      <c r="H1571" s="43"/>
    </row>
    <row r="1572">
      <c r="A1572" s="43"/>
      <c r="B1572" s="59"/>
      <c r="C1572" s="51"/>
      <c r="D1572" s="43"/>
      <c r="F1572" s="43"/>
      <c r="H1572" s="43"/>
    </row>
    <row r="1573">
      <c r="A1573" s="43"/>
      <c r="B1573" s="59"/>
      <c r="C1573" s="51"/>
      <c r="D1573" s="43"/>
      <c r="F1573" s="43"/>
      <c r="H1573" s="43"/>
    </row>
    <row r="1574">
      <c r="A1574" s="43"/>
      <c r="B1574" s="59"/>
      <c r="C1574" s="51"/>
      <c r="D1574" s="43"/>
      <c r="F1574" s="43"/>
      <c r="H1574" s="43"/>
    </row>
    <row r="1575">
      <c r="A1575" s="43"/>
      <c r="B1575" s="59"/>
      <c r="C1575" s="51"/>
      <c r="D1575" s="43"/>
      <c r="F1575" s="43"/>
      <c r="H1575" s="43"/>
    </row>
    <row r="1576">
      <c r="A1576" s="43"/>
      <c r="B1576" s="59"/>
      <c r="C1576" s="51"/>
      <c r="D1576" s="43"/>
      <c r="F1576" s="43"/>
      <c r="H1576" s="43"/>
    </row>
    <row r="1577">
      <c r="A1577" s="43"/>
      <c r="B1577" s="59"/>
      <c r="C1577" s="51"/>
      <c r="D1577" s="43"/>
      <c r="F1577" s="43"/>
      <c r="H1577" s="43"/>
    </row>
    <row r="1578">
      <c r="A1578" s="43"/>
      <c r="B1578" s="59"/>
      <c r="C1578" s="51"/>
      <c r="D1578" s="43"/>
      <c r="F1578" s="43"/>
      <c r="H1578" s="43"/>
    </row>
    <row r="1579">
      <c r="A1579" s="43"/>
      <c r="B1579" s="59"/>
      <c r="C1579" s="51"/>
      <c r="D1579" s="43"/>
      <c r="F1579" s="43"/>
      <c r="H1579" s="43"/>
    </row>
    <row r="1580">
      <c r="A1580" s="43"/>
      <c r="B1580" s="59"/>
      <c r="C1580" s="51"/>
      <c r="D1580" s="43"/>
      <c r="F1580" s="43"/>
      <c r="H1580" s="43"/>
    </row>
    <row r="1581">
      <c r="A1581" s="43"/>
      <c r="B1581" s="59"/>
      <c r="C1581" s="51"/>
      <c r="D1581" s="43"/>
      <c r="F1581" s="43"/>
      <c r="H1581" s="43"/>
    </row>
    <row r="1582">
      <c r="A1582" s="43"/>
      <c r="B1582" s="59"/>
      <c r="C1582" s="51"/>
      <c r="D1582" s="43"/>
      <c r="F1582" s="43"/>
      <c r="H1582" s="43"/>
    </row>
    <row r="1583">
      <c r="A1583" s="43"/>
      <c r="B1583" s="59"/>
      <c r="C1583" s="51"/>
      <c r="D1583" s="43"/>
      <c r="F1583" s="43"/>
      <c r="H1583" s="43"/>
    </row>
    <row r="1584">
      <c r="A1584" s="43"/>
      <c r="B1584" s="59"/>
      <c r="C1584" s="51"/>
      <c r="D1584" s="43"/>
      <c r="F1584" s="43"/>
      <c r="H1584" s="43"/>
    </row>
    <row r="1585">
      <c r="A1585" s="43"/>
      <c r="B1585" s="59"/>
      <c r="C1585" s="51"/>
      <c r="D1585" s="43"/>
      <c r="F1585" s="43"/>
      <c r="H1585" s="43"/>
    </row>
    <row r="1586">
      <c r="A1586" s="43"/>
      <c r="B1586" s="59"/>
      <c r="C1586" s="51"/>
      <c r="D1586" s="43"/>
      <c r="F1586" s="43"/>
      <c r="H1586" s="43"/>
    </row>
    <row r="1587">
      <c r="A1587" s="43"/>
      <c r="B1587" s="59"/>
      <c r="C1587" s="51"/>
      <c r="D1587" s="43"/>
      <c r="F1587" s="43"/>
      <c r="H1587" s="43"/>
    </row>
    <row r="1588">
      <c r="A1588" s="43"/>
      <c r="B1588" s="59"/>
      <c r="C1588" s="51"/>
      <c r="D1588" s="43"/>
      <c r="F1588" s="43"/>
      <c r="H1588" s="43"/>
    </row>
    <row r="1589">
      <c r="A1589" s="43"/>
      <c r="B1589" s="59"/>
      <c r="C1589" s="51"/>
      <c r="D1589" s="43"/>
      <c r="F1589" s="43"/>
      <c r="H1589" s="43"/>
    </row>
    <row r="1590">
      <c r="A1590" s="43"/>
      <c r="B1590" s="59"/>
      <c r="C1590" s="51"/>
      <c r="D1590" s="43"/>
      <c r="F1590" s="43"/>
      <c r="H1590" s="43"/>
    </row>
    <row r="1591">
      <c r="A1591" s="43"/>
      <c r="B1591" s="59"/>
      <c r="C1591" s="51"/>
      <c r="D1591" s="43"/>
      <c r="F1591" s="43"/>
      <c r="H1591" s="43"/>
    </row>
    <row r="1592">
      <c r="A1592" s="43"/>
      <c r="B1592" s="59"/>
      <c r="C1592" s="51"/>
      <c r="D1592" s="43"/>
      <c r="F1592" s="43"/>
      <c r="H1592" s="43"/>
    </row>
    <row r="1593">
      <c r="A1593" s="43"/>
      <c r="B1593" s="59"/>
      <c r="C1593" s="51"/>
      <c r="D1593" s="43"/>
      <c r="F1593" s="43"/>
      <c r="H1593" s="43"/>
    </row>
    <row r="1594">
      <c r="A1594" s="43"/>
      <c r="B1594" s="59"/>
      <c r="C1594" s="51"/>
      <c r="D1594" s="43"/>
      <c r="F1594" s="43"/>
      <c r="H1594" s="43"/>
    </row>
    <row r="1595">
      <c r="A1595" s="43"/>
      <c r="B1595" s="59"/>
      <c r="C1595" s="51"/>
      <c r="D1595" s="43"/>
      <c r="F1595" s="43"/>
      <c r="H1595" s="43"/>
    </row>
    <row r="1596">
      <c r="A1596" s="43"/>
      <c r="B1596" s="59"/>
      <c r="C1596" s="51"/>
      <c r="D1596" s="43"/>
      <c r="F1596" s="43"/>
      <c r="H1596" s="43"/>
    </row>
    <row r="1597">
      <c r="A1597" s="43"/>
      <c r="B1597" s="59"/>
      <c r="C1597" s="51"/>
      <c r="D1597" s="43"/>
      <c r="F1597" s="43"/>
      <c r="H1597" s="43"/>
    </row>
    <row r="1598">
      <c r="A1598" s="43"/>
      <c r="B1598" s="59"/>
      <c r="C1598" s="51"/>
      <c r="D1598" s="43"/>
      <c r="F1598" s="43"/>
      <c r="H1598" s="43"/>
    </row>
    <row r="1599">
      <c r="A1599" s="43"/>
      <c r="B1599" s="59"/>
      <c r="C1599" s="51"/>
      <c r="D1599" s="43"/>
      <c r="F1599" s="43"/>
      <c r="H1599" s="43"/>
    </row>
    <row r="1600">
      <c r="A1600" s="43"/>
      <c r="B1600" s="59"/>
      <c r="C1600" s="51"/>
      <c r="D1600" s="43"/>
      <c r="F1600" s="43"/>
      <c r="H1600" s="43"/>
    </row>
    <row r="1601">
      <c r="A1601" s="43"/>
      <c r="B1601" s="59"/>
      <c r="C1601" s="51"/>
      <c r="D1601" s="43"/>
      <c r="F1601" s="43"/>
      <c r="H1601" s="43"/>
    </row>
    <row r="1602">
      <c r="A1602" s="43"/>
      <c r="B1602" s="59"/>
      <c r="C1602" s="51"/>
      <c r="D1602" s="43"/>
      <c r="F1602" s="43"/>
      <c r="H1602" s="43"/>
    </row>
    <row r="1603">
      <c r="A1603" s="43"/>
      <c r="B1603" s="59"/>
      <c r="C1603" s="51"/>
      <c r="D1603" s="43"/>
      <c r="F1603" s="43"/>
      <c r="H1603" s="43"/>
    </row>
    <row r="1604">
      <c r="A1604" s="43"/>
      <c r="B1604" s="59"/>
      <c r="C1604" s="51"/>
      <c r="D1604" s="43"/>
      <c r="F1604" s="43"/>
      <c r="H1604" s="43"/>
    </row>
    <row r="1605">
      <c r="A1605" s="43"/>
      <c r="B1605" s="59"/>
      <c r="C1605" s="51"/>
      <c r="D1605" s="43"/>
      <c r="F1605" s="43"/>
      <c r="H1605" s="43"/>
    </row>
    <row r="1606">
      <c r="A1606" s="43"/>
      <c r="B1606" s="59"/>
      <c r="C1606" s="51"/>
      <c r="D1606" s="43"/>
      <c r="F1606" s="43"/>
      <c r="H1606" s="43"/>
    </row>
    <row r="1607">
      <c r="A1607" s="43"/>
      <c r="B1607" s="59"/>
      <c r="C1607" s="51"/>
      <c r="D1607" s="43"/>
      <c r="F1607" s="43"/>
      <c r="H1607" s="43"/>
    </row>
    <row r="1608">
      <c r="A1608" s="43"/>
      <c r="B1608" s="59"/>
      <c r="C1608" s="51"/>
      <c r="D1608" s="43"/>
      <c r="F1608" s="43"/>
      <c r="H1608" s="43"/>
    </row>
    <row r="1609">
      <c r="A1609" s="43"/>
      <c r="B1609" s="59"/>
      <c r="C1609" s="51"/>
      <c r="D1609" s="43"/>
      <c r="F1609" s="43"/>
      <c r="H1609" s="43"/>
    </row>
    <row r="1610">
      <c r="A1610" s="43"/>
      <c r="B1610" s="59"/>
      <c r="C1610" s="51"/>
      <c r="D1610" s="43"/>
      <c r="F1610" s="43"/>
      <c r="H1610" s="43"/>
    </row>
    <row r="1611">
      <c r="A1611" s="43"/>
      <c r="B1611" s="59"/>
      <c r="C1611" s="51"/>
      <c r="D1611" s="43"/>
      <c r="F1611" s="43"/>
      <c r="H1611" s="43"/>
    </row>
    <row r="1612">
      <c r="A1612" s="43"/>
      <c r="B1612" s="59"/>
      <c r="C1612" s="51"/>
      <c r="D1612" s="43"/>
      <c r="F1612" s="43"/>
      <c r="H1612" s="43"/>
    </row>
    <row r="1613">
      <c r="A1613" s="43"/>
      <c r="B1613" s="59"/>
      <c r="C1613" s="51"/>
      <c r="D1613" s="43"/>
      <c r="F1613" s="43"/>
      <c r="H1613" s="43"/>
    </row>
    <row r="1614">
      <c r="A1614" s="43"/>
      <c r="B1614" s="59"/>
      <c r="C1614" s="51"/>
      <c r="D1614" s="43"/>
      <c r="F1614" s="43"/>
      <c r="H1614" s="43"/>
    </row>
    <row r="1615">
      <c r="A1615" s="43"/>
      <c r="B1615" s="59"/>
      <c r="C1615" s="51"/>
      <c r="D1615" s="43"/>
      <c r="F1615" s="43"/>
      <c r="H1615" s="43"/>
    </row>
    <row r="1616">
      <c r="A1616" s="43"/>
      <c r="B1616" s="59"/>
      <c r="C1616" s="51"/>
      <c r="D1616" s="43"/>
      <c r="F1616" s="43"/>
      <c r="H1616" s="43"/>
    </row>
    <row r="1617">
      <c r="A1617" s="43"/>
      <c r="B1617" s="59"/>
      <c r="C1617" s="51"/>
      <c r="D1617" s="43"/>
      <c r="F1617" s="43"/>
      <c r="H1617" s="43"/>
    </row>
    <row r="1618">
      <c r="A1618" s="43"/>
      <c r="B1618" s="59"/>
      <c r="C1618" s="51"/>
      <c r="D1618" s="43"/>
      <c r="F1618" s="43"/>
      <c r="H1618" s="43"/>
    </row>
    <row r="1619">
      <c r="A1619" s="43"/>
      <c r="B1619" s="59"/>
      <c r="C1619" s="51"/>
      <c r="D1619" s="43"/>
      <c r="F1619" s="43"/>
      <c r="H1619" s="43"/>
    </row>
    <row r="1620">
      <c r="A1620" s="43"/>
      <c r="B1620" s="59"/>
      <c r="C1620" s="51"/>
      <c r="D1620" s="43"/>
      <c r="F1620" s="43"/>
      <c r="H1620" s="43"/>
    </row>
    <row r="1621">
      <c r="A1621" s="43"/>
      <c r="B1621" s="59"/>
      <c r="C1621" s="51"/>
      <c r="D1621" s="43"/>
      <c r="F1621" s="43"/>
      <c r="H1621" s="43"/>
    </row>
    <row r="1622">
      <c r="A1622" s="43"/>
      <c r="B1622" s="59"/>
      <c r="C1622" s="51"/>
      <c r="D1622" s="43"/>
      <c r="F1622" s="43"/>
      <c r="H1622" s="43"/>
    </row>
    <row r="1623">
      <c r="A1623" s="43"/>
      <c r="B1623" s="59"/>
      <c r="C1623" s="51"/>
      <c r="D1623" s="43"/>
      <c r="F1623" s="43"/>
      <c r="H1623" s="43"/>
    </row>
    <row r="1624">
      <c r="A1624" s="43"/>
      <c r="B1624" s="59"/>
      <c r="C1624" s="51"/>
      <c r="D1624" s="43"/>
      <c r="F1624" s="43"/>
      <c r="H1624" s="43"/>
    </row>
    <row r="1625">
      <c r="A1625" s="43"/>
      <c r="B1625" s="59"/>
      <c r="C1625" s="51"/>
      <c r="D1625" s="43"/>
      <c r="F1625" s="43"/>
      <c r="H1625" s="43"/>
    </row>
    <row r="1626">
      <c r="A1626" s="43"/>
      <c r="B1626" s="59"/>
      <c r="C1626" s="51"/>
      <c r="D1626" s="43"/>
      <c r="F1626" s="43"/>
      <c r="H1626" s="43"/>
    </row>
    <row r="1627">
      <c r="A1627" s="43"/>
      <c r="B1627" s="59"/>
      <c r="C1627" s="51"/>
      <c r="D1627" s="43"/>
      <c r="F1627" s="43"/>
      <c r="H1627" s="43"/>
    </row>
    <row r="1628">
      <c r="A1628" s="43"/>
      <c r="B1628" s="59"/>
      <c r="C1628" s="51"/>
      <c r="D1628" s="43"/>
      <c r="F1628" s="43"/>
      <c r="H1628" s="43"/>
    </row>
    <row r="1629">
      <c r="A1629" s="43"/>
      <c r="B1629" s="59"/>
      <c r="C1629" s="51"/>
      <c r="D1629" s="43"/>
      <c r="F1629" s="43"/>
      <c r="H1629" s="43"/>
    </row>
    <row r="1630">
      <c r="A1630" s="43"/>
      <c r="B1630" s="59"/>
      <c r="C1630" s="51"/>
      <c r="D1630" s="43"/>
      <c r="F1630" s="43"/>
      <c r="H1630" s="43"/>
    </row>
    <row r="1631">
      <c r="A1631" s="43"/>
      <c r="B1631" s="59"/>
      <c r="C1631" s="51"/>
      <c r="D1631" s="43"/>
      <c r="F1631" s="43"/>
      <c r="H1631" s="43"/>
    </row>
    <row r="1632">
      <c r="A1632" s="43"/>
      <c r="B1632" s="59"/>
      <c r="C1632" s="51"/>
      <c r="D1632" s="43"/>
      <c r="F1632" s="43"/>
      <c r="H1632" s="43"/>
    </row>
    <row r="1633">
      <c r="A1633" s="43"/>
      <c r="B1633" s="59"/>
      <c r="C1633" s="51"/>
      <c r="D1633" s="43"/>
      <c r="F1633" s="43"/>
      <c r="H1633" s="43"/>
    </row>
    <row r="1634">
      <c r="A1634" s="43"/>
      <c r="B1634" s="59"/>
      <c r="C1634" s="51"/>
      <c r="D1634" s="43"/>
      <c r="F1634" s="43"/>
      <c r="H1634" s="43"/>
    </row>
    <row r="1635">
      <c r="A1635" s="43"/>
      <c r="B1635" s="59"/>
      <c r="C1635" s="51"/>
      <c r="D1635" s="43"/>
      <c r="F1635" s="43"/>
      <c r="H1635" s="43"/>
    </row>
    <row r="1636">
      <c r="A1636" s="43"/>
      <c r="B1636" s="59"/>
      <c r="C1636" s="51"/>
      <c r="D1636" s="43"/>
      <c r="F1636" s="43"/>
      <c r="H1636" s="43"/>
    </row>
    <row r="1637">
      <c r="A1637" s="43"/>
      <c r="B1637" s="59"/>
      <c r="C1637" s="51"/>
      <c r="D1637" s="43"/>
      <c r="F1637" s="43"/>
      <c r="H1637" s="43"/>
    </row>
    <row r="1638">
      <c r="A1638" s="43"/>
      <c r="B1638" s="59"/>
      <c r="C1638" s="51"/>
      <c r="D1638" s="43"/>
      <c r="F1638" s="43"/>
      <c r="H1638" s="43"/>
    </row>
    <row r="1639">
      <c r="A1639" s="43"/>
      <c r="B1639" s="59"/>
      <c r="C1639" s="51"/>
      <c r="D1639" s="43"/>
      <c r="F1639" s="43"/>
      <c r="H1639" s="43"/>
    </row>
    <row r="1640">
      <c r="A1640" s="43"/>
      <c r="B1640" s="59"/>
      <c r="C1640" s="51"/>
      <c r="D1640" s="43"/>
      <c r="F1640" s="43"/>
      <c r="H1640" s="43"/>
    </row>
    <row r="1641">
      <c r="A1641" s="43"/>
      <c r="B1641" s="59"/>
      <c r="C1641" s="51"/>
      <c r="D1641" s="43"/>
      <c r="F1641" s="43"/>
      <c r="H1641" s="43"/>
    </row>
    <row r="1642">
      <c r="A1642" s="43"/>
      <c r="B1642" s="59"/>
      <c r="C1642" s="51"/>
      <c r="D1642" s="43"/>
      <c r="F1642" s="43"/>
      <c r="H1642" s="43"/>
    </row>
    <row r="1643">
      <c r="A1643" s="43"/>
      <c r="B1643" s="59"/>
      <c r="C1643" s="51"/>
      <c r="D1643" s="43"/>
      <c r="F1643" s="43"/>
      <c r="H1643" s="43"/>
    </row>
    <row r="1644">
      <c r="A1644" s="43"/>
      <c r="B1644" s="59"/>
      <c r="C1644" s="51"/>
      <c r="D1644" s="43"/>
      <c r="F1644" s="43"/>
      <c r="H1644" s="43"/>
    </row>
    <row r="1645">
      <c r="A1645" s="43"/>
      <c r="B1645" s="59"/>
      <c r="C1645" s="51"/>
      <c r="D1645" s="43"/>
      <c r="F1645" s="43"/>
      <c r="H1645" s="43"/>
    </row>
    <row r="1646">
      <c r="A1646" s="43"/>
      <c r="B1646" s="59"/>
      <c r="C1646" s="51"/>
      <c r="D1646" s="43"/>
      <c r="F1646" s="43"/>
      <c r="H1646" s="43"/>
    </row>
    <row r="1647">
      <c r="A1647" s="43"/>
      <c r="B1647" s="59"/>
      <c r="C1647" s="51"/>
      <c r="D1647" s="43"/>
      <c r="F1647" s="43"/>
      <c r="H1647" s="43"/>
    </row>
    <row r="1648">
      <c r="A1648" s="43"/>
      <c r="B1648" s="59"/>
      <c r="C1648" s="51"/>
      <c r="D1648" s="43"/>
      <c r="F1648" s="43"/>
      <c r="H1648" s="43"/>
    </row>
    <row r="1649">
      <c r="A1649" s="43"/>
      <c r="B1649" s="59"/>
      <c r="C1649" s="51"/>
      <c r="D1649" s="43"/>
      <c r="F1649" s="43"/>
      <c r="H1649" s="43"/>
    </row>
    <row r="1650">
      <c r="A1650" s="43"/>
      <c r="B1650" s="59"/>
      <c r="C1650" s="51"/>
      <c r="D1650" s="43"/>
      <c r="F1650" s="43"/>
      <c r="H1650" s="43"/>
    </row>
    <row r="1651">
      <c r="A1651" s="43"/>
      <c r="B1651" s="59"/>
      <c r="C1651" s="51"/>
      <c r="D1651" s="43"/>
      <c r="F1651" s="43"/>
      <c r="H1651" s="43"/>
    </row>
    <row r="1652">
      <c r="A1652" s="43"/>
      <c r="B1652" s="59"/>
      <c r="C1652" s="51"/>
      <c r="D1652" s="43"/>
      <c r="F1652" s="43"/>
      <c r="H1652" s="43"/>
    </row>
    <row r="1653">
      <c r="A1653" s="43"/>
      <c r="B1653" s="59"/>
      <c r="C1653" s="51"/>
      <c r="D1653" s="43"/>
      <c r="F1653" s="43"/>
      <c r="H1653" s="43"/>
    </row>
    <row r="1654">
      <c r="A1654" s="43"/>
      <c r="B1654" s="59"/>
      <c r="C1654" s="51"/>
      <c r="D1654" s="43"/>
      <c r="F1654" s="43"/>
      <c r="H1654" s="43"/>
    </row>
    <row r="1655">
      <c r="A1655" s="43"/>
      <c r="B1655" s="59"/>
      <c r="C1655" s="51"/>
      <c r="D1655" s="43"/>
      <c r="F1655" s="43"/>
      <c r="H1655" s="43"/>
    </row>
    <row r="1656">
      <c r="A1656" s="43"/>
      <c r="B1656" s="59"/>
      <c r="C1656" s="51"/>
      <c r="D1656" s="43"/>
      <c r="F1656" s="43"/>
      <c r="H1656" s="43"/>
    </row>
    <row r="1657">
      <c r="A1657" s="43"/>
      <c r="B1657" s="59"/>
      <c r="C1657" s="51"/>
      <c r="D1657" s="43"/>
      <c r="F1657" s="43"/>
      <c r="H1657" s="43"/>
    </row>
    <row r="1658">
      <c r="A1658" s="43"/>
      <c r="B1658" s="59"/>
      <c r="C1658" s="51"/>
      <c r="D1658" s="43"/>
      <c r="F1658" s="43"/>
      <c r="H1658" s="43"/>
    </row>
    <row r="1659">
      <c r="A1659" s="43"/>
      <c r="B1659" s="59"/>
      <c r="C1659" s="51"/>
      <c r="D1659" s="43"/>
      <c r="F1659" s="43"/>
      <c r="H1659" s="43"/>
    </row>
    <row r="1660">
      <c r="A1660" s="43"/>
      <c r="B1660" s="59"/>
      <c r="C1660" s="51"/>
      <c r="D1660" s="43"/>
      <c r="F1660" s="43"/>
      <c r="H1660" s="43"/>
    </row>
    <row r="1661">
      <c r="A1661" s="43"/>
      <c r="B1661" s="59"/>
      <c r="C1661" s="51"/>
      <c r="D1661" s="43"/>
      <c r="F1661" s="43"/>
      <c r="H1661" s="43"/>
    </row>
    <row r="1662">
      <c r="A1662" s="43"/>
      <c r="B1662" s="59"/>
      <c r="C1662" s="51"/>
      <c r="D1662" s="43"/>
      <c r="F1662" s="43"/>
      <c r="H1662" s="43"/>
    </row>
    <row r="1663">
      <c r="A1663" s="43"/>
      <c r="B1663" s="59"/>
      <c r="C1663" s="51"/>
      <c r="D1663" s="43"/>
      <c r="F1663" s="43"/>
      <c r="H1663" s="43"/>
    </row>
    <row r="1664">
      <c r="A1664" s="43"/>
      <c r="B1664" s="59"/>
      <c r="C1664" s="51"/>
      <c r="D1664" s="43"/>
      <c r="F1664" s="43"/>
      <c r="H1664" s="43"/>
    </row>
    <row r="1665">
      <c r="A1665" s="43"/>
      <c r="B1665" s="59"/>
      <c r="C1665" s="51"/>
      <c r="D1665" s="43"/>
      <c r="F1665" s="43"/>
      <c r="H1665" s="43"/>
    </row>
    <row r="1666">
      <c r="A1666" s="43"/>
      <c r="B1666" s="59"/>
      <c r="C1666" s="51"/>
      <c r="D1666" s="43"/>
      <c r="F1666" s="43"/>
      <c r="H1666" s="43"/>
    </row>
    <row r="1667">
      <c r="A1667" s="43"/>
      <c r="B1667" s="59"/>
      <c r="C1667" s="51"/>
      <c r="D1667" s="43"/>
      <c r="F1667" s="43"/>
      <c r="H1667" s="43"/>
    </row>
    <row r="1668">
      <c r="A1668" s="43"/>
      <c r="B1668" s="59"/>
      <c r="C1668" s="51"/>
      <c r="D1668" s="43"/>
      <c r="F1668" s="43"/>
      <c r="H1668" s="43"/>
    </row>
    <row r="1669">
      <c r="A1669" s="43"/>
      <c r="B1669" s="59"/>
      <c r="C1669" s="51"/>
      <c r="D1669" s="43"/>
      <c r="F1669" s="43"/>
      <c r="H1669" s="43"/>
    </row>
    <row r="1670">
      <c r="A1670" s="43"/>
      <c r="B1670" s="59"/>
      <c r="C1670" s="51"/>
      <c r="D1670" s="43"/>
      <c r="F1670" s="43"/>
      <c r="H1670" s="43"/>
    </row>
    <row r="1671">
      <c r="A1671" s="43"/>
      <c r="B1671" s="59"/>
      <c r="C1671" s="51"/>
      <c r="D1671" s="43"/>
      <c r="F1671" s="43"/>
      <c r="H1671" s="43"/>
    </row>
    <row r="1672">
      <c r="A1672" s="43"/>
      <c r="B1672" s="59"/>
      <c r="C1672" s="51"/>
      <c r="D1672" s="43"/>
      <c r="F1672" s="43"/>
      <c r="H1672" s="43"/>
    </row>
    <row r="1673">
      <c r="A1673" s="43"/>
      <c r="B1673" s="59"/>
      <c r="C1673" s="51"/>
      <c r="D1673" s="43"/>
      <c r="F1673" s="43"/>
      <c r="H1673" s="43"/>
    </row>
    <row r="1674">
      <c r="A1674" s="43"/>
      <c r="B1674" s="59"/>
      <c r="C1674" s="51"/>
      <c r="D1674" s="43"/>
      <c r="F1674" s="43"/>
      <c r="H1674" s="43"/>
    </row>
    <row r="1675">
      <c r="A1675" s="43"/>
      <c r="B1675" s="59"/>
      <c r="C1675" s="51"/>
      <c r="D1675" s="43"/>
      <c r="F1675" s="43"/>
      <c r="H1675" s="43"/>
    </row>
    <row r="1676">
      <c r="A1676" s="43"/>
      <c r="B1676" s="59"/>
      <c r="C1676" s="51"/>
      <c r="D1676" s="43"/>
      <c r="F1676" s="43"/>
      <c r="H1676" s="43"/>
    </row>
    <row r="1677">
      <c r="A1677" s="43"/>
      <c r="B1677" s="59"/>
      <c r="C1677" s="51"/>
      <c r="D1677" s="43"/>
      <c r="F1677" s="43"/>
      <c r="H1677" s="43"/>
    </row>
    <row r="1678">
      <c r="A1678" s="43"/>
      <c r="B1678" s="59"/>
      <c r="C1678" s="51"/>
      <c r="D1678" s="43"/>
      <c r="F1678" s="43"/>
      <c r="H1678" s="43"/>
    </row>
    <row r="1679">
      <c r="A1679" s="43"/>
      <c r="B1679" s="59"/>
      <c r="C1679" s="51"/>
      <c r="D1679" s="43"/>
      <c r="F1679" s="43"/>
      <c r="H1679" s="43"/>
    </row>
    <row r="1680">
      <c r="A1680" s="43"/>
      <c r="B1680" s="59"/>
      <c r="C1680" s="51"/>
      <c r="D1680" s="43"/>
      <c r="F1680" s="43"/>
      <c r="H1680" s="43"/>
    </row>
    <row r="1681">
      <c r="A1681" s="43"/>
      <c r="B1681" s="59"/>
      <c r="C1681" s="51"/>
      <c r="D1681" s="43"/>
      <c r="F1681" s="43"/>
      <c r="H1681" s="43"/>
    </row>
    <row r="1682">
      <c r="A1682" s="43"/>
      <c r="B1682" s="59"/>
      <c r="C1682" s="51"/>
      <c r="D1682" s="43"/>
      <c r="F1682" s="43"/>
      <c r="H1682" s="43"/>
    </row>
    <row r="1683">
      <c r="A1683" s="43"/>
      <c r="B1683" s="59"/>
      <c r="C1683" s="51"/>
      <c r="D1683" s="43"/>
      <c r="F1683" s="43"/>
      <c r="H1683" s="43"/>
    </row>
    <row r="1684">
      <c r="A1684" s="43"/>
      <c r="B1684" s="59"/>
      <c r="C1684" s="51"/>
      <c r="D1684" s="43"/>
      <c r="F1684" s="43"/>
      <c r="H1684" s="43"/>
    </row>
    <row r="1685">
      <c r="A1685" s="43"/>
      <c r="B1685" s="59"/>
      <c r="C1685" s="51"/>
      <c r="D1685" s="43"/>
      <c r="F1685" s="43"/>
      <c r="H1685" s="43"/>
    </row>
    <row r="1686">
      <c r="A1686" s="43"/>
      <c r="B1686" s="59"/>
      <c r="C1686" s="51"/>
      <c r="D1686" s="43"/>
      <c r="F1686" s="43"/>
      <c r="H1686" s="43"/>
    </row>
    <row r="1687">
      <c r="A1687" s="43"/>
      <c r="B1687" s="59"/>
      <c r="C1687" s="51"/>
      <c r="D1687" s="43"/>
      <c r="F1687" s="43"/>
      <c r="H1687" s="43"/>
    </row>
    <row r="1688">
      <c r="A1688" s="43"/>
      <c r="B1688" s="59"/>
      <c r="C1688" s="51"/>
      <c r="D1688" s="43"/>
      <c r="F1688" s="43"/>
      <c r="H1688" s="43"/>
    </row>
    <row r="1689">
      <c r="A1689" s="43"/>
      <c r="B1689" s="59"/>
      <c r="C1689" s="51"/>
      <c r="D1689" s="43"/>
      <c r="F1689" s="43"/>
      <c r="H1689" s="43"/>
    </row>
    <row r="1690">
      <c r="A1690" s="43"/>
      <c r="B1690" s="59"/>
      <c r="C1690" s="51"/>
      <c r="D1690" s="43"/>
      <c r="F1690" s="43"/>
      <c r="H1690" s="43"/>
    </row>
    <row r="1691">
      <c r="A1691" s="43"/>
      <c r="B1691" s="59"/>
      <c r="C1691" s="51"/>
      <c r="D1691" s="43"/>
      <c r="F1691" s="43"/>
      <c r="H1691" s="43"/>
    </row>
    <row r="1692">
      <c r="A1692" s="43"/>
      <c r="B1692" s="59"/>
      <c r="C1692" s="51"/>
      <c r="D1692" s="43"/>
      <c r="F1692" s="43"/>
      <c r="H1692" s="43"/>
    </row>
    <row r="1693">
      <c r="A1693" s="43"/>
      <c r="B1693" s="59"/>
      <c r="C1693" s="51"/>
      <c r="D1693" s="43"/>
      <c r="F1693" s="43"/>
      <c r="H1693" s="43"/>
    </row>
    <row r="1694">
      <c r="A1694" s="43"/>
      <c r="B1694" s="59"/>
      <c r="C1694" s="51"/>
      <c r="D1694" s="43"/>
      <c r="F1694" s="43"/>
      <c r="H1694" s="43"/>
    </row>
    <row r="1695">
      <c r="A1695" s="43"/>
      <c r="B1695" s="59"/>
      <c r="C1695" s="51"/>
      <c r="D1695" s="43"/>
      <c r="F1695" s="43"/>
      <c r="H1695" s="43"/>
    </row>
    <row r="1696">
      <c r="A1696" s="43"/>
      <c r="B1696" s="59"/>
      <c r="C1696" s="51"/>
      <c r="D1696" s="43"/>
      <c r="F1696" s="43"/>
      <c r="H1696" s="43"/>
    </row>
    <row r="1697">
      <c r="A1697" s="43"/>
      <c r="B1697" s="59"/>
      <c r="C1697" s="51"/>
      <c r="D1697" s="43"/>
      <c r="F1697" s="43"/>
      <c r="H1697" s="43"/>
    </row>
    <row r="1698">
      <c r="A1698" s="43"/>
      <c r="B1698" s="59"/>
      <c r="C1698" s="51"/>
      <c r="D1698" s="43"/>
      <c r="F1698" s="43"/>
      <c r="H1698" s="43"/>
    </row>
    <row r="1699">
      <c r="A1699" s="43"/>
      <c r="B1699" s="59"/>
      <c r="C1699" s="51"/>
      <c r="D1699" s="43"/>
      <c r="F1699" s="43"/>
      <c r="H1699" s="43"/>
    </row>
    <row r="1700">
      <c r="A1700" s="43"/>
      <c r="B1700" s="59"/>
      <c r="C1700" s="51"/>
      <c r="D1700" s="43"/>
      <c r="F1700" s="43"/>
      <c r="H1700" s="43"/>
    </row>
    <row r="1701">
      <c r="A1701" s="43"/>
      <c r="B1701" s="59"/>
      <c r="C1701" s="51"/>
      <c r="D1701" s="43"/>
      <c r="F1701" s="43"/>
      <c r="H1701" s="43"/>
    </row>
    <row r="1702">
      <c r="A1702" s="43"/>
      <c r="B1702" s="59"/>
      <c r="C1702" s="51"/>
      <c r="D1702" s="43"/>
      <c r="F1702" s="43"/>
      <c r="H1702" s="43"/>
    </row>
    <row r="1703">
      <c r="A1703" s="43"/>
      <c r="B1703" s="59"/>
      <c r="C1703" s="51"/>
      <c r="D1703" s="43"/>
      <c r="F1703" s="43"/>
      <c r="H1703" s="43"/>
    </row>
    <row r="1704">
      <c r="A1704" s="43"/>
      <c r="B1704" s="59"/>
      <c r="C1704" s="51"/>
      <c r="D1704" s="43"/>
      <c r="F1704" s="43"/>
      <c r="H1704" s="43"/>
    </row>
    <row r="1705">
      <c r="A1705" s="43"/>
      <c r="B1705" s="59"/>
      <c r="C1705" s="51"/>
      <c r="D1705" s="43"/>
      <c r="F1705" s="43"/>
      <c r="H1705" s="43"/>
    </row>
    <row r="1706">
      <c r="A1706" s="43"/>
      <c r="B1706" s="59"/>
      <c r="C1706" s="51"/>
      <c r="D1706" s="43"/>
      <c r="F1706" s="43"/>
      <c r="H1706" s="43"/>
    </row>
    <row r="1707">
      <c r="A1707" s="43"/>
      <c r="B1707" s="59"/>
      <c r="C1707" s="51"/>
      <c r="D1707" s="43"/>
      <c r="F1707" s="43"/>
      <c r="H1707" s="43"/>
    </row>
    <row r="1708">
      <c r="A1708" s="43"/>
      <c r="B1708" s="59"/>
      <c r="C1708" s="51"/>
      <c r="D1708" s="43"/>
      <c r="F1708" s="43"/>
      <c r="H1708" s="43"/>
    </row>
    <row r="1709">
      <c r="A1709" s="43"/>
      <c r="B1709" s="59"/>
      <c r="C1709" s="51"/>
      <c r="D1709" s="43"/>
      <c r="F1709" s="43"/>
      <c r="H1709" s="43"/>
    </row>
    <row r="1710">
      <c r="A1710" s="43"/>
      <c r="B1710" s="59"/>
      <c r="C1710" s="51"/>
      <c r="D1710" s="43"/>
      <c r="F1710" s="43"/>
      <c r="H1710" s="43"/>
    </row>
    <row r="1711">
      <c r="A1711" s="43"/>
      <c r="B1711" s="59"/>
      <c r="C1711" s="51"/>
      <c r="D1711" s="43"/>
      <c r="F1711" s="43"/>
      <c r="H1711" s="43"/>
    </row>
    <row r="1712">
      <c r="A1712" s="43"/>
      <c r="B1712" s="59"/>
      <c r="C1712" s="51"/>
      <c r="D1712" s="43"/>
      <c r="F1712" s="43"/>
      <c r="H1712" s="43"/>
    </row>
    <row r="1713">
      <c r="A1713" s="43"/>
      <c r="B1713" s="59"/>
      <c r="C1713" s="51"/>
      <c r="D1713" s="43"/>
      <c r="F1713" s="43"/>
      <c r="H1713" s="43"/>
    </row>
    <row r="1714">
      <c r="A1714" s="43"/>
      <c r="B1714" s="59"/>
      <c r="C1714" s="51"/>
      <c r="D1714" s="43"/>
      <c r="F1714" s="43"/>
      <c r="H1714" s="43"/>
    </row>
    <row r="1715">
      <c r="A1715" s="43"/>
      <c r="B1715" s="59"/>
      <c r="C1715" s="51"/>
      <c r="D1715" s="43"/>
      <c r="F1715" s="43"/>
      <c r="H1715" s="43"/>
    </row>
    <row r="1716">
      <c r="A1716" s="43"/>
      <c r="B1716" s="59"/>
      <c r="C1716" s="51"/>
      <c r="D1716" s="43"/>
      <c r="F1716" s="43"/>
      <c r="H1716" s="43"/>
    </row>
    <row r="1717">
      <c r="A1717" s="43"/>
      <c r="B1717" s="59"/>
      <c r="C1717" s="51"/>
      <c r="D1717" s="43"/>
      <c r="F1717" s="43"/>
      <c r="H1717" s="43"/>
    </row>
    <row r="1718">
      <c r="A1718" s="43"/>
      <c r="B1718" s="59"/>
      <c r="C1718" s="51"/>
      <c r="D1718" s="43"/>
      <c r="F1718" s="43"/>
      <c r="H1718" s="43"/>
    </row>
    <row r="1719">
      <c r="A1719" s="43"/>
      <c r="B1719" s="59"/>
      <c r="C1719" s="51"/>
      <c r="D1719" s="43"/>
      <c r="F1719" s="43"/>
      <c r="H1719" s="43"/>
    </row>
    <row r="1720">
      <c r="A1720" s="43"/>
      <c r="B1720" s="59"/>
      <c r="C1720" s="51"/>
      <c r="D1720" s="43"/>
      <c r="F1720" s="43"/>
      <c r="H1720" s="43"/>
    </row>
    <row r="1721">
      <c r="A1721" s="43"/>
      <c r="B1721" s="59"/>
      <c r="C1721" s="51"/>
      <c r="D1721" s="43"/>
      <c r="F1721" s="43"/>
      <c r="H1721" s="43"/>
    </row>
    <row r="1722">
      <c r="A1722" s="43"/>
      <c r="B1722" s="59"/>
      <c r="C1722" s="51"/>
      <c r="D1722" s="43"/>
      <c r="F1722" s="43"/>
      <c r="H1722" s="43"/>
    </row>
    <row r="1723">
      <c r="A1723" s="43"/>
      <c r="B1723" s="59"/>
      <c r="C1723" s="51"/>
      <c r="D1723" s="43"/>
      <c r="F1723" s="43"/>
      <c r="H1723" s="43"/>
    </row>
    <row r="1724">
      <c r="A1724" s="43"/>
      <c r="B1724" s="59"/>
      <c r="C1724" s="51"/>
      <c r="D1724" s="43"/>
      <c r="F1724" s="43"/>
      <c r="H1724" s="43"/>
    </row>
    <row r="1725">
      <c r="A1725" s="43"/>
      <c r="B1725" s="59"/>
      <c r="C1725" s="51"/>
      <c r="D1725" s="43"/>
      <c r="F1725" s="43"/>
      <c r="H1725" s="43"/>
    </row>
    <row r="1726">
      <c r="A1726" s="43"/>
      <c r="B1726" s="59"/>
      <c r="C1726" s="51"/>
      <c r="D1726" s="43"/>
      <c r="F1726" s="43"/>
      <c r="H1726" s="43"/>
    </row>
    <row r="1727">
      <c r="A1727" s="43"/>
      <c r="B1727" s="59"/>
      <c r="C1727" s="51"/>
      <c r="D1727" s="43"/>
      <c r="F1727" s="43"/>
      <c r="H1727" s="43"/>
    </row>
    <row r="1728">
      <c r="A1728" s="43"/>
      <c r="B1728" s="59"/>
      <c r="C1728" s="51"/>
      <c r="D1728" s="43"/>
      <c r="F1728" s="43"/>
      <c r="H1728" s="43"/>
    </row>
    <row r="1729">
      <c r="A1729" s="43"/>
      <c r="B1729" s="59"/>
      <c r="C1729" s="51"/>
      <c r="D1729" s="43"/>
      <c r="F1729" s="43"/>
      <c r="H1729" s="43"/>
    </row>
    <row r="1730">
      <c r="A1730" s="43"/>
      <c r="B1730" s="59"/>
      <c r="C1730" s="51"/>
      <c r="D1730" s="43"/>
      <c r="F1730" s="43"/>
      <c r="H1730" s="43"/>
    </row>
    <row r="1731">
      <c r="A1731" s="43"/>
      <c r="B1731" s="59"/>
      <c r="C1731" s="51"/>
      <c r="D1731" s="43"/>
      <c r="F1731" s="43"/>
      <c r="H1731" s="43"/>
    </row>
    <row r="1732">
      <c r="A1732" s="43"/>
      <c r="B1732" s="59"/>
      <c r="C1732" s="51"/>
      <c r="D1732" s="43"/>
      <c r="F1732" s="43"/>
      <c r="H1732" s="43"/>
    </row>
    <row r="1733">
      <c r="A1733" s="43"/>
      <c r="B1733" s="59"/>
      <c r="C1733" s="51"/>
      <c r="D1733" s="43"/>
      <c r="F1733" s="43"/>
      <c r="H1733" s="43"/>
    </row>
    <row r="1734">
      <c r="A1734" s="43"/>
      <c r="B1734" s="59"/>
      <c r="C1734" s="51"/>
      <c r="D1734" s="43"/>
      <c r="F1734" s="43"/>
      <c r="H1734" s="43"/>
    </row>
    <row r="1735">
      <c r="A1735" s="43"/>
      <c r="B1735" s="59"/>
      <c r="C1735" s="51"/>
      <c r="D1735" s="43"/>
      <c r="F1735" s="43"/>
      <c r="H1735" s="43"/>
    </row>
    <row r="1736">
      <c r="A1736" s="43"/>
      <c r="B1736" s="59"/>
      <c r="C1736" s="51"/>
      <c r="D1736" s="43"/>
      <c r="F1736" s="43"/>
      <c r="H1736" s="43"/>
    </row>
    <row r="1737">
      <c r="A1737" s="43"/>
      <c r="B1737" s="59"/>
      <c r="C1737" s="51"/>
      <c r="D1737" s="43"/>
      <c r="F1737" s="43"/>
      <c r="H1737" s="43"/>
    </row>
    <row r="1738">
      <c r="A1738" s="43"/>
      <c r="B1738" s="59"/>
      <c r="C1738" s="51"/>
      <c r="D1738" s="43"/>
      <c r="F1738" s="43"/>
      <c r="H1738" s="43"/>
    </row>
    <row r="1739">
      <c r="A1739" s="43"/>
      <c r="B1739" s="59"/>
      <c r="C1739" s="51"/>
      <c r="D1739" s="43"/>
      <c r="F1739" s="43"/>
      <c r="H1739" s="43"/>
    </row>
    <row r="1740">
      <c r="A1740" s="43"/>
      <c r="B1740" s="59"/>
      <c r="C1740" s="51"/>
      <c r="D1740" s="43"/>
      <c r="F1740" s="43"/>
      <c r="H1740" s="43"/>
    </row>
    <row r="1741">
      <c r="A1741" s="43"/>
      <c r="B1741" s="59"/>
      <c r="C1741" s="51"/>
      <c r="D1741" s="43"/>
      <c r="F1741" s="43"/>
      <c r="H1741" s="43"/>
    </row>
    <row r="1742">
      <c r="A1742" s="43"/>
      <c r="B1742" s="59"/>
      <c r="C1742" s="51"/>
      <c r="D1742" s="43"/>
      <c r="F1742" s="43"/>
      <c r="H1742" s="43"/>
    </row>
    <row r="1743">
      <c r="A1743" s="43"/>
      <c r="B1743" s="59"/>
      <c r="C1743" s="51"/>
      <c r="D1743" s="43"/>
      <c r="F1743" s="43"/>
      <c r="H1743" s="43"/>
    </row>
    <row r="1744">
      <c r="A1744" s="43"/>
      <c r="B1744" s="59"/>
      <c r="C1744" s="51"/>
      <c r="D1744" s="43"/>
      <c r="F1744" s="43"/>
      <c r="H1744" s="43"/>
    </row>
    <row r="1745">
      <c r="A1745" s="43"/>
      <c r="B1745" s="59"/>
      <c r="C1745" s="51"/>
      <c r="D1745" s="43"/>
      <c r="F1745" s="43"/>
      <c r="H1745" s="43"/>
    </row>
    <row r="1746">
      <c r="A1746" s="43"/>
      <c r="B1746" s="59"/>
      <c r="C1746" s="51"/>
      <c r="D1746" s="43"/>
      <c r="F1746" s="43"/>
      <c r="H1746" s="43"/>
    </row>
    <row r="1747">
      <c r="A1747" s="43"/>
      <c r="B1747" s="59"/>
      <c r="C1747" s="51"/>
      <c r="D1747" s="43"/>
      <c r="F1747" s="43"/>
      <c r="H1747" s="43"/>
    </row>
    <row r="1748">
      <c r="A1748" s="43"/>
      <c r="B1748" s="59"/>
      <c r="C1748" s="51"/>
      <c r="D1748" s="43"/>
      <c r="F1748" s="43"/>
      <c r="H1748" s="43"/>
    </row>
    <row r="1749">
      <c r="A1749" s="43"/>
      <c r="B1749" s="59"/>
      <c r="C1749" s="51"/>
      <c r="D1749" s="43"/>
      <c r="F1749" s="43"/>
      <c r="H1749" s="43"/>
    </row>
    <row r="1750">
      <c r="A1750" s="43"/>
      <c r="B1750" s="59"/>
      <c r="C1750" s="51"/>
      <c r="D1750" s="43"/>
      <c r="F1750" s="43"/>
      <c r="H1750" s="43"/>
    </row>
    <row r="1751">
      <c r="A1751" s="43"/>
      <c r="B1751" s="59"/>
      <c r="C1751" s="51"/>
      <c r="D1751" s="43"/>
      <c r="F1751" s="43"/>
      <c r="H1751" s="43"/>
    </row>
    <row r="1752">
      <c r="A1752" s="43"/>
      <c r="B1752" s="59"/>
      <c r="C1752" s="51"/>
      <c r="D1752" s="43"/>
      <c r="F1752" s="43"/>
      <c r="H1752" s="43"/>
    </row>
    <row r="1753">
      <c r="A1753" s="43"/>
      <c r="B1753" s="59"/>
      <c r="C1753" s="51"/>
      <c r="D1753" s="43"/>
      <c r="F1753" s="43"/>
      <c r="H1753" s="43"/>
    </row>
    <row r="1754">
      <c r="A1754" s="43"/>
      <c r="B1754" s="59"/>
      <c r="C1754" s="51"/>
      <c r="D1754" s="43"/>
      <c r="F1754" s="43"/>
      <c r="H1754" s="43"/>
    </row>
    <row r="1755">
      <c r="A1755" s="43"/>
      <c r="B1755" s="59"/>
      <c r="C1755" s="51"/>
      <c r="D1755" s="43"/>
      <c r="F1755" s="43"/>
      <c r="H1755" s="43"/>
    </row>
    <row r="1756">
      <c r="A1756" s="43"/>
      <c r="B1756" s="59"/>
      <c r="C1756" s="51"/>
      <c r="D1756" s="43"/>
      <c r="F1756" s="43"/>
      <c r="H1756" s="43"/>
    </row>
    <row r="1757">
      <c r="A1757" s="43"/>
      <c r="B1757" s="59"/>
      <c r="C1757" s="51"/>
      <c r="D1757" s="43"/>
      <c r="F1757" s="43"/>
      <c r="H1757" s="43"/>
    </row>
    <row r="1758">
      <c r="A1758" s="43"/>
      <c r="B1758" s="59"/>
      <c r="C1758" s="51"/>
      <c r="D1758" s="43"/>
      <c r="F1758" s="43"/>
      <c r="H1758" s="43"/>
    </row>
    <row r="1759">
      <c r="A1759" s="43"/>
      <c r="B1759" s="59"/>
      <c r="C1759" s="51"/>
      <c r="D1759" s="43"/>
      <c r="F1759" s="43"/>
      <c r="H1759" s="43"/>
    </row>
    <row r="1760">
      <c r="A1760" s="43"/>
      <c r="B1760" s="59"/>
      <c r="C1760" s="51"/>
      <c r="D1760" s="43"/>
      <c r="F1760" s="43"/>
      <c r="H1760" s="43"/>
    </row>
    <row r="1761">
      <c r="A1761" s="43"/>
      <c r="B1761" s="59"/>
      <c r="C1761" s="51"/>
      <c r="D1761" s="43"/>
      <c r="F1761" s="43"/>
      <c r="H1761" s="43"/>
    </row>
    <row r="1762">
      <c r="A1762" s="43"/>
      <c r="B1762" s="59"/>
      <c r="C1762" s="51"/>
      <c r="D1762" s="43"/>
      <c r="F1762" s="43"/>
      <c r="H1762" s="43"/>
    </row>
    <row r="1763">
      <c r="A1763" s="43"/>
      <c r="B1763" s="59"/>
      <c r="C1763" s="51"/>
      <c r="D1763" s="43"/>
      <c r="F1763" s="43"/>
      <c r="H1763" s="43"/>
    </row>
    <row r="1764">
      <c r="A1764" s="43"/>
      <c r="B1764" s="59"/>
      <c r="C1764" s="51"/>
      <c r="D1764" s="43"/>
      <c r="F1764" s="43"/>
      <c r="H1764" s="43"/>
    </row>
    <row r="1765">
      <c r="A1765" s="43"/>
      <c r="B1765" s="59"/>
      <c r="C1765" s="51"/>
      <c r="D1765" s="43"/>
      <c r="F1765" s="43"/>
      <c r="H1765" s="43"/>
    </row>
    <row r="1766">
      <c r="A1766" s="43"/>
      <c r="B1766" s="59"/>
      <c r="C1766" s="51"/>
      <c r="D1766" s="43"/>
      <c r="F1766" s="43"/>
      <c r="H1766" s="43"/>
    </row>
    <row r="1767">
      <c r="A1767" s="43"/>
      <c r="B1767" s="59"/>
      <c r="C1767" s="51"/>
      <c r="D1767" s="43"/>
      <c r="F1767" s="43"/>
      <c r="H1767" s="43"/>
    </row>
    <row r="1768">
      <c r="A1768" s="43"/>
      <c r="B1768" s="59"/>
      <c r="C1768" s="51"/>
      <c r="D1768" s="43"/>
      <c r="F1768" s="43"/>
      <c r="H1768" s="43"/>
    </row>
    <row r="1769">
      <c r="A1769" s="43"/>
      <c r="B1769" s="59"/>
      <c r="C1769" s="51"/>
      <c r="D1769" s="43"/>
      <c r="F1769" s="43"/>
      <c r="H1769" s="43"/>
    </row>
    <row r="1770">
      <c r="A1770" s="43"/>
      <c r="B1770" s="59"/>
      <c r="C1770" s="51"/>
      <c r="D1770" s="43"/>
      <c r="F1770" s="43"/>
      <c r="H1770" s="43"/>
    </row>
    <row r="1771">
      <c r="A1771" s="43"/>
      <c r="B1771" s="59"/>
      <c r="C1771" s="51"/>
      <c r="D1771" s="43"/>
      <c r="F1771" s="43"/>
      <c r="H1771" s="43"/>
    </row>
    <row r="1772">
      <c r="A1772" s="43"/>
      <c r="B1772" s="59"/>
      <c r="C1772" s="51"/>
      <c r="D1772" s="43"/>
      <c r="F1772" s="43"/>
      <c r="H1772" s="43"/>
    </row>
    <row r="1773">
      <c r="A1773" s="43"/>
      <c r="B1773" s="59"/>
      <c r="C1773" s="51"/>
      <c r="D1773" s="43"/>
      <c r="F1773" s="43"/>
      <c r="H1773" s="43"/>
    </row>
    <row r="1774">
      <c r="A1774" s="43"/>
      <c r="B1774" s="59"/>
      <c r="C1774" s="51"/>
      <c r="D1774" s="43"/>
      <c r="F1774" s="43"/>
      <c r="H1774" s="43"/>
    </row>
    <row r="1775">
      <c r="A1775" s="43"/>
      <c r="B1775" s="59"/>
      <c r="C1775" s="51"/>
      <c r="D1775" s="43"/>
      <c r="F1775" s="43"/>
      <c r="H1775" s="43"/>
    </row>
    <row r="1776">
      <c r="A1776" s="43"/>
      <c r="B1776" s="59"/>
      <c r="C1776" s="51"/>
      <c r="D1776" s="43"/>
      <c r="F1776" s="43"/>
      <c r="H1776" s="43"/>
    </row>
    <row r="1777">
      <c r="A1777" s="43"/>
      <c r="B1777" s="59"/>
      <c r="C1777" s="51"/>
      <c r="D1777" s="43"/>
      <c r="F1777" s="43"/>
      <c r="H1777" s="43"/>
    </row>
    <row r="1778">
      <c r="A1778" s="43"/>
      <c r="B1778" s="59"/>
      <c r="C1778" s="51"/>
      <c r="D1778" s="43"/>
      <c r="F1778" s="43"/>
      <c r="H1778" s="43"/>
    </row>
    <row r="1779">
      <c r="A1779" s="43"/>
      <c r="B1779" s="59"/>
      <c r="C1779" s="51"/>
      <c r="D1779" s="43"/>
      <c r="F1779" s="43"/>
      <c r="H1779" s="43"/>
    </row>
    <row r="1780">
      <c r="A1780" s="43"/>
      <c r="B1780" s="59"/>
      <c r="C1780" s="51"/>
      <c r="D1780" s="43"/>
      <c r="F1780" s="43"/>
      <c r="H1780" s="43"/>
    </row>
    <row r="1781">
      <c r="A1781" s="43"/>
      <c r="B1781" s="59"/>
      <c r="C1781" s="51"/>
      <c r="D1781" s="43"/>
      <c r="F1781" s="43"/>
      <c r="H1781" s="43"/>
    </row>
    <row r="1782">
      <c r="A1782" s="43"/>
      <c r="B1782" s="59"/>
      <c r="C1782" s="51"/>
      <c r="D1782" s="43"/>
      <c r="F1782" s="43"/>
      <c r="H1782" s="43"/>
    </row>
    <row r="1783">
      <c r="A1783" s="43"/>
      <c r="B1783" s="59"/>
      <c r="C1783" s="51"/>
      <c r="D1783" s="43"/>
      <c r="F1783" s="43"/>
      <c r="H1783" s="43"/>
    </row>
    <row r="1784">
      <c r="A1784" s="43"/>
      <c r="B1784" s="59"/>
      <c r="C1784" s="51"/>
      <c r="D1784" s="43"/>
      <c r="F1784" s="43"/>
      <c r="H1784" s="43"/>
    </row>
    <row r="1785">
      <c r="A1785" s="43"/>
      <c r="B1785" s="59"/>
      <c r="C1785" s="51"/>
      <c r="D1785" s="43"/>
      <c r="F1785" s="43"/>
      <c r="H1785" s="43"/>
    </row>
    <row r="1786">
      <c r="A1786" s="43"/>
      <c r="B1786" s="59"/>
      <c r="C1786" s="51"/>
      <c r="D1786" s="43"/>
      <c r="F1786" s="43"/>
      <c r="H1786" s="43"/>
    </row>
    <row r="1787">
      <c r="A1787" s="43"/>
      <c r="B1787" s="59"/>
      <c r="C1787" s="51"/>
      <c r="D1787" s="43"/>
      <c r="F1787" s="43"/>
      <c r="H1787" s="43"/>
    </row>
    <row r="1788">
      <c r="A1788" s="43"/>
      <c r="B1788" s="59"/>
      <c r="C1788" s="51"/>
      <c r="D1788" s="43"/>
      <c r="F1788" s="43"/>
      <c r="H1788" s="43"/>
    </row>
    <row r="1789">
      <c r="A1789" s="43"/>
      <c r="B1789" s="59"/>
      <c r="C1789" s="51"/>
      <c r="D1789" s="43"/>
      <c r="F1789" s="43"/>
      <c r="H1789" s="43"/>
    </row>
    <row r="1790">
      <c r="A1790" s="43"/>
      <c r="B1790" s="59"/>
      <c r="C1790" s="51"/>
      <c r="D1790" s="43"/>
      <c r="F1790" s="43"/>
      <c r="H1790" s="43"/>
    </row>
    <row r="1791">
      <c r="A1791" s="43"/>
      <c r="B1791" s="59"/>
      <c r="C1791" s="51"/>
      <c r="D1791" s="43"/>
      <c r="F1791" s="43"/>
      <c r="H1791" s="43"/>
    </row>
    <row r="1792">
      <c r="A1792" s="43"/>
      <c r="B1792" s="59"/>
      <c r="C1792" s="51"/>
      <c r="D1792" s="43"/>
      <c r="F1792" s="43"/>
      <c r="H1792" s="43"/>
    </row>
    <row r="1793">
      <c r="A1793" s="43"/>
      <c r="B1793" s="59"/>
      <c r="C1793" s="51"/>
      <c r="D1793" s="43"/>
      <c r="F1793" s="43"/>
      <c r="H1793" s="43"/>
    </row>
    <row r="1794">
      <c r="A1794" s="43"/>
      <c r="B1794" s="59"/>
      <c r="C1794" s="51"/>
      <c r="D1794" s="43"/>
      <c r="F1794" s="43"/>
      <c r="H1794" s="43"/>
    </row>
    <row r="1795">
      <c r="A1795" s="43"/>
      <c r="B1795" s="59"/>
      <c r="C1795" s="51"/>
      <c r="D1795" s="43"/>
      <c r="F1795" s="43"/>
      <c r="H1795" s="43"/>
    </row>
    <row r="1796">
      <c r="A1796" s="43"/>
      <c r="B1796" s="59"/>
      <c r="C1796" s="51"/>
      <c r="D1796" s="43"/>
      <c r="F1796" s="43"/>
      <c r="H1796" s="43"/>
    </row>
    <row r="1797">
      <c r="A1797" s="43"/>
      <c r="B1797" s="59"/>
      <c r="C1797" s="51"/>
      <c r="D1797" s="43"/>
      <c r="F1797" s="43"/>
      <c r="H1797" s="43"/>
    </row>
    <row r="1798">
      <c r="A1798" s="43"/>
      <c r="B1798" s="59"/>
      <c r="C1798" s="51"/>
      <c r="D1798" s="43"/>
      <c r="F1798" s="43"/>
      <c r="H1798" s="43"/>
    </row>
    <row r="1799">
      <c r="A1799" s="43"/>
      <c r="B1799" s="59"/>
      <c r="C1799" s="51"/>
      <c r="D1799" s="43"/>
      <c r="F1799" s="43"/>
      <c r="H1799" s="43"/>
    </row>
    <row r="1800">
      <c r="A1800" s="43"/>
      <c r="B1800" s="59"/>
      <c r="C1800" s="51"/>
      <c r="D1800" s="43"/>
      <c r="F1800" s="43"/>
      <c r="H1800" s="43"/>
    </row>
    <row r="1801">
      <c r="A1801" s="43"/>
      <c r="B1801" s="59"/>
      <c r="C1801" s="51"/>
      <c r="D1801" s="43"/>
      <c r="F1801" s="43"/>
      <c r="H1801" s="43"/>
    </row>
    <row r="1802">
      <c r="A1802" s="43"/>
      <c r="B1802" s="59"/>
      <c r="C1802" s="51"/>
      <c r="D1802" s="43"/>
      <c r="F1802" s="43"/>
      <c r="H1802" s="43"/>
    </row>
    <row r="1803">
      <c r="A1803" s="43"/>
      <c r="B1803" s="59"/>
      <c r="C1803" s="51"/>
      <c r="D1803" s="43"/>
      <c r="F1803" s="43"/>
      <c r="H1803" s="43"/>
    </row>
    <row r="1804">
      <c r="A1804" s="43"/>
      <c r="B1804" s="59"/>
      <c r="C1804" s="51"/>
      <c r="D1804" s="43"/>
      <c r="F1804" s="43"/>
      <c r="H1804" s="43"/>
    </row>
    <row r="1805">
      <c r="A1805" s="43"/>
      <c r="B1805" s="59"/>
      <c r="C1805" s="51"/>
      <c r="D1805" s="43"/>
      <c r="F1805" s="43"/>
      <c r="H1805" s="43"/>
    </row>
    <row r="1806">
      <c r="A1806" s="43"/>
      <c r="B1806" s="59"/>
      <c r="C1806" s="51"/>
      <c r="D1806" s="43"/>
      <c r="F1806" s="43"/>
      <c r="H1806" s="43"/>
    </row>
    <row r="1807">
      <c r="A1807" s="43"/>
      <c r="B1807" s="59"/>
      <c r="C1807" s="51"/>
      <c r="D1807" s="43"/>
      <c r="F1807" s="43"/>
      <c r="H1807" s="43"/>
    </row>
    <row r="1808">
      <c r="A1808" s="43"/>
      <c r="B1808" s="59"/>
      <c r="C1808" s="51"/>
      <c r="D1808" s="43"/>
      <c r="F1808" s="43"/>
      <c r="H1808" s="43"/>
    </row>
    <row r="1809">
      <c r="A1809" s="43"/>
      <c r="B1809" s="59"/>
      <c r="C1809" s="51"/>
      <c r="D1809" s="43"/>
      <c r="F1809" s="43"/>
      <c r="H1809" s="43"/>
    </row>
    <row r="1810">
      <c r="A1810" s="43"/>
      <c r="B1810" s="59"/>
      <c r="C1810" s="51"/>
      <c r="D1810" s="43"/>
      <c r="F1810" s="43"/>
      <c r="H1810" s="43"/>
    </row>
    <row r="1811">
      <c r="A1811" s="43"/>
      <c r="B1811" s="59"/>
      <c r="C1811" s="51"/>
      <c r="D1811" s="43"/>
      <c r="F1811" s="43"/>
      <c r="H1811" s="43"/>
    </row>
    <row r="1812">
      <c r="A1812" s="43"/>
      <c r="B1812" s="59"/>
      <c r="C1812" s="51"/>
      <c r="D1812" s="43"/>
      <c r="F1812" s="43"/>
      <c r="H1812" s="43"/>
    </row>
    <row r="1813">
      <c r="A1813" s="43"/>
      <c r="B1813" s="59"/>
      <c r="C1813" s="51"/>
      <c r="D1813" s="43"/>
      <c r="F1813" s="43"/>
      <c r="H1813" s="43"/>
    </row>
    <row r="1814">
      <c r="A1814" s="43"/>
      <c r="B1814" s="59"/>
      <c r="C1814" s="51"/>
      <c r="D1814" s="43"/>
      <c r="F1814" s="43"/>
      <c r="H1814" s="43"/>
    </row>
    <row r="1815">
      <c r="A1815" s="43"/>
      <c r="B1815" s="59"/>
      <c r="C1815" s="51"/>
      <c r="D1815" s="43"/>
      <c r="F1815" s="43"/>
      <c r="H1815" s="43"/>
    </row>
    <row r="1816">
      <c r="A1816" s="43"/>
      <c r="B1816" s="59"/>
      <c r="C1816" s="51"/>
      <c r="D1816" s="43"/>
      <c r="F1816" s="43"/>
      <c r="H1816" s="43"/>
    </row>
    <row r="1817">
      <c r="A1817" s="43"/>
      <c r="B1817" s="59"/>
      <c r="C1817" s="51"/>
      <c r="D1817" s="43"/>
      <c r="F1817" s="43"/>
      <c r="H1817" s="43"/>
    </row>
    <row r="1818">
      <c r="A1818" s="43"/>
      <c r="B1818" s="59"/>
      <c r="C1818" s="51"/>
      <c r="D1818" s="43"/>
      <c r="F1818" s="43"/>
      <c r="H1818" s="43"/>
    </row>
    <row r="1819">
      <c r="A1819" s="43"/>
      <c r="B1819" s="59"/>
      <c r="C1819" s="51"/>
      <c r="D1819" s="43"/>
      <c r="F1819" s="43"/>
      <c r="H1819" s="43"/>
    </row>
    <row r="1820">
      <c r="A1820" s="43"/>
      <c r="B1820" s="59"/>
      <c r="C1820" s="51"/>
      <c r="D1820" s="43"/>
      <c r="F1820" s="43"/>
      <c r="H1820" s="43"/>
    </row>
    <row r="1821">
      <c r="A1821" s="43"/>
      <c r="B1821" s="59"/>
      <c r="C1821" s="51"/>
      <c r="D1821" s="43"/>
      <c r="F1821" s="43"/>
      <c r="H1821" s="43"/>
    </row>
    <row r="1822">
      <c r="A1822" s="43"/>
      <c r="B1822" s="59"/>
      <c r="C1822" s="51"/>
      <c r="D1822" s="43"/>
      <c r="F1822" s="43"/>
      <c r="H1822" s="43"/>
    </row>
    <row r="1823">
      <c r="A1823" s="43"/>
      <c r="B1823" s="59"/>
      <c r="C1823" s="51"/>
      <c r="D1823" s="43"/>
      <c r="F1823" s="43"/>
      <c r="H1823" s="43"/>
    </row>
    <row r="1824">
      <c r="A1824" s="43"/>
      <c r="B1824" s="59"/>
      <c r="C1824" s="51"/>
      <c r="D1824" s="43"/>
      <c r="F1824" s="43"/>
      <c r="H1824" s="43"/>
    </row>
    <row r="1825">
      <c r="A1825" s="43"/>
      <c r="B1825" s="59"/>
      <c r="C1825" s="51"/>
      <c r="D1825" s="43"/>
      <c r="F1825" s="43"/>
      <c r="H1825" s="43"/>
    </row>
    <row r="1826">
      <c r="A1826" s="43"/>
      <c r="B1826" s="59"/>
      <c r="C1826" s="51"/>
      <c r="D1826" s="43"/>
      <c r="F1826" s="43"/>
      <c r="H1826" s="43"/>
    </row>
    <row r="1827">
      <c r="A1827" s="43"/>
      <c r="B1827" s="59"/>
      <c r="C1827" s="51"/>
      <c r="D1827" s="43"/>
      <c r="F1827" s="43"/>
      <c r="H1827" s="43"/>
    </row>
    <row r="1828">
      <c r="A1828" s="43"/>
      <c r="B1828" s="59"/>
      <c r="C1828" s="51"/>
      <c r="D1828" s="43"/>
      <c r="F1828" s="43"/>
      <c r="H1828" s="43"/>
    </row>
    <row r="1829">
      <c r="A1829" s="43"/>
      <c r="B1829" s="59"/>
      <c r="C1829" s="51"/>
      <c r="D1829" s="43"/>
      <c r="F1829" s="43"/>
      <c r="H1829" s="43"/>
    </row>
    <row r="1830">
      <c r="A1830" s="43"/>
      <c r="B1830" s="59"/>
      <c r="C1830" s="51"/>
      <c r="D1830" s="43"/>
      <c r="F1830" s="43"/>
      <c r="H1830" s="43"/>
    </row>
    <row r="1831">
      <c r="A1831" s="43"/>
      <c r="B1831" s="59"/>
      <c r="C1831" s="51"/>
      <c r="D1831" s="43"/>
      <c r="F1831" s="43"/>
      <c r="H1831" s="43"/>
    </row>
    <row r="1832">
      <c r="A1832" s="43"/>
      <c r="B1832" s="59"/>
      <c r="C1832" s="51"/>
      <c r="D1832" s="43"/>
      <c r="F1832" s="43"/>
      <c r="H1832" s="43"/>
    </row>
    <row r="1833">
      <c r="A1833" s="43"/>
      <c r="B1833" s="59"/>
      <c r="C1833" s="51"/>
      <c r="D1833" s="43"/>
      <c r="F1833" s="43"/>
      <c r="H1833" s="43"/>
    </row>
    <row r="1834">
      <c r="A1834" s="43"/>
      <c r="B1834" s="59"/>
      <c r="C1834" s="51"/>
      <c r="D1834" s="43"/>
      <c r="F1834" s="43"/>
      <c r="H1834" s="43"/>
    </row>
    <row r="1835">
      <c r="A1835" s="43"/>
      <c r="B1835" s="59"/>
      <c r="C1835" s="51"/>
      <c r="D1835" s="43"/>
      <c r="F1835" s="43"/>
      <c r="H1835" s="43"/>
    </row>
    <row r="1836">
      <c r="A1836" s="43"/>
      <c r="B1836" s="59"/>
      <c r="C1836" s="51"/>
      <c r="D1836" s="43"/>
      <c r="F1836" s="43"/>
      <c r="H1836" s="43"/>
    </row>
    <row r="1837">
      <c r="A1837" s="43"/>
      <c r="B1837" s="59"/>
      <c r="C1837" s="51"/>
      <c r="D1837" s="43"/>
      <c r="F1837" s="43"/>
      <c r="H1837" s="43"/>
    </row>
    <row r="1838">
      <c r="A1838" s="43"/>
      <c r="B1838" s="59"/>
      <c r="C1838" s="51"/>
      <c r="D1838" s="43"/>
      <c r="F1838" s="43"/>
      <c r="H1838" s="43"/>
    </row>
    <row r="1839">
      <c r="A1839" s="43"/>
      <c r="B1839" s="59"/>
      <c r="C1839" s="51"/>
      <c r="D1839" s="43"/>
      <c r="F1839" s="43"/>
      <c r="H1839" s="43"/>
    </row>
    <row r="1840">
      <c r="A1840" s="43"/>
      <c r="B1840" s="59"/>
      <c r="C1840" s="51"/>
      <c r="D1840" s="43"/>
      <c r="F1840" s="43"/>
      <c r="H1840" s="43"/>
    </row>
    <row r="1841">
      <c r="A1841" s="43"/>
      <c r="B1841" s="59"/>
      <c r="C1841" s="51"/>
      <c r="D1841" s="43"/>
      <c r="F1841" s="43"/>
      <c r="H1841" s="43"/>
    </row>
    <row r="1842">
      <c r="A1842" s="43"/>
      <c r="B1842" s="59"/>
      <c r="C1842" s="51"/>
      <c r="D1842" s="43"/>
      <c r="F1842" s="43"/>
      <c r="H1842" s="43"/>
    </row>
    <row r="1843">
      <c r="A1843" s="43"/>
      <c r="B1843" s="59"/>
      <c r="C1843" s="51"/>
      <c r="D1843" s="43"/>
      <c r="F1843" s="43"/>
      <c r="H1843" s="43"/>
    </row>
    <row r="1844">
      <c r="A1844" s="43"/>
      <c r="B1844" s="59"/>
      <c r="C1844" s="51"/>
      <c r="D1844" s="43"/>
      <c r="F1844" s="43"/>
      <c r="H1844" s="43"/>
    </row>
    <row r="1845">
      <c r="A1845" s="43"/>
      <c r="B1845" s="59"/>
      <c r="C1845" s="51"/>
      <c r="D1845" s="43"/>
      <c r="F1845" s="43"/>
      <c r="H1845" s="43"/>
    </row>
    <row r="1846">
      <c r="A1846" s="43"/>
      <c r="B1846" s="59"/>
      <c r="C1846" s="51"/>
      <c r="D1846" s="43"/>
      <c r="F1846" s="43"/>
      <c r="H1846" s="43"/>
    </row>
    <row r="1847">
      <c r="A1847" s="43"/>
      <c r="B1847" s="59"/>
      <c r="C1847" s="51"/>
      <c r="D1847" s="43"/>
      <c r="F1847" s="43"/>
      <c r="H1847" s="43"/>
    </row>
    <row r="1848">
      <c r="A1848" s="43"/>
      <c r="B1848" s="59"/>
      <c r="C1848" s="51"/>
      <c r="D1848" s="43"/>
      <c r="F1848" s="43"/>
      <c r="H1848" s="43"/>
    </row>
    <row r="1849">
      <c r="A1849" s="43"/>
      <c r="B1849" s="59"/>
      <c r="C1849" s="51"/>
      <c r="D1849" s="43"/>
      <c r="F1849" s="43"/>
      <c r="H1849" s="43"/>
    </row>
    <row r="1850">
      <c r="A1850" s="43"/>
      <c r="B1850" s="59"/>
      <c r="C1850" s="51"/>
      <c r="D1850" s="43"/>
      <c r="F1850" s="43"/>
      <c r="H1850" s="43"/>
    </row>
    <row r="1851">
      <c r="A1851" s="43"/>
      <c r="B1851" s="59"/>
      <c r="C1851" s="51"/>
      <c r="D1851" s="43"/>
      <c r="F1851" s="43"/>
      <c r="H1851" s="43"/>
    </row>
    <row r="1852">
      <c r="A1852" s="43"/>
      <c r="B1852" s="59"/>
      <c r="C1852" s="51"/>
      <c r="D1852" s="43"/>
      <c r="F1852" s="43"/>
      <c r="H1852" s="43"/>
    </row>
    <row r="1853">
      <c r="A1853" s="43"/>
      <c r="B1853" s="59"/>
      <c r="C1853" s="51"/>
      <c r="D1853" s="43"/>
      <c r="F1853" s="43"/>
      <c r="H1853" s="43"/>
    </row>
    <row r="1854">
      <c r="A1854" s="43"/>
      <c r="B1854" s="59"/>
      <c r="C1854" s="51"/>
      <c r="D1854" s="43"/>
      <c r="F1854" s="43"/>
      <c r="H1854" s="43"/>
    </row>
    <row r="1855">
      <c r="A1855" s="43"/>
      <c r="B1855" s="59"/>
      <c r="C1855" s="51"/>
      <c r="D1855" s="43"/>
      <c r="F1855" s="43"/>
      <c r="H1855" s="43"/>
    </row>
    <row r="1856">
      <c r="A1856" s="43"/>
      <c r="B1856" s="59"/>
      <c r="C1856" s="51"/>
      <c r="D1856" s="43"/>
      <c r="F1856" s="43"/>
      <c r="H1856" s="43"/>
    </row>
    <row r="1857">
      <c r="A1857" s="43"/>
      <c r="B1857" s="59"/>
      <c r="C1857" s="51"/>
      <c r="D1857" s="43"/>
      <c r="F1857" s="43"/>
      <c r="H1857" s="43"/>
    </row>
    <row r="1858">
      <c r="A1858" s="43"/>
      <c r="B1858" s="59"/>
      <c r="C1858" s="51"/>
      <c r="D1858" s="43"/>
      <c r="F1858" s="43"/>
      <c r="H1858" s="43"/>
    </row>
    <row r="1859">
      <c r="A1859" s="43"/>
      <c r="B1859" s="59"/>
      <c r="C1859" s="51"/>
      <c r="D1859" s="43"/>
      <c r="F1859" s="43"/>
      <c r="H1859" s="43"/>
    </row>
    <row r="1860">
      <c r="A1860" s="43"/>
      <c r="B1860" s="59"/>
      <c r="C1860" s="51"/>
      <c r="D1860" s="43"/>
      <c r="F1860" s="43"/>
      <c r="H1860" s="43"/>
    </row>
    <row r="1861">
      <c r="A1861" s="43"/>
      <c r="B1861" s="59"/>
      <c r="C1861" s="51"/>
      <c r="D1861" s="43"/>
      <c r="F1861" s="43"/>
      <c r="H1861" s="43"/>
    </row>
    <row r="1862">
      <c r="A1862" s="43"/>
      <c r="B1862" s="59"/>
      <c r="C1862" s="51"/>
      <c r="D1862" s="43"/>
      <c r="F1862" s="43"/>
      <c r="H1862" s="43"/>
    </row>
    <row r="1863">
      <c r="A1863" s="43"/>
      <c r="B1863" s="59"/>
      <c r="C1863" s="51"/>
      <c r="D1863" s="43"/>
      <c r="F1863" s="43"/>
      <c r="H1863" s="43"/>
    </row>
    <row r="1864">
      <c r="A1864" s="43"/>
      <c r="B1864" s="59"/>
      <c r="C1864" s="51"/>
      <c r="D1864" s="43"/>
      <c r="F1864" s="43"/>
      <c r="H1864" s="43"/>
    </row>
    <row r="1865">
      <c r="A1865" s="43"/>
      <c r="B1865" s="59"/>
      <c r="C1865" s="51"/>
      <c r="D1865" s="43"/>
      <c r="F1865" s="43"/>
      <c r="H1865" s="43"/>
    </row>
    <row r="1866">
      <c r="A1866" s="43"/>
      <c r="B1866" s="59"/>
      <c r="C1866" s="51"/>
      <c r="D1866" s="43"/>
      <c r="F1866" s="43"/>
      <c r="H1866" s="43"/>
    </row>
    <row r="1867">
      <c r="A1867" s="43"/>
      <c r="B1867" s="59"/>
      <c r="C1867" s="51"/>
      <c r="D1867" s="43"/>
      <c r="F1867" s="43"/>
      <c r="H1867" s="43"/>
    </row>
    <row r="1868">
      <c r="A1868" s="43"/>
      <c r="B1868" s="59"/>
      <c r="C1868" s="51"/>
      <c r="D1868" s="43"/>
      <c r="F1868" s="43"/>
      <c r="H1868" s="43"/>
    </row>
    <row r="1869">
      <c r="A1869" s="43"/>
      <c r="B1869" s="59"/>
      <c r="C1869" s="51"/>
      <c r="D1869" s="43"/>
      <c r="F1869" s="43"/>
      <c r="H1869" s="43"/>
    </row>
    <row r="1870">
      <c r="A1870" s="43"/>
      <c r="B1870" s="59"/>
      <c r="C1870" s="51"/>
      <c r="D1870" s="43"/>
      <c r="F1870" s="43"/>
      <c r="H1870" s="43"/>
    </row>
    <row r="1871">
      <c r="A1871" s="43"/>
      <c r="B1871" s="59"/>
      <c r="C1871" s="51"/>
      <c r="D1871" s="43"/>
      <c r="F1871" s="43"/>
      <c r="H1871" s="43"/>
    </row>
    <row r="1872">
      <c r="A1872" s="43"/>
      <c r="B1872" s="59"/>
      <c r="C1872" s="51"/>
      <c r="D1872" s="43"/>
      <c r="F1872" s="43"/>
      <c r="H1872" s="43"/>
    </row>
    <row r="1873">
      <c r="A1873" s="43"/>
      <c r="B1873" s="59"/>
      <c r="C1873" s="51"/>
      <c r="D1873" s="43"/>
      <c r="F1873" s="43"/>
      <c r="H1873" s="43"/>
    </row>
    <row r="1874">
      <c r="A1874" s="43"/>
      <c r="B1874" s="59"/>
      <c r="C1874" s="51"/>
      <c r="D1874" s="43"/>
      <c r="F1874" s="43"/>
      <c r="H1874" s="43"/>
    </row>
    <row r="1875">
      <c r="A1875" s="43"/>
      <c r="B1875" s="59"/>
      <c r="C1875" s="51"/>
      <c r="D1875" s="43"/>
      <c r="F1875" s="43"/>
      <c r="H1875" s="43"/>
    </row>
    <row r="1876">
      <c r="A1876" s="43"/>
      <c r="B1876" s="59"/>
      <c r="C1876" s="51"/>
      <c r="D1876" s="43"/>
      <c r="F1876" s="43"/>
      <c r="H1876" s="43"/>
    </row>
    <row r="1877">
      <c r="A1877" s="43"/>
      <c r="B1877" s="59"/>
      <c r="C1877" s="51"/>
      <c r="D1877" s="43"/>
      <c r="F1877" s="43"/>
      <c r="H1877" s="43"/>
    </row>
    <row r="1878">
      <c r="A1878" s="43"/>
      <c r="B1878" s="59"/>
      <c r="C1878" s="51"/>
      <c r="D1878" s="43"/>
      <c r="F1878" s="43"/>
      <c r="H1878" s="43"/>
    </row>
    <row r="1879">
      <c r="A1879" s="43"/>
      <c r="B1879" s="59"/>
      <c r="C1879" s="51"/>
      <c r="D1879" s="43"/>
      <c r="F1879" s="43"/>
      <c r="H1879" s="43"/>
    </row>
    <row r="1880">
      <c r="A1880" s="43"/>
      <c r="B1880" s="59"/>
      <c r="C1880" s="51"/>
      <c r="D1880" s="43"/>
      <c r="F1880" s="43"/>
      <c r="H1880" s="43"/>
    </row>
    <row r="1881">
      <c r="A1881" s="43"/>
      <c r="B1881" s="59"/>
      <c r="C1881" s="51"/>
      <c r="D1881" s="43"/>
      <c r="F1881" s="43"/>
      <c r="H1881" s="43"/>
    </row>
    <row r="1882">
      <c r="A1882" s="43"/>
      <c r="B1882" s="59"/>
      <c r="C1882" s="51"/>
      <c r="D1882" s="43"/>
      <c r="F1882" s="43"/>
      <c r="H1882" s="43"/>
    </row>
    <row r="1883">
      <c r="A1883" s="43"/>
      <c r="B1883" s="59"/>
      <c r="C1883" s="51"/>
      <c r="D1883" s="43"/>
      <c r="F1883" s="43"/>
      <c r="H1883" s="43"/>
    </row>
    <row r="1884">
      <c r="A1884" s="43"/>
      <c r="B1884" s="59"/>
      <c r="C1884" s="51"/>
      <c r="D1884" s="43"/>
      <c r="F1884" s="43"/>
      <c r="H1884" s="43"/>
    </row>
    <row r="1885">
      <c r="A1885" s="43"/>
      <c r="B1885" s="59"/>
      <c r="C1885" s="51"/>
      <c r="D1885" s="43"/>
      <c r="F1885" s="43"/>
      <c r="H1885" s="43"/>
    </row>
    <row r="1886">
      <c r="A1886" s="43"/>
      <c r="B1886" s="59"/>
      <c r="C1886" s="51"/>
      <c r="D1886" s="43"/>
      <c r="F1886" s="43"/>
      <c r="H1886" s="43"/>
    </row>
    <row r="1887">
      <c r="A1887" s="43"/>
      <c r="B1887" s="59"/>
      <c r="C1887" s="51"/>
      <c r="D1887" s="43"/>
      <c r="F1887" s="43"/>
      <c r="H1887" s="43"/>
    </row>
    <row r="1888">
      <c r="A1888" s="43"/>
      <c r="B1888" s="59"/>
      <c r="C1888" s="51"/>
      <c r="D1888" s="43"/>
      <c r="F1888" s="43"/>
      <c r="H1888" s="43"/>
    </row>
    <row r="1889">
      <c r="A1889" s="43"/>
      <c r="B1889" s="59"/>
      <c r="C1889" s="51"/>
      <c r="D1889" s="43"/>
      <c r="F1889" s="43"/>
      <c r="H1889" s="43"/>
    </row>
    <row r="1890">
      <c r="A1890" s="43"/>
      <c r="B1890" s="59"/>
      <c r="C1890" s="51"/>
      <c r="D1890" s="43"/>
      <c r="F1890" s="43"/>
      <c r="H1890" s="43"/>
    </row>
    <row r="1891">
      <c r="A1891" s="43"/>
      <c r="B1891" s="59"/>
      <c r="C1891" s="51"/>
      <c r="D1891" s="43"/>
      <c r="F1891" s="43"/>
      <c r="H1891" s="43"/>
    </row>
    <row r="1892">
      <c r="A1892" s="43"/>
      <c r="B1892" s="59"/>
      <c r="C1892" s="51"/>
      <c r="D1892" s="43"/>
      <c r="F1892" s="43"/>
      <c r="H1892" s="43"/>
    </row>
    <row r="1893">
      <c r="A1893" s="43"/>
      <c r="B1893" s="59"/>
      <c r="C1893" s="51"/>
      <c r="D1893" s="43"/>
      <c r="F1893" s="43"/>
      <c r="H1893" s="43"/>
    </row>
    <row r="1894">
      <c r="A1894" s="43"/>
      <c r="B1894" s="59"/>
      <c r="C1894" s="51"/>
      <c r="D1894" s="43"/>
      <c r="F1894" s="43"/>
      <c r="H1894" s="43"/>
    </row>
    <row r="1895">
      <c r="A1895" s="43"/>
      <c r="B1895" s="59"/>
      <c r="C1895" s="51"/>
      <c r="D1895" s="43"/>
      <c r="F1895" s="43"/>
      <c r="H1895" s="43"/>
    </row>
    <row r="1896">
      <c r="A1896" s="43"/>
      <c r="B1896" s="59"/>
      <c r="C1896" s="51"/>
      <c r="D1896" s="43"/>
      <c r="F1896" s="43"/>
      <c r="H1896" s="43"/>
    </row>
    <row r="1897">
      <c r="A1897" s="43"/>
      <c r="B1897" s="59"/>
      <c r="C1897" s="51"/>
      <c r="D1897" s="43"/>
      <c r="F1897" s="43"/>
      <c r="H1897" s="43"/>
    </row>
    <row r="1898">
      <c r="A1898" s="43"/>
      <c r="B1898" s="59"/>
      <c r="C1898" s="51"/>
      <c r="D1898" s="43"/>
      <c r="F1898" s="43"/>
      <c r="H1898" s="43"/>
    </row>
    <row r="1899">
      <c r="A1899" s="43"/>
      <c r="B1899" s="59"/>
      <c r="C1899" s="51"/>
      <c r="D1899" s="43"/>
      <c r="F1899" s="43"/>
      <c r="H1899" s="43"/>
    </row>
    <row r="1900">
      <c r="A1900" s="43"/>
      <c r="B1900" s="59"/>
      <c r="C1900" s="51"/>
      <c r="D1900" s="43"/>
      <c r="F1900" s="43"/>
      <c r="H1900" s="43"/>
    </row>
    <row r="1901">
      <c r="A1901" s="43"/>
      <c r="B1901" s="59"/>
      <c r="C1901" s="51"/>
      <c r="D1901" s="43"/>
      <c r="F1901" s="43"/>
      <c r="H1901" s="43"/>
    </row>
    <row r="1902">
      <c r="A1902" s="43"/>
      <c r="B1902" s="59"/>
      <c r="C1902" s="51"/>
      <c r="D1902" s="43"/>
      <c r="F1902" s="43"/>
      <c r="H1902" s="43"/>
    </row>
    <row r="1903">
      <c r="A1903" s="43"/>
      <c r="B1903" s="59"/>
      <c r="C1903" s="51"/>
      <c r="D1903" s="43"/>
      <c r="F1903" s="43"/>
      <c r="H1903" s="43"/>
    </row>
    <row r="1904">
      <c r="A1904" s="43"/>
      <c r="B1904" s="59"/>
      <c r="C1904" s="51"/>
      <c r="D1904" s="43"/>
      <c r="F1904" s="43"/>
      <c r="H1904" s="43"/>
    </row>
    <row r="1905">
      <c r="A1905" s="43"/>
      <c r="B1905" s="59"/>
      <c r="C1905" s="51"/>
      <c r="D1905" s="43"/>
      <c r="F1905" s="43"/>
      <c r="H1905" s="43"/>
    </row>
    <row r="1906">
      <c r="A1906" s="43"/>
      <c r="B1906" s="59"/>
      <c r="C1906" s="51"/>
      <c r="D1906" s="43"/>
      <c r="F1906" s="43"/>
      <c r="H1906" s="43"/>
    </row>
    <row r="1907">
      <c r="A1907" s="43"/>
      <c r="B1907" s="59"/>
      <c r="C1907" s="51"/>
      <c r="D1907" s="43"/>
      <c r="F1907" s="43"/>
      <c r="H1907" s="43"/>
    </row>
    <row r="1908">
      <c r="A1908" s="43"/>
      <c r="B1908" s="59"/>
      <c r="C1908" s="51"/>
      <c r="D1908" s="43"/>
      <c r="F1908" s="43"/>
      <c r="H1908" s="43"/>
    </row>
    <row r="1909">
      <c r="A1909" s="43"/>
      <c r="B1909" s="59"/>
      <c r="C1909" s="51"/>
      <c r="D1909" s="43"/>
      <c r="F1909" s="43"/>
      <c r="H1909" s="43"/>
    </row>
    <row r="1910">
      <c r="A1910" s="43"/>
      <c r="B1910" s="59"/>
      <c r="C1910" s="51"/>
      <c r="D1910" s="43"/>
      <c r="F1910" s="43"/>
      <c r="H1910" s="43"/>
    </row>
    <row r="1911">
      <c r="A1911" s="43"/>
      <c r="B1911" s="59"/>
      <c r="C1911" s="51"/>
      <c r="D1911" s="43"/>
      <c r="F1911" s="43"/>
      <c r="H1911" s="43"/>
    </row>
    <row r="1912">
      <c r="A1912" s="43"/>
      <c r="B1912" s="59"/>
      <c r="C1912" s="51"/>
      <c r="D1912" s="43"/>
      <c r="F1912" s="43"/>
      <c r="H1912" s="43"/>
    </row>
    <row r="1913">
      <c r="A1913" s="43"/>
      <c r="B1913" s="59"/>
      <c r="C1913" s="51"/>
      <c r="D1913" s="43"/>
      <c r="F1913" s="43"/>
      <c r="H1913" s="43"/>
    </row>
    <row r="1914">
      <c r="A1914" s="43"/>
      <c r="B1914" s="59"/>
      <c r="C1914" s="51"/>
      <c r="D1914" s="43"/>
      <c r="F1914" s="43"/>
      <c r="H1914" s="43"/>
    </row>
    <row r="1915">
      <c r="A1915" s="43"/>
      <c r="B1915" s="59"/>
      <c r="C1915" s="51"/>
      <c r="D1915" s="43"/>
      <c r="F1915" s="43"/>
      <c r="H1915" s="43"/>
    </row>
    <row r="1916">
      <c r="A1916" s="43"/>
      <c r="B1916" s="59"/>
      <c r="C1916" s="51"/>
      <c r="D1916" s="43"/>
      <c r="F1916" s="43"/>
      <c r="H1916" s="43"/>
    </row>
    <row r="1917">
      <c r="A1917" s="43"/>
      <c r="B1917" s="59"/>
      <c r="C1917" s="51"/>
      <c r="D1917" s="43"/>
      <c r="F1917" s="43"/>
      <c r="H1917" s="43"/>
    </row>
    <row r="1918">
      <c r="A1918" s="43"/>
      <c r="B1918" s="59"/>
      <c r="C1918" s="51"/>
      <c r="D1918" s="43"/>
      <c r="F1918" s="43"/>
      <c r="H1918" s="43"/>
    </row>
    <row r="1919">
      <c r="A1919" s="43"/>
      <c r="B1919" s="59"/>
      <c r="C1919" s="51"/>
      <c r="D1919" s="43"/>
      <c r="F1919" s="43"/>
      <c r="H1919" s="43"/>
    </row>
    <row r="1920">
      <c r="A1920" s="43"/>
      <c r="B1920" s="59"/>
      <c r="C1920" s="51"/>
      <c r="D1920" s="43"/>
      <c r="F1920" s="43"/>
      <c r="H1920" s="43"/>
    </row>
    <row r="1921">
      <c r="A1921" s="43"/>
      <c r="B1921" s="59"/>
      <c r="C1921" s="51"/>
      <c r="D1921" s="43"/>
      <c r="F1921" s="43"/>
      <c r="H1921" s="43"/>
    </row>
    <row r="1922">
      <c r="A1922" s="43"/>
      <c r="B1922" s="59"/>
      <c r="C1922" s="51"/>
      <c r="D1922" s="43"/>
      <c r="F1922" s="43"/>
      <c r="H1922" s="43"/>
    </row>
    <row r="1923">
      <c r="A1923" s="43"/>
      <c r="B1923" s="59"/>
      <c r="C1923" s="51"/>
      <c r="D1923" s="43"/>
      <c r="F1923" s="43"/>
      <c r="H1923" s="43"/>
    </row>
    <row r="1924">
      <c r="A1924" s="43"/>
      <c r="B1924" s="59"/>
      <c r="C1924" s="51"/>
      <c r="D1924" s="43"/>
      <c r="F1924" s="43"/>
      <c r="H1924" s="43"/>
    </row>
    <row r="1925">
      <c r="A1925" s="43"/>
      <c r="B1925" s="59"/>
      <c r="C1925" s="51"/>
      <c r="D1925" s="43"/>
      <c r="F1925" s="43"/>
      <c r="H1925" s="43"/>
    </row>
    <row r="1926">
      <c r="A1926" s="43"/>
      <c r="B1926" s="59"/>
      <c r="C1926" s="51"/>
      <c r="D1926" s="43"/>
      <c r="F1926" s="43"/>
      <c r="H1926" s="43"/>
    </row>
    <row r="1927">
      <c r="A1927" s="43"/>
      <c r="B1927" s="59"/>
      <c r="C1927" s="51"/>
      <c r="D1927" s="43"/>
      <c r="F1927" s="43"/>
      <c r="H1927" s="43"/>
    </row>
    <row r="1928">
      <c r="A1928" s="43"/>
      <c r="B1928" s="59"/>
      <c r="C1928" s="51"/>
      <c r="D1928" s="43"/>
      <c r="F1928" s="43"/>
      <c r="H1928" s="43"/>
    </row>
    <row r="1929">
      <c r="A1929" s="43"/>
      <c r="B1929" s="59"/>
      <c r="C1929" s="51"/>
      <c r="D1929" s="43"/>
      <c r="F1929" s="43"/>
      <c r="H1929" s="43"/>
    </row>
    <row r="1930">
      <c r="A1930" s="43"/>
      <c r="B1930" s="59"/>
      <c r="C1930" s="51"/>
      <c r="D1930" s="43"/>
      <c r="F1930" s="43"/>
      <c r="H1930" s="43"/>
    </row>
    <row r="1931">
      <c r="A1931" s="43"/>
      <c r="B1931" s="59"/>
      <c r="C1931" s="51"/>
      <c r="D1931" s="43"/>
      <c r="F1931" s="43"/>
      <c r="H1931" s="43"/>
    </row>
    <row r="1932">
      <c r="A1932" s="43"/>
      <c r="B1932" s="59"/>
      <c r="C1932" s="51"/>
      <c r="D1932" s="43"/>
      <c r="F1932" s="43"/>
      <c r="H1932" s="43"/>
    </row>
    <row r="1933">
      <c r="A1933" s="43"/>
      <c r="B1933" s="59"/>
      <c r="C1933" s="51"/>
      <c r="D1933" s="43"/>
      <c r="F1933" s="43"/>
      <c r="H1933" s="43"/>
    </row>
    <row r="1934">
      <c r="A1934" s="43"/>
      <c r="B1934" s="59"/>
      <c r="C1934" s="51"/>
      <c r="D1934" s="43"/>
      <c r="F1934" s="43"/>
      <c r="H1934" s="43"/>
    </row>
    <row r="1935">
      <c r="A1935" s="43"/>
      <c r="B1935" s="59"/>
      <c r="C1935" s="51"/>
      <c r="D1935" s="43"/>
      <c r="F1935" s="43"/>
      <c r="H1935" s="43"/>
    </row>
    <row r="1936">
      <c r="A1936" s="43"/>
      <c r="B1936" s="59"/>
      <c r="C1936" s="51"/>
      <c r="D1936" s="43"/>
      <c r="F1936" s="43"/>
      <c r="H1936" s="43"/>
    </row>
    <row r="1937">
      <c r="A1937" s="43"/>
      <c r="B1937" s="59"/>
      <c r="C1937" s="51"/>
      <c r="D1937" s="43"/>
      <c r="F1937" s="43"/>
      <c r="H1937" s="43"/>
    </row>
    <row r="1938">
      <c r="A1938" s="43"/>
      <c r="B1938" s="59"/>
      <c r="C1938" s="51"/>
      <c r="D1938" s="43"/>
      <c r="F1938" s="43"/>
      <c r="H1938" s="43"/>
    </row>
    <row r="1939">
      <c r="A1939" s="43"/>
      <c r="B1939" s="59"/>
      <c r="C1939" s="51"/>
      <c r="D1939" s="43"/>
      <c r="F1939" s="43"/>
      <c r="H1939" s="43"/>
    </row>
    <row r="1940">
      <c r="A1940" s="43"/>
      <c r="B1940" s="59"/>
      <c r="C1940" s="51"/>
      <c r="D1940" s="43"/>
      <c r="F1940" s="43"/>
      <c r="H1940" s="43"/>
    </row>
    <row r="1941">
      <c r="A1941" s="43"/>
      <c r="B1941" s="59"/>
      <c r="C1941" s="51"/>
      <c r="D1941" s="43"/>
      <c r="F1941" s="43"/>
      <c r="H1941" s="43"/>
    </row>
    <row r="1942">
      <c r="A1942" s="43"/>
      <c r="B1942" s="59"/>
      <c r="C1942" s="51"/>
      <c r="D1942" s="43"/>
      <c r="F1942" s="43"/>
      <c r="H1942" s="43"/>
    </row>
    <row r="1943">
      <c r="A1943" s="43"/>
      <c r="B1943" s="59"/>
      <c r="C1943" s="51"/>
      <c r="D1943" s="43"/>
      <c r="F1943" s="43"/>
      <c r="H1943" s="43"/>
    </row>
    <row r="1944">
      <c r="A1944" s="43"/>
      <c r="B1944" s="59"/>
      <c r="C1944" s="51"/>
      <c r="D1944" s="43"/>
      <c r="F1944" s="43"/>
      <c r="H1944" s="43"/>
    </row>
    <row r="1945">
      <c r="A1945" s="43"/>
      <c r="B1945" s="59"/>
      <c r="C1945" s="51"/>
      <c r="D1945" s="43"/>
      <c r="F1945" s="43"/>
      <c r="H1945" s="43"/>
    </row>
    <row r="1946">
      <c r="A1946" s="43"/>
      <c r="B1946" s="59"/>
      <c r="C1946" s="51"/>
      <c r="D1946" s="43"/>
      <c r="F1946" s="43"/>
      <c r="H1946" s="43"/>
    </row>
    <row r="1947">
      <c r="A1947" s="43"/>
      <c r="B1947" s="59"/>
      <c r="C1947" s="51"/>
      <c r="D1947" s="43"/>
      <c r="F1947" s="43"/>
      <c r="H1947" s="43"/>
    </row>
    <row r="1948">
      <c r="A1948" s="43"/>
      <c r="B1948" s="59"/>
      <c r="C1948" s="51"/>
      <c r="D1948" s="43"/>
      <c r="F1948" s="43"/>
      <c r="H1948" s="43"/>
    </row>
    <row r="1949">
      <c r="A1949" s="43"/>
      <c r="B1949" s="59"/>
      <c r="C1949" s="51"/>
      <c r="D1949" s="43"/>
      <c r="F1949" s="43"/>
      <c r="H1949" s="43"/>
    </row>
    <row r="1950">
      <c r="A1950" s="43"/>
      <c r="B1950" s="59"/>
      <c r="C1950" s="51"/>
      <c r="D1950" s="43"/>
      <c r="F1950" s="43"/>
      <c r="H1950" s="43"/>
    </row>
    <row r="1951">
      <c r="A1951" s="43"/>
      <c r="B1951" s="59"/>
      <c r="C1951" s="51"/>
      <c r="D1951" s="43"/>
      <c r="F1951" s="43"/>
      <c r="H1951" s="43"/>
    </row>
    <row r="1952">
      <c r="A1952" s="43"/>
      <c r="B1952" s="59"/>
      <c r="C1952" s="51"/>
      <c r="D1952" s="43"/>
      <c r="F1952" s="43"/>
      <c r="H1952" s="43"/>
    </row>
    <row r="1953">
      <c r="A1953" s="43"/>
      <c r="B1953" s="59"/>
      <c r="C1953" s="51"/>
      <c r="D1953" s="43"/>
      <c r="F1953" s="43"/>
      <c r="H1953" s="43"/>
    </row>
    <row r="1954">
      <c r="A1954" s="43"/>
      <c r="B1954" s="59"/>
      <c r="C1954" s="51"/>
      <c r="D1954" s="43"/>
      <c r="F1954" s="43"/>
      <c r="H1954" s="43"/>
    </row>
    <row r="1955">
      <c r="A1955" s="43"/>
      <c r="B1955" s="59"/>
      <c r="C1955" s="51"/>
      <c r="D1955" s="43"/>
      <c r="F1955" s="43"/>
      <c r="H1955" s="43"/>
    </row>
    <row r="1956">
      <c r="A1956" s="43"/>
      <c r="B1956" s="59"/>
      <c r="C1956" s="51"/>
      <c r="D1956" s="43"/>
      <c r="F1956" s="43"/>
      <c r="H1956" s="43"/>
    </row>
    <row r="1957">
      <c r="A1957" s="43"/>
      <c r="B1957" s="59"/>
      <c r="C1957" s="51"/>
      <c r="D1957" s="43"/>
      <c r="F1957" s="43"/>
      <c r="H1957" s="43"/>
    </row>
    <row r="1958">
      <c r="A1958" s="43"/>
      <c r="B1958" s="59"/>
      <c r="C1958" s="51"/>
      <c r="D1958" s="43"/>
      <c r="F1958" s="43"/>
      <c r="H1958" s="43"/>
    </row>
    <row r="1959">
      <c r="A1959" s="43"/>
      <c r="B1959" s="59"/>
      <c r="C1959" s="51"/>
      <c r="D1959" s="43"/>
      <c r="F1959" s="43"/>
      <c r="H1959" s="43"/>
    </row>
    <row r="1960">
      <c r="A1960" s="43"/>
      <c r="B1960" s="59"/>
      <c r="C1960" s="51"/>
      <c r="D1960" s="43"/>
      <c r="F1960" s="43"/>
      <c r="H1960" s="43"/>
    </row>
    <row r="1961">
      <c r="A1961" s="43"/>
      <c r="B1961" s="59"/>
      <c r="C1961" s="51"/>
      <c r="D1961" s="43"/>
      <c r="F1961" s="43"/>
      <c r="H1961" s="43"/>
    </row>
    <row r="1962">
      <c r="A1962" s="43"/>
      <c r="B1962" s="59"/>
      <c r="C1962" s="51"/>
      <c r="D1962" s="43"/>
      <c r="F1962" s="43"/>
      <c r="H1962" s="43"/>
    </row>
    <row r="1963">
      <c r="A1963" s="43"/>
      <c r="B1963" s="59"/>
      <c r="C1963" s="51"/>
      <c r="D1963" s="43"/>
      <c r="F1963" s="43"/>
      <c r="H1963" s="43"/>
    </row>
    <row r="1964">
      <c r="A1964" s="43"/>
      <c r="B1964" s="59"/>
      <c r="C1964" s="51"/>
      <c r="D1964" s="43"/>
      <c r="F1964" s="43"/>
      <c r="H1964" s="43"/>
    </row>
    <row r="1965">
      <c r="A1965" s="43"/>
      <c r="B1965" s="59"/>
      <c r="C1965" s="51"/>
      <c r="D1965" s="43"/>
      <c r="F1965" s="43"/>
      <c r="H1965" s="43"/>
    </row>
    <row r="1966">
      <c r="A1966" s="43"/>
      <c r="B1966" s="59"/>
      <c r="C1966" s="51"/>
      <c r="D1966" s="43"/>
      <c r="F1966" s="43"/>
      <c r="H1966" s="43"/>
    </row>
    <row r="1967">
      <c r="A1967" s="43"/>
      <c r="B1967" s="59"/>
      <c r="C1967" s="51"/>
      <c r="D1967" s="43"/>
      <c r="F1967" s="43"/>
      <c r="H1967" s="43"/>
    </row>
    <row r="1968">
      <c r="A1968" s="43"/>
      <c r="B1968" s="59"/>
      <c r="C1968" s="51"/>
      <c r="D1968" s="43"/>
      <c r="F1968" s="43"/>
      <c r="H1968" s="43"/>
    </row>
    <row r="1969">
      <c r="A1969" s="43"/>
      <c r="B1969" s="59"/>
      <c r="C1969" s="51"/>
      <c r="D1969" s="43"/>
      <c r="F1969" s="43"/>
      <c r="H1969" s="43"/>
    </row>
    <row r="1970">
      <c r="A1970" s="43"/>
      <c r="B1970" s="59"/>
      <c r="C1970" s="51"/>
      <c r="D1970" s="43"/>
      <c r="F1970" s="43"/>
      <c r="H1970" s="43"/>
    </row>
    <row r="1971">
      <c r="A1971" s="43"/>
      <c r="B1971" s="59"/>
      <c r="C1971" s="51"/>
      <c r="D1971" s="43"/>
      <c r="F1971" s="43"/>
      <c r="H1971" s="43"/>
    </row>
    <row r="1972">
      <c r="A1972" s="43"/>
      <c r="B1972" s="59"/>
      <c r="C1972" s="51"/>
      <c r="D1972" s="43"/>
      <c r="F1972" s="43"/>
      <c r="H1972" s="43"/>
    </row>
    <row r="1973">
      <c r="A1973" s="43"/>
      <c r="B1973" s="59"/>
      <c r="C1973" s="51"/>
      <c r="D1973" s="43"/>
      <c r="F1973" s="43"/>
      <c r="H1973" s="43"/>
    </row>
    <row r="1974">
      <c r="A1974" s="43"/>
      <c r="B1974" s="59"/>
      <c r="C1974" s="51"/>
      <c r="D1974" s="43"/>
      <c r="F1974" s="43"/>
      <c r="H1974" s="43"/>
    </row>
    <row r="1975">
      <c r="A1975" s="43"/>
      <c r="B1975" s="59"/>
      <c r="C1975" s="51"/>
      <c r="D1975" s="43"/>
      <c r="F1975" s="43"/>
      <c r="H1975" s="43"/>
    </row>
    <row r="1976">
      <c r="A1976" s="43"/>
      <c r="B1976" s="59"/>
      <c r="C1976" s="51"/>
      <c r="D1976" s="43"/>
      <c r="F1976" s="43"/>
      <c r="H1976" s="43"/>
    </row>
    <row r="1977">
      <c r="A1977" s="43"/>
      <c r="B1977" s="59"/>
      <c r="C1977" s="51"/>
      <c r="D1977" s="43"/>
      <c r="F1977" s="43"/>
      <c r="H1977" s="43"/>
    </row>
    <row r="1978">
      <c r="A1978" s="43"/>
      <c r="B1978" s="59"/>
      <c r="C1978" s="51"/>
      <c r="D1978" s="43"/>
      <c r="F1978" s="43"/>
      <c r="H1978" s="43"/>
    </row>
    <row r="1979">
      <c r="A1979" s="43"/>
      <c r="B1979" s="59"/>
      <c r="C1979" s="51"/>
      <c r="D1979" s="43"/>
      <c r="F1979" s="43"/>
      <c r="H1979" s="43"/>
    </row>
    <row r="1980">
      <c r="A1980" s="43"/>
      <c r="B1980" s="59"/>
      <c r="C1980" s="51"/>
      <c r="D1980" s="43"/>
      <c r="F1980" s="43"/>
      <c r="H1980" s="43"/>
    </row>
    <row r="1981">
      <c r="A1981" s="43"/>
      <c r="B1981" s="59"/>
      <c r="C1981" s="51"/>
      <c r="D1981" s="43"/>
      <c r="F1981" s="43"/>
      <c r="H1981" s="43"/>
    </row>
    <row r="1982">
      <c r="A1982" s="43"/>
      <c r="B1982" s="59"/>
      <c r="C1982" s="51"/>
      <c r="D1982" s="43"/>
      <c r="F1982" s="43"/>
      <c r="H1982" s="43"/>
    </row>
    <row r="1983">
      <c r="A1983" s="43"/>
      <c r="B1983" s="59"/>
      <c r="C1983" s="51"/>
      <c r="D1983" s="43"/>
      <c r="F1983" s="43"/>
      <c r="H1983" s="43"/>
    </row>
    <row r="1984">
      <c r="A1984" s="43"/>
      <c r="B1984" s="59"/>
      <c r="C1984" s="51"/>
      <c r="D1984" s="43"/>
      <c r="F1984" s="43"/>
      <c r="H1984" s="43"/>
    </row>
    <row r="1985">
      <c r="A1985" s="43"/>
      <c r="B1985" s="59"/>
      <c r="C1985" s="51"/>
      <c r="D1985" s="43"/>
      <c r="F1985" s="43"/>
      <c r="H1985" s="43"/>
    </row>
    <row r="1986">
      <c r="A1986" s="43"/>
      <c r="B1986" s="59"/>
      <c r="C1986" s="51"/>
      <c r="D1986" s="43"/>
      <c r="F1986" s="43"/>
      <c r="H1986" s="43"/>
    </row>
    <row r="1987">
      <c r="A1987" s="43"/>
      <c r="B1987" s="59"/>
      <c r="C1987" s="51"/>
      <c r="D1987" s="43"/>
      <c r="F1987" s="43"/>
      <c r="H1987" s="43"/>
    </row>
    <row r="1988">
      <c r="A1988" s="43"/>
      <c r="B1988" s="59"/>
      <c r="C1988" s="51"/>
      <c r="D1988" s="43"/>
      <c r="F1988" s="43"/>
      <c r="H1988" s="43"/>
    </row>
    <row r="1989">
      <c r="A1989" s="43"/>
      <c r="B1989" s="59"/>
      <c r="C1989" s="51"/>
      <c r="D1989" s="43"/>
      <c r="F1989" s="43"/>
      <c r="H1989" s="43"/>
    </row>
    <row r="1990">
      <c r="A1990" s="43"/>
      <c r="B1990" s="59"/>
      <c r="C1990" s="51"/>
      <c r="D1990" s="43"/>
      <c r="F1990" s="43"/>
      <c r="H1990" s="43"/>
    </row>
    <row r="1991">
      <c r="A1991" s="43"/>
      <c r="B1991" s="59"/>
      <c r="C1991" s="51"/>
      <c r="D1991" s="43"/>
      <c r="F1991" s="43"/>
      <c r="H1991" s="43"/>
    </row>
    <row r="1992">
      <c r="A1992" s="43"/>
      <c r="B1992" s="59"/>
      <c r="C1992" s="51"/>
      <c r="D1992" s="43"/>
      <c r="F1992" s="43"/>
      <c r="H1992" s="43"/>
    </row>
    <row r="1993">
      <c r="A1993" s="43"/>
      <c r="B1993" s="59"/>
      <c r="C1993" s="51"/>
      <c r="D1993" s="43"/>
      <c r="F1993" s="43"/>
      <c r="H1993" s="43"/>
    </row>
    <row r="1994">
      <c r="A1994" s="43"/>
      <c r="B1994" s="59"/>
      <c r="C1994" s="51"/>
      <c r="D1994" s="43"/>
      <c r="F1994" s="43"/>
      <c r="H1994" s="43"/>
    </row>
    <row r="1995">
      <c r="A1995" s="43"/>
      <c r="B1995" s="59"/>
      <c r="C1995" s="51"/>
      <c r="D1995" s="43"/>
      <c r="F1995" s="43"/>
      <c r="H1995" s="43"/>
    </row>
    <row r="1996">
      <c r="A1996" s="43"/>
      <c r="B1996" s="59"/>
      <c r="C1996" s="51"/>
      <c r="D1996" s="43"/>
      <c r="F1996" s="43"/>
      <c r="H1996" s="43"/>
    </row>
    <row r="1997">
      <c r="A1997" s="43"/>
      <c r="B1997" s="59"/>
      <c r="C1997" s="51"/>
      <c r="D1997" s="43"/>
      <c r="F1997" s="43"/>
      <c r="H1997" s="43"/>
    </row>
    <row r="1998">
      <c r="A1998" s="43"/>
      <c r="B1998" s="59"/>
      <c r="C1998" s="51"/>
      <c r="D1998" s="43"/>
      <c r="F1998" s="43"/>
      <c r="H1998" s="43"/>
    </row>
    <row r="1999">
      <c r="A1999" s="43"/>
      <c r="B1999" s="59"/>
      <c r="C1999" s="51"/>
      <c r="D1999" s="43"/>
      <c r="F1999" s="43"/>
      <c r="H1999" s="43"/>
    </row>
    <row r="2000">
      <c r="A2000" s="43"/>
      <c r="B2000" s="59"/>
      <c r="C2000" s="51"/>
      <c r="D2000" s="43"/>
      <c r="F2000" s="43"/>
      <c r="H2000" s="43"/>
    </row>
    <row r="2001">
      <c r="A2001" s="43"/>
      <c r="B2001" s="59"/>
      <c r="C2001" s="51"/>
      <c r="D2001" s="43"/>
      <c r="F2001" s="43"/>
      <c r="H2001" s="43"/>
    </row>
    <row r="2002">
      <c r="A2002" s="43"/>
      <c r="B2002" s="59"/>
      <c r="C2002" s="51"/>
      <c r="D2002" s="43"/>
      <c r="F2002" s="43"/>
      <c r="H2002" s="43"/>
    </row>
    <row r="2003">
      <c r="A2003" s="43"/>
      <c r="B2003" s="59"/>
      <c r="C2003" s="51"/>
      <c r="D2003" s="43"/>
      <c r="F2003" s="43"/>
      <c r="H2003" s="43"/>
    </row>
    <row r="2004">
      <c r="A2004" s="43"/>
      <c r="B2004" s="59"/>
      <c r="C2004" s="51"/>
      <c r="D2004" s="43"/>
      <c r="F2004" s="43"/>
      <c r="H2004" s="43"/>
    </row>
    <row r="2005">
      <c r="A2005" s="43"/>
      <c r="B2005" s="59"/>
      <c r="C2005" s="51"/>
      <c r="D2005" s="43"/>
      <c r="F2005" s="43"/>
      <c r="H2005" s="43"/>
    </row>
    <row r="2006">
      <c r="A2006" s="43"/>
      <c r="B2006" s="59"/>
      <c r="C2006" s="51"/>
      <c r="D2006" s="43"/>
      <c r="F2006" s="43"/>
      <c r="H2006" s="43"/>
    </row>
    <row r="2007">
      <c r="A2007" s="43"/>
      <c r="B2007" s="59"/>
      <c r="C2007" s="51"/>
      <c r="D2007" s="43"/>
      <c r="F2007" s="43"/>
      <c r="H2007" s="43"/>
    </row>
    <row r="2008">
      <c r="A2008" s="43"/>
      <c r="B2008" s="59"/>
      <c r="C2008" s="51"/>
      <c r="D2008" s="43"/>
      <c r="F2008" s="43"/>
      <c r="H2008" s="43"/>
    </row>
    <row r="2009">
      <c r="A2009" s="43"/>
      <c r="B2009" s="59"/>
      <c r="C2009" s="51"/>
      <c r="D2009" s="43"/>
      <c r="F2009" s="43"/>
      <c r="H2009" s="43"/>
    </row>
    <row r="2010">
      <c r="A2010" s="43"/>
      <c r="B2010" s="59"/>
      <c r="C2010" s="51"/>
      <c r="D2010" s="43"/>
      <c r="F2010" s="43"/>
      <c r="H2010" s="43"/>
    </row>
    <row r="2011">
      <c r="A2011" s="43"/>
      <c r="B2011" s="59"/>
      <c r="C2011" s="51"/>
      <c r="D2011" s="43"/>
      <c r="F2011" s="43"/>
      <c r="H2011" s="43"/>
    </row>
  </sheetData>
  <mergeCells count="3">
    <mergeCell ref="D1:E1"/>
    <mergeCell ref="F1:G1"/>
    <mergeCell ref="H1:I1"/>
  </mergeCells>
  <dataValidations>
    <dataValidation type="list" allowBlank="1" sqref="H3:H2011">
      <formula1>Internal_lists_variables!$K$2:$K2011</formula1>
    </dataValidation>
    <dataValidation type="list" allowBlank="1" sqref="D3:D2011">
      <formula1>Internal_lists_variables!$I$2:$I2011</formula1>
    </dataValidation>
    <dataValidation type="list" allowBlank="1" sqref="F3:F2011">
      <formula1>Internal_lists_variables!$J$2:$J2011</formula1>
    </dataValidation>
    <dataValidation type="list" allowBlank="1" showInputMessage="1" showErrorMessage="1" prompt="Project BugID" sqref="A3:A2011">
      <formula1>Internal_lists_bugs!$A$2:$A2011</formula1>
    </dataValidation>
  </dataValidations>
  <hyperlinks>
    <hyperlink r:id="rId2" ref="A1"/>
    <hyperlink r:id="rId3" location="gid=405816964" ref="B1"/>
  </hyperlinks>
  <drawing r:id="rId4"/>
  <legacy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5"/>
      <c r="B1" s="156" t="s">
        <v>1278</v>
      </c>
      <c r="C1" s="157" t="s">
        <v>240</v>
      </c>
      <c r="D1" s="157" t="s">
        <v>1279</v>
      </c>
      <c r="E1" s="157" t="s">
        <v>1280</v>
      </c>
      <c r="F1" s="156" t="s">
        <v>1281</v>
      </c>
    </row>
    <row r="2">
      <c r="A2" s="158" t="s">
        <v>37</v>
      </c>
      <c r="B2" s="158">
        <v>1481164.0</v>
      </c>
      <c r="C2" s="159" t="s">
        <v>1282</v>
      </c>
      <c r="D2" s="159" t="s">
        <v>1283</v>
      </c>
      <c r="E2" s="159" t="s">
        <v>1284</v>
      </c>
      <c r="F2" s="159" t="s">
        <v>1285</v>
      </c>
      <c r="G2" s="43" t="str">
        <f>VLOOKUP(C2,Internal_lists_bugs!$F$2:$AC$73,24,FALSE())</f>
        <v>#N/A</v>
      </c>
    </row>
    <row r="3">
      <c r="A3" s="158" t="s">
        <v>44</v>
      </c>
      <c r="B3" s="158">
        <v>1466390.0</v>
      </c>
      <c r="C3" s="159" t="s">
        <v>1286</v>
      </c>
      <c r="D3" s="159" t="s">
        <v>1287</v>
      </c>
      <c r="E3" s="159" t="s">
        <v>1288</v>
      </c>
      <c r="F3" s="159" t="s">
        <v>1289</v>
      </c>
      <c r="G3" s="43" t="str">
        <f>VLOOKUP(C3,Internal_lists_bugs!$F$2:$AC$73,24,FALSE())</f>
        <v>#N/A</v>
      </c>
    </row>
    <row r="4">
      <c r="A4" s="158" t="s">
        <v>33</v>
      </c>
      <c r="B4" s="158">
        <v>1438331.0</v>
      </c>
      <c r="C4" s="159" t="s">
        <v>1290</v>
      </c>
      <c r="D4" s="159" t="s">
        <v>1291</v>
      </c>
      <c r="E4" s="159" t="s">
        <v>1292</v>
      </c>
      <c r="F4" s="159" t="s">
        <v>1293</v>
      </c>
      <c r="G4" s="43" t="str">
        <f>VLOOKUP(C4,Internal_lists_bugs!$F$2:$AC$73,24,FALSE())</f>
        <v>#N/A</v>
      </c>
    </row>
    <row r="5">
      <c r="A5" s="158" t="s">
        <v>57</v>
      </c>
      <c r="B5" s="158">
        <v>1402728.0</v>
      </c>
      <c r="C5" s="159" t="s">
        <v>1294</v>
      </c>
      <c r="D5" s="159" t="s">
        <v>1295</v>
      </c>
      <c r="E5" s="159" t="s">
        <v>1296</v>
      </c>
      <c r="F5" s="159" t="s">
        <v>1297</v>
      </c>
      <c r="G5" s="43" t="str">
        <f>VLOOKUP(C5,Internal_lists_bugs!$F$2:$AC$73,24,FALSE())</f>
        <v>#N/A</v>
      </c>
    </row>
    <row r="6">
      <c r="A6" s="158" t="s">
        <v>38</v>
      </c>
      <c r="B6" s="158">
        <v>1307791.0</v>
      </c>
      <c r="C6" s="159" t="s">
        <v>1298</v>
      </c>
      <c r="D6" s="159" t="s">
        <v>1299</v>
      </c>
      <c r="E6" s="159" t="s">
        <v>1300</v>
      </c>
      <c r="F6" s="159" t="s">
        <v>1301</v>
      </c>
      <c r="G6" s="43" t="str">
        <f>VLOOKUP(C6,Internal_lists_bugs!$F$2:$AC$73,24,FALSE())</f>
        <v>#N/A</v>
      </c>
    </row>
    <row r="7">
      <c r="A7" s="158" t="s">
        <v>55</v>
      </c>
      <c r="B7" s="158">
        <v>1481078.0</v>
      </c>
      <c r="C7" s="159" t="s">
        <v>1302</v>
      </c>
      <c r="D7" s="159" t="s">
        <v>1303</v>
      </c>
      <c r="E7" s="159" t="s">
        <v>1304</v>
      </c>
      <c r="F7" s="159" t="s">
        <v>1305</v>
      </c>
      <c r="G7" s="43" t="str">
        <f>VLOOKUP(C7,Internal_lists_bugs!$F$2:$AC$73,24,FALSE())</f>
        <v>#N/A</v>
      </c>
    </row>
    <row r="8">
      <c r="A8" s="158" t="s">
        <v>45</v>
      </c>
      <c r="B8" s="158">
        <v>1370177.0</v>
      </c>
      <c r="C8" s="159" t="s">
        <v>1306</v>
      </c>
      <c r="D8" s="159" t="s">
        <v>1307</v>
      </c>
      <c r="E8" s="159" t="s">
        <v>1308</v>
      </c>
      <c r="F8" s="159" t="s">
        <v>1309</v>
      </c>
      <c r="G8" s="43" t="str">
        <f>VLOOKUP(C8,Internal_lists_bugs!$F$2:$AC$73,24,FALSE())</f>
        <v>#N/A</v>
      </c>
    </row>
    <row r="9">
      <c r="A9" s="158" t="s">
        <v>35</v>
      </c>
      <c r="B9" s="158">
        <v>1443970.0</v>
      </c>
      <c r="C9" s="159" t="s">
        <v>1310</v>
      </c>
      <c r="D9" s="159" t="s">
        <v>1311</v>
      </c>
      <c r="E9" s="159" t="s">
        <v>1312</v>
      </c>
      <c r="F9" s="159" t="s">
        <v>1313</v>
      </c>
      <c r="G9" s="43" t="str">
        <f>VLOOKUP(C9,Internal_lists_bugs!$F$2:$AC$73,24,FALSE())</f>
        <v>#N/A</v>
      </c>
    </row>
    <row r="10">
      <c r="A10" s="158" t="s">
        <v>43</v>
      </c>
      <c r="B10" s="158">
        <v>1294939.0</v>
      </c>
      <c r="C10" s="159" t="s">
        <v>1314</v>
      </c>
      <c r="D10" s="159" t="s">
        <v>1315</v>
      </c>
      <c r="E10" s="159" t="s">
        <v>1316</v>
      </c>
      <c r="F10" s="159" t="s">
        <v>1317</v>
      </c>
      <c r="G10" s="43" t="str">
        <f>VLOOKUP(C10,Internal_lists_bugs!$F$2:$AC$73,24,FALSE())</f>
        <v>#N/A</v>
      </c>
    </row>
    <row r="11">
      <c r="A11" s="158" t="s">
        <v>54</v>
      </c>
      <c r="B11" s="158">
        <v>1336127.0</v>
      </c>
      <c r="C11" s="159" t="s">
        <v>1318</v>
      </c>
      <c r="D11" s="159" t="s">
        <v>1319</v>
      </c>
      <c r="E11" s="159" t="s">
        <v>1320</v>
      </c>
      <c r="F11" s="159" t="s">
        <v>1321</v>
      </c>
      <c r="G11" s="43" t="str">
        <f>VLOOKUP(C11,Internal_lists_bugs!$F$2:$AC$73,24,FALSE())</f>
        <v>#N/A</v>
      </c>
    </row>
    <row r="12">
      <c r="A12" s="158" t="s">
        <v>56</v>
      </c>
      <c r="B12" s="158">
        <v>1419002.0</v>
      </c>
      <c r="C12" s="159" t="s">
        <v>1322</v>
      </c>
      <c r="D12" s="159" t="s">
        <v>1323</v>
      </c>
      <c r="E12" s="159" t="s">
        <v>1324</v>
      </c>
      <c r="F12" s="159" t="s">
        <v>1325</v>
      </c>
      <c r="G12" s="43" t="str">
        <f>VLOOKUP(C12,Internal_lists_bugs!$F$2:$AC$73,24,FALSE())</f>
        <v>#N/A</v>
      </c>
    </row>
    <row r="13">
      <c r="A13" s="158" t="s">
        <v>48</v>
      </c>
      <c r="B13" s="158">
        <v>1441000.0</v>
      </c>
      <c r="C13" s="159" t="s">
        <v>1326</v>
      </c>
      <c r="D13" s="159" t="s">
        <v>1327</v>
      </c>
      <c r="E13" s="159" t="s">
        <v>1328</v>
      </c>
      <c r="F13" s="159" t="s">
        <v>1329</v>
      </c>
      <c r="G13" s="43" t="str">
        <f>VLOOKUP(C13,Internal_lists_bugs!$F$2:$AC$73,24,FALSE())</f>
        <v>#N/A</v>
      </c>
    </row>
    <row r="14">
      <c r="A14" s="158" t="s">
        <v>46</v>
      </c>
      <c r="B14" s="158">
        <v>1475911.0</v>
      </c>
      <c r="C14" s="159" t="s">
        <v>1330</v>
      </c>
      <c r="D14" s="159" t="s">
        <v>1331</v>
      </c>
      <c r="E14" s="159" t="s">
        <v>1332</v>
      </c>
      <c r="F14" s="159" t="s">
        <v>1333</v>
      </c>
      <c r="G14" s="43" t="str">
        <f>VLOOKUP(C14,Internal_lists_bugs!$F$2:$AC$73,24,FALSE())</f>
        <v>#N/A</v>
      </c>
    </row>
    <row r="15">
      <c r="A15" s="158" t="s">
        <v>42</v>
      </c>
      <c r="B15" s="158">
        <v>1402535.0</v>
      </c>
      <c r="C15" s="159" t="s">
        <v>1334</v>
      </c>
      <c r="D15" s="159" t="s">
        <v>1335</v>
      </c>
      <c r="E15" s="159" t="s">
        <v>1336</v>
      </c>
      <c r="F15" s="159" t="s">
        <v>1337</v>
      </c>
      <c r="G15" s="43" t="str">
        <f>VLOOKUP(C15,Internal_lists_bugs!$F$2:$AC$73,24,FALSE())</f>
        <v>#N/A</v>
      </c>
    </row>
    <row r="16">
      <c r="A16" s="158" t="s">
        <v>32</v>
      </c>
      <c r="B16" s="158">
        <v>1370590.0</v>
      </c>
      <c r="C16" s="159" t="s">
        <v>1338</v>
      </c>
      <c r="D16" s="159" t="s">
        <v>1339</v>
      </c>
      <c r="E16" s="159" t="s">
        <v>1340</v>
      </c>
      <c r="F16" s="159" t="s">
        <v>1341</v>
      </c>
      <c r="G16" s="43" t="str">
        <f>VLOOKUP(C16,Internal_lists_bugs!$F$2:$AC$73,24,FALSE())</f>
        <v>#N/A</v>
      </c>
    </row>
    <row r="17">
      <c r="A17" s="158" t="s">
        <v>47</v>
      </c>
      <c r="B17" s="158">
        <v>1300788.0</v>
      </c>
      <c r="C17" s="159" t="s">
        <v>1342</v>
      </c>
      <c r="D17" s="159" t="s">
        <v>1343</v>
      </c>
      <c r="E17" s="159" t="s">
        <v>1344</v>
      </c>
      <c r="F17" s="159" t="s">
        <v>1345</v>
      </c>
      <c r="G17" s="43" t="str">
        <f>VLOOKUP(C17,Internal_lists_bugs!$F$2:$AC$73,24,FALSE())</f>
        <v>#N/A</v>
      </c>
    </row>
    <row r="18">
      <c r="A18" s="158" t="s">
        <v>39</v>
      </c>
      <c r="B18" s="158">
        <v>1367363.0</v>
      </c>
      <c r="C18" s="159" t="s">
        <v>1346</v>
      </c>
      <c r="D18" s="159" t="s">
        <v>1347</v>
      </c>
      <c r="E18" s="159" t="s">
        <v>1348</v>
      </c>
      <c r="F18" s="159" t="s">
        <v>1349</v>
      </c>
      <c r="G18" s="43" t="str">
        <f>VLOOKUP(C18,Internal_lists_bugs!$F$2:$AC$73,24,FALSE())</f>
        <v>#N/A</v>
      </c>
    </row>
    <row r="19">
      <c r="A19" s="158" t="s">
        <v>59</v>
      </c>
      <c r="B19" s="158">
        <v>1392798.0</v>
      </c>
      <c r="C19" s="159" t="s">
        <v>1350</v>
      </c>
      <c r="D19" s="159" t="s">
        <v>1351</v>
      </c>
      <c r="E19" s="159" t="s">
        <v>1352</v>
      </c>
      <c r="F19" s="159" t="s">
        <v>1353</v>
      </c>
      <c r="G19" s="43" t="str">
        <f>VLOOKUP(C19,Internal_lists_bugs!$F$2:$AC$73,24,FALSE())</f>
        <v>#N/A</v>
      </c>
    </row>
    <row r="20">
      <c r="A20" s="158" t="s">
        <v>50</v>
      </c>
      <c r="B20" s="158">
        <v>1403544.0</v>
      </c>
      <c r="C20" s="159" t="s">
        <v>1354</v>
      </c>
      <c r="D20" s="159" t="s">
        <v>1355</v>
      </c>
      <c r="E20" s="159" t="s">
        <v>1356</v>
      </c>
      <c r="F20" s="159" t="s">
        <v>1357</v>
      </c>
      <c r="G20" s="43" t="str">
        <f>VLOOKUP(C20,Internal_lists_bugs!$F$2:$AC$73,24,FALSE())</f>
        <v>#N/A</v>
      </c>
    </row>
    <row r="21">
      <c r="A21" s="158" t="s">
        <v>61</v>
      </c>
      <c r="B21" s="158">
        <v>1381468.0</v>
      </c>
      <c r="C21" s="159" t="s">
        <v>1358</v>
      </c>
      <c r="D21" s="159" t="s">
        <v>1359</v>
      </c>
      <c r="E21" s="159" t="s">
        <v>1360</v>
      </c>
      <c r="F21" s="159" t="s">
        <v>1361</v>
      </c>
      <c r="G21" s="43" t="str">
        <f>VLOOKUP(C21,Internal_lists_bugs!$F$2:$AC$73,24,FALSE())</f>
        <v>#N/A</v>
      </c>
    </row>
    <row r="22">
      <c r="A22" s="158" t="s">
        <v>31</v>
      </c>
      <c r="B22" s="158">
        <v>1475356.0</v>
      </c>
      <c r="C22" s="159" t="s">
        <v>1362</v>
      </c>
      <c r="D22" s="159" t="s">
        <v>1363</v>
      </c>
      <c r="E22" s="159" t="s">
        <v>1364</v>
      </c>
      <c r="F22" s="159" t="s">
        <v>1365</v>
      </c>
      <c r="G22" s="43" t="str">
        <f>VLOOKUP(C22,Internal_lists_bugs!$F$2:$AC$73,24,FALSE())</f>
        <v>#N/A</v>
      </c>
    </row>
    <row r="23">
      <c r="A23" s="158" t="s">
        <v>40</v>
      </c>
      <c r="B23" s="158">
        <v>1434855.0</v>
      </c>
      <c r="C23" s="159" t="s">
        <v>1366</v>
      </c>
      <c r="D23" s="159" t="s">
        <v>1367</v>
      </c>
      <c r="E23" s="159" t="s">
        <v>1368</v>
      </c>
      <c r="F23" s="159" t="s">
        <v>1369</v>
      </c>
      <c r="G23" s="43" t="str">
        <f>VLOOKUP(C23,Internal_lists_bugs!$F$2:$AC$73,24,FALSE())</f>
        <v>#N/A</v>
      </c>
    </row>
    <row r="24">
      <c r="A24" s="158" t="s">
        <v>51</v>
      </c>
      <c r="B24" s="158">
        <v>1443697.0</v>
      </c>
      <c r="C24" s="159" t="s">
        <v>1370</v>
      </c>
      <c r="D24" s="159" t="s">
        <v>1371</v>
      </c>
      <c r="E24" s="159" t="s">
        <v>1372</v>
      </c>
      <c r="F24" s="159" t="s">
        <v>1373</v>
      </c>
      <c r="G24" s="43" t="str">
        <f>VLOOKUP(C24,Internal_lists_bugs!$F$2:$AC$73,24,FALSE())</f>
        <v>#N/A</v>
      </c>
    </row>
    <row r="25">
      <c r="A25" s="158" t="s">
        <v>36</v>
      </c>
      <c r="B25" s="158">
        <v>1467451.0</v>
      </c>
      <c r="C25" s="159" t="s">
        <v>1374</v>
      </c>
      <c r="D25" s="159" t="s">
        <v>1375</v>
      </c>
      <c r="E25" s="159" t="s">
        <v>1376</v>
      </c>
      <c r="F25" s="159" t="s">
        <v>1377</v>
      </c>
      <c r="G25" s="43" t="str">
        <f>VLOOKUP(C25,Internal_lists_bugs!$F$2:$AC$73,24,FALSE())</f>
        <v>#N/A</v>
      </c>
    </row>
    <row r="26">
      <c r="A26" s="158" t="s">
        <v>60</v>
      </c>
      <c r="B26" s="158">
        <v>1453274.0</v>
      </c>
      <c r="C26" s="159" t="s">
        <v>1378</v>
      </c>
      <c r="D26" s="159" t="s">
        <v>1379</v>
      </c>
      <c r="E26" s="159" t="s">
        <v>1380</v>
      </c>
      <c r="F26" s="159" t="s">
        <v>1381</v>
      </c>
      <c r="G26" s="43" t="str">
        <f>VLOOKUP(C26,Internal_lists_bugs!$F$2:$AC$73,24,FALSE())</f>
        <v>#N/A</v>
      </c>
    </row>
    <row r="27">
      <c r="A27" s="158" t="s">
        <v>53</v>
      </c>
      <c r="B27" s="158">
        <v>1371677.0</v>
      </c>
      <c r="C27" s="159" t="s">
        <v>1382</v>
      </c>
      <c r="D27" s="159" t="s">
        <v>1383</v>
      </c>
      <c r="E27" s="159" t="s">
        <v>1384</v>
      </c>
      <c r="F27" s="159" t="s">
        <v>1385</v>
      </c>
      <c r="G27" s="43" t="str">
        <f>VLOOKUP(C27,Internal_lists_bugs!$F$2:$AC$73,24,FALSE())</f>
        <v>#N/A</v>
      </c>
    </row>
    <row r="28">
      <c r="A28" s="158" t="s">
        <v>30</v>
      </c>
      <c r="B28" s="158">
        <v>1343080.0</v>
      </c>
      <c r="C28" s="159" t="s">
        <v>1386</v>
      </c>
      <c r="D28" s="159" t="s">
        <v>1387</v>
      </c>
      <c r="E28" s="159" t="s">
        <v>1388</v>
      </c>
      <c r="F28" s="159" t="s">
        <v>1389</v>
      </c>
      <c r="G28" s="43" t="str">
        <f>VLOOKUP(C28,Internal_lists_bugs!$F$2:$AC$73,24,FALSE())</f>
        <v>#N/A</v>
      </c>
    </row>
    <row r="29">
      <c r="A29" s="158" t="s">
        <v>52</v>
      </c>
      <c r="B29" s="158">
        <v>1375379.0</v>
      </c>
      <c r="C29" s="159" t="s">
        <v>1390</v>
      </c>
      <c r="D29" s="159" t="s">
        <v>1391</v>
      </c>
      <c r="E29" s="159" t="s">
        <v>1392</v>
      </c>
      <c r="F29" s="159" t="s">
        <v>1393</v>
      </c>
      <c r="G29" s="43" t="str">
        <f>VLOOKUP(C29,Internal_lists_bugs!$F$2:$AC$73,24,FALSE())</f>
        <v>#N/A</v>
      </c>
    </row>
    <row r="30">
      <c r="A30" s="158" t="s">
        <v>49</v>
      </c>
      <c r="B30" s="158">
        <v>1314677.0</v>
      </c>
      <c r="C30" s="159" t="s">
        <v>1394</v>
      </c>
      <c r="D30" s="159" t="s">
        <v>1395</v>
      </c>
      <c r="E30" s="159" t="s">
        <v>1396</v>
      </c>
      <c r="F30" s="159" t="s">
        <v>1397</v>
      </c>
      <c r="G30" s="43" t="str">
        <f>VLOOKUP(C30,Internal_lists_bugs!$F$2:$AC$73,24,FALSE())</f>
        <v>#N/A</v>
      </c>
    </row>
    <row r="31">
      <c r="A31" s="158" t="s">
        <v>41</v>
      </c>
      <c r="B31" s="158">
        <v>1486541.0</v>
      </c>
      <c r="C31" s="159" t="s">
        <v>1398</v>
      </c>
      <c r="D31" s="159" t="s">
        <v>1399</v>
      </c>
      <c r="E31" s="159" t="s">
        <v>1400</v>
      </c>
      <c r="F31" s="159" t="s">
        <v>1401</v>
      </c>
      <c r="G31" s="43" t="str">
        <f>VLOOKUP(C31,Internal_lists_bugs!$F$2:$AC$73,24,FALSE())</f>
        <v>#N/A</v>
      </c>
    </row>
    <row r="32">
      <c r="A32" s="158" t="s">
        <v>34</v>
      </c>
      <c r="B32" s="158">
        <v>1424647.0</v>
      </c>
      <c r="C32" s="159" t="s">
        <v>1402</v>
      </c>
      <c r="D32" s="159" t="s">
        <v>1403</v>
      </c>
      <c r="E32" s="159" t="s">
        <v>1404</v>
      </c>
      <c r="F32" s="159" t="s">
        <v>1405</v>
      </c>
      <c r="G32" s="43" t="str">
        <f>VLOOKUP(C32,Internal_lists_bugs!$F$2:$AC$73,24,FALSE())</f>
        <v>#N/A</v>
      </c>
    </row>
    <row r="33">
      <c r="A33" s="158" t="s">
        <v>58</v>
      </c>
      <c r="B33" s="158">
        <v>1437855.0</v>
      </c>
      <c r="C33" s="159" t="s">
        <v>1406</v>
      </c>
      <c r="D33" s="159" t="s">
        <v>1407</v>
      </c>
      <c r="E33" s="159" t="s">
        <v>1408</v>
      </c>
      <c r="F33" s="159" t="s">
        <v>1409</v>
      </c>
      <c r="G33" s="43" t="str">
        <f>VLOOKUP(C33,Internal_lists_bugs!$F$2:$AC$73,24,FALSE())</f>
        <v>#N/A</v>
      </c>
    </row>
    <row r="34">
      <c r="A34" s="158" t="s">
        <v>62</v>
      </c>
      <c r="B34" s="158">
        <v>1505471.0</v>
      </c>
      <c r="C34" s="159" t="s">
        <v>1410</v>
      </c>
      <c r="D34" s="159" t="s">
        <v>1411</v>
      </c>
      <c r="E34" s="159" t="s">
        <v>1412</v>
      </c>
      <c r="F34" s="159" t="s">
        <v>1413</v>
      </c>
      <c r="G34" s="43" t="str">
        <f>VLOOKUP(C34,Internal_lists_bugs!$F$2:$AC$73,24,FALSE())</f>
        <v>#N/A</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12" max="12" width="18.5"/>
    <col customWidth="1" min="17" max="17" width="19.5"/>
    <col customWidth="1" min="18" max="18" width="19.88"/>
  </cols>
  <sheetData>
    <row r="1">
      <c r="A1" s="160" t="s">
        <v>1414</v>
      </c>
      <c r="B1" s="40" t="s">
        <v>1415</v>
      </c>
      <c r="C1" s="40" t="s">
        <v>105</v>
      </c>
      <c r="D1" s="40" t="s">
        <v>1416</v>
      </c>
      <c r="E1" s="40" t="s">
        <v>1417</v>
      </c>
      <c r="F1" s="40" t="s">
        <v>1418</v>
      </c>
      <c r="G1" s="40" t="s">
        <v>238</v>
      </c>
      <c r="H1" s="40" t="s">
        <v>1419</v>
      </c>
      <c r="I1" s="40" t="s">
        <v>1420</v>
      </c>
      <c r="J1" s="40" t="s">
        <v>1421</v>
      </c>
      <c r="K1" s="40" t="s">
        <v>1422</v>
      </c>
      <c r="L1" s="40" t="s">
        <v>1423</v>
      </c>
      <c r="M1" s="40" t="s">
        <v>1424</v>
      </c>
      <c r="N1" s="40" t="s">
        <v>1425</v>
      </c>
      <c r="O1" s="40" t="s">
        <v>1426</v>
      </c>
      <c r="P1" s="40" t="s">
        <v>1427</v>
      </c>
      <c r="Q1" s="40" t="s">
        <v>1428</v>
      </c>
      <c r="R1" s="40" t="s">
        <v>1429</v>
      </c>
      <c r="S1" s="52"/>
      <c r="T1" s="52"/>
      <c r="U1" s="52"/>
      <c r="V1" s="52"/>
      <c r="W1" s="52"/>
      <c r="X1" s="52"/>
      <c r="Y1" s="52"/>
      <c r="Z1" s="52"/>
    </row>
    <row r="2">
      <c r="A2" s="161" t="str">
        <f>IFERROR(__xludf.DUMMYFUNCTION("IMPORTRANGE(""https://docs.google.com/spreadsheets/d/1Y9FDM6PWfeg9VaMejzWN3Md3FLlGVyeSUr8AibeJN5I/edit#gid=405816964"",""COMMON_LISTS!C4:C2000"")"),"addition::of::performance::tests")</f>
        <v>addition::of::performance::tests</v>
      </c>
      <c r="B2" s="52" t="str">
        <f>IFERROR(__xludf.DUMMYFUNCTION("IMPORTRANGE(""https://docs.google.com/spreadsheets/d/1Y9FDM6PWfeg9VaMejzWN3Md3FLlGVyeSUr8AibeJN5I/edit#gid=405816964"",""COMMON_LISTS!F5:F"")"),"Configuration issue")</f>
        <v>Configuration issue</v>
      </c>
      <c r="C2" s="40" t="str">
        <f>IFERROR(__xludf.DUMMYFUNCTION("IMPORTRANGE(""https://docs.google.com/spreadsheets/d/1Y9FDM6PWfeg9VaMejzWN3Md3FLlGVyeSUr8AibeJN5I/edit#gid=405816964"",""COMMON_LISTS!K4:K"")"),"blueprint, feature request")</f>
        <v>blueprint, feature request</v>
      </c>
      <c r="D2" s="52" t="str">
        <f>IFERROR(__xludf.DUMMYFUNCTION("IMPORTRANGE(""https://docs.google.com/spreadsheets/d/1Y9FDM6PWfeg9VaMejzWN3Md3FLlGVyeSUr8AibeJN5I/edit#gid=405816964"",""COMMON_LISTS!O4:O"")"),"agreeing::opinion::(not::common)")</f>
        <v>agreeing::opinion::(not::common)</v>
      </c>
      <c r="E2" s="52" t="str">
        <f>IFERROR(__xludf.DUMMYFUNCTION("IMPORTRANGE(""https://docs.google.com/spreadsheets/d/1Y9FDM6PWfeg9VaMejzWN3Md3FLlGVyeSUr8AibeJN5I/edit#gid=405816964"",""COMMON_LISTS!S4:S"")"),"agreeing::to::reject::a::FFE::for::the::BP::that::includes::the::bug")</f>
        <v>agreeing::to::reject::a::FFE::for::the::BP::that::includes::the::bug</v>
      </c>
      <c r="F2" s="52" t="str">
        <f>IFERROR(__xludf.DUMMYFUNCTION("IMPORTRANGE(""https://docs.google.com/spreadsheets/d/1Y9FDM6PWfeg9VaMejzWN3Md3FLlGVyeSUr8AibeJN5I/edit#gid=405816964"",""COMMON_LISTS!W4:W"")"),"agreeing::answering::about::selecting::between::design::options::of::implementation::(hybrid::compute::nodes)::(implement::both)")</f>
        <v>agreeing::answering::about::selecting::between::design::options::of::implementation::(hybrid::compute::nodes)::(implement::both)</v>
      </c>
      <c r="G2" s="52" t="str">
        <f>IFERROR(__xludf.DUMMYFUNCTION("IMPORTRANGE(""https://docs.google.com/spreadsheets/d/1Y9FDM6PWfeg9VaMejzWN3Md3FLlGVyeSUr8AibeJN5I/edit#gid=405816964"",""COMMON_LISTS!AA4:AA"")"),"blueprint -&gt; spec")</f>
        <v>blueprint -&gt; spec</v>
      </c>
      <c r="H2" s="52" t="str">
        <f>IFERROR(__xludf.DUMMYFUNCTION("IMPORTRANGE(""https://docs.google.com/spreadsheets/d/1Y9FDM6PWfeg9VaMejzWN3Md3FLlGVyeSUr8AibeJN5I/edit#gid=405816964"",""COMMON_LISTS!AE4:AE"")"),"alternatives")</f>
        <v>alternatives</v>
      </c>
      <c r="I2" s="52" t="str">
        <f>IFERROR(__xludf.DUMMYFUNCTION("IMPORTRANGE(""https://docs.google.com/spreadsheets/d/1Y9FDM6PWfeg9VaMejzWN3Md3FLlGVyeSUr8AibeJN5I/edit#gid=405816964"",""COMMON_LISTS!AI4:AI"")"),"aopalliance")</f>
        <v>aopalliance</v>
      </c>
      <c r="J2" s="52" t="str">
        <f>IFERROR(__xludf.DUMMYFUNCTION("IMPORTRANGE(""https://docs.google.com/spreadsheets/d/1Y9FDM6PWfeg9VaMejzWN3Md3FLlGVyeSUr8AibeJN5I/edit#gid=405816964"",""COMMON_LISTS!AM4:AM"")"),"mixed")</f>
        <v>mixed</v>
      </c>
      <c r="K2" s="52" t="str">
        <f>IFERROR(__xludf.DUMMYFUNCTION("IMPORTRANGE(""https://docs.google.com/spreadsheets/d/1Y9FDM6PWfeg9VaMejzWN3Md3FLlGVyeSUr8AibeJN5I/edit#gid=405816964"",""COMMON_LISTS!AQ4:AQ"")"),"check::if::regressions::exist")</f>
        <v>check::if::regressions::exist</v>
      </c>
      <c r="L2" s="52" t="str">
        <f>IFERROR(__xludf.DUMMYFUNCTION("IMPORTRANGE(""https://docs.google.com/spreadsheets/d/1Y9FDM6PWfeg9VaMejzWN3Md3FLlGVyeSUr8AibeJN5I/edit#gid=405816964"",""COMMON_LISTS!AS4:AS"")"),"Direct commit")</f>
        <v>Direct commit</v>
      </c>
      <c r="M2" s="52" t="str">
        <f>IFERROR(__xludf.DUMMYFUNCTION("IMPORTRANGE(""https://docs.google.com/spreadsheets/d/1Y9FDM6PWfeg9VaMejzWN3Md3FLlGVyeSUr8AibeJN5I/edit#gid=405816964"",""COMMON_LISTS!AU5:AU"")"),"Adaptive")</f>
        <v>Adaptive</v>
      </c>
      <c r="N2" s="52" t="str">
        <f>IFERROR(__xludf.DUMMYFUNCTION("IMPORTRANGE(""https://docs.google.com/spreadsheets/d/1Y9FDM6PWfeg9VaMejzWN3Md3FLlGVyeSUr8AibeJN5I/edit#gid=405816964"",""COMMON_LISTS!AZ4:AZ"")"),"Covered (Children)")</f>
        <v>Covered (Children)</v>
      </c>
      <c r="O2" s="52" t="str">
        <f>IFERROR(__xludf.DUMMYFUNCTION("IMPORTRANGE(""https://docs.google.com/spreadsheets/d/1Y9FDM6PWfeg9VaMejzWN3Md3FLlGVyeSUr8AibeJN5I/edit#gid=405816964"",""COMMON_LISTS!BD4:BD"")"),"Gerrit")</f>
        <v>Gerrit</v>
      </c>
      <c r="P2" s="52" t="str">
        <f>IFERROR(__xludf.DUMMYFUNCTION("IMPORTRANGE(""https://docs.google.com/spreadsheets/d/1Y9FDM6PWfeg9VaMejzWN3Md3FLlGVyeSUr8AibeJN5I/edit#gid=405816964"",""COMMON_LISTS!BH4:BH"")"),"accepting::clarification")</f>
        <v>accepting::clarification</v>
      </c>
      <c r="Q2" s="52" t="str">
        <f>IFERROR(__xludf.DUMMYFUNCTION("IMPORTRANGE(""https://docs.google.com/spreadsheets/d/1Y9FDM6PWfeg9VaMejzWN3Md3FLlGVyeSUr8AibeJN5I/edit#gid=405816964"",""Assignment!F3:F200"")"),"")</f>
        <v/>
      </c>
      <c r="R2" s="52" t="str">
        <f>IFERROR(__xludf.DUMMYFUNCTION("IMPORTRANGE(""https://docs.google.com/spreadsheets/d/1Y9FDM6PWfeg9VaMejzWN3Md3FLlGVyeSUr8AibeJN5I/edit#gid=405816964"",""COMMON_LISTS!BQ4:BQ"")"),"Ammend")</f>
        <v>Ammend</v>
      </c>
      <c r="S2" s="52"/>
      <c r="T2" s="52"/>
      <c r="U2" s="52"/>
      <c r="V2" s="52"/>
      <c r="W2" s="52"/>
      <c r="X2" s="52"/>
      <c r="Y2" s="52"/>
      <c r="Z2" s="52"/>
    </row>
    <row r="3">
      <c r="A3" s="52" t="str">
        <f>IFERROR(__xludf.DUMMYFUNCTION("""COMPUTED_VALUE"""),"addition::of::tests")</f>
        <v>addition::of::tests</v>
      </c>
      <c r="B3" s="52" t="str">
        <f>IFERROR(__xludf.DUMMYFUNCTION("""COMPUTED_VALUE"""),"Database-related issue")</f>
        <v>Database-related issue</v>
      </c>
      <c r="C3" s="52" t="str">
        <f>IFERROR(__xludf.DUMMYFUNCTION("""COMPUTED_VALUE"""),"blueprint, feature request, security")</f>
        <v>blueprint, feature request, security</v>
      </c>
      <c r="D3" s="52" t="str">
        <f>IFERROR(__xludf.DUMMYFUNCTION("""COMPUTED_VALUE"""),"agreement::objection")</f>
        <v>agreement::objection</v>
      </c>
      <c r="E3" s="52" t="str">
        <f>IFERROR(__xludf.DUMMYFUNCTION("""COMPUTED_VALUE"""),"arguments::for::FFE::(issues::require::fixing)")</f>
        <v>arguments::for::FFE::(issues::require::fixing)</v>
      </c>
      <c r="F3" s="52" t="str">
        <f>IFERROR(__xludf.DUMMYFUNCTION("""COMPUTED_VALUE"""),"agreeing::con::clarification::on::discussing::solution::design::(requirements::of::the::solution)")</f>
        <v>agreeing::con::clarification::on::discussing::solution::design::(requirements::of::the::solution)</v>
      </c>
      <c r="G3" s="52" t="str">
        <f>IFERROR(__xludf.DUMMYFUNCTION("""COMPUTED_VALUE"""),"blueprint -&gt; specification")</f>
        <v>blueprint -&gt; specification</v>
      </c>
      <c r="H3" s="52" t="str">
        <f>IFERROR(__xludf.DUMMYFUNCTION("""COMPUTED_VALUE"""),"alternatives::(none)")</f>
        <v>alternatives::(none)</v>
      </c>
      <c r="I3" s="52" t="str">
        <f>IFERROR(__xludf.DUMMYFUNCTION("""COMPUTED_VALUE"""),"Babel")</f>
        <v>Babel</v>
      </c>
      <c r="J3" s="52" t="str">
        <f>IFERROR(__xludf.DUMMYFUNCTION("""COMPUTED_VALUE"""),"project::cache::(i.e.,::a::cache::of::dependencies::that::is::mantained::by::the::project)")</f>
        <v>project::cache::(i.e.,::a::cache::of::dependencies::that::is::mantained::by::the::project)</v>
      </c>
      <c r="K3" s="52" t="str">
        <f>IFERROR(__xludf.DUMMYFUNCTION("""COMPUTED_VALUE"""),"clean::up::temporary::files")</f>
        <v>clean::up::temporary::files</v>
      </c>
      <c r="L3" s="52" t="str">
        <f>IFERROR(__xludf.DUMMYFUNCTION("""COMPUTED_VALUE"""),"merge of pull request")</f>
        <v>merge of pull request</v>
      </c>
      <c r="M3" s="52" t="str">
        <f>IFERROR(__xludf.DUMMYFUNCTION("""COMPUTED_VALUE"""),"Corrective")</f>
        <v>Corrective</v>
      </c>
      <c r="N3" s="52" t="str">
        <f>IFERROR(__xludf.DUMMYFUNCTION("""COMPUTED_VALUE"""),"Covered (Parents)")</f>
        <v>Covered (Parents)</v>
      </c>
      <c r="O3" s="52" t="str">
        <f>IFERROR(__xludf.DUMMYFUNCTION("""COMPUTED_VALUE"""),"Gerrit (textual comments +inline comments + votes)")</f>
        <v>Gerrit (textual comments +inline comments + votes)</v>
      </c>
      <c r="P3" s="52" t="str">
        <f>IFERROR(__xludf.DUMMYFUNCTION("""COMPUTED_VALUE"""),"accepting::clarification::about::documentation")</f>
        <v>accepting::clarification::about::documentation</v>
      </c>
      <c r="Q3" s="52"/>
      <c r="R3" s="52" t="str">
        <f>IFERROR(__xludf.DUMMYFUNCTION("""COMPUTED_VALUE"""),"Direct::Commit")</f>
        <v>Direct::Commit</v>
      </c>
      <c r="S3" s="52"/>
      <c r="T3" s="52"/>
      <c r="U3" s="52"/>
      <c r="V3" s="52"/>
      <c r="W3" s="52"/>
      <c r="X3" s="52"/>
      <c r="Y3" s="52"/>
      <c r="Z3" s="52"/>
    </row>
    <row r="4">
      <c r="A4" s="52" t="str">
        <f>IFERROR(__xludf.DUMMYFUNCTION("""COMPUTED_VALUE"""),"agreeing::possible::solution")</f>
        <v>agreeing::possible::solution</v>
      </c>
      <c r="B4" s="52" t="str">
        <f>IFERROR(__xludf.DUMMYFUNCTION("""COMPUTED_VALUE"""),"GUI-related issue")</f>
        <v>GUI-related issue</v>
      </c>
      <c r="C4" s="52" t="str">
        <f>IFERROR(__xludf.DUMMYFUNCTION("""COMPUTED_VALUE"""),"blueprint, improvement")</f>
        <v>blueprint, improvement</v>
      </c>
      <c r="D4" s="52" t="str">
        <f>IFERROR(__xludf.DUMMYFUNCTION("""COMPUTED_VALUE"""),"agreement::oppinion::(task::is::out::of::the::ordinary)")</f>
        <v>agreement::oppinion::(task::is::out::of::the::ordinary)</v>
      </c>
      <c r="E4" s="52" t="str">
        <f>IFERROR(__xludf.DUMMYFUNCTION("""COMPUTED_VALUE"""),"ask::for::advice")</f>
        <v>ask::for::advice</v>
      </c>
      <c r="F4" s="52" t="str">
        <f>IFERROR(__xludf.DUMMYFUNCTION("""COMPUTED_VALUE"""),"agreeing::design::choice::(hybrid::compute::nodes)")</f>
        <v>agreeing::design::choice::(hybrid::compute::nodes)</v>
      </c>
      <c r="G4" s="52" t="str">
        <f>IFERROR(__xludf.DUMMYFUNCTION("""COMPUTED_VALUE"""),"blueprint -&gt; wiki")</f>
        <v>blueprint -&gt; wiki</v>
      </c>
      <c r="H4" s="52" t="str">
        <f>IFERROR(__xludf.DUMMYFUNCTION("""COMPUTED_VALUE"""),"code::example")</f>
        <v>code::example</v>
      </c>
      <c r="I4" s="52" t="str">
        <f>IFERROR(__xludf.DUMMYFUNCTION("""COMPUTED_VALUE"""),"carrotsearch")</f>
        <v>carrotsearch</v>
      </c>
      <c r="J4" s="52" t="str">
        <f>IFERROR(__xludf.DUMMYFUNCTION("""COMPUTED_VALUE"""),"remote::repositories::(e.g.,::pip::maven::central)")</f>
        <v>remote::repositories::(e.g.,::pip::maven::central)</v>
      </c>
      <c r="K4" s="52" t="str">
        <f>IFERROR(__xludf.DUMMYFUNCTION("""COMPUTED_VALUE"""),"customize::configuration::dependencies")</f>
        <v>customize::configuration::dependencies</v>
      </c>
      <c r="L4" s="52" t="str">
        <f>IFERROR(__xludf.DUMMYFUNCTION("""COMPUTED_VALUE"""),"merge of textual diff")</f>
        <v>merge of textual diff</v>
      </c>
      <c r="M4" s="52" t="str">
        <f>IFERROR(__xludf.DUMMYFUNCTION("""COMPUTED_VALUE"""),"Perfective")</f>
        <v>Perfective</v>
      </c>
      <c r="N4" s="52" t="str">
        <f>IFERROR(__xludf.DUMMYFUNCTION("""COMPUTED_VALUE"""),"Covered (Parents), Covered (Children)")</f>
        <v>Covered (Parents), Covered (Children)</v>
      </c>
      <c r="O4" s="52" t="str">
        <f>IFERROR(__xludf.DUMMYFUNCTION("""COMPUTED_VALUE"""),"GitHub Pull Request")</f>
        <v>GitHub Pull Request</v>
      </c>
      <c r="P4" s="52" t="str">
        <f>IFERROR(__xludf.DUMMYFUNCTION("""COMPUTED_VALUE"""),"accepting::suggestion::change::(exception::type)")</f>
        <v>accepting::suggestion::change::(exception::type)</v>
      </c>
      <c r="Q4" s="52"/>
      <c r="R4" s="52" t="str">
        <f>IFERROR(__xludf.DUMMYFUNCTION("""COMPUTED_VALUE"""),"Direct::Commit::(Multi::Review)")</f>
        <v>Direct::Commit::(Multi::Review)</v>
      </c>
      <c r="S4" s="52"/>
      <c r="T4" s="52"/>
      <c r="U4" s="52"/>
      <c r="V4" s="52"/>
      <c r="W4" s="52"/>
      <c r="X4" s="52"/>
      <c r="Y4" s="52"/>
      <c r="Z4" s="52"/>
    </row>
    <row r="5">
      <c r="A5" s="52" t="str">
        <f>IFERROR(__xludf.DUMMYFUNCTION("""COMPUTED_VALUE"""),"agreeing::possible::solution::(code::in::text)")</f>
        <v>agreeing::possible::solution::(code::in::text)</v>
      </c>
      <c r="B5" s="52" t="str">
        <f>IFERROR(__xludf.DUMMYFUNCTION("""COMPUTED_VALUE"""),"Network issue")</f>
        <v>Network issue</v>
      </c>
      <c r="C5" s="52" t="str">
        <f>IFERROR(__xludf.DUMMYFUNCTION("""COMPUTED_VALUE"""),"blueprint, refactoring")</f>
        <v>blueprint, refactoring</v>
      </c>
      <c r="D5" s="52" t="str">
        <f>IFERROR(__xludf.DUMMYFUNCTION("""COMPUTED_VALUE"""),"agreement::potential::bug")</f>
        <v>agreement::potential::bug</v>
      </c>
      <c r="E5" s="52" t="str">
        <f>IFERROR(__xludf.DUMMYFUNCTION("""COMPUTED_VALUE"""),"asking::clarifications::about::the::usage::of::a::specific::technology::to::resolve::bugs")</f>
        <v>asking::clarifications::about::the::usage::of::a::specific::technology::to::resolve::bugs</v>
      </c>
      <c r="F5" s="52" t="str">
        <f>IFERROR(__xludf.DUMMYFUNCTION("""COMPUTED_VALUE"""),"agreeing::in::implement::a::temporal::solution::that::will::be::later::improved")</f>
        <v>agreeing::in::implement::a::temporal::solution::that::will::be::later::improved</v>
      </c>
      <c r="G5" s="52" t="str">
        <f>IFERROR(__xludf.DUMMYFUNCTION("""COMPUTED_VALUE"""),"blueprint -&gt; wiki -&gt;meetings")</f>
        <v>blueprint -&gt; wiki -&gt;meetings</v>
      </c>
      <c r="H5" s="52" t="str">
        <f>IFERROR(__xludf.DUMMYFUNCTION("""COMPUTED_VALUE"""),"components::of::BP::description")</f>
        <v>components::of::BP::description</v>
      </c>
      <c r="I5" s="52" t="str">
        <f>IFERROR(__xludf.DUMMYFUNCTION("""COMPUTED_VALUE"""),"Citrix::XenServer::CI::(XenServer::CI)")</f>
        <v>Citrix::XenServer::CI::(XenServer::CI)</v>
      </c>
      <c r="J5" s="52"/>
      <c r="K5" s="52" t="str">
        <f>IFERROR(__xludf.DUMMYFUNCTION("""COMPUTED_VALUE"""),"execution::and::reporting::of::automated::system::tests")</f>
        <v>execution::and::reporting::of::automated::system::tests</v>
      </c>
      <c r="L5" s="52" t="str">
        <f>IFERROR(__xludf.DUMMYFUNCTION("""COMPUTED_VALUE"""),"other")</f>
        <v>other</v>
      </c>
      <c r="M5" s="52" t="str">
        <f>IFERROR(__xludf.DUMMYFUNCTION("""COMPUTED_VALUE"""),"Adaptive, Corrective")</f>
        <v>Adaptive, Corrective</v>
      </c>
      <c r="N5" s="52" t="str">
        <f>IFERROR(__xludf.DUMMYFUNCTION("""COMPUTED_VALUE"""),"Covered (Parents), None (Children)")</f>
        <v>Covered (Parents), None (Children)</v>
      </c>
      <c r="O5" s="52" t="str">
        <f>IFERROR(__xludf.DUMMYFUNCTION("""COMPUTED_VALUE"""),"NA")</f>
        <v>NA</v>
      </c>
      <c r="P5" s="52" t="str">
        <f>IFERROR(__xludf.DUMMYFUNCTION("""COMPUTED_VALUE"""),"accepting::suggestion::change::(logic)")</f>
        <v>accepting::suggestion::change::(logic)</v>
      </c>
      <c r="Q5" s="52"/>
      <c r="R5" s="52" t="str">
        <f>IFERROR(__xludf.DUMMYFUNCTION("""COMPUTED_VALUE"""),"Direct::Commit::(Review)")</f>
        <v>Direct::Commit::(Review)</v>
      </c>
      <c r="S5" s="52"/>
      <c r="T5" s="52"/>
      <c r="U5" s="52"/>
      <c r="V5" s="52"/>
      <c r="W5" s="52"/>
      <c r="X5" s="52"/>
      <c r="Y5" s="52"/>
      <c r="Z5" s="52"/>
    </row>
    <row r="6">
      <c r="A6" s="52" t="str">
        <f>IFERROR(__xludf.DUMMYFUNCTION("""COMPUTED_VALUE"""),"aknowledging::that:previous::fixes::helped::but::still:.a::bug")</f>
        <v>aknowledging::that:previous::fixes::helped::but::still:.a::bug</v>
      </c>
      <c r="B6" s="52" t="str">
        <f>IFERROR(__xludf.DUMMYFUNCTION("""COMPUTED_VALUE"""),"Performance issue")</f>
        <v>Performance issue</v>
      </c>
      <c r="C6" s="52" t="str">
        <f>IFERROR(__xludf.DUMMYFUNCTION("""COMPUTED_VALUE"""),"blueprint, refactoring, improvement")</f>
        <v>blueprint, refactoring, improvement</v>
      </c>
      <c r="D6" s="52" t="str">
        <f>IFERROR(__xludf.DUMMYFUNCTION("""COMPUTED_VALUE"""),"agreement::potential::bug::not::a::bug")</f>
        <v>agreement::potential::bug::not::a::bug</v>
      </c>
      <c r="E6" s="52" t="str">
        <f>IFERROR(__xludf.DUMMYFUNCTION("""COMPUTED_VALUE"""),"asking::for::clarification::about::bugs::(more::information::needed)")</f>
        <v>asking::for::clarification::about::bugs::(more::information::needed)</v>
      </c>
      <c r="F6" s="52" t="str">
        <f>IFERROR(__xludf.DUMMYFUNCTION("""COMPUTED_VALUE"""),"agreeing::not::delaying::the:.discussion::of::BP")</f>
        <v>agreeing::not::delaying::the:.discussion::of::BP</v>
      </c>
      <c r="G6" s="52" t="str">
        <f>IFERROR(__xludf.DUMMYFUNCTION("""COMPUTED_VALUE"""),"blueprint -&gt; wiki -&gt;release")</f>
        <v>blueprint -&gt; wiki -&gt;release</v>
      </c>
      <c r="H6" s="52" t="str">
        <f>IFERROR(__xludf.DUMMYFUNCTION("""COMPUTED_VALUE"""),"condittion::of::testing")</f>
        <v>condittion::of::testing</v>
      </c>
      <c r="I6" s="52" t="str">
        <f>IFERROR(__xludf.DUMMYFUNCTION("""COMPUTED_VALUE"""),"codehaus::jackson")</f>
        <v>codehaus::jackson</v>
      </c>
      <c r="J6" s="52"/>
      <c r="K6" s="52" t="str">
        <f>IFERROR(__xludf.DUMMYFUNCTION("""COMPUTED_VALUE"""),"execution::and::reporting::of::automated::system::tests::(elastic::recheck)")</f>
        <v>execution::and::reporting::of::automated::system::tests::(elastic::recheck)</v>
      </c>
      <c r="L6" s="52" t="str">
        <f>IFERROR(__xludf.DUMMYFUNCTION("""COMPUTED_VALUE"""),"merge review")</f>
        <v>merge review</v>
      </c>
      <c r="M6" s="52" t="str">
        <f>IFERROR(__xludf.DUMMYFUNCTION("""COMPUTED_VALUE"""),"Adaptive, Perfective")</f>
        <v>Adaptive, Perfective</v>
      </c>
      <c r="N6" s="52" t="str">
        <f>IFERROR(__xludf.DUMMYFUNCTION("""COMPUTED_VALUE"""),"Covered (Parents), Partial (Children)")</f>
        <v>Covered (Parents), Partial (Children)</v>
      </c>
      <c r="O6" s="52" t="str">
        <f>IFERROR(__xludf.DUMMYFUNCTION("""COMPUTED_VALUE"""),"Textual Comments")</f>
        <v>Textual Comments</v>
      </c>
      <c r="P6" s="52" t="str">
        <f>IFERROR(__xludf.DUMMYFUNCTION("""COMPUTED_VALUE"""),"accepting::suggestion::creating::followup::issue")</f>
        <v>accepting::suggestion::creating::followup::issue</v>
      </c>
      <c r="Q6" s="52"/>
      <c r="R6" s="52" t="str">
        <f>IFERROR(__xludf.DUMMYFUNCTION("""COMPUTED_VALUE"""),"Merge")</f>
        <v>Merge</v>
      </c>
      <c r="S6" s="52"/>
      <c r="T6" s="52"/>
      <c r="U6" s="52"/>
      <c r="V6" s="52"/>
      <c r="W6" s="52"/>
      <c r="X6" s="52"/>
      <c r="Y6" s="52"/>
      <c r="Z6" s="52"/>
    </row>
    <row r="7">
      <c r="A7" s="52" t="str">
        <f>IFERROR(__xludf.DUMMYFUNCTION("""COMPUTED_VALUE"""),"also::required::on::other::branch")</f>
        <v>also::required::on::other::branch</v>
      </c>
      <c r="B7" s="52" t="str">
        <f>IFERROR(__xludf.DUMMYFUNCTION("""COMPUTED_VALUE"""),"Permission/deprecation issue")</f>
        <v>Permission/deprecation issue</v>
      </c>
      <c r="C7" s="52" t="str">
        <f>IFERROR(__xludf.DUMMYFUNCTION("""COMPUTED_VALUE"""),"blueprint, umbrella")</f>
        <v>blueprint, umbrella</v>
      </c>
      <c r="D7" s="52" t="str">
        <f>IFERROR(__xludf.DUMMYFUNCTION("""COMPUTED_VALUE"""),"approval::BP/feature")</f>
        <v>approval::BP/feature</v>
      </c>
      <c r="E7" s="52" t="str">
        <f>IFERROR(__xludf.DUMMYFUNCTION("""COMPUTED_VALUE"""),"asking::for::clarification::of::a::poposed::solution::of::another::bug")</f>
        <v>asking::for::clarification::of::a::poposed::solution::of::another::bug</v>
      </c>
      <c r="F7" s="52" t="str">
        <f>IFERROR(__xludf.DUMMYFUNCTION("""COMPUTED_VALUE"""),"agreeing::on::clarification::on::discussing::solution::design")</f>
        <v>agreeing::on::clarification::on::discussing::solution::design</v>
      </c>
      <c r="G7" s="52" t="str">
        <f>IFERROR(__xludf.DUMMYFUNCTION("""COMPUTED_VALUE"""),"blueprint -&gt; word")</f>
        <v>blueprint -&gt; word</v>
      </c>
      <c r="H7" s="52" t="str">
        <f>IFERROR(__xludf.DUMMYFUNCTION("""COMPUTED_VALUE"""),"cons::of::alternative2::solution")</f>
        <v>cons::of::alternative2::solution</v>
      </c>
      <c r="I7" s="52" t="str">
        <f>IFERROR(__xludf.DUMMYFUNCTION("""COMPUTED_VALUE"""),"Database::CI::(Turbo::hispter)")</f>
        <v>Database::CI::(Turbo::hispter)</v>
      </c>
      <c r="J7" s="52"/>
      <c r="K7" s="52" t="str">
        <f>IFERROR(__xludf.DUMMYFUNCTION("""COMPUTED_VALUE"""),"execution::and::reporting::of::other::automated::tests")</f>
        <v>execution::and::reporting::of::other::automated::tests</v>
      </c>
      <c r="L7" s="52" t="str">
        <f>IFERROR(__xludf.DUMMYFUNCTION("""COMPUTED_VALUE"""),"merge (i.e., not any other of the previous types of merge, but is a merge)")</f>
        <v>merge (i.e., not any other of the previous types of merge, but is a merge)</v>
      </c>
      <c r="M7" s="52" t="str">
        <f>IFERROR(__xludf.DUMMYFUNCTION("""COMPUTED_VALUE"""),"Corrective, Perfective")</f>
        <v>Corrective, Perfective</v>
      </c>
      <c r="N7" s="52" t="str">
        <f>IFERROR(__xludf.DUMMYFUNCTION("""COMPUTED_VALUE"""),"NA")</f>
        <v>NA</v>
      </c>
      <c r="O7" s="52"/>
      <c r="P7" s="52" t="str">
        <f>IFERROR(__xludf.DUMMYFUNCTION("""COMPUTED_VALUE"""),"accepting::suggestion::refactoring::(style)")</f>
        <v>accepting::suggestion::refactoring::(style)</v>
      </c>
      <c r="Q7" s="52"/>
      <c r="R7" s="52" t="str">
        <f>IFERROR(__xludf.DUMMYFUNCTION("""COMPUTED_VALUE"""),"Merge::(Multi::Review)")</f>
        <v>Merge::(Multi::Review)</v>
      </c>
      <c r="S7" s="52"/>
      <c r="T7" s="52"/>
      <c r="U7" s="52"/>
      <c r="V7" s="52"/>
      <c r="W7" s="52"/>
      <c r="X7" s="52"/>
      <c r="Y7" s="52"/>
      <c r="Z7" s="52"/>
    </row>
    <row r="8">
      <c r="A8" s="52" t="str">
        <f>IFERROR(__xludf.DUMMYFUNCTION("""COMPUTED_VALUE"""),"also::required::on::other::branch::(link::review)")</f>
        <v>also::required::on::other::branch::(link::review)</v>
      </c>
      <c r="B8" s="52" t="str">
        <f>IFERROR(__xludf.DUMMYFUNCTION("""COMPUTED_VALUE"""),"Program anomaly issue")</f>
        <v>Program anomaly issue</v>
      </c>
      <c r="C8" s="52" t="str">
        <f>IFERROR(__xludf.DUMMYFUNCTION("""COMPUTED_VALUE"""),"bug")</f>
        <v>bug</v>
      </c>
      <c r="D8" s="52" t="str">
        <f>IFERROR(__xludf.DUMMYFUNCTION("""COMPUTED_VALUE"""),"approved::freeze::exception::(FFE)")</f>
        <v>approved::freeze::exception::(FFE)</v>
      </c>
      <c r="E8" s="52" t="str">
        <f>IFERROR(__xludf.DUMMYFUNCTION("""COMPUTED_VALUE"""),"asking::for::FFE")</f>
        <v>asking::for::FFE</v>
      </c>
      <c r="F8" s="52" t="str">
        <f>IFERROR(__xludf.DUMMYFUNCTION("""COMPUTED_VALUE"""),"agreeing::on::filed/registered::blue::print::to::track::progress")</f>
        <v>agreeing::on::filed/registered::blue::print::to::track::progress</v>
      </c>
      <c r="G8" s="52" t="str">
        <f>IFERROR(__xludf.DUMMYFUNCTION("""COMPUTED_VALUE"""),"similar--&gt; bug::to::the::studied:.bug")</f>
        <v>similar--&gt; bug::to::the::studied:.bug</v>
      </c>
      <c r="H8" s="52" t="str">
        <f>IFERROR(__xludf.DUMMYFUNCTION("""COMPUTED_VALUE"""),"cons::of::solution")</f>
        <v>cons::of::solution</v>
      </c>
      <c r="I8" s="52" t="str">
        <f>IFERROR(__xludf.DUMMYFUNCTION("""COMPUTED_VALUE"""),"db::datasets::ci")</f>
        <v>db::datasets::ci</v>
      </c>
      <c r="J8" s="52"/>
      <c r="K8" s="52" t="str">
        <f>IFERROR(__xludf.DUMMYFUNCTION("""COMPUTED_VALUE"""),"execution::automated::best::practice::enforcement::(forbiddenapis)")</f>
        <v>execution::automated::best::practice::enforcement::(forbiddenapis)</v>
      </c>
      <c r="L8" s="52" t="str">
        <f>IFERROR(__xludf.DUMMYFUNCTION("""COMPUTED_VALUE"""),"NA")</f>
        <v>NA</v>
      </c>
      <c r="M8" s="52" t="str">
        <f>IFERROR(__xludf.DUMMYFUNCTION("""COMPUTED_VALUE"""),"Adaptive, Corrective, Perfective")</f>
        <v>Adaptive, Corrective, Perfective</v>
      </c>
      <c r="N8" s="52" t="str">
        <f>IFERROR(__xludf.DUMMYFUNCTION("""COMPUTED_VALUE"""),"No (Children)")</f>
        <v>No (Children)</v>
      </c>
      <c r="O8" s="52"/>
      <c r="P8" s="52" t="str">
        <f>IFERROR(__xludf.DUMMYFUNCTION("""COMPUTED_VALUE"""),"accepting::suggestion::refactoring::(unnecesary::loop)")</f>
        <v>accepting::suggestion::refactoring::(unnecesary::loop)</v>
      </c>
      <c r="Q8" s="52"/>
      <c r="R8" s="52" t="str">
        <f>IFERROR(__xludf.DUMMYFUNCTION("""COMPUTED_VALUE"""),"Other")</f>
        <v>Other</v>
      </c>
      <c r="S8" s="52"/>
      <c r="T8" s="52"/>
      <c r="U8" s="52"/>
      <c r="V8" s="52"/>
      <c r="W8" s="52"/>
      <c r="X8" s="52"/>
      <c r="Y8" s="52"/>
      <c r="Z8" s="52"/>
    </row>
    <row r="9">
      <c r="A9" s="52" t="str">
        <f>IFERROR(__xludf.DUMMYFUNCTION("""COMPUTED_VALUE"""),"alternate::solution::to::fix")</f>
        <v>alternate::solution::to::fix</v>
      </c>
      <c r="B9" s="52" t="str">
        <f>IFERROR(__xludf.DUMMYFUNCTION("""COMPUTED_VALUE"""),"Security issue")</f>
        <v>Security issue</v>
      </c>
      <c r="C9" s="52" t="str">
        <f>IFERROR(__xludf.DUMMYFUNCTION("""COMPUTED_VALUE"""),"bug, missing feature")</f>
        <v>bug, missing feature</v>
      </c>
      <c r="D9" s="52" t="str">
        <f>IFERROR(__xludf.DUMMYFUNCTION("""COMPUTED_VALUE"""),"asking::about::availability::feature")</f>
        <v>asking::about::availability::feature</v>
      </c>
      <c r="E9" s="52" t="str">
        <f>IFERROR(__xludf.DUMMYFUNCTION("""COMPUTED_VALUE"""),"asking::for::help::testing::other::bugs")</f>
        <v>asking::for::help::testing::other::bugs</v>
      </c>
      <c r="F9" s="52" t="str">
        <f>IFERROR(__xludf.DUMMYFUNCTION("""COMPUTED_VALUE"""),"agreeing::on::requesting::a::meeeting::(IRC)")</f>
        <v>agreeing::on::requesting::a::meeeting::(IRC)</v>
      </c>
      <c r="G9" s="52"/>
      <c r="H9" s="52" t="str">
        <f>IFERROR(__xludf.DUMMYFUNCTION("""COMPUTED_VALUE"""),"definition::REST::API")</f>
        <v>definition::REST::API</v>
      </c>
      <c r="I9" s="52" t="str">
        <f>IFERROR(__xludf.DUMMYFUNCTION("""COMPUTED_VALUE"""),"Distutilsextra")</f>
        <v>Distutilsextra</v>
      </c>
      <c r="J9" s="52"/>
      <c r="K9" s="52" t="str">
        <f>IFERROR(__xludf.DUMMYFUNCTION("""COMPUTED_VALUE"""),"execution::automated::database::migrations")</f>
        <v>execution::automated::database::migrations</v>
      </c>
      <c r="L9" s="52"/>
      <c r="M9" s="52"/>
      <c r="N9" s="52" t="str">
        <f>IFERROR(__xludf.DUMMYFUNCTION("""COMPUTED_VALUE"""),"No (Parents), Covered (Children)")</f>
        <v>No (Parents), Covered (Children)</v>
      </c>
      <c r="O9" s="52"/>
      <c r="P9" s="52" t="str">
        <f>IFERROR(__xludf.DUMMYFUNCTION("""COMPUTED_VALUE"""),"agreeing::change::(architecture::tests)")</f>
        <v>agreeing::change::(architecture::tests)</v>
      </c>
      <c r="Q9" s="52"/>
      <c r="R9" s="52" t="str">
        <f>IFERROR(__xludf.DUMMYFUNCTION("""COMPUTED_VALUE"""),"Other::(Cherry::Pick)")</f>
        <v>Other::(Cherry::Pick)</v>
      </c>
      <c r="S9" s="52"/>
      <c r="T9" s="52"/>
      <c r="U9" s="52"/>
      <c r="V9" s="52"/>
      <c r="W9" s="52"/>
      <c r="X9" s="52"/>
      <c r="Y9" s="52"/>
      <c r="Z9" s="52"/>
    </row>
    <row r="10">
      <c r="A10" s="52" t="str">
        <f>IFERROR(__xludf.DUMMYFUNCTION("""COMPUTED_VALUE"""),"ask::for::testing::of::the::proposed::changed")</f>
        <v>ask::for::testing::of::the::proposed::changed</v>
      </c>
      <c r="B10" s="52" t="str">
        <f>IFERROR(__xludf.DUMMYFUNCTION("""COMPUTED_VALUE"""),"Test code-related issue")</f>
        <v>Test code-related issue</v>
      </c>
      <c r="C10" s="52" t="str">
        <f>IFERROR(__xludf.DUMMYFUNCTION("""COMPUTED_VALUE"""),"bug, security issue")</f>
        <v>bug, security issue</v>
      </c>
      <c r="D10" s="52" t="str">
        <f>IFERROR(__xludf.DUMMYFUNCTION("""COMPUTED_VALUE"""),"asking::about::development::process::(schedule/time)")</f>
        <v>asking::about::development::process::(schedule/time)</v>
      </c>
      <c r="E10" s="52" t="str">
        <f>IFERROR(__xludf.DUMMYFUNCTION("""COMPUTED_VALUE"""),"asking::for::the::status::of::a::CI::for::testing::libvirt")</f>
        <v>asking::for::the::status::of::a::CI::for::testing::libvirt</v>
      </c>
      <c r="F10" s="52" t="str">
        <f>IFERROR(__xludf.DUMMYFUNCTION("""COMPUTED_VALUE"""),"agreeing::plan::development::process::(future::enhancement)")</f>
        <v>agreeing::plan::development::process::(future::enhancement)</v>
      </c>
      <c r="G10" s="52"/>
      <c r="H10" s="52" t="str">
        <f>IFERROR(__xludf.DUMMYFUNCTION("""COMPUTED_VALUE"""),"dependencies")</f>
        <v>dependencies</v>
      </c>
      <c r="I10" s="52" t="str">
        <f>IFERROR(__xludf.DUMMYFUNCTION("""COMPUTED_VALUE"""),"Docker::CI")</f>
        <v>Docker::CI</v>
      </c>
      <c r="J10" s="52"/>
      <c r="K10" s="52" t="str">
        <f>IFERROR(__xludf.DUMMYFUNCTION("""COMPUTED_VALUE"""),"execution::automated::merge::test")</f>
        <v>execution::automated::merge::test</v>
      </c>
      <c r="L10" s="52"/>
      <c r="M10" s="52"/>
      <c r="N10" s="52" t="str">
        <f>IFERROR(__xludf.DUMMYFUNCTION("""COMPUTED_VALUE"""),"No (Parents), No (Children)")</f>
        <v>No (Parents), No (Children)</v>
      </c>
      <c r="O10" s="52"/>
      <c r="P10" s="52" t="str">
        <f>IFERROR(__xludf.DUMMYFUNCTION("""COMPUTED_VALUE"""),"agreeing::change::(input::parameter)")</f>
        <v>agreeing::change::(input::parameter)</v>
      </c>
      <c r="Q10" s="52"/>
      <c r="R10" s="52" t="str">
        <f>IFERROR(__xludf.DUMMYFUNCTION("""COMPUTED_VALUE"""),"Rebase")</f>
        <v>Rebase</v>
      </c>
      <c r="S10" s="52"/>
      <c r="T10" s="52"/>
      <c r="U10" s="52"/>
      <c r="V10" s="52"/>
      <c r="W10" s="52"/>
      <c r="X10" s="52"/>
      <c r="Y10" s="52"/>
      <c r="Z10" s="52"/>
    </row>
    <row r="11">
      <c r="A11" s="52" t="str">
        <f>IFERROR(__xludf.DUMMYFUNCTION("""COMPUTED_VALUE"""),"asking::clarification::about::details::on::the::involved::hardware")</f>
        <v>asking::clarification::about::details::on::the::involved::hardware</v>
      </c>
      <c r="B11" s="52" t="str">
        <f>IFERROR(__xludf.DUMMYFUNCTION("""COMPUTED_VALUE"""),"Configuration issue, Database-related issue")</f>
        <v>Configuration issue, Database-related issue</v>
      </c>
      <c r="C11" s="52" t="str">
        <f>IFERROR(__xludf.DUMMYFUNCTION("""COMPUTED_VALUE"""),"feature")</f>
        <v>feature</v>
      </c>
      <c r="D11" s="52" t="str">
        <f>IFERROR(__xludf.DUMMYFUNCTION("""COMPUTED_VALUE"""),"asking::about::development::process::(why::blocked)")</f>
        <v>asking::about::development::process::(why::blocked)</v>
      </c>
      <c r="E11" s="52" t="str">
        <f>IFERROR(__xludf.DUMMYFUNCTION("""COMPUTED_VALUE"""),"conerns::that::are::covered::by::the::bug")</f>
        <v>conerns::that::are::covered::by::the::bug</v>
      </c>
      <c r="F11" s="52" t="str">
        <f>IFERROR(__xludf.DUMMYFUNCTION("""COMPUTED_VALUE"""),"agreeing::solution::for::the::responsabilities::left::of::by::other::developers::(bug/BP/feature::related)")</f>
        <v>agreeing::solution::for::the::responsabilities::left::of::by::other::developers::(bug/BP/feature::related)</v>
      </c>
      <c r="G11" s="52"/>
      <c r="H11" s="52" t="str">
        <f>IFERROR(__xludf.DUMMYFUNCTION("""COMPUTED_VALUE"""),"dependencies::(none)")</f>
        <v>dependencies::(none)</v>
      </c>
      <c r="I11" s="52" t="str">
        <f>IFERROR(__xludf.DUMMYFUNCTION("""COMPUTED_VALUE"""),"Dream::Host::CI")</f>
        <v>Dream::Host::CI</v>
      </c>
      <c r="J11" s="52"/>
      <c r="K11" s="52" t="str">
        <f>IFERROR(__xludf.DUMMYFUNCTION("""COMPUTED_VALUE"""),"execution::automated::merge::test*")</f>
        <v>execution::automated::merge::test*</v>
      </c>
      <c r="L11" s="52"/>
      <c r="M11" s="52"/>
      <c r="N11" s="52" t="str">
        <f>IFERROR(__xludf.DUMMYFUNCTION("""COMPUTED_VALUE"""),"No (Parents), Partial (Children)")</f>
        <v>No (Parents), Partial (Children)</v>
      </c>
      <c r="O11" s="52"/>
      <c r="P11" s="52" t="str">
        <f>IFERROR(__xludf.DUMMYFUNCTION("""COMPUTED_VALUE"""),"agreeing::commenting::about::the::imposssibility::of::using::something::(decorators)")</f>
        <v>agreeing::commenting::about::the::imposssibility::of::using::something::(decorators)</v>
      </c>
      <c r="Q11" s="52"/>
      <c r="R11" s="52" t="str">
        <f>IFERROR(__xludf.DUMMYFUNCTION("""COMPUTED_VALUE"""),"Rebase::(Multi::Review)")</f>
        <v>Rebase::(Multi::Review)</v>
      </c>
      <c r="S11" s="52"/>
      <c r="T11" s="52"/>
      <c r="U11" s="52"/>
      <c r="V11" s="52"/>
      <c r="W11" s="52"/>
      <c r="X11" s="52"/>
      <c r="Y11" s="52"/>
      <c r="Z11" s="52"/>
    </row>
    <row r="12">
      <c r="A12" s="52" t="str">
        <f>IFERROR(__xludf.DUMMYFUNCTION("""COMPUTED_VALUE"""),"asking::clarification::about::the::development::process::(releasing::time)")</f>
        <v>asking::clarification::about::the::development::process::(releasing::time)</v>
      </c>
      <c r="B12" s="52" t="str">
        <f>IFERROR(__xludf.DUMMYFUNCTION("""COMPUTED_VALUE"""),"Configuration issue, GUI-related issue")</f>
        <v>Configuration issue, GUI-related issue</v>
      </c>
      <c r="C12" s="52" t="str">
        <f>IFERROR(__xludf.DUMMYFUNCTION("""COMPUTED_VALUE"""),"feature, improvement")</f>
        <v>feature, improvement</v>
      </c>
      <c r="D12" s="52" t="str">
        <f>IFERROR(__xludf.DUMMYFUNCTION("""COMPUTED_VALUE"""),"asking::about::development::progress")</f>
        <v>asking::about::development::progress</v>
      </c>
      <c r="E12" s="52" t="str">
        <f>IFERROR(__xludf.DUMMYFUNCTION("""COMPUTED_VALUE"""),"conerns::that::are::covered::not::covered::by::the::bug::and::request::new::filings::bugs")</f>
        <v>conerns::that::are::covered::not::covered::by::the::bug::and::request::new::filings::bugs</v>
      </c>
      <c r="F12" s="52" t="str">
        <f>IFERROR(__xludf.DUMMYFUNCTION("""COMPUTED_VALUE"""),"agreeing::to::do::a::FFE::for::the::BP")</f>
        <v>agreeing::to::do::a::FFE::for::the::BP</v>
      </c>
      <c r="G12" s="52"/>
      <c r="H12" s="52" t="str">
        <f>IFERROR(__xludf.DUMMYFUNCTION("""COMPUTED_VALUE"""),"documentation::(API)")</f>
        <v>documentation::(API)</v>
      </c>
      <c r="I12" s="52" t="str">
        <f>IFERROR(__xludf.DUMMYFUNCTION("""COMPUTED_VALUE"""),"Easy::install::(Setuptools)")</f>
        <v>Easy::install::(Setuptools)</v>
      </c>
      <c r="J12" s="52"/>
      <c r="K12" s="52" t="str">
        <f>IFERROR(__xludf.DUMMYFUNCTION("""COMPUTED_VALUE"""),"execution::automated::performance::tests::(jmeter)")</f>
        <v>execution::automated::performance::tests::(jmeter)</v>
      </c>
      <c r="L12" s="52"/>
      <c r="M12" s="52"/>
      <c r="N12" s="52" t="str">
        <f>IFERROR(__xludf.DUMMYFUNCTION("""COMPUTED_VALUE"""),"None (Children)")</f>
        <v>None (Children)</v>
      </c>
      <c r="O12" s="52"/>
      <c r="P12" s="52" t="str">
        <f>IFERROR(__xludf.DUMMYFUNCTION("""COMPUTED_VALUE"""),"agreeing::conflicts::with::existing::dependency::(another::project)::of::the::change::(egg::and::chicken)")</f>
        <v>agreeing::conflicts::with::existing::dependency::(another::project)::of::the::change::(egg::and::chicken)</v>
      </c>
      <c r="Q12" s="52"/>
      <c r="R12" s="52" t="str">
        <f>IFERROR(__xludf.DUMMYFUNCTION("""COMPUTED_VALUE"""),"Rebase::(Review)")</f>
        <v>Rebase::(Review)</v>
      </c>
      <c r="S12" s="52"/>
      <c r="T12" s="52"/>
      <c r="U12" s="52"/>
      <c r="V12" s="52"/>
      <c r="W12" s="52"/>
      <c r="X12" s="52"/>
      <c r="Y12" s="52"/>
      <c r="Z12" s="52"/>
    </row>
    <row r="13">
      <c r="A13" s="52" t="str">
        <f>IFERROR(__xludf.DUMMYFUNCTION("""COMPUTED_VALUE"""),"asking::for::clarification::(culprit::regression)")</f>
        <v>asking::for::clarification::(culprit::regression)</v>
      </c>
      <c r="B13" s="52" t="str">
        <f>IFERROR(__xludf.DUMMYFUNCTION("""COMPUTED_VALUE"""),"Configuration issue, Network issue")</f>
        <v>Configuration issue, Network issue</v>
      </c>
      <c r="C13" s="52" t="str">
        <f>IFERROR(__xludf.DUMMYFUNCTION("""COMPUTED_VALUE"""),"improvement")</f>
        <v>improvement</v>
      </c>
      <c r="D13" s="52" t="str">
        <f>IFERROR(__xludf.DUMMYFUNCTION("""COMPUTED_VALUE"""),"asking::about::release::timeline")</f>
        <v>asking::about::release::timeline</v>
      </c>
      <c r="E13" s="52" t="str">
        <f>IFERROR(__xludf.DUMMYFUNCTION("""COMPUTED_VALUE"""),"deprecate::usage::of::tool::in::case::no::CI::for::testing::is::found")</f>
        <v>deprecate::usage::of::tool::in::case::no::CI::for::testing::is::found</v>
      </c>
      <c r="F13" s="52" t="str">
        <f>IFERROR(__xludf.DUMMYFUNCTION("""COMPUTED_VALUE"""),"agreeing::to::reject::a::FFE::for::the::BP::that::includes::the::bug")</f>
        <v>agreeing::to::reject::a::FFE::for::the::BP::that::includes::the::bug</v>
      </c>
      <c r="G13" s="52"/>
      <c r="H13" s="52" t="str">
        <f>IFERROR(__xludf.DUMMYFUNCTION("""COMPUTED_VALUE"""),"documentation::(network)")</f>
        <v>documentation::(network)</v>
      </c>
      <c r="I13" s="52" t="str">
        <f>IFERROR(__xludf.DUMMYFUNCTION("""COMPUTED_VALUE"""),"eclipse::ide")</f>
        <v>eclipse::ide</v>
      </c>
      <c r="J13" s="52"/>
      <c r="K13" s="52" t="str">
        <f>IFERROR(__xludf.DUMMYFUNCTION("""COMPUTED_VALUE"""),"execution::automated::performance::tests::(jmeter/micro)")</f>
        <v>execution::automated::performance::tests::(jmeter/micro)</v>
      </c>
      <c r="L13" s="52"/>
      <c r="M13" s="52"/>
      <c r="N13" s="52" t="str">
        <f>IFERROR(__xludf.DUMMYFUNCTION("""COMPUTED_VALUE"""),"None (parents)")</f>
        <v>None (parents)</v>
      </c>
      <c r="O13" s="52"/>
      <c r="P13" s="52" t="str">
        <f>IFERROR(__xludf.DUMMYFUNCTION("""COMPUTED_VALUE"""),"agreeing::current::approach")</f>
        <v>agreeing::current::approach</v>
      </c>
      <c r="Q13" s="52"/>
      <c r="R13" s="52" t="str">
        <f>IFERROR(__xludf.DUMMYFUNCTION("""COMPUTED_VALUE"""),"Rebase::Ammend")</f>
        <v>Rebase::Ammend</v>
      </c>
      <c r="S13" s="52"/>
      <c r="T13" s="52"/>
      <c r="U13" s="52"/>
      <c r="V13" s="52"/>
      <c r="W13" s="52"/>
      <c r="X13" s="52"/>
      <c r="Y13" s="52"/>
      <c r="Z13" s="52"/>
    </row>
    <row r="14">
      <c r="A14" s="52" t="str">
        <f>IFERROR(__xludf.DUMMYFUNCTION("""COMPUTED_VALUE"""),"asking::for::clarification::about::possible::fix")</f>
        <v>asking::for::clarification::about::possible::fix</v>
      </c>
      <c r="B14" s="52" t="str">
        <f>IFERROR(__xludf.DUMMYFUNCTION("""COMPUTED_VALUE"""),"Configuration issue, Performance issue")</f>
        <v>Configuration issue, Performance issue</v>
      </c>
      <c r="C14" s="52" t="str">
        <f>IFERROR(__xludf.DUMMYFUNCTION("""COMPUTED_VALUE"""),"improvement, bug")</f>
        <v>improvement, bug</v>
      </c>
      <c r="D14" s="52" t="str">
        <f>IFERROR(__xludf.DUMMYFUNCTION("""COMPUTED_VALUE"""),"asking::clarification::about::Qualitty::attributes::(consistency)")</f>
        <v>asking::clarification::about::Qualitty::attributes::(consistency)</v>
      </c>
      <c r="E14" s="52" t="str">
        <f>IFERROR(__xludf.DUMMYFUNCTION("""COMPUTED_VALUE"""),"describe::bug::that::is::fixed")</f>
        <v>describe::bug::that::is::fixed</v>
      </c>
      <c r="F14" s="52" t="str">
        <f>IFERROR(__xludf.DUMMYFUNCTION("""COMPUTED_VALUE"""),"agreeing::with::the::solution::proposed::for::bug::due::to::new::functionality::that::was::enabled::thanks::to::the::BP")</f>
        <v>agreeing::with::the::solution::proposed::for::bug::due::to::new::functionality::that::was::enabled::thanks::to::the::BP</v>
      </c>
      <c r="G14" s="52"/>
      <c r="H14" s="52" t="str">
        <f>IFERROR(__xludf.DUMMYFUNCTION("""COMPUTED_VALUE"""),"documentation::(unexposed::API)")</f>
        <v>documentation::(unexposed::API)</v>
      </c>
      <c r="I14" s="52" t="str">
        <f>IFERROR(__xludf.DUMMYFUNCTION("""COMPUTED_VALUE"""),"elastic::recheck")</f>
        <v>elastic::recheck</v>
      </c>
      <c r="J14" s="52"/>
      <c r="K14" s="52" t="str">
        <f>IFERROR(__xludf.DUMMYFUNCTION("""COMPUTED_VALUE"""),"execution::automated::randomized::tests")</f>
        <v>execution::automated::randomized::tests</v>
      </c>
      <c r="L14" s="52"/>
      <c r="M14" s="52"/>
      <c r="N14" s="52" t="str">
        <f>IFERROR(__xludf.DUMMYFUNCTION("""COMPUTED_VALUE"""),"None (Parents), Covered (Children)")</f>
        <v>None (Parents), Covered (Children)</v>
      </c>
      <c r="O14" s="52"/>
      <c r="P14" s="52" t="str">
        <f>IFERROR(__xludf.DUMMYFUNCTION("""COMPUTED_VALUE"""),"agreeing::suggestion::change::(backwards::compatebility)")</f>
        <v>agreeing::suggestion::change::(backwards::compatebility)</v>
      </c>
      <c r="Q14" s="52"/>
      <c r="R14" s="52"/>
      <c r="S14" s="52"/>
      <c r="T14" s="52"/>
      <c r="U14" s="52"/>
      <c r="V14" s="52"/>
      <c r="W14" s="52"/>
      <c r="X14" s="52"/>
      <c r="Y14" s="52"/>
      <c r="Z14" s="52"/>
    </row>
    <row r="15">
      <c r="A15" s="52" t="str">
        <f>IFERROR(__xludf.DUMMYFUNCTION("""COMPUTED_VALUE"""),"asking::for::clarification::about::the::reason::of::regression::bug")</f>
        <v>asking::for::clarification::about::the::reason::of::regression::bug</v>
      </c>
      <c r="B15" s="52" t="str">
        <f>IFERROR(__xludf.DUMMYFUNCTION("""COMPUTED_VALUE"""),"Configuration issue, Permission/deprecation issue")</f>
        <v>Configuration issue, Permission/deprecation issue</v>
      </c>
      <c r="C15" s="52" t="str">
        <f>IFERROR(__xludf.DUMMYFUNCTION("""COMPUTED_VALUE"""),"not coded")</f>
        <v>not coded</v>
      </c>
      <c r="D15" s="52" t="str">
        <f>IFERROR(__xludf.DUMMYFUNCTION("""COMPUTED_VALUE"""),"asking::for::assistance::(confirming::bug)")</f>
        <v>asking::for::assistance::(confirming::bug)</v>
      </c>
      <c r="E15" s="52" t="str">
        <f>IFERROR(__xludf.DUMMYFUNCTION("""COMPUTED_VALUE"""),"discussing::backwards::compatebility::(dependency)")</f>
        <v>discussing::backwards::compatebility::(dependency)</v>
      </c>
      <c r="F15" s="52" t="str">
        <f>IFERROR(__xludf.DUMMYFUNCTION("""COMPUTED_VALUE"""),"aknowledgeing::that:.adressing:feedback::needed:.to::FFE")</f>
        <v>aknowledgeing::that:.adressing:feedback::needed:.to::FFE</v>
      </c>
      <c r="G15" s="52"/>
      <c r="H15" s="52" t="str">
        <f>IFERROR(__xludf.DUMMYFUNCTION("""COMPUTED_VALUE"""),"documentation::(usage)")</f>
        <v>documentation::(usage)</v>
      </c>
      <c r="I15" s="52" t="str">
        <f>IFERROR(__xludf.DUMMYFUNCTION("""COMPUTED_VALUE"""),"findbugs-maven-plugin")</f>
        <v>findbugs-maven-plugin</v>
      </c>
      <c r="J15" s="52"/>
      <c r="K15" s="52" t="str">
        <f>IFERROR(__xludf.DUMMYFUNCTION("""COMPUTED_VALUE"""),"execution::automated::randomized::tests::(carrotsearch)")</f>
        <v>execution::automated::randomized::tests::(carrotsearch)</v>
      </c>
      <c r="L15" s="52"/>
      <c r="M15" s="52"/>
      <c r="N15" s="52" t="str">
        <f>IFERROR(__xludf.DUMMYFUNCTION("""COMPUTED_VALUE"""),"None (Parents), None (Children)")</f>
        <v>None (Parents), None (Children)</v>
      </c>
      <c r="O15" s="52"/>
      <c r="P15" s="52" t="str">
        <f>IFERROR(__xludf.DUMMYFUNCTION("""COMPUTED_VALUE"""),"agreeing::suggestion::change::(input::parameter)")</f>
        <v>agreeing::suggestion::change::(input::parameter)</v>
      </c>
      <c r="Q15" s="52"/>
      <c r="R15" s="52"/>
      <c r="S15" s="52"/>
      <c r="T15" s="52"/>
      <c r="U15" s="52"/>
      <c r="V15" s="52"/>
      <c r="W15" s="52"/>
      <c r="X15" s="52"/>
      <c r="Y15" s="52"/>
      <c r="Z15" s="52"/>
    </row>
    <row r="16">
      <c r="A16" s="52" t="str">
        <f>IFERROR(__xludf.DUMMYFUNCTION("""COMPUTED_VALUE"""),"asking::for::clarification::about::when::the::bug::is::present")</f>
        <v>asking::for::clarification::about::when::the::bug::is::present</v>
      </c>
      <c r="B16" s="52" t="str">
        <f>IFERROR(__xludf.DUMMYFUNCTION("""COMPUTED_VALUE"""),"Configuration issue, Program anomaly issue")</f>
        <v>Configuration issue, Program anomaly issue</v>
      </c>
      <c r="C16" s="52" t="str">
        <f>IFERROR(__xludf.DUMMYFUNCTION("""COMPUTED_VALUE"""),"refactoring, improvement")</f>
        <v>refactoring, improvement</v>
      </c>
      <c r="D16" s="52" t="str">
        <f>IFERROR(__xludf.DUMMYFUNCTION("""COMPUTED_VALUE"""),"asking::for::assistance::(fix)")</f>
        <v>asking::for::assistance::(fix)</v>
      </c>
      <c r="E16" s="52" t="str">
        <f>IFERROR(__xludf.DUMMYFUNCTION("""COMPUTED_VALUE"""),"filing::new::tickets::if::required::not::bug::related")</f>
        <v>filing::new::tickets::if::required::not::bug::related</v>
      </c>
      <c r="F16" s="52" t="str">
        <f>IFERROR(__xludf.DUMMYFUNCTION("""COMPUTED_VALUE"""),"alternative::solution::to::encountered::errors::while::implementing::feature/BP")</f>
        <v>alternative::solution::to::encountered::errors::while::implementing::feature/BP</v>
      </c>
      <c r="G16" s="52"/>
      <c r="H16" s="52" t="str">
        <f>IFERROR(__xludf.DUMMYFUNCTION("""COMPUTED_VALUE"""),"external::references")</f>
        <v>external::references</v>
      </c>
      <c r="I16" s="52" t="str">
        <f>IFERROR(__xludf.DUMMYFUNCTION("""COMPUTED_VALUE"""),"flake8")</f>
        <v>flake8</v>
      </c>
      <c r="J16" s="52"/>
      <c r="K16" s="52" t="str">
        <f>IFERROR(__xludf.DUMMYFUNCTION("""COMPUTED_VALUE"""),"execution::automated::smoke::tests")</f>
        <v>execution::automated::smoke::tests</v>
      </c>
      <c r="L16" s="52"/>
      <c r="M16" s="52"/>
      <c r="N16" s="52" t="str">
        <f>IFERROR(__xludf.DUMMYFUNCTION("""COMPUTED_VALUE"""),"None (Parents), Partial (Children)")</f>
        <v>None (Parents), Partial (Children)</v>
      </c>
      <c r="O16" s="52"/>
      <c r="P16" s="52" t="str">
        <f>IFERROR(__xludf.DUMMYFUNCTION("""COMPUTED_VALUE"""),"agreeing::suggestion::change::(logging::message::clearness)")</f>
        <v>agreeing::suggestion::change::(logging::message::clearness)</v>
      </c>
      <c r="Q16" s="52"/>
      <c r="R16" s="52"/>
      <c r="S16" s="52"/>
      <c r="T16" s="52"/>
      <c r="U16" s="52"/>
      <c r="V16" s="52"/>
      <c r="W16" s="52"/>
      <c r="X16" s="52"/>
      <c r="Y16" s="52"/>
      <c r="Z16" s="52"/>
    </row>
    <row r="17">
      <c r="A17" s="52" t="str">
        <f>IFERROR(__xludf.DUMMYFUNCTION("""COMPUTED_VALUE"""),"asking::for::clarification::expected::behaviour")</f>
        <v>asking::for::clarification::expected::behaviour</v>
      </c>
      <c r="B17" s="52" t="str">
        <f>IFERROR(__xludf.DUMMYFUNCTION("""COMPUTED_VALUE"""),"Configuration issue, Security issue")</f>
        <v>Configuration issue, Security issue</v>
      </c>
      <c r="C17" s="52"/>
      <c r="D17" s="52" t="str">
        <f>IFERROR(__xludf.DUMMYFUNCTION("""COMPUTED_VALUE"""),"asking::for::assistance::(fix)::different::project")</f>
        <v>asking::for::assistance::(fix)::different::project</v>
      </c>
      <c r="E17" s="52" t="str">
        <f>IFERROR(__xludf.DUMMYFUNCTION("""COMPUTED_VALUE"""),"How::to::fix::the::bug")</f>
        <v>How::to::fix::the::bug</v>
      </c>
      <c r="F17" s="52" t="str">
        <f>IFERROR(__xludf.DUMMYFUNCTION("""COMPUTED_VALUE"""),"ansswering::advice::how::discussing::topic::online")</f>
        <v>ansswering::advice::how::discussing::topic::online</v>
      </c>
      <c r="G17" s="52"/>
      <c r="H17" s="52" t="str">
        <f>IFERROR(__xludf.DUMMYFUNCTION("""COMPUTED_VALUE"""),"external::references::(another::blueprint)")</f>
        <v>external::references::(another::blueprint)</v>
      </c>
      <c r="I17" s="52" t="str">
        <f>IFERROR(__xludf.DUMMYFUNCTION("""COMPUTED_VALUE"""),"flake8::hacking")</f>
        <v>flake8::hacking</v>
      </c>
      <c r="J17" s="52"/>
      <c r="K17" s="52" t="str">
        <f>IFERROR(__xludf.DUMMYFUNCTION("""COMPUTED_VALUE"""),"execution::automated::test::config::generation")</f>
        <v>execution::automated::test::config::generation</v>
      </c>
      <c r="L17" s="52"/>
      <c r="M17" s="52"/>
      <c r="N17" s="52" t="str">
        <f>IFERROR(__xludf.DUMMYFUNCTION("""COMPUTED_VALUE"""),"Not Available")</f>
        <v>Not Available</v>
      </c>
      <c r="O17" s="52"/>
      <c r="P17" s="52" t="str">
        <f>IFERROR(__xludf.DUMMYFUNCTION("""COMPUTED_VALUE"""),"agreeing::suggestion::refactoring::(comparison::operators)")</f>
        <v>agreeing::suggestion::refactoring::(comparison::operators)</v>
      </c>
      <c r="Q17" s="52"/>
      <c r="R17" s="52"/>
      <c r="S17" s="52"/>
      <c r="T17" s="52"/>
      <c r="U17" s="52"/>
      <c r="V17" s="52"/>
      <c r="W17" s="52"/>
      <c r="X17" s="52"/>
      <c r="Y17" s="52"/>
      <c r="Z17" s="52"/>
    </row>
    <row r="18">
      <c r="A18" s="52" t="str">
        <f>IFERROR(__xludf.DUMMYFUNCTION("""COMPUTED_VALUE"""),"asking::for::clarification::status::release")</f>
        <v>asking::for::clarification::status::release</v>
      </c>
      <c r="B18" s="52" t="str">
        <f>IFERROR(__xludf.DUMMYFUNCTION("""COMPUTED_VALUE"""),"Configuration issue, Test code-related issue")</f>
        <v>Configuration issue, Test code-related issue</v>
      </c>
      <c r="C18" s="52"/>
      <c r="D18" s="52" t="str">
        <f>IFERROR(__xludf.DUMMYFUNCTION("""COMPUTED_VALUE"""),"asking::for::assistance::(status::bug)")</f>
        <v>asking::for::assistance::(status::bug)</v>
      </c>
      <c r="E18" s="52" t="str">
        <f>IFERROR(__xludf.DUMMYFUNCTION("""COMPUTED_VALUE"""),"importance::bug")</f>
        <v>importance::bug</v>
      </c>
      <c r="F18" s="52" t="str">
        <f>IFERROR(__xludf.DUMMYFUNCTION("""COMPUTED_VALUE"""),"answering::about::one::design::choice::of::implementation::(hybrid::compute::nodes)::(decision::depends:.on::developers::team::not::constraint::to::technology)")</f>
        <v>answering::about::one::design::choice::of::implementation::(hybrid::compute::nodes)::(decision::depends:.on::developers::team::not::constraint::to::technology)</v>
      </c>
      <c r="G18" s="52"/>
      <c r="H18" s="52" t="str">
        <f>IFERROR(__xludf.DUMMYFUNCTION("""COMPUTED_VALUE"""),"external::references::(blueprint)")</f>
        <v>external::references::(blueprint)</v>
      </c>
      <c r="I18" s="52" t="str">
        <f>IFERROR(__xludf.DUMMYFUNCTION("""COMPUTED_VALUE"""),"forbiddenapis")</f>
        <v>forbiddenapis</v>
      </c>
      <c r="J18" s="52"/>
      <c r="K18" s="52" t="str">
        <f>IFERROR(__xludf.DUMMYFUNCTION("""COMPUTED_VALUE"""),"execution::automated::testenv::setup::(devstack)")</f>
        <v>execution::automated::testenv::setup::(devstack)</v>
      </c>
      <c r="L18" s="52"/>
      <c r="M18" s="52"/>
      <c r="N18" s="52" t="str">
        <f>IFERROR(__xludf.DUMMYFUNCTION("""COMPUTED_VALUE"""),"Partial (Children)")</f>
        <v>Partial (Children)</v>
      </c>
      <c r="O18" s="52"/>
      <c r="P18" s="52" t="str">
        <f>IFERROR(__xludf.DUMMYFUNCTION("""COMPUTED_VALUE"""),"agreeing::suggestion::refactoring::code::(different::approach::change::config::file)")</f>
        <v>agreeing::suggestion::refactoring::code::(different::approach::change::config::file)</v>
      </c>
      <c r="Q18" s="52"/>
      <c r="R18" s="52"/>
      <c r="S18" s="52"/>
      <c r="T18" s="52"/>
      <c r="U18" s="52"/>
      <c r="V18" s="52"/>
      <c r="W18" s="52"/>
      <c r="X18" s="52"/>
      <c r="Y18" s="52"/>
      <c r="Z18" s="52"/>
    </row>
    <row r="19">
      <c r="A19" s="52" t="str">
        <f>IFERROR(__xludf.DUMMYFUNCTION("""COMPUTED_VALUE"""),"asking::for::examples::when::bug::is::present")</f>
        <v>asking::for::examples::when::bug::is::present</v>
      </c>
      <c r="B19" s="52" t="str">
        <f>IFERROR(__xludf.DUMMYFUNCTION("""COMPUTED_VALUE"""),"Database-related issue, GUI-related issue")</f>
        <v>Database-related issue, GUI-related issue</v>
      </c>
      <c r="C19" s="52"/>
      <c r="D19" s="52" t="str">
        <f>IFERROR(__xludf.DUMMYFUNCTION("""COMPUTED_VALUE"""),"asking::for::clarification::(purpose::BP)")</f>
        <v>asking::for::clarification::(purpose::BP)</v>
      </c>
      <c r="E19" s="52" t="str">
        <f>IFERROR(__xludf.DUMMYFUNCTION("""COMPUTED_VALUE"""),"information::provided::by::documentation::project::on::how::to::handle::tests")</f>
        <v>information::provided::by::documentation::project::on::how::to::handle::tests</v>
      </c>
      <c r="F19" s="52" t="str">
        <f>IFERROR(__xludf.DUMMYFUNCTION("""COMPUTED_VALUE"""),"answering::about::selecting::between::design::options::of::implementation(hybrid::compute::nodes)::(implement::both)")</f>
        <v>answering::about::selecting::between::design::options::of::implementation(hybrid::compute::nodes)::(implement::both)</v>
      </c>
      <c r="G19" s="52"/>
      <c r="H19" s="52" t="str">
        <f>IFERROR(__xludf.DUMMYFUNCTION("""COMPUTED_VALUE"""),"external::references::(etherpad)")</f>
        <v>external::references::(etherpad)</v>
      </c>
      <c r="I19" s="52" t="str">
        <f>IFERROR(__xludf.DUMMYFUNCTION("""COMPUTED_VALUE"""),"genconfig")</f>
        <v>genconfig</v>
      </c>
      <c r="J19" s="52"/>
      <c r="K19" s="52" t="str">
        <f>IFERROR(__xludf.DUMMYFUNCTION("""COMPUTED_VALUE"""),"execution::automated::testenv::setup::(grenade)")</f>
        <v>execution::automated::testenv::setup::(grenade)</v>
      </c>
      <c r="L19" s="52"/>
      <c r="M19" s="52"/>
      <c r="N19" s="52" t="str">
        <f>IFERROR(__xludf.DUMMYFUNCTION("""COMPUTED_VALUE"""),"Partial (Parents)")</f>
        <v>Partial (Parents)</v>
      </c>
      <c r="O19" s="52"/>
      <c r="P19" s="52" t="str">
        <f>IFERROR(__xludf.DUMMYFUNCTION("""COMPUTED_VALUE"""),"agreeing::suggestion::style::change::(commit::message::clearness)")</f>
        <v>agreeing::suggestion::style::change::(commit::message::clearness)</v>
      </c>
      <c r="Q19" s="52"/>
      <c r="R19" s="52"/>
      <c r="S19" s="52"/>
      <c r="T19" s="52"/>
      <c r="U19" s="52"/>
      <c r="V19" s="52"/>
      <c r="W19" s="52"/>
      <c r="X19" s="52"/>
      <c r="Y19" s="52"/>
      <c r="Z19" s="52"/>
    </row>
    <row r="20">
      <c r="A20" s="52" t="str">
        <f>IFERROR(__xludf.DUMMYFUNCTION("""COMPUTED_VALUE"""),"asking::for::explanation::for::observed::behaviour")</f>
        <v>asking::for::explanation::for::observed::behaviour</v>
      </c>
      <c r="B20" s="52" t="str">
        <f>IFERROR(__xludf.DUMMYFUNCTION("""COMPUTED_VALUE"""),"Database-related issue, Network issue")</f>
        <v>Database-related issue, Network issue</v>
      </c>
      <c r="C20" s="52"/>
      <c r="D20" s="52" t="str">
        <f>IFERROR(__xludf.DUMMYFUNCTION("""COMPUTED_VALUE"""),"asking::for::clarification::about::current::implementation")</f>
        <v>asking::for::clarification::about::current::implementation</v>
      </c>
      <c r="E20" s="52" t="str">
        <f>IFERROR(__xludf.DUMMYFUNCTION("""COMPUTED_VALUE"""),"informing::frustration::(failing::tests)")</f>
        <v>informing::frustration::(failing::tests)</v>
      </c>
      <c r="F20" s="52" t="str">
        <f>IFERROR(__xludf.DUMMYFUNCTION("""COMPUTED_VALUE"""),"answering::advice::how::discussing::topic::online")</f>
        <v>answering::advice::how::discussing::topic::online</v>
      </c>
      <c r="G20" s="52"/>
      <c r="H20" s="52" t="str">
        <f>IFERROR(__xludf.DUMMYFUNCTION("""COMPUTED_VALUE"""),"external::references::(Mailing::list)")</f>
        <v>external::references::(Mailing::list)</v>
      </c>
      <c r="I20" s="52" t="str">
        <f>IFERROR(__xludf.DUMMYFUNCTION("""COMPUTED_VALUE"""),"gerrit")</f>
        <v>gerrit</v>
      </c>
      <c r="J20" s="52"/>
      <c r="K20" s="52" t="str">
        <f>IFERROR(__xludf.DUMMYFUNCTION("""COMPUTED_VALUE"""),"execution::automated::unit::and::integration::tests")</f>
        <v>execution::automated::unit::and::integration::tests</v>
      </c>
      <c r="L20" s="52"/>
      <c r="M20" s="52"/>
      <c r="N20" s="52" t="str">
        <f>IFERROR(__xludf.DUMMYFUNCTION("""COMPUTED_VALUE"""),"Partial (Parents), Covered (Children)")</f>
        <v>Partial (Parents), Covered (Children)</v>
      </c>
      <c r="O20" s="52"/>
      <c r="P20" s="52" t="str">
        <f>IFERROR(__xludf.DUMMYFUNCTION("""COMPUTED_VALUE"""),"agreeing::wait::for::submitting::until::new::features::use::the::change")</f>
        <v>agreeing::wait::for::submitting::until::new::features::use::the::change</v>
      </c>
      <c r="Q20" s="52"/>
      <c r="R20" s="52"/>
      <c r="S20" s="52"/>
      <c r="T20" s="52"/>
      <c r="U20" s="52"/>
      <c r="V20" s="52"/>
      <c r="W20" s="52"/>
      <c r="X20" s="52"/>
      <c r="Y20" s="52"/>
      <c r="Z20" s="52"/>
    </row>
    <row r="21">
      <c r="A21" s="52" t="str">
        <f>IFERROR(__xludf.DUMMYFUNCTION("""COMPUTED_VALUE"""),"asking::for::replicating::the::bug")</f>
        <v>asking::for::replicating::the::bug</v>
      </c>
      <c r="B21" s="52" t="str">
        <f>IFERROR(__xludf.DUMMYFUNCTION("""COMPUTED_VALUE"""),"Database-related issue, Performance issue")</f>
        <v>Database-related issue, Performance issue</v>
      </c>
      <c r="C21" s="52"/>
      <c r="D21" s="52" t="str">
        <f>IFERROR(__xludf.DUMMYFUNCTION("""COMPUTED_VALUE"""),"asking::for::clarification::current::implementtaion")</f>
        <v>asking::for::clarification::current::implementtaion</v>
      </c>
      <c r="E21" s="52" t="str">
        <f>IFERROR(__xludf.DUMMYFUNCTION("""COMPUTED_VALUE"""),"informing::progress")</f>
        <v>informing::progress</v>
      </c>
      <c r="F21" s="52" t="str">
        <f>IFERROR(__xludf.DUMMYFUNCTION("""COMPUTED_VALUE"""),"answering::asking::for::an::existing::Bug/BP::to:.work::on::(possible::BP)")</f>
        <v>answering::asking::for::an::existing::Bug/BP::to:.work::on::(possible::BP)</v>
      </c>
      <c r="G21" s="52"/>
      <c r="H21" s="52" t="str">
        <f>IFERROR(__xludf.DUMMYFUNCTION("""COMPUTED_VALUE"""),"external::references::(other::github::project)")</f>
        <v>external::references::(other::github::project)</v>
      </c>
      <c r="I21" s="52" t="str">
        <f>IFERROR(__xludf.DUMMYFUNCTION("""COMPUTED_VALUE"""),"git::review::(previous::to::pre::hooks)")</f>
        <v>git::review::(previous::to::pre::hooks)</v>
      </c>
      <c r="J21" s="52"/>
      <c r="K21" s="52" t="str">
        <f>IFERROR(__xludf.DUMMYFUNCTION("""COMPUTED_VALUE"""),"execution::automated::unit::and::integration::tests::(junit)")</f>
        <v>execution::automated::unit::and::integration::tests::(junit)</v>
      </c>
      <c r="L21" s="52"/>
      <c r="M21" s="52"/>
      <c r="N21" s="52" t="str">
        <f>IFERROR(__xludf.DUMMYFUNCTION("""COMPUTED_VALUE"""),"Partial (Parents), No (Children)")</f>
        <v>Partial (Parents), No (Children)</v>
      </c>
      <c r="O21" s="52"/>
      <c r="P21" s="52" t="str">
        <f>IFERROR(__xludf.DUMMYFUNCTION("""COMPUTED_VALUE"""),"agreement::objecting::suggestion::change::(logic)")</f>
        <v>agreement::objecting::suggestion::change::(logic)</v>
      </c>
      <c r="Q21" s="52"/>
      <c r="R21" s="52"/>
      <c r="S21" s="52"/>
      <c r="T21" s="52"/>
      <c r="U21" s="52"/>
      <c r="V21" s="52"/>
      <c r="W21" s="52"/>
      <c r="X21" s="52"/>
      <c r="Y21" s="52"/>
      <c r="Z21" s="52"/>
    </row>
    <row r="22">
      <c r="A22" s="52" t="str">
        <f>IFERROR(__xludf.DUMMYFUNCTION("""COMPUTED_VALUE"""),"asking::for::status::of::issue")</f>
        <v>asking::for::status::of::issue</v>
      </c>
      <c r="B22" s="52" t="str">
        <f>IFERROR(__xludf.DUMMYFUNCTION("""COMPUTED_VALUE"""),"Database-related issue, Permission/deprecation issue")</f>
        <v>Database-related issue, Permission/deprecation issue</v>
      </c>
      <c r="C22" s="52"/>
      <c r="D22" s="52" t="str">
        <f>IFERROR(__xludf.DUMMYFUNCTION("""COMPUTED_VALUE"""),"asking::for::clarification::documentation")</f>
        <v>asking::for::clarification::documentation</v>
      </c>
      <c r="E22" s="52" t="str">
        <f>IFERROR(__xludf.DUMMYFUNCTION("""COMPUTED_VALUE"""),"informing::will::add::new::issues")</f>
        <v>informing::will::add::new::issues</v>
      </c>
      <c r="F22" s="52" t="str">
        <f>IFERROR(__xludf.DUMMYFUNCTION("""COMPUTED_VALUE"""),"answering::asking::for::an::existing::Bug/BP::to:.work::on::(possible::bug)")</f>
        <v>answering::asking::for::an::existing::Bug/BP::to:.work::on::(possible::bug)</v>
      </c>
      <c r="G22" s="52"/>
      <c r="H22" s="52" t="str">
        <f>IFERROR(__xludf.DUMMYFUNCTION("""COMPUTED_VALUE"""),"external::references::(review)")</f>
        <v>external::references::(review)</v>
      </c>
      <c r="I22" s="52" t="str">
        <f>IFERROR(__xludf.DUMMYFUNCTION("""COMPUTED_VALUE"""),"google::findbugs")</f>
        <v>google::findbugs</v>
      </c>
      <c r="J22" s="52"/>
      <c r="K22" s="52" t="str">
        <f>IFERROR(__xludf.DUMMYFUNCTION("""COMPUTED_VALUE"""),"execution::automated::unit::and::integration::tests::(microsoft::vmware::ibm)")</f>
        <v>execution::automated::unit::and::integration::tests::(microsoft::vmware::ibm)</v>
      </c>
      <c r="L22" s="52"/>
      <c r="M22" s="52"/>
      <c r="N22" s="52" t="str">
        <f>IFERROR(__xludf.DUMMYFUNCTION("""COMPUTED_VALUE"""),"Partial (Parents), None (Children)")</f>
        <v>Partial (Parents), None (Children)</v>
      </c>
      <c r="O22" s="52"/>
      <c r="P22" s="52" t="str">
        <f>IFERROR(__xludf.DUMMYFUNCTION("""COMPUTED_VALUE"""),"agreement::objecting::suggestion::refactoring::(out::of::scope)")</f>
        <v>agreement::objecting::suggestion::refactoring::(out::of::scope)</v>
      </c>
      <c r="Q22" s="52"/>
      <c r="R22" s="52"/>
      <c r="S22" s="52"/>
      <c r="T22" s="52"/>
      <c r="U22" s="52"/>
      <c r="V22" s="52"/>
      <c r="W22" s="52"/>
      <c r="X22" s="52"/>
      <c r="Y22" s="52"/>
      <c r="Z22" s="52"/>
    </row>
    <row r="23">
      <c r="A23" s="52" t="str">
        <f>IFERROR(__xludf.DUMMYFUNCTION("""COMPUTED_VALUE"""),"asking::for::steps::to::replicate::the::bug")</f>
        <v>asking::for::steps::to::replicate::the::bug</v>
      </c>
      <c r="B23" s="52" t="str">
        <f>IFERROR(__xludf.DUMMYFUNCTION("""COMPUTED_VALUE"""),"Database-related issue, Program anomaly issue")</f>
        <v>Database-related issue, Program anomaly issue</v>
      </c>
      <c r="C23" s="52"/>
      <c r="D23" s="52" t="str">
        <f>IFERROR(__xludf.DUMMYFUNCTION("""COMPUTED_VALUE"""),"asking::for::clarification::documentation::(issue)")</f>
        <v>asking::for::clarification::documentation::(issue)</v>
      </c>
      <c r="E23" s="52" t="str">
        <f>IFERROR(__xludf.DUMMYFUNCTION("""COMPUTED_VALUE"""),"main::responsible::for::te::bug::not available")</f>
        <v>main::responsible::for::te::bug::not available</v>
      </c>
      <c r="F23" s="52" t="str">
        <f>IFERROR(__xludf.DUMMYFUNCTION("""COMPUTED_VALUE"""),"answering::asking::for::an::existing::Bug/BP::to:.work::on::(possible::specification)")</f>
        <v>answering::asking::for::an::existing::Bug/BP::to:.work::on::(possible::specification)</v>
      </c>
      <c r="G23" s="52"/>
      <c r="H23" s="52" t="str">
        <f>IFERROR(__xludf.DUMMYFUNCTION("""COMPUTED_VALUE"""),"external::references::(summit)")</f>
        <v>external::references::(summit)</v>
      </c>
      <c r="I23" s="52" t="str">
        <f>IFERROR(__xludf.DUMMYFUNCTION("""COMPUTED_VALUE"""),"gradle")</f>
        <v>gradle</v>
      </c>
      <c r="J23" s="52"/>
      <c r="K23" s="52" t="str">
        <f>IFERROR(__xludf.DUMMYFUNCTION("""COMPUTED_VALUE"""),"execution::automated::unit::and::integration::tests::(nova::tox::functional)")</f>
        <v>execution::automated::unit::and::integration::tests::(nova::tox::functional)</v>
      </c>
      <c r="L23" s="52"/>
      <c r="M23" s="52"/>
      <c r="N23" s="52" t="str">
        <f>IFERROR(__xludf.DUMMYFUNCTION("""COMPUTED_VALUE"""),"Partial (Parents), Partial (Children)")</f>
        <v>Partial (Parents), Partial (Children)</v>
      </c>
      <c r="O23" s="52"/>
      <c r="P23" s="52" t="str">
        <f>IFERROR(__xludf.DUMMYFUNCTION("""COMPUTED_VALUE"""),"agreement::objecting::suggestion::refactoring::(style)")</f>
        <v>agreement::objecting::suggestion::refactoring::(style)</v>
      </c>
      <c r="Q23" s="52"/>
      <c r="R23" s="52"/>
      <c r="S23" s="52"/>
      <c r="T23" s="52"/>
      <c r="U23" s="52"/>
      <c r="V23" s="52"/>
      <c r="W23" s="52"/>
      <c r="X23" s="52"/>
      <c r="Y23" s="52"/>
      <c r="Z23" s="52"/>
    </row>
    <row r="24">
      <c r="A24" s="52" t="str">
        <f>IFERROR(__xludf.DUMMYFUNCTION("""COMPUTED_VALUE"""),"asking::to::verify::bug::not::present::(specific::version)")</f>
        <v>asking::to::verify::bug::not::present::(specific::version)</v>
      </c>
      <c r="B24" s="52" t="str">
        <f>IFERROR(__xludf.DUMMYFUNCTION("""COMPUTED_VALUE"""),"Database-related issue, Security issue")</f>
        <v>Database-related issue, Security issue</v>
      </c>
      <c r="C24" s="52"/>
      <c r="D24" s="52" t="str">
        <f>IFERROR(__xludf.DUMMYFUNCTION("""COMPUTED_VALUE"""),"asking::for::clarification::documentation::(where)")</f>
        <v>asking::for::clarification::documentation::(where)</v>
      </c>
      <c r="E24" s="52" t="str">
        <f>IFERROR(__xludf.DUMMYFUNCTION("""COMPUTED_VALUE"""),"mentioning::a::released::patch::about::another::bugs")</f>
        <v>mentioning::a::released::patch::about::another::bugs</v>
      </c>
      <c r="F24" s="52" t="str">
        <f>IFERROR(__xludf.DUMMYFUNCTION("""COMPUTED_VALUE"""),"answering::asking::for::creation::(specification::new::API)")</f>
        <v>answering::asking::for::creation::(specification::new::API)</v>
      </c>
      <c r="G24" s="52"/>
      <c r="H24" s="52" t="str">
        <f>IFERROR(__xludf.DUMMYFUNCTION("""COMPUTED_VALUE"""),"external::references::(user::guides)")</f>
        <v>external::references::(user::guides)</v>
      </c>
      <c r="I24" s="52" t="str">
        <f>IFERROR(__xludf.DUMMYFUNCTION("""COMPUTED_VALUE"""),"gradle::wrapper")</f>
        <v>gradle::wrapper</v>
      </c>
      <c r="J24" s="52"/>
      <c r="K24" s="52" t="str">
        <f>IFERROR(__xludf.DUMMYFUNCTION("""COMPUTED_VALUE"""),"execution::automated::unit::and::integration::tests::(tempest)")</f>
        <v>execution::automated::unit::and::integration::tests::(tempest)</v>
      </c>
      <c r="L24" s="52"/>
      <c r="M24" s="52"/>
      <c r="N24" s="52"/>
      <c r="O24" s="52"/>
      <c r="P24" s="52" t="str">
        <f>IFERROR(__xludf.DUMMYFUNCTION("""COMPUTED_VALUE"""),"agreement::objecting::suggestion::refactoring::(unnecesary::code)")</f>
        <v>agreement::objecting::suggestion::refactoring::(unnecesary::code)</v>
      </c>
      <c r="Q24" s="52"/>
      <c r="R24" s="52"/>
      <c r="S24" s="52"/>
      <c r="T24" s="52"/>
      <c r="U24" s="52"/>
      <c r="V24" s="52"/>
      <c r="W24" s="52"/>
      <c r="X24" s="52"/>
      <c r="Y24" s="52"/>
      <c r="Z24" s="52"/>
    </row>
    <row r="25">
      <c r="A25" s="52" t="str">
        <f>IFERROR(__xludf.DUMMYFUNCTION("""COMPUTED_VALUE"""),"asking::version::of::elasticsearch:::in::which::the::bug::was::found")</f>
        <v>asking::version::of::elasticsearch:::in::which::the::bug::was::found</v>
      </c>
      <c r="B25" s="52" t="str">
        <f>IFERROR(__xludf.DUMMYFUNCTION("""COMPUTED_VALUE"""),"Database-related issue, Test code-related issue")</f>
        <v>Database-related issue, Test code-related issue</v>
      </c>
      <c r="C25" s="52"/>
      <c r="D25" s="52" t="str">
        <f>IFERROR(__xludf.DUMMYFUNCTION("""COMPUTED_VALUE"""),"asking::for::clarification::expected::behaviour")</f>
        <v>asking::for::clarification::expected::behaviour</v>
      </c>
      <c r="E25" s="52" t="str">
        <f>IFERROR(__xludf.DUMMYFUNCTION("""COMPUTED_VALUE"""),"mentioning::bugs::addressed")</f>
        <v>mentioning::bugs::addressed</v>
      </c>
      <c r="F25" s="52" t="str">
        <f>IFERROR(__xludf.DUMMYFUNCTION("""COMPUTED_VALUE"""),"answering::asking::for:.an::existing::Bug/BP::to:.work::on::(tag::related::on::bug::platform)")</f>
        <v>answering::asking::for:.an::existing::Bug/BP::to:.work::on::(tag::related::on::bug::platform)</v>
      </c>
      <c r="G25" s="52"/>
      <c r="H25" s="52" t="str">
        <f>IFERROR(__xludf.DUMMYFUNCTION("""COMPUTED_VALUE"""),"false::postive::(not::clear::relation::with::Introducing::issue)")</f>
        <v>false::postive::(not::clear::relation::with::Introducing::issue)</v>
      </c>
      <c r="I25" s="52" t="str">
        <f>IFERROR(__xludf.DUMMYFUNCTION("""COMPUTED_VALUE"""),"Grenade")</f>
        <v>Grenade</v>
      </c>
      <c r="J25" s="52"/>
      <c r="K25" s="52" t="str">
        <f>IFERROR(__xludf.DUMMYFUNCTION("""COMPUTED_VALUE"""),"execution::automated::unit::and::integration::tests::(testng)")</f>
        <v>execution::automated::unit::and::integration::tests::(testng)</v>
      </c>
      <c r="L25" s="52"/>
      <c r="M25" s="52"/>
      <c r="N25" s="52"/>
      <c r="O25" s="52"/>
      <c r="P25" s="52" t="str">
        <f>IFERROR(__xludf.DUMMYFUNCTION("""COMPUTED_VALUE"""),"agreement::split::patches")</f>
        <v>agreement::split::patches</v>
      </c>
      <c r="Q25" s="52"/>
      <c r="R25" s="52"/>
      <c r="S25" s="52"/>
      <c r="T25" s="52"/>
      <c r="U25" s="52"/>
      <c r="V25" s="52"/>
      <c r="W25" s="52"/>
      <c r="X25" s="52"/>
      <c r="Y25" s="52"/>
      <c r="Z25" s="52"/>
    </row>
    <row r="26">
      <c r="A26" s="52" t="str">
        <f>IFERROR(__xludf.DUMMYFUNCTION("""COMPUTED_VALUE"""),"asking::version::of::nova:::in::which::the::bug::was::found")</f>
        <v>asking::version::of::nova:::in::which::the::bug::was::found</v>
      </c>
      <c r="B26" s="52" t="str">
        <f>IFERROR(__xludf.DUMMYFUNCTION("""COMPUTED_VALUE"""),"GUI-related issue, Network issue")</f>
        <v>GUI-related issue, Network issue</v>
      </c>
      <c r="C26" s="52"/>
      <c r="D26" s="52" t="str">
        <f>IFERROR(__xludf.DUMMYFUNCTION("""COMPUTED_VALUE"""),"asking::for::clarification::intended::solution::design")</f>
        <v>asking::for::clarification::intended::solution::design</v>
      </c>
      <c r="E26" s="52" t="str">
        <f>IFERROR(__xludf.DUMMYFUNCTION("""COMPUTED_VALUE"""),"mentioning::bugs::fixed::(partially)")</f>
        <v>mentioning::bugs::fixed::(partially)</v>
      </c>
      <c r="F26" s="52" t="str">
        <f>IFERROR(__xludf.DUMMYFUNCTION("""COMPUTED_VALUE"""),"answering::clarifications::about::development::process::(testing)")</f>
        <v>answering::clarifications::about::development::process::(testing)</v>
      </c>
      <c r="G26" s="52"/>
      <c r="H26" s="52" t="str">
        <f>IFERROR(__xludf.DUMMYFUNCTION("""COMPUTED_VALUE"""),"feature::description")</f>
        <v>feature::description</v>
      </c>
      <c r="I26" s="52" t="str">
        <f>IFERROR(__xludf.DUMMYFUNCTION("""COMPUTED_VALUE"""),"Hacking::(Flake8)")</f>
        <v>Hacking::(Flake8)</v>
      </c>
      <c r="J26" s="52"/>
      <c r="K26" s="52" t="str">
        <f>IFERROR(__xludf.DUMMYFUNCTION("""COMPUTED_VALUE"""),"generation::of::source::code::documentation")</f>
        <v>generation::of::source::code::documentation</v>
      </c>
      <c r="L26" s="52"/>
      <c r="M26" s="52"/>
      <c r="N26" s="52"/>
      <c r="O26" s="52"/>
      <c r="P26" s="52" t="str">
        <f>IFERROR(__xludf.DUMMYFUNCTION("""COMPUTED_VALUE"""),"agreement::suggestion::change")</f>
        <v>agreement::suggestion::change</v>
      </c>
      <c r="Q26" s="52"/>
      <c r="R26" s="52"/>
      <c r="S26" s="52"/>
      <c r="T26" s="52"/>
      <c r="U26" s="52"/>
      <c r="V26" s="52"/>
      <c r="W26" s="52"/>
      <c r="X26" s="52"/>
      <c r="Y26" s="52"/>
      <c r="Z26" s="52"/>
    </row>
    <row r="27">
      <c r="A27" s="52" t="str">
        <f>IFERROR(__xludf.DUMMYFUNCTION("""COMPUTED_VALUE"""),"assesment::effort")</f>
        <v>assesment::effort</v>
      </c>
      <c r="B27" s="52" t="str">
        <f>IFERROR(__xludf.DUMMYFUNCTION("""COMPUTED_VALUE"""),"GUI-related issue, Performance issue")</f>
        <v>GUI-related issue, Performance issue</v>
      </c>
      <c r="C27" s="52"/>
      <c r="D27" s="52" t="str">
        <f>IFERROR(__xludf.DUMMYFUNCTION("""COMPUTED_VALUE"""),"asking::for::clarification::intended::solution::design::(backwards::compatebility)")</f>
        <v>asking::for::clarification::intended::solution::design::(backwards::compatebility)</v>
      </c>
      <c r="E27" s="52" t="str">
        <f>IFERROR(__xludf.DUMMYFUNCTION("""COMPUTED_VALUE"""),"mentioning::bugs::found")</f>
        <v>mentioning::bugs::found</v>
      </c>
      <c r="F27" s="52" t="str">
        <f>IFERROR(__xludf.DUMMYFUNCTION("""COMPUTED_VALUE"""),"answering::question::about::details::in::implementation")</f>
        <v>answering::question::about::details::in::implementation</v>
      </c>
      <c r="G27" s="52"/>
      <c r="H27" s="52" t="str">
        <f>IFERROR(__xludf.DUMMYFUNCTION("""COMPUTED_VALUE"""),"fix::merged::(link::review::commit)")</f>
        <v>fix::merged::(link::review::commit)</v>
      </c>
      <c r="I27" s="52" t="str">
        <f>IFERROR(__xludf.DUMMYFUNCTION("""COMPUTED_VALUE"""),"hamcrest")</f>
        <v>hamcrest</v>
      </c>
      <c r="J27" s="52"/>
      <c r="K27" s="52" t="str">
        <f>IFERROR(__xludf.DUMMYFUNCTION("""COMPUTED_VALUE"""),"measurement::and::reporting::of::code::coverage")</f>
        <v>measurement::and::reporting::of::code::coverage</v>
      </c>
      <c r="L27" s="52"/>
      <c r="M27" s="52"/>
      <c r="N27" s="52"/>
      <c r="O27" s="52"/>
      <c r="P27" s="52" t="str">
        <f>IFERROR(__xludf.DUMMYFUNCTION("""COMPUTED_VALUE"""),"agreement::suggestion::change::(add::functionallity)")</f>
        <v>agreement::suggestion::change::(add::functionallity)</v>
      </c>
      <c r="Q27" s="52"/>
      <c r="R27" s="52"/>
      <c r="S27" s="52"/>
      <c r="T27" s="52"/>
      <c r="U27" s="52"/>
      <c r="V27" s="52"/>
      <c r="W27" s="52"/>
      <c r="X27" s="52"/>
      <c r="Y27" s="52"/>
      <c r="Z27" s="52"/>
    </row>
    <row r="28">
      <c r="A28" s="52" t="str">
        <f>IFERROR(__xludf.DUMMYFUNCTION("""COMPUTED_VALUE"""),"assesment::effort::(non::trivial)")</f>
        <v>assesment::effort::(non::trivial)</v>
      </c>
      <c r="B28" s="52" t="str">
        <f>IFERROR(__xludf.DUMMYFUNCTION("""COMPUTED_VALUE"""),"GUI-related issue, Permission/deprecation issue")</f>
        <v>GUI-related issue, Permission/deprecation issue</v>
      </c>
      <c r="C28" s="52"/>
      <c r="D28" s="52" t="str">
        <f>IFERROR(__xludf.DUMMYFUNCTION("""COMPUTED_VALUE"""),"asking::for::clarification::missing::documentation")</f>
        <v>asking::for::clarification::missing::documentation</v>
      </c>
      <c r="E28" s="52" t="str">
        <f>IFERROR(__xludf.DUMMYFUNCTION("""COMPUTED_VALUE"""),"mentioning::technology::not::documented")</f>
        <v>mentioning::technology::not::documented</v>
      </c>
      <c r="F28" s="52" t="str">
        <f>IFERROR(__xludf.DUMMYFUNCTION("""COMPUTED_VALUE"""),"approval::FFE")</f>
        <v>approval::FFE</v>
      </c>
      <c r="G28" s="52"/>
      <c r="H28" s="52" t="str">
        <f>IFERROR(__xludf.DUMMYFUNCTION("""COMPUTED_VALUE"""),"fix::merged::(link::review::commit)::not::main::branch")</f>
        <v>fix::merged::(link::review::commit)::not::main::branch</v>
      </c>
      <c r="I28" s="52" t="str">
        <f>IFERROR(__xludf.DUMMYFUNCTION("""COMPUTED_VALUE"""),"Hyper")</f>
        <v>Hyper</v>
      </c>
      <c r="J28" s="52"/>
      <c r="K28" s="52" t="str">
        <f>IFERROR(__xludf.DUMMYFUNCTION("""COMPUTED_VALUE"""),"NA")</f>
        <v>NA</v>
      </c>
      <c r="L28" s="52"/>
      <c r="M28" s="52"/>
      <c r="N28" s="52"/>
      <c r="O28" s="52"/>
      <c r="P28" s="52" t="str">
        <f>IFERROR(__xludf.DUMMYFUNCTION("""COMPUTED_VALUE"""),"agreement::suggestion::change::(design)")</f>
        <v>agreement::suggestion::change::(design)</v>
      </c>
      <c r="Q28" s="52"/>
      <c r="R28" s="52"/>
      <c r="S28" s="52"/>
      <c r="T28" s="52"/>
      <c r="U28" s="52"/>
      <c r="V28" s="52"/>
      <c r="W28" s="52"/>
      <c r="X28" s="52"/>
      <c r="Y28" s="52"/>
      <c r="Z28" s="52"/>
    </row>
    <row r="29">
      <c r="A29" s="52" t="str">
        <f>IFERROR(__xludf.DUMMYFUNCTION("""COMPUTED_VALUE"""),"assignation::of::the::bug")</f>
        <v>assignation::of::the::bug</v>
      </c>
      <c r="B29" s="52" t="str">
        <f>IFERROR(__xludf.DUMMYFUNCTION("""COMPUTED_VALUE"""),"GUI-related issue, Program anomaly issue")</f>
        <v>GUI-related issue, Program anomaly issue</v>
      </c>
      <c r="C29" s="52"/>
      <c r="D29" s="52" t="str">
        <f>IFERROR(__xludf.DUMMYFUNCTION("""COMPUTED_VALUE"""),"asking::for::clarification::proposal::change::solution::design::(minor)1")</f>
        <v>asking::for::clarification::proposal::change::solution::design::(minor)1</v>
      </c>
      <c r="E29" s="52" t="str">
        <f>IFERROR(__xludf.DUMMYFUNCTION("""COMPUTED_VALUE"""),"minor::changes")</f>
        <v>minor::changes</v>
      </c>
      <c r="F29" s="52" t="str">
        <f>IFERROR(__xludf.DUMMYFUNCTION("""COMPUTED_VALUE"""),"approving::the::idea-of::working::in::the::creation::prroposed::BP/feature::to::adress::identified::bug")</f>
        <v>approving::the::idea-of::working::in::the::creation::prroposed::BP/feature::to::adress::identified::bug</v>
      </c>
      <c r="G29" s="52"/>
      <c r="H29" s="52" t="str">
        <f>IFERROR(__xludf.DUMMYFUNCTION("""COMPUTED_VALUE"""),"history::of::bp")</f>
        <v>history::of::bp</v>
      </c>
      <c r="I29" s="52" t="str">
        <f>IFERROR(__xludf.DUMMYFUNCTION("""COMPUTED_VALUE"""),"IBM::PowerKVM::CI")</f>
        <v>IBM::PowerKVM::CI</v>
      </c>
      <c r="J29" s="52"/>
      <c r="K29" s="52" t="str">
        <f>IFERROR(__xludf.DUMMYFUNCTION("""COMPUTED_VALUE"""),"testing::in::different::python::versions")</f>
        <v>testing::in::different::python::versions</v>
      </c>
      <c r="L29" s="52"/>
      <c r="M29" s="52"/>
      <c r="N29" s="52"/>
      <c r="O29" s="52"/>
      <c r="P29" s="52" t="str">
        <f>IFERROR(__xludf.DUMMYFUNCTION("""COMPUTED_VALUE"""),"agreement::suggestion::change::(logging)")</f>
        <v>agreement::suggestion::change::(logging)</v>
      </c>
      <c r="Q29" s="52"/>
      <c r="R29" s="52"/>
      <c r="S29" s="52"/>
      <c r="T29" s="52"/>
      <c r="U29" s="52"/>
      <c r="V29" s="52"/>
      <c r="W29" s="52"/>
      <c r="X29" s="52"/>
      <c r="Y29" s="52"/>
      <c r="Z29" s="52"/>
    </row>
    <row r="30">
      <c r="A30" s="52" t="str">
        <f>IFERROR(__xludf.DUMMYFUNCTION("""COMPUTED_VALUE"""),"bug::due::to::bad::testing")</f>
        <v>bug::due::to::bad::testing</v>
      </c>
      <c r="B30" s="52" t="str">
        <f>IFERROR(__xludf.DUMMYFUNCTION("""COMPUTED_VALUE"""),"GUI-related issue, Security issue")</f>
        <v>GUI-related issue, Security issue</v>
      </c>
      <c r="C30" s="52"/>
      <c r="D30" s="52" t="str">
        <f>IFERROR(__xludf.DUMMYFUNCTION("""COMPUTED_VALUE"""),"asking::for::clarification::proposal::change::solution::design::(minor)2")</f>
        <v>asking::for::clarification::proposal::change::solution::design::(minor)2</v>
      </c>
      <c r="E30" s="52" t="str">
        <f>IFERROR(__xludf.DUMMYFUNCTION("""COMPUTED_VALUE"""),"not::having::a::CI::for::testing::some::components::of::the::proposed::solution::of::the::bug")</f>
        <v>not::having::a::CI::for::testing::some::components::of::the::proposed::solution::of::the::bug</v>
      </c>
      <c r="F30" s="52" t="str">
        <f>IFERROR(__xludf.DUMMYFUNCTION("""COMPUTED_VALUE"""),"asking::about::one::design::choice::of::implementation::(hybrid::compute::nodes)")</f>
        <v>asking::about::one::design::choice::of::implementation::(hybrid::compute::nodes)</v>
      </c>
      <c r="G30" s="52"/>
      <c r="H30" s="52" t="str">
        <f>IFERROR(__xludf.DUMMYFUNCTION("""COMPUTED_VALUE"""),"impact::(documentation::-&gt;::none)")</f>
        <v>impact::(documentation::-&gt;::none)</v>
      </c>
      <c r="I30" s="52" t="str">
        <f>IFERROR(__xludf.DUMMYFUNCTION("""COMPUTED_VALUE"""),"Intel PCI CI")</f>
        <v>Intel PCI CI</v>
      </c>
      <c r="J30" s="52"/>
      <c r="K30" s="52" t="str">
        <f>IFERROR(__xludf.DUMMYFUNCTION("""COMPUTED_VALUE"""),"testing::in::different::VM::(types)::versions")</f>
        <v>testing::in::different::VM::(types)::versions</v>
      </c>
      <c r="L30" s="52"/>
      <c r="M30" s="52"/>
      <c r="N30" s="52"/>
      <c r="O30" s="52"/>
      <c r="P30" s="52" t="str">
        <f>IFERROR(__xludf.DUMMYFUNCTION("""COMPUTED_VALUE"""),"agreement::suggestion::change::(logic)")</f>
        <v>agreement::suggestion::change::(logic)</v>
      </c>
      <c r="Q30" s="52"/>
      <c r="R30" s="52"/>
      <c r="S30" s="52"/>
      <c r="T30" s="52"/>
      <c r="U30" s="52"/>
      <c r="V30" s="52"/>
      <c r="W30" s="52"/>
      <c r="X30" s="52"/>
      <c r="Y30" s="52"/>
      <c r="Z30" s="52"/>
    </row>
    <row r="31">
      <c r="A31" s="52" t="str">
        <f>IFERROR(__xludf.DUMMYFUNCTION("""COMPUTED_VALUE"""),"bug::in::unused::feature")</f>
        <v>bug::in::unused::feature</v>
      </c>
      <c r="B31" s="52" t="str">
        <f>IFERROR(__xludf.DUMMYFUNCTION("""COMPUTED_VALUE"""),"GUI-related issue, Test code-related issue")</f>
        <v>GUI-related issue, Test code-related issue</v>
      </c>
      <c r="C31" s="52"/>
      <c r="D31" s="52" t="str">
        <f>IFERROR(__xludf.DUMMYFUNCTION("""COMPUTED_VALUE"""),"asking::for::clarification::regarding::implementation::details")</f>
        <v>asking::for::clarification::regarding::implementation::details</v>
      </c>
      <c r="E31" s="52" t="str">
        <f>IFERROR(__xludf.DUMMYFUNCTION("""COMPUTED_VALUE"""),"not::knowing::how::to::fix::bug")</f>
        <v>not::knowing::how::to::fix::bug</v>
      </c>
      <c r="F31" s="52" t="str">
        <f>IFERROR(__xludf.DUMMYFUNCTION("""COMPUTED_VALUE"""),"asking::about::selecting::between::design::options::of::implementation(hybrid::compute::nodes)")</f>
        <v>asking::about::selecting::between::design::options::of::implementation(hybrid::compute::nodes)</v>
      </c>
      <c r="G31" s="52"/>
      <c r="H31" s="52" t="str">
        <f>IFERROR(__xludf.DUMMYFUNCTION("""COMPUTED_VALUE"""),"impact::(documentation)")</f>
        <v>impact::(documentation)</v>
      </c>
      <c r="I31" s="52" t="str">
        <f>IFERROR(__xludf.DUMMYFUNCTION("""COMPUTED_VALUE"""),"Intel::PCI::CI")</f>
        <v>Intel::PCI::CI</v>
      </c>
      <c r="J31" s="52"/>
      <c r="K31" s="52" t="str">
        <f>IFERROR(__xludf.DUMMYFUNCTION("""COMPUTED_VALUE"""),"usage::automated::dependency::resolution")</f>
        <v>usage::automated::dependency::resolution</v>
      </c>
      <c r="L31" s="52"/>
      <c r="M31" s="52"/>
      <c r="N31" s="52"/>
      <c r="O31" s="52"/>
      <c r="P31" s="52" t="str">
        <f>IFERROR(__xludf.DUMMYFUNCTION("""COMPUTED_VALUE"""),"agreement::suggestion::change::(types)")</f>
        <v>agreement::suggestion::change::(types)</v>
      </c>
      <c r="Q31" s="52"/>
      <c r="R31" s="52"/>
      <c r="S31" s="52"/>
      <c r="T31" s="52"/>
      <c r="U31" s="52"/>
      <c r="V31" s="52"/>
      <c r="W31" s="52"/>
      <c r="X31" s="52"/>
      <c r="Y31" s="52"/>
      <c r="Z31" s="52"/>
    </row>
    <row r="32">
      <c r="A32" s="52" t="str">
        <f>IFERROR(__xludf.DUMMYFUNCTION("""COMPUTED_VALUE"""),"bugs::related::affected::by::similar::errors")</f>
        <v>bugs::related::affected::by::similar::errors</v>
      </c>
      <c r="B32" s="52" t="str">
        <f>IFERROR(__xludf.DUMMYFUNCTION("""COMPUTED_VALUE"""),"Network issue, Performance issue")</f>
        <v>Network issue, Performance issue</v>
      </c>
      <c r="C32" s="52"/>
      <c r="D32" s="52" t="str">
        <f>IFERROR(__xludf.DUMMYFUNCTION("""COMPUTED_VALUE"""),"asking::for::clarification::regarding::previous::question")</f>
        <v>asking::for::clarification::regarding::previous::question</v>
      </c>
      <c r="E32" s="52" t="str">
        <f>IFERROR(__xludf.DUMMYFUNCTION("""COMPUTED_VALUE"""),"overcome::delay::on::resolve::the::bugs")</f>
        <v>overcome::delay::on::resolve::the::bugs</v>
      </c>
      <c r="F32" s="52" t="str">
        <f>IFERROR(__xludf.DUMMYFUNCTION("""COMPUTED_VALUE"""),"asking::advice::development::process::(meetings)")</f>
        <v>asking::advice::development::process::(meetings)</v>
      </c>
      <c r="G32" s="52"/>
      <c r="H32" s="52" t="str">
        <f>IFERROR(__xludf.DUMMYFUNCTION("""COMPUTED_VALUE"""),"impact::(on::API::-&gt;::none)")</f>
        <v>impact::(on::API::-&gt;::none)</v>
      </c>
      <c r="I32" s="52" t="str">
        <f>IFERROR(__xludf.DUMMYFUNCTION("""COMPUTED_VALUE"""),"intelij::ide")</f>
        <v>intelij::ide</v>
      </c>
      <c r="J32" s="52"/>
      <c r="K32" s="52" t="str">
        <f>IFERROR(__xludf.DUMMYFUNCTION("""COMPUTED_VALUE"""),"usage::automated::dependency::resolution::(gate::nova::requirements)")</f>
        <v>usage::automated::dependency::resolution::(gate::nova::requirements)</v>
      </c>
      <c r="L32" s="52"/>
      <c r="M32" s="52"/>
      <c r="N32" s="52"/>
      <c r="O32" s="52"/>
      <c r="P32" s="52" t="str">
        <f>IFERROR(__xludf.DUMMYFUNCTION("""COMPUTED_VALUE"""),"agreement::suggestion::content::change::(missing::info::commit::message)")</f>
        <v>agreement::suggestion::content::change::(missing::info::commit::message)</v>
      </c>
      <c r="Q32" s="52"/>
      <c r="R32" s="52"/>
      <c r="S32" s="52"/>
      <c r="T32" s="52"/>
      <c r="U32" s="52"/>
      <c r="V32" s="52"/>
      <c r="W32" s="52"/>
      <c r="X32" s="52"/>
      <c r="Y32" s="52"/>
      <c r="Z32" s="52"/>
    </row>
    <row r="33">
      <c r="A33" s="52" t="str">
        <f>IFERROR(__xludf.DUMMYFUNCTION("""COMPUTED_VALUE"""),"cannot::provide::requested::information::(examples)")</f>
        <v>cannot::provide::requested::information::(examples)</v>
      </c>
      <c r="B33" s="52" t="str">
        <f>IFERROR(__xludf.DUMMYFUNCTION("""COMPUTED_VALUE"""),"Network issue, Permission/deprecation issue")</f>
        <v>Network issue, Permission/deprecation issue</v>
      </c>
      <c r="C33" s="52"/>
      <c r="D33" s="52" t="str">
        <f>IFERROR(__xludf.DUMMYFUNCTION("""COMPUTED_VALUE"""),"asking::for::clarification::regarding::where::to::document")</f>
        <v>asking::for::clarification::regarding::where::to::document</v>
      </c>
      <c r="E33" s="52" t="str">
        <f>IFERROR(__xludf.DUMMYFUNCTION("""COMPUTED_VALUE"""),"person::responsible::unavailable::(temporarily)")</f>
        <v>person::responsible::unavailable::(temporarily)</v>
      </c>
      <c r="F33" s="52" t="str">
        <f>IFERROR(__xludf.DUMMYFUNCTION("""COMPUTED_VALUE"""),"asking::advice::development::process::(reviewers::permissions::timing)")</f>
        <v>asking::advice::development::process::(reviewers::permissions::timing)</v>
      </c>
      <c r="G33" s="52"/>
      <c r="H33" s="52" t="str">
        <f>IFERROR(__xludf.DUMMYFUNCTION("""COMPUTED_VALUE"""),"impact::(on::API)")</f>
        <v>impact::(on::API)</v>
      </c>
      <c r="I33" s="52" t="str">
        <f>IFERROR(__xludf.DUMMYFUNCTION("""COMPUTED_VALUE"""),"jacoco")</f>
        <v>jacoco</v>
      </c>
      <c r="J33" s="52"/>
      <c r="K33" s="52" t="str">
        <f>IFERROR(__xludf.DUMMYFUNCTION("""COMPUTED_VALUE"""),"usage::automated::dependency::resolution::(jarjar)")</f>
        <v>usage::automated::dependency::resolution::(jarjar)</v>
      </c>
      <c r="L33" s="52"/>
      <c r="M33" s="52"/>
      <c r="N33" s="52"/>
      <c r="O33" s="52"/>
      <c r="P33" s="52" t="str">
        <f>IFERROR(__xludf.DUMMYFUNCTION("""COMPUTED_VALUE"""),"agreement::suggestion::ignore::backwards::compatebility")</f>
        <v>agreement::suggestion::ignore::backwards::compatebility</v>
      </c>
      <c r="Q33" s="52"/>
      <c r="R33" s="52"/>
      <c r="S33" s="52"/>
      <c r="T33" s="52"/>
      <c r="U33" s="52"/>
      <c r="V33" s="52"/>
      <c r="W33" s="52"/>
      <c r="X33" s="52"/>
      <c r="Y33" s="52"/>
      <c r="Z33" s="52"/>
    </row>
    <row r="34">
      <c r="A34" s="52" t="str">
        <f>IFERROR(__xludf.DUMMYFUNCTION("""COMPUTED_VALUE"""),"change::abandoned::by::the::one::who::proposed::changes")</f>
        <v>change::abandoned::by::the::one::who::proposed::changes</v>
      </c>
      <c r="B34" s="52" t="str">
        <f>IFERROR(__xludf.DUMMYFUNCTION("""COMPUTED_VALUE"""),"Network issue, Program anomaly issue")</f>
        <v>Network issue, Program anomaly issue</v>
      </c>
      <c r="C34" s="52"/>
      <c r="D34" s="52" t="str">
        <f>IFERROR(__xludf.DUMMYFUNCTION("""COMPUTED_VALUE"""),"asking::for::clarification::solution::design")</f>
        <v>asking::for::clarification::solution::design</v>
      </c>
      <c r="E34" s="52" t="str">
        <f>IFERROR(__xludf.DUMMYFUNCTION("""COMPUTED_VALUE"""),"possible::path::for::a::solution")</f>
        <v>possible::path::for::a::solution</v>
      </c>
      <c r="F34" s="52" t="str">
        <f>IFERROR(__xludf.DUMMYFUNCTION("""COMPUTED_VALUE"""),"asking::advice::development::process::(split::changes::into::smaller::pieces)")</f>
        <v>asking::advice::development::process::(split::changes::into::smaller::pieces)</v>
      </c>
      <c r="G34" s="52"/>
      <c r="H34" s="52" t="str">
        <f>IFERROR(__xludf.DUMMYFUNCTION("""COMPUTED_VALUE"""),"impact::(on::data::model::-&gt;::none)")</f>
        <v>impact::(on::data::model::-&gt;::none)</v>
      </c>
      <c r="I34" s="52" t="str">
        <f>IFERROR(__xludf.DUMMYFUNCTION("""COMPUTED_VALUE"""),"jarjar")</f>
        <v>jarjar</v>
      </c>
      <c r="J34" s="52"/>
      <c r="K34" s="52" t="str">
        <f>IFERROR(__xludf.DUMMYFUNCTION("""COMPUTED_VALUE"""),"usage::automated::dependency::resolution::conflicts")</f>
        <v>usage::automated::dependency::resolution::conflicts</v>
      </c>
      <c r="L34" s="52"/>
      <c r="M34" s="52"/>
      <c r="N34" s="52"/>
      <c r="O34" s="52"/>
      <c r="P34" s="52" t="str">
        <f>IFERROR(__xludf.DUMMYFUNCTION("""COMPUTED_VALUE"""),"agreement::suggestion::refactoring::(clearer::code)")</f>
        <v>agreement::suggestion::refactoring::(clearer::code)</v>
      </c>
      <c r="Q34" s="52"/>
      <c r="R34" s="52"/>
      <c r="S34" s="52"/>
      <c r="T34" s="52"/>
      <c r="U34" s="52"/>
      <c r="V34" s="52"/>
      <c r="W34" s="52"/>
      <c r="X34" s="52"/>
      <c r="Y34" s="52"/>
      <c r="Z34" s="52"/>
    </row>
    <row r="35">
      <c r="A35" s="52" t="str">
        <f>IFERROR(__xludf.DUMMYFUNCTION("""COMPUTED_VALUE"""),"change::abandoned::by::the::responsible")</f>
        <v>change::abandoned::by::the::responsible</v>
      </c>
      <c r="B35" s="52" t="str">
        <f>IFERROR(__xludf.DUMMYFUNCTION("""COMPUTED_VALUE"""),"Network issue, Security issue")</f>
        <v>Network issue, Security issue</v>
      </c>
      <c r="C35" s="52"/>
      <c r="D35" s="52" t="str">
        <f>IFERROR(__xludf.DUMMYFUNCTION("""COMPUTED_VALUE"""),"asking::for::code::for::solution")</f>
        <v>asking::for::code::for::solution</v>
      </c>
      <c r="E35" s="52" t="str">
        <f>IFERROR(__xludf.DUMMYFUNCTION("""COMPUTED_VALUE"""),"problems::implementing::the::fix::due::to::tests::failures")</f>
        <v>problems::implementing::the::fix::due::to::tests::failures</v>
      </c>
      <c r="F35" s="52" t="str">
        <f>IFERROR(__xludf.DUMMYFUNCTION("""COMPUTED_VALUE"""),"asking::advice::development::process::(split::changes)::due::to::interaction::of::different::projects::(nova::neutron)::with::the::wanted::change")</f>
        <v>asking::advice::development::process::(split::changes)::due::to::interaction::of::different::projects::(nova::neutron)::with::the::wanted::change</v>
      </c>
      <c r="G35" s="52"/>
      <c r="H35" s="52" t="str">
        <f>IFERROR(__xludf.DUMMYFUNCTION("""COMPUTED_VALUE"""),"impact::(on::data::model)")</f>
        <v>impact::(on::data::model)</v>
      </c>
      <c r="I35" s="52" t="str">
        <f>IFERROR(__xludf.DUMMYFUNCTION("""COMPUTED_VALUE"""),"javadoc")</f>
        <v>javadoc</v>
      </c>
      <c r="J35" s="52"/>
      <c r="K35" s="52" t="str">
        <f>IFERROR(__xludf.DUMMYFUNCTION("""COMPUTED_VALUE"""),"usage::automated::dependency::resolution::conflicts::(shaded::dependencies)")</f>
        <v>usage::automated::dependency::resolution::conflicts::(shaded::dependencies)</v>
      </c>
      <c r="L35" s="52"/>
      <c r="M35" s="52"/>
      <c r="N35" s="52"/>
      <c r="O35" s="52"/>
      <c r="P35" s="52" t="str">
        <f>IFERROR(__xludf.DUMMYFUNCTION("""COMPUTED_VALUE"""),"agreement::suggestion::refactoring::(consistency)")</f>
        <v>agreement::suggestion::refactoring::(consistency)</v>
      </c>
      <c r="Q35" s="52"/>
      <c r="R35" s="52"/>
      <c r="S35" s="52"/>
      <c r="T35" s="52"/>
      <c r="U35" s="52"/>
      <c r="V35" s="52"/>
      <c r="W35" s="52"/>
      <c r="X35" s="52"/>
      <c r="Y35" s="52"/>
      <c r="Z35" s="52"/>
    </row>
    <row r="36">
      <c r="A36" s="52" t="str">
        <f>IFERROR(__xludf.DUMMYFUNCTION("""COMPUTED_VALUE"""),"change::abandoned::by::the::responsible::(review1)")</f>
        <v>change::abandoned::by::the::responsible::(review1)</v>
      </c>
      <c r="B36" s="52" t="str">
        <f>IFERROR(__xludf.DUMMYFUNCTION("""COMPUTED_VALUE"""),"Network issue, Test code-related issue")</f>
        <v>Network issue, Test code-related issue</v>
      </c>
      <c r="C36" s="52"/>
      <c r="D36" s="52" t="str">
        <f>IFERROR(__xludf.DUMMYFUNCTION("""COMPUTED_VALUE"""),"asking::for::details::(nova::version)")</f>
        <v>asking::for::details::(nova::version)</v>
      </c>
      <c r="E36" s="52" t="str">
        <f>IFERROR(__xludf.DUMMYFUNCTION("""COMPUTED_VALUE"""),"propossal::solution::for::missing::CI::tool")</f>
        <v>propossal::solution::for::missing::CI::tool</v>
      </c>
      <c r="F36" s="52" t="str">
        <f>IFERROR(__xludf.DUMMYFUNCTION("""COMPUTED_VALUE"""),"asking::advice::development::process::(tags::vs::branches::vs::different::project)")</f>
        <v>asking::advice::development::process::(tags::vs::branches::vs::different::project)</v>
      </c>
      <c r="G36" s="52"/>
      <c r="H36" s="52" t="str">
        <f>IFERROR(__xludf.DUMMYFUNCTION("""COMPUTED_VALUE"""),"impact::(on::developer::-&gt;::none)")</f>
        <v>impact::(on::developer::-&gt;::none)</v>
      </c>
      <c r="I36" s="52" t="str">
        <f>IFERROR(__xludf.DUMMYFUNCTION("""COMPUTED_VALUE"""),"Jenkins")</f>
        <v>Jenkins</v>
      </c>
      <c r="J36" s="52"/>
      <c r="K36" s="52" t="str">
        <f>IFERROR(__xludf.DUMMYFUNCTION("""COMPUTED_VALUE"""),"usage::automated::project::build")</f>
        <v>usage::automated::project::build</v>
      </c>
      <c r="L36" s="52"/>
      <c r="M36" s="52"/>
      <c r="N36" s="52"/>
      <c r="O36" s="52"/>
      <c r="P36" s="52" t="str">
        <f>IFERROR(__xludf.DUMMYFUNCTION("""COMPUTED_VALUE"""),"anticipating::merge::soon")</f>
        <v>anticipating::merge::soon</v>
      </c>
      <c r="Q36" s="52"/>
      <c r="R36" s="52"/>
      <c r="S36" s="52"/>
      <c r="T36" s="52"/>
      <c r="U36" s="52"/>
      <c r="V36" s="52"/>
      <c r="W36" s="52"/>
      <c r="X36" s="52"/>
      <c r="Y36" s="52"/>
      <c r="Z36" s="52"/>
    </row>
    <row r="37">
      <c r="A37" s="52" t="str">
        <f>IFERROR(__xludf.DUMMYFUNCTION("""COMPUTED_VALUE"""),"change::abandoned::by::the::responsible::(review1)::not::main::branch")</f>
        <v>change::abandoned::by::the::responsible::(review1)::not::main::branch</v>
      </c>
      <c r="B37" s="52" t="str">
        <f>IFERROR(__xludf.DUMMYFUNCTION("""COMPUTED_VALUE"""),"Performance issue, Permission/deprecation issue")</f>
        <v>Performance issue, Permission/deprecation issue</v>
      </c>
      <c r="C37" s="52"/>
      <c r="D37" s="52" t="str">
        <f>IFERROR(__xludf.DUMMYFUNCTION("""COMPUTED_VALUE"""),"asking::for::details::(query::used)")</f>
        <v>asking::for::details::(query::used)</v>
      </c>
      <c r="E37" s="52" t="str">
        <f>IFERROR(__xludf.DUMMYFUNCTION("""COMPUTED_VALUE"""),"refers::to::file")</f>
        <v>refers::to::file</v>
      </c>
      <c r="F37" s="52" t="str">
        <f>IFERROR(__xludf.DUMMYFUNCTION("""COMPUTED_VALUE"""),"asking::advice::development::process::(tests::process)")</f>
        <v>asking::advice::development::process::(tests::process)</v>
      </c>
      <c r="G37" s="52"/>
      <c r="H37" s="52" t="str">
        <f>IFERROR(__xludf.DUMMYFUNCTION("""COMPUTED_VALUE"""),"impact::(on::developer)")</f>
        <v>impact::(on::developer)</v>
      </c>
      <c r="I37" s="52" t="str">
        <f>IFERROR(__xludf.DUMMYFUNCTION("""COMPUTED_VALUE"""),"jmeter")</f>
        <v>jmeter</v>
      </c>
      <c r="J37" s="52"/>
      <c r="K37" s="52" t="str">
        <f>IFERROR(__xludf.DUMMYFUNCTION("""COMPUTED_VALUE"""),"usage::automated::project::build::(gradle)")</f>
        <v>usage::automated::project::build::(gradle)</v>
      </c>
      <c r="L37" s="52"/>
      <c r="M37" s="52"/>
      <c r="N37" s="52"/>
      <c r="O37" s="52"/>
      <c r="P37" s="52" t="str">
        <f>IFERROR(__xludf.DUMMYFUNCTION("""COMPUTED_VALUE"""),"API::impact::mentioned")</f>
        <v>API::impact::mentioned</v>
      </c>
      <c r="Q37" s="52"/>
      <c r="R37" s="52"/>
      <c r="S37" s="52"/>
      <c r="T37" s="52"/>
      <c r="U37" s="52"/>
      <c r="V37" s="52"/>
      <c r="W37" s="52"/>
      <c r="X37" s="52"/>
      <c r="Y37" s="52"/>
      <c r="Z37" s="52"/>
    </row>
    <row r="38">
      <c r="A38" s="52" t="str">
        <f>IFERROR(__xludf.DUMMYFUNCTION("""COMPUTED_VALUE"""),"change::abandoned::by::the::responsible::(review2)")</f>
        <v>change::abandoned::by::the::responsible::(review2)</v>
      </c>
      <c r="B38" s="52" t="str">
        <f>IFERROR(__xludf.DUMMYFUNCTION("""COMPUTED_VALUE"""),"Performance issue, Program anomaly issue")</f>
        <v>Performance issue, Program anomaly issue</v>
      </c>
      <c r="C38" s="52"/>
      <c r="D38" s="52" t="str">
        <f>IFERROR(__xludf.DUMMYFUNCTION("""COMPUTED_VALUE"""),"asking::for::documentation")</f>
        <v>asking::for::documentation</v>
      </c>
      <c r="E38" s="52" t="str">
        <f>IFERROR(__xludf.DUMMYFUNCTION("""COMPUTED_VALUE"""),"refers::to::issue::(bug)")</f>
        <v>refers::to::issue::(bug)</v>
      </c>
      <c r="F38" s="52" t="str">
        <f>IFERROR(__xludf.DUMMYFUNCTION("""COMPUTED_VALUE"""),"asking::advice::development::process::(tests)")</f>
        <v>asking::advice::development::process::(tests)</v>
      </c>
      <c r="G38" s="52"/>
      <c r="H38" s="52" t="str">
        <f>IFERROR(__xludf.DUMMYFUNCTION("""COMPUTED_VALUE"""),"impact::(on::notifications::-&gt;::none)")</f>
        <v>impact::(on::notifications::-&gt;::none)</v>
      </c>
      <c r="I38" s="52" t="str">
        <f>IFERROR(__xludf.DUMMYFUNCTION("""COMPUTED_VALUE"""),"junit")</f>
        <v>junit</v>
      </c>
      <c r="J38" s="52"/>
      <c r="K38" s="52" t="str">
        <f>IFERROR(__xludf.DUMMYFUNCTION("""COMPUTED_VALUE"""),"usage::automated::project::build::(maven)")</f>
        <v>usage::automated::project::build::(maven)</v>
      </c>
      <c r="L38" s="52"/>
      <c r="M38" s="52"/>
      <c r="N38" s="52"/>
      <c r="O38" s="52"/>
      <c r="P38" s="52" t="str">
        <f>IFERROR(__xludf.DUMMYFUNCTION("""COMPUTED_VALUE"""),"approval::for::submitting::granted")</f>
        <v>approval::for::submitting::granted</v>
      </c>
      <c r="Q38" s="52"/>
      <c r="R38" s="52"/>
      <c r="S38" s="52"/>
      <c r="T38" s="52"/>
      <c r="U38" s="52"/>
      <c r="V38" s="52"/>
      <c r="W38" s="52"/>
      <c r="X38" s="52"/>
      <c r="Y38" s="52"/>
      <c r="Z38" s="52"/>
    </row>
    <row r="39">
      <c r="A39" s="52" t="str">
        <f>IFERROR(__xludf.DUMMYFUNCTION("""COMPUTED_VALUE"""),"change::abandoned::by::the::responsible::(review3)")</f>
        <v>change::abandoned::by::the::responsible::(review3)</v>
      </c>
      <c r="B39" s="52" t="str">
        <f>IFERROR(__xludf.DUMMYFUNCTION("""COMPUTED_VALUE"""),"Performance issue, Security issue")</f>
        <v>Performance issue, Security issue</v>
      </c>
      <c r="C39" s="52"/>
      <c r="D39" s="52" t="str">
        <f>IFERROR(__xludf.DUMMYFUNCTION("""COMPUTED_VALUE"""),"asking::for::example::for::intended::usage1")</f>
        <v>asking::for::example::for::intended::usage1</v>
      </c>
      <c r="E39" s="52" t="str">
        <f>IFERROR(__xludf.DUMMYFUNCTION("""COMPUTED_VALUE"""),"refers::to::mailinglist")</f>
        <v>refers::to::mailinglist</v>
      </c>
      <c r="F39" s="52" t="str">
        <f>IFERROR(__xludf.DUMMYFUNCTION("""COMPUTED_VALUE"""),"asking::advice::how::discussing::topic::online")</f>
        <v>asking::advice::how::discussing::topic::online</v>
      </c>
      <c r="G39" s="52"/>
      <c r="H39" s="52" t="str">
        <f>IFERROR(__xludf.DUMMYFUNCTION("""COMPUTED_VALUE"""),"impact::(on::notifications)")</f>
        <v>impact::(on::notifications)</v>
      </c>
      <c r="I39" s="52" t="str">
        <f>IFERROR(__xludf.DUMMYFUNCTION("""COMPUTED_VALUE"""),"log4j")</f>
        <v>log4j</v>
      </c>
      <c r="J39" s="52"/>
      <c r="K39" s="52" t="str">
        <f>IFERROR(__xludf.DUMMYFUNCTION("""COMPUTED_VALUE"""),"usage::CI")</f>
        <v>usage::CI</v>
      </c>
      <c r="L39" s="52"/>
      <c r="M39" s="52"/>
      <c r="N39" s="52"/>
      <c r="O39" s="52"/>
      <c r="P39" s="52" t="str">
        <f>IFERROR(__xludf.DUMMYFUNCTION("""COMPUTED_VALUE"""),"approval::for::submitting::granted::(core::reviewer)")</f>
        <v>approval::for::submitting::granted::(core::reviewer)</v>
      </c>
      <c r="Q39" s="52"/>
      <c r="R39" s="52"/>
      <c r="S39" s="52"/>
      <c r="T39" s="52"/>
      <c r="U39" s="52"/>
      <c r="V39" s="52"/>
      <c r="W39" s="52"/>
      <c r="X39" s="52"/>
      <c r="Y39" s="52"/>
      <c r="Z39" s="52"/>
    </row>
    <row r="40">
      <c r="A40" s="52" t="str">
        <f>IFERROR(__xludf.DUMMYFUNCTION("""COMPUTED_VALUE"""),"change::abandoned::by::the::responsible::(review5)::not::main::branch")</f>
        <v>change::abandoned::by::the::responsible::(review5)::not::main::branch</v>
      </c>
      <c r="B40" s="52" t="str">
        <f>IFERROR(__xludf.DUMMYFUNCTION("""COMPUTED_VALUE"""),"Performance issue, Test code-related issue")</f>
        <v>Performance issue, Test code-related issue</v>
      </c>
      <c r="C40" s="52"/>
      <c r="D40" s="52" t="str">
        <f>IFERROR(__xludf.DUMMYFUNCTION("""COMPUTED_VALUE"""),"asking::for::example::for::intended::usage2")</f>
        <v>asking::for::example::for::intended::usage2</v>
      </c>
      <c r="E40" s="52" t="str">
        <f>IFERROR(__xludf.DUMMYFUNCTION("""COMPUTED_VALUE"""),"refers::to::review")</f>
        <v>refers::to::review</v>
      </c>
      <c r="F40" s="52" t="str">
        <f>IFERROR(__xludf.DUMMYFUNCTION("""COMPUTED_VALUE"""),"asking::advice::issue::encountered")</f>
        <v>asking::advice::issue::encountered</v>
      </c>
      <c r="G40" s="52"/>
      <c r="H40" s="52" t="str">
        <f>IFERROR(__xludf.DUMMYFUNCTION("""COMPUTED_VALUE"""),"impact::(on::other::end::users::-&gt;::none)")</f>
        <v>impact::(on::other::end::users::-&gt;::none)</v>
      </c>
      <c r="I40" s="52" t="str">
        <f>IFERROR(__xludf.DUMMYFUNCTION("""COMPUTED_VALUE"""),"mailamp")</f>
        <v>mailamp</v>
      </c>
      <c r="J40" s="52"/>
      <c r="K40" s="52" t="str">
        <f>IFERROR(__xludf.DUMMYFUNCTION("""COMPUTED_VALUE"""),"usage::of::bug::finding::static::analysis::tools")</f>
        <v>usage::of::bug::finding::static::analysis::tools</v>
      </c>
      <c r="L40" s="52"/>
      <c r="M40" s="52"/>
      <c r="N40" s="52"/>
      <c r="O40" s="52"/>
      <c r="P40" s="52" t="str">
        <f>IFERROR(__xludf.DUMMYFUNCTION("""COMPUTED_VALUE"""),"approval::for::submitting::granted::(final::workflow::vote)")</f>
        <v>approval::for::submitting::granted::(final::workflow::vote)</v>
      </c>
      <c r="Q40" s="52"/>
      <c r="R40" s="52"/>
      <c r="S40" s="52"/>
      <c r="T40" s="52"/>
      <c r="U40" s="52"/>
      <c r="V40" s="52"/>
      <c r="W40" s="52"/>
      <c r="X40" s="52"/>
      <c r="Y40" s="52"/>
      <c r="Z40" s="52"/>
    </row>
    <row r="41">
      <c r="A41" s="52" t="str">
        <f>IFERROR(__xludf.DUMMYFUNCTION("""COMPUTED_VALUE"""),"change::abandoned::by::the::responsible::not::main::branch")</f>
        <v>change::abandoned::by::the::responsible::not::main::branch</v>
      </c>
      <c r="B41" s="52" t="str">
        <f>IFERROR(__xludf.DUMMYFUNCTION("""COMPUTED_VALUE"""),"Permission/deprecation issue, Program anomaly issue")</f>
        <v>Permission/deprecation issue, Program anomaly issue</v>
      </c>
      <c r="C41" s="52"/>
      <c r="D41" s="52" t="str">
        <f>IFERROR(__xludf.DUMMYFUNCTION("""COMPUTED_VALUE"""),"asking::for::example::for::intended::usage3")</f>
        <v>asking::for::example::for::intended::usage3</v>
      </c>
      <c r="E41" s="52" t="str">
        <f>IFERROR(__xludf.DUMMYFUNCTION("""COMPUTED_VALUE"""),"result::output::tests::for::the::modified::files")</f>
        <v>result::output::tests::for::the::modified::files</v>
      </c>
      <c r="F41" s="52" t="str">
        <f>IFERROR(__xludf.DUMMYFUNCTION("""COMPUTED_VALUE"""),"asking::approval::bp")</f>
        <v>asking::approval::bp</v>
      </c>
      <c r="G41" s="52"/>
      <c r="H41" s="52" t="str">
        <f>IFERROR(__xludf.DUMMYFUNCTION("""COMPUTED_VALUE"""),"impact::(on::other::end::users)")</f>
        <v>impact::(on::other::end::users)</v>
      </c>
      <c r="I41" s="52" t="str">
        <f>IFERROR(__xludf.DUMMYFUNCTION("""COMPUTED_VALUE"""),"maven")</f>
        <v>maven</v>
      </c>
      <c r="J41" s="52"/>
      <c r="K41" s="52" t="str">
        <f>IFERROR(__xludf.DUMMYFUNCTION("""COMPUTED_VALUE"""),"usage::of::building:.and::distribution::tools")</f>
        <v>usage::of::building:.and::distribution::tools</v>
      </c>
      <c r="L41" s="52"/>
      <c r="M41" s="52"/>
      <c r="N41" s="52"/>
      <c r="O41" s="52"/>
      <c r="P41" s="52" t="str">
        <f>IFERROR(__xludf.DUMMYFUNCTION("""COMPUTED_VALUE"""),"approval::for::submitting::granted::(final::workflow::vote)::(core::reviewer)")</f>
        <v>approval::for::submitting::granted::(final::workflow::vote)::(core::reviewer)</v>
      </c>
      <c r="Q41" s="52"/>
      <c r="R41" s="52"/>
      <c r="S41" s="52"/>
      <c r="T41" s="52"/>
      <c r="U41" s="52"/>
      <c r="V41" s="52"/>
      <c r="W41" s="52"/>
      <c r="X41" s="52"/>
      <c r="Y41" s="52"/>
      <c r="Z41" s="52"/>
    </row>
    <row r="42">
      <c r="A42" s="52" t="str">
        <f>IFERROR(__xludf.DUMMYFUNCTION("""COMPUTED_VALUE"""),"change::abandoned::by::the::unknown::not:.main::branch")</f>
        <v>change::abandoned::by::the::unknown::not:.main::branch</v>
      </c>
      <c r="B42" s="52" t="str">
        <f>IFERROR(__xludf.DUMMYFUNCTION("""COMPUTED_VALUE"""),"Permission/deprecation issue, Security issue")</f>
        <v>Permission/deprecation issue, Security issue</v>
      </c>
      <c r="C42" s="52"/>
      <c r="D42" s="52" t="str">
        <f>IFERROR(__xludf.DUMMYFUNCTION("""COMPUTED_VALUE"""),"asking::for::example::for::intended::usage4")</f>
        <v>asking::for::example::for::intended::usage4</v>
      </c>
      <c r="E42" s="52" t="str">
        <f>IFERROR(__xludf.DUMMYFUNCTION("""COMPUTED_VALUE"""),"status::of::cycle::of::development::for::the::bug")</f>
        <v>status::of::cycle::of::development::for::the::bug</v>
      </c>
      <c r="F42" s="52" t="str">
        <f>IFERROR(__xludf.DUMMYFUNCTION("""COMPUTED_VALUE"""),"asking::clarification::about::conditions::to::change::status::of::project::(removing:.label::experimental)::which::holds::the::BP")</f>
        <v>asking::clarification::about::conditions::to::change::status::of::project::(removing:.label::experimental)::which::holds::the::BP</v>
      </c>
      <c r="G42" s="52"/>
      <c r="H42" s="52" t="str">
        <f>IFERROR(__xludf.DUMMYFUNCTION("""COMPUTED_VALUE"""),"impact::(on::performance::-&gt;::none)")</f>
        <v>impact::(on::performance::-&gt;::none)</v>
      </c>
      <c r="I42" s="52" t="str">
        <f>IFERROR(__xludf.DUMMYFUNCTION("""COMPUTED_VALUE"""),"maven-checkstyle-plugin")</f>
        <v>maven-checkstyle-plugin</v>
      </c>
      <c r="J42" s="52"/>
      <c r="K42" s="52" t="str">
        <f>IFERROR(__xludf.DUMMYFUNCTION("""COMPUTED_VALUE"""),"usage::of::building:.and::distribution::tools::specific::OS")</f>
        <v>usage::of::building:.and::distribution::tools::specific::OS</v>
      </c>
      <c r="L42" s="52"/>
      <c r="M42" s="52"/>
      <c r="N42" s="52"/>
      <c r="O42" s="52"/>
      <c r="P42" s="52" t="str">
        <f>IFERROR(__xludf.DUMMYFUNCTION("""COMPUTED_VALUE"""),"approval::for::submitting::granted::(final)")</f>
        <v>approval::for::submitting::granted::(final)</v>
      </c>
      <c r="Q42" s="52"/>
      <c r="R42" s="52"/>
      <c r="S42" s="52"/>
      <c r="T42" s="52"/>
      <c r="U42" s="52"/>
      <c r="V42" s="52"/>
      <c r="W42" s="52"/>
      <c r="X42" s="52"/>
      <c r="Y42" s="52"/>
      <c r="Z42" s="52"/>
    </row>
    <row r="43">
      <c r="A43" s="52" t="str">
        <f>IFERROR(__xludf.DUMMYFUNCTION("""COMPUTED_VALUE"""),"change::abandoned::with::reason::(branch::end::of::life)")</f>
        <v>change::abandoned::with::reason::(branch::end::of::life)</v>
      </c>
      <c r="B43" s="52" t="str">
        <f>IFERROR(__xludf.DUMMYFUNCTION("""COMPUTED_VALUE"""),"Permission/deprecation issue, Test code-related issue")</f>
        <v>Permission/deprecation issue, Test code-related issue</v>
      </c>
      <c r="C43" s="52"/>
      <c r="D43" s="52" t="str">
        <f>IFERROR(__xludf.DUMMYFUNCTION("""COMPUTED_VALUE"""),"asking::for::feature::freeze::exception::(FFE)")</f>
        <v>asking::for::feature::freeze::exception::(FFE)</v>
      </c>
      <c r="E43" s="52" t="str">
        <f>IFERROR(__xludf.DUMMYFUNCTION("""COMPUTED_VALUE"""),"support::matrix::of::Features::and::software")</f>
        <v>support::matrix::of::Features::and::software</v>
      </c>
      <c r="F43" s="52" t="str">
        <f>IFERROR(__xludf.DUMMYFUNCTION("""COMPUTED_VALUE"""),"asking::clarification::about::cons::design::choice::(hybrid::compute::nodes)")</f>
        <v>asking::clarification::about::cons::design::choice::(hybrid::compute::nodes)</v>
      </c>
      <c r="G43" s="52"/>
      <c r="H43" s="52" t="str">
        <f>IFERROR(__xludf.DUMMYFUNCTION("""COMPUTED_VALUE"""),"impact::(on::performance)")</f>
        <v>impact::(on::performance)</v>
      </c>
      <c r="I43" s="52" t="str">
        <f>IFERROR(__xludf.DUMMYFUNCTION("""COMPUTED_VALUE"""),"maven-jxr-plugin")</f>
        <v>maven-jxr-plugin</v>
      </c>
      <c r="J43" s="52"/>
      <c r="K43" s="52" t="str">
        <f>IFERROR(__xludf.DUMMYFUNCTION("""COMPUTED_VALUE"""),"usage::of::config::file::(d2to1/pbr)::instead::of::write::config::in::code")</f>
        <v>usage::of::config::file::(d2to1/pbr)::instead::of::write::config::in::code</v>
      </c>
      <c r="L43" s="52"/>
      <c r="M43" s="52"/>
      <c r="N43" s="52"/>
      <c r="O43" s="52"/>
      <c r="P43" s="52" t="str">
        <f>IFERROR(__xludf.DUMMYFUNCTION("""COMPUTED_VALUE"""),"approval::for::submitting::granted::(final)::(core::reviewer)")</f>
        <v>approval::for::submitting::granted::(final)::(core::reviewer)</v>
      </c>
      <c r="Q43" s="52"/>
      <c r="R43" s="52"/>
      <c r="S43" s="52"/>
      <c r="T43" s="52"/>
      <c r="U43" s="52"/>
      <c r="V43" s="52"/>
      <c r="W43" s="52"/>
      <c r="X43" s="52"/>
      <c r="Y43" s="52"/>
      <c r="Z43" s="52"/>
    </row>
    <row r="44">
      <c r="A44" s="52" t="str">
        <f>IFERROR(__xludf.DUMMYFUNCTION("""COMPUTED_VALUE"""),"change::request")</f>
        <v>change::request</v>
      </c>
      <c r="B44" s="52" t="str">
        <f>IFERROR(__xludf.DUMMYFUNCTION("""COMPUTED_VALUE"""),"Program anomaly issue, Test code-related issue")</f>
        <v>Program anomaly issue, Test code-related issue</v>
      </c>
      <c r="C44" s="52"/>
      <c r="D44" s="52" t="str">
        <f>IFERROR(__xludf.DUMMYFUNCTION("""COMPUTED_VALUE"""),"asking::for::milestone::selection")</f>
        <v>asking::for::milestone::selection</v>
      </c>
      <c r="E44" s="52" t="str">
        <f>IFERROR(__xludf.DUMMYFUNCTION("""COMPUTED_VALUE"""),"what::to::do::if::something::is::not::tested")</f>
        <v>what::to::do::if::something::is::not::tested</v>
      </c>
      <c r="F44" s="52" t="str">
        <f>IFERROR(__xludf.DUMMYFUNCTION("""COMPUTED_VALUE"""),"asking::clarification::about::functionallity::(current::code)")</f>
        <v>asking::clarification::about::functionallity::(current::code)</v>
      </c>
      <c r="G44" s="52"/>
      <c r="H44" s="52" t="str">
        <f>IFERROR(__xludf.DUMMYFUNCTION("""COMPUTED_VALUE"""),"impact::(other::deployer::impact::-&gt;::none)")</f>
        <v>impact::(other::deployer::impact::-&gt;::none)</v>
      </c>
      <c r="I44" s="52" t="str">
        <f>IFERROR(__xludf.DUMMYFUNCTION("""COMPUTED_VALUE"""),"maven-pmd-plugin")</f>
        <v>maven-pmd-plugin</v>
      </c>
      <c r="J44" s="52"/>
      <c r="K44" s="52" t="str">
        <f>IFERROR(__xludf.DUMMYFUNCTION("""COMPUTED_VALUE"""),"usage::of::config::file::(PBR)::instead::of::write::config::in::code")</f>
        <v>usage::of::config::file::(PBR)::instead::of::write::config::in::code</v>
      </c>
      <c r="L44" s="52"/>
      <c r="M44" s="52"/>
      <c r="N44" s="52"/>
      <c r="O44" s="52"/>
      <c r="P44" s="52" t="str">
        <f>IFERROR(__xludf.DUMMYFUNCTION("""COMPUTED_VALUE"""),"approval::for::submitting::granted::(final)::(vote1)")</f>
        <v>approval::for::submitting::granted::(final)::(vote1)</v>
      </c>
      <c r="Q44" s="52"/>
      <c r="R44" s="52"/>
      <c r="S44" s="52"/>
      <c r="T44" s="52"/>
      <c r="U44" s="52"/>
      <c r="V44" s="52"/>
      <c r="W44" s="52"/>
      <c r="X44" s="52"/>
      <c r="Y44" s="52"/>
      <c r="Z44" s="52"/>
    </row>
    <row r="45">
      <c r="A45" s="52" t="str">
        <f>IFERROR(__xludf.DUMMYFUNCTION("""COMPUTED_VALUE"""),"change::the::status::of::the::bug")</f>
        <v>change::the::status::of::the::bug</v>
      </c>
      <c r="B45" s="52" t="str">
        <f>IFERROR(__xludf.DUMMYFUNCTION("""COMPUTED_VALUE"""),"Security issue, Program anomaly issue")</f>
        <v>Security issue, Program anomaly issue</v>
      </c>
      <c r="C45" s="52"/>
      <c r="D45" s="52" t="str">
        <f>IFERROR(__xludf.DUMMYFUNCTION("""COMPUTED_VALUE"""),"asking::for::possible::usage")</f>
        <v>asking::for::possible::usage</v>
      </c>
      <c r="E45" s="52"/>
      <c r="F45" s="52" t="str">
        <f>IFERROR(__xludf.DUMMYFUNCTION("""COMPUTED_VALUE"""),"asking::clarification::about::functionallity::(how::to::enable::in::the::future)")</f>
        <v>asking::clarification::about::functionallity::(how::to::enable::in::the::future)</v>
      </c>
      <c r="G45" s="52"/>
      <c r="H45" s="52" t="str">
        <f>IFERROR(__xludf.DUMMYFUNCTION("""COMPUTED_VALUE"""),"impact::(other::deployer::impact)")</f>
        <v>impact::(other::deployer::impact)</v>
      </c>
      <c r="I45" s="52" t="str">
        <f>IFERROR(__xludf.DUMMYFUNCTION("""COMPUTED_VALUE"""),"maven::(own::repo)")</f>
        <v>maven::(own::repo)</v>
      </c>
      <c r="J45" s="52"/>
      <c r="K45" s="52" t="str">
        <f>IFERROR(__xludf.DUMMYFUNCTION("""COMPUTED_VALUE"""),"usage::of::config::file::instead::of::write::config::in::code")</f>
        <v>usage::of::config::file::instead::of::write::config::in::code</v>
      </c>
      <c r="L45" s="52"/>
      <c r="M45" s="52"/>
      <c r="N45" s="52"/>
      <c r="O45" s="52"/>
      <c r="P45" s="52" t="str">
        <f>IFERROR(__xludf.DUMMYFUNCTION("""COMPUTED_VALUE"""),"approval::for::submitting::granted::(final)::(vote13)")</f>
        <v>approval::for::submitting::granted::(final)::(vote13)</v>
      </c>
      <c r="Q45" s="52"/>
      <c r="R45" s="52"/>
      <c r="S45" s="52"/>
      <c r="T45" s="52"/>
      <c r="U45" s="52"/>
      <c r="V45" s="52"/>
      <c r="W45" s="52"/>
      <c r="X45" s="52"/>
      <c r="Y45" s="52"/>
      <c r="Z45" s="52"/>
    </row>
    <row r="46">
      <c r="A46" s="52" t="str">
        <f>IFERROR(__xludf.DUMMYFUNCTION("""COMPUTED_VALUE"""),"change1::abandoned::by::the::responsible")</f>
        <v>change1::abandoned::by::the::responsible</v>
      </c>
      <c r="B46" s="52" t="str">
        <f>IFERROR(__xludf.DUMMYFUNCTION("""COMPUTED_VALUE"""),"Security issue, Test code-related issue")</f>
        <v>Security issue, Test code-related issue</v>
      </c>
      <c r="C46" s="52"/>
      <c r="D46" s="52" t="str">
        <f>IFERROR(__xludf.DUMMYFUNCTION("""COMPUTED_VALUE"""),"asking::for::reasons::not::supporting::feature")</f>
        <v>asking::for::reasons::not::supporting::feature</v>
      </c>
      <c r="E46" s="52"/>
      <c r="F46" s="52" t="str">
        <f>IFERROR(__xludf.DUMMYFUNCTION("""COMPUTED_VALUE"""),"asking::clarification::about::functionallity::(how::to::enable::in::the::future)::design")</f>
        <v>asking::clarification::about::functionallity::(how::to::enable::in::the::future)::design</v>
      </c>
      <c r="G46" s="52"/>
      <c r="H46" s="52" t="str">
        <f>IFERROR(__xludf.DUMMYFUNCTION("""COMPUTED_VALUE"""),"impact::(security::-&gt;::none)")</f>
        <v>impact::(security::-&gt;::none)</v>
      </c>
      <c r="I46" s="52" t="str">
        <f>IFERROR(__xludf.DUMMYFUNCTION("""COMPUTED_VALUE"""),"maven::(snakeyamlrepo)")</f>
        <v>maven::(snakeyamlrepo)</v>
      </c>
      <c r="J46" s="52"/>
      <c r="K46" s="52" t="str">
        <f>IFERROR(__xludf.DUMMYFUNCTION("""COMPUTED_VALUE"""),"usage::of::generic::coding::and::security::conventions::apis")</f>
        <v>usage::of::generic::coding::and::security::conventions::apis</v>
      </c>
      <c r="L46" s="52"/>
      <c r="M46" s="52"/>
      <c r="N46" s="52"/>
      <c r="O46" s="52"/>
      <c r="P46" s="52" t="str">
        <f>IFERROR(__xludf.DUMMYFUNCTION("""COMPUTED_VALUE"""),"approval::for::submitting::granted::(final)::(vote9)")</f>
        <v>approval::for::submitting::granted::(final)::(vote9)</v>
      </c>
      <c r="Q46" s="52"/>
      <c r="R46" s="52"/>
      <c r="S46" s="52"/>
      <c r="T46" s="52"/>
      <c r="U46" s="52"/>
      <c r="V46" s="52"/>
      <c r="W46" s="52"/>
      <c r="X46" s="52"/>
      <c r="Y46" s="52"/>
      <c r="Z46" s="52"/>
    </row>
    <row r="47">
      <c r="A47" s="52" t="str">
        <f>IFERROR(__xludf.DUMMYFUNCTION("""COMPUTED_VALUE"""),"change2::abandoned::by::the::responsible")</f>
        <v>change2::abandoned::by::the::responsible</v>
      </c>
      <c r="B47" s="52" t="str">
        <f>IFERROR(__xludf.DUMMYFUNCTION("""COMPUTED_VALUE"""),"Configuration issue, Database-related issue, GUI-related issue")</f>
        <v>Configuration issue, Database-related issue, GUI-related issue</v>
      </c>
      <c r="C47" s="52"/>
      <c r="D47" s="52" t="str">
        <f>IFERROR(__xludf.DUMMYFUNCTION("""COMPUTED_VALUE"""),"asking::for::reasons::not::supporting::solution")</f>
        <v>asking::for::reasons::not::supporting::solution</v>
      </c>
      <c r="E47" s="52"/>
      <c r="F47" s="52" t="str">
        <f>IFERROR(__xludf.DUMMYFUNCTION("""COMPUTED_VALUE"""),"asking::clarification::about::intended::development::process")</f>
        <v>asking::clarification::about::intended::development::process</v>
      </c>
      <c r="G47" s="52"/>
      <c r="H47" s="52" t="str">
        <f>IFERROR(__xludf.DUMMYFUNCTION("""COMPUTED_VALUE"""),"impact::(security)")</f>
        <v>impact::(security)</v>
      </c>
      <c r="I47" s="52" t="str">
        <f>IFERROR(__xludf.DUMMYFUNCTION("""COMPUTED_VALUE"""),"maven::migration")</f>
        <v>maven::migration</v>
      </c>
      <c r="J47" s="52"/>
      <c r="K47" s="52" t="str">
        <f>IFERROR(__xludf.DUMMYFUNCTION("""COMPUTED_VALUE"""),"usage::of::generic::coding::conventions::(pep8)")</f>
        <v>usage::of::generic::coding::conventions::(pep8)</v>
      </c>
      <c r="L47" s="52"/>
      <c r="M47" s="52"/>
      <c r="N47" s="52"/>
      <c r="O47" s="52"/>
      <c r="P47" s="52" t="str">
        <f>IFERROR(__xludf.DUMMYFUNCTION("""COMPUTED_VALUE"""),"approval::for::submitting::granted::(final)::core::rev")</f>
        <v>approval::for::submitting::granted::(final)::core::rev</v>
      </c>
      <c r="Q47" s="52"/>
      <c r="R47" s="52"/>
      <c r="S47" s="52"/>
      <c r="T47" s="52"/>
      <c r="U47" s="52"/>
      <c r="V47" s="52"/>
      <c r="W47" s="52"/>
      <c r="X47" s="52"/>
      <c r="Y47" s="52"/>
      <c r="Z47" s="52"/>
    </row>
    <row r="48">
      <c r="A48" s="52" t="str">
        <f>IFERROR(__xludf.DUMMYFUNCTION("""COMPUTED_VALUE"""),"changed::original::description::(link::to::original::description)")</f>
        <v>changed::original::description::(link::to::original::description)</v>
      </c>
      <c r="B48" s="52" t="str">
        <f>IFERROR(__xludf.DUMMYFUNCTION("""COMPUTED_VALUE"""),"Configuration issue, Database-related issue, Network issue")</f>
        <v>Configuration issue, Database-related issue, Network issue</v>
      </c>
      <c r="C48" s="52"/>
      <c r="D48" s="52" t="str">
        <f>IFERROR(__xludf.DUMMYFUNCTION("""COMPUTED_VALUE"""),"asking::for::testing")</f>
        <v>asking::for::testing</v>
      </c>
      <c r="E48" s="52"/>
      <c r="F48" s="52" t="str">
        <f>IFERROR(__xludf.DUMMYFUNCTION("""COMPUTED_VALUE"""),"asking::clarification::about::intended::solution::design")</f>
        <v>asking::clarification::about::intended::solution::design</v>
      </c>
      <c r="G48" s="52"/>
      <c r="H48" s="52" t="str">
        <f>IFERROR(__xludf.DUMMYFUNCTION("""COMPUTED_VALUE"""),"links::blueprint")</f>
        <v>links::blueprint</v>
      </c>
      <c r="I48" s="52" t="str">
        <f>IFERROR(__xludf.DUMMYFUNCTION("""COMPUTED_VALUE"""),"maven::repo::(appspot)")</f>
        <v>maven::repo::(appspot)</v>
      </c>
      <c r="J48" s="52"/>
      <c r="K48" s="52" t="str">
        <f>IFERROR(__xludf.DUMMYFUNCTION("""COMPUTED_VALUE"""),"usage::of::own::style::checking::static::analysis::rules")</f>
        <v>usage::of::own::style::checking::static::analysis::rules</v>
      </c>
      <c r="L48" s="52"/>
      <c r="M48" s="52"/>
      <c r="N48" s="52"/>
      <c r="O48" s="52"/>
      <c r="P48" s="52" t="str">
        <f>IFERROR(__xludf.DUMMYFUNCTION("""COMPUTED_VALUE"""),"approval::for::submitting::granted::(final)::core::rev::(vote1)")</f>
        <v>approval::for::submitting::granted::(final)::core::rev::(vote1)</v>
      </c>
      <c r="Q48" s="52"/>
      <c r="R48" s="52"/>
      <c r="S48" s="52"/>
      <c r="T48" s="52"/>
      <c r="U48" s="52"/>
      <c r="V48" s="52"/>
      <c r="W48" s="52"/>
      <c r="X48" s="52"/>
      <c r="Y48" s="52"/>
      <c r="Z48" s="52"/>
    </row>
    <row r="49">
      <c r="A49" s="52" t="str">
        <f>IFERROR(__xludf.DUMMYFUNCTION("""COMPUTED_VALUE"""),"changing::priority::(higher)")</f>
        <v>changing::priority::(higher)</v>
      </c>
      <c r="B49" s="52" t="str">
        <f>IFERROR(__xludf.DUMMYFUNCTION("""COMPUTED_VALUE"""),"Configuration issue, Database-related issue, Performance issue")</f>
        <v>Configuration issue, Database-related issue, Performance issue</v>
      </c>
      <c r="C49" s="52"/>
      <c r="D49" s="52" t="str">
        <f>IFERROR(__xludf.DUMMYFUNCTION("""COMPUTED_VALUE"""),"asking::for:.clarification::reason::of::the::bug")</f>
        <v>asking::for:.clarification::reason::of::the::bug</v>
      </c>
      <c r="E49" s="52"/>
      <c r="F49" s="52" t="str">
        <f>IFERROR(__xludf.DUMMYFUNCTION("""COMPUTED_VALUE"""),"asking::clarification::about::intended::test::setup")</f>
        <v>asking::clarification::about::intended::test::setup</v>
      </c>
      <c r="G49" s="52"/>
      <c r="H49" s="52" t="str">
        <f>IFERROR(__xludf.DUMMYFUNCTION("""COMPUTED_VALUE"""),"links::to::external::logs")</f>
        <v>links::to::external::logs</v>
      </c>
      <c r="I49" s="52" t="str">
        <f>IFERROR(__xludf.DUMMYFUNCTION("""COMPUTED_VALUE"""),"maven::repo::(codehaus)")</f>
        <v>maven::repo::(codehaus)</v>
      </c>
      <c r="J49" s="52"/>
      <c r="K49" s="52" t="str">
        <f>IFERROR(__xludf.DUMMYFUNCTION("""COMPUTED_VALUE"""),"usage::of::own::style::ignoring::code::coverage")</f>
        <v>usage::of::own::style::ignoring::code::coverage</v>
      </c>
      <c r="L49" s="52"/>
      <c r="M49" s="52"/>
      <c r="N49" s="52"/>
      <c r="O49" s="52"/>
      <c r="P49" s="52" t="str">
        <f>IFERROR(__xludf.DUMMYFUNCTION("""COMPUTED_VALUE"""),"approval::for::submitting::granted::(final)::core::rev::(vote12)")</f>
        <v>approval::for::submitting::granted::(final)::core::rev::(vote12)</v>
      </c>
      <c r="Q49" s="52"/>
      <c r="R49" s="52"/>
      <c r="S49" s="52"/>
      <c r="T49" s="52"/>
      <c r="U49" s="52"/>
      <c r="V49" s="52"/>
      <c r="W49" s="52"/>
      <c r="X49" s="52"/>
      <c r="Y49" s="52"/>
      <c r="Z49" s="52"/>
    </row>
    <row r="50">
      <c r="A50" s="52" t="str">
        <f>IFERROR(__xludf.DUMMYFUNCTION("""COMPUTED_VALUE"""),"chat::messages::external::service")</f>
        <v>chat::messages::external::service</v>
      </c>
      <c r="B50" s="52" t="str">
        <f>IFERROR(__xludf.DUMMYFUNCTION("""COMPUTED_VALUE"""),"Configuration issue, Database-related issue, Permission/deprecation issue")</f>
        <v>Configuration issue, Database-related issue, Permission/deprecation issue</v>
      </c>
      <c r="C50" s="52"/>
      <c r="D50" s="52" t="str">
        <f>IFERROR(__xludf.DUMMYFUNCTION("""COMPUTED_VALUE"""),"assignation::of::the::bug")</f>
        <v>assignation::of::the::bug</v>
      </c>
      <c r="E50" s="52"/>
      <c r="F50" s="52" t="str">
        <f>IFERROR(__xludf.DUMMYFUNCTION("""COMPUTED_VALUE"""),"asking::clarification::about::location::of::resources::(selected::design::choice)")</f>
        <v>asking::clarification::about::location::of::resources::(selected::design::choice)</v>
      </c>
      <c r="G50" s="52"/>
      <c r="H50" s="52" t="str">
        <f>IFERROR(__xludf.DUMMYFUNCTION("""COMPUTED_VALUE"""),"mentioned::bp::as::part::of:.meeting::agenda")</f>
        <v>mentioned::bp::as::part::of:.meeting::agenda</v>
      </c>
      <c r="I50" s="52" t="str">
        <f>IFERROR(__xludf.DUMMYFUNCTION("""COMPUTED_VALUE"""),"maven::repo::(googlecode)")</f>
        <v>maven::repo::(googlecode)</v>
      </c>
      <c r="J50" s="52"/>
      <c r="K50" s="52" t="str">
        <f>IFERROR(__xludf.DUMMYFUNCTION("""COMPUTED_VALUE"""),"usage::of::pre-commit::hooks")</f>
        <v>usage::of::pre-commit::hooks</v>
      </c>
      <c r="L50" s="52"/>
      <c r="M50" s="52"/>
      <c r="N50" s="52"/>
      <c r="O50" s="52"/>
      <c r="P50" s="52" t="str">
        <f>IFERROR(__xludf.DUMMYFUNCTION("""COMPUTED_VALUE"""),"approval::for::submitting::granted::(final)::core::rev::(vote2)")</f>
        <v>approval::for::submitting::granted::(final)::core::rev::(vote2)</v>
      </c>
      <c r="Q50" s="52"/>
      <c r="R50" s="52"/>
      <c r="S50" s="52"/>
      <c r="T50" s="52"/>
      <c r="U50" s="52"/>
      <c r="V50" s="52"/>
      <c r="W50" s="52"/>
      <c r="X50" s="52"/>
      <c r="Y50" s="52"/>
      <c r="Z50" s="52"/>
    </row>
    <row r="51">
      <c r="A51" s="52" t="str">
        <f>IFERROR(__xludf.DUMMYFUNCTION("""COMPUTED_VALUE"""),"circumstances::where::bug::appears")</f>
        <v>circumstances::where::bug::appears</v>
      </c>
      <c r="B51" s="52" t="str">
        <f>IFERROR(__xludf.DUMMYFUNCTION("""COMPUTED_VALUE"""),"Configuration issue, Database-related issue, Program anomaly issue")</f>
        <v>Configuration issue, Database-related issue, Program anomaly issue</v>
      </c>
      <c r="C51" s="52"/>
      <c r="D51" s="52" t="str">
        <f>IFERROR(__xludf.DUMMYFUNCTION("""COMPUTED_VALUE"""),"back::porting::of::the::fix")</f>
        <v>back::porting::of::the::fix</v>
      </c>
      <c r="E51" s="52"/>
      <c r="F51" s="52" t="str">
        <f>IFERROR(__xludf.DUMMYFUNCTION("""COMPUTED_VALUE"""),"asking::clarification::about::more::details::of::the::design::choice::(flow)")</f>
        <v>asking::clarification::about::more::details::of::the::design::choice::(flow)</v>
      </c>
      <c r="G51" s="52"/>
      <c r="H51" s="52" t="str">
        <f>IFERROR(__xludf.DUMMYFUNCTION("""COMPUTED_VALUE"""),"mentioned::bp::as::part::of:.release")</f>
        <v>mentioned::bp::as::part::of:.release</v>
      </c>
      <c r="I51" s="52" t="str">
        <f>IFERROR(__xludf.DUMMYFUNCTION("""COMPUTED_VALUE"""),"maven::repo::(java)")</f>
        <v>maven::repo::(java)</v>
      </c>
      <c r="J51" s="52"/>
      <c r="K51" s="52" t="str">
        <f>IFERROR(__xludf.DUMMYFUNCTION("""COMPUTED_VALUE"""),"usage::of::simple::config::file::(cfg)::and::config::in::code:.(mainly)")</f>
        <v>usage::of::simple::config::file::(cfg)::and::config::in::code:.(mainly)</v>
      </c>
      <c r="L51" s="52"/>
      <c r="M51" s="52"/>
      <c r="N51" s="52"/>
      <c r="O51" s="52"/>
      <c r="P51" s="52" t="str">
        <f>IFERROR(__xludf.DUMMYFUNCTION("""COMPUTED_VALUE"""),"approval::for::submitting::granted::(final)::core::rev::(vote3)")</f>
        <v>approval::for::submitting::granted::(final)::core::rev::(vote3)</v>
      </c>
      <c r="Q51" s="52"/>
      <c r="R51" s="52"/>
      <c r="S51" s="52"/>
      <c r="T51" s="52"/>
      <c r="U51" s="52"/>
      <c r="V51" s="52"/>
      <c r="W51" s="52"/>
      <c r="X51" s="52"/>
      <c r="Y51" s="52"/>
      <c r="Z51" s="52"/>
    </row>
    <row r="52">
      <c r="A52" s="52" t="str">
        <f>IFERROR(__xludf.DUMMYFUNCTION("""COMPUTED_VALUE"""),"cites::documentation")</f>
        <v>cites::documentation</v>
      </c>
      <c r="B52" s="52" t="str">
        <f>IFERROR(__xludf.DUMMYFUNCTION("""COMPUTED_VALUE"""),"Configuration issue, Database-related issue, Security issue")</f>
        <v>Configuration issue, Database-related issue, Security issue</v>
      </c>
      <c r="C52" s="52"/>
      <c r="D52" s="52" t="str">
        <f>IFERROR(__xludf.DUMMYFUNCTION("""COMPUTED_VALUE"""),"BP::is::continuation::of::other::BP")</f>
        <v>BP::is::continuation::of::other::BP</v>
      </c>
      <c r="E52" s="52"/>
      <c r="F52" s="52" t="str">
        <f>IFERROR(__xludf.DUMMYFUNCTION("""COMPUTED_VALUE"""),"asking::clarification::about::next::steps::(design:.choices)")</f>
        <v>asking::clarification::about::next::steps::(design:.choices)</v>
      </c>
      <c r="G52" s="52"/>
      <c r="H52" s="52" t="str">
        <f>IFERROR(__xludf.DUMMYFUNCTION("""COMPUTED_VALUE"""),"missing::feature")</f>
        <v>missing::feature</v>
      </c>
      <c r="I52" s="52" t="str">
        <f>IFERROR(__xludf.DUMMYFUNCTION("""COMPUTED_VALUE"""),"maven::repo::(jboss)")</f>
        <v>maven::repo::(jboss)</v>
      </c>
      <c r="J52" s="52"/>
      <c r="K52" s="52" t="str">
        <f>IFERROR(__xludf.DUMMYFUNCTION("""COMPUTED_VALUE"""),"usage::of::style::checking::static::analysis::tools")</f>
        <v>usage::of::style::checking::static::analysis::tools</v>
      </c>
      <c r="L52" s="52"/>
      <c r="M52" s="52"/>
      <c r="N52" s="52"/>
      <c r="O52" s="52"/>
      <c r="P52" s="52" t="str">
        <f>IFERROR(__xludf.DUMMYFUNCTION("""COMPUTED_VALUE"""),"approval::for::submitting::granted::(final)::core::rev::(vote4)")</f>
        <v>approval::for::submitting::granted::(final)::core::rev::(vote4)</v>
      </c>
      <c r="Q52" s="52"/>
      <c r="R52" s="52"/>
      <c r="S52" s="52"/>
      <c r="T52" s="52"/>
      <c r="U52" s="52"/>
      <c r="V52" s="52"/>
      <c r="W52" s="52"/>
      <c r="X52" s="52"/>
      <c r="Y52" s="52"/>
      <c r="Z52" s="52"/>
    </row>
    <row r="53">
      <c r="A53" s="52" t="str">
        <f>IFERROR(__xludf.DUMMYFUNCTION("""COMPUTED_VALUE"""),"clarification::about::the::development::process::(milestones)")</f>
        <v>clarification::about::the::development::process::(milestones)</v>
      </c>
      <c r="B53" s="52" t="str">
        <f>IFERROR(__xludf.DUMMYFUNCTION("""COMPUTED_VALUE"""),"Configuration issue, Database-related issue, Test code-related issue")</f>
        <v>Configuration issue, Database-related issue, Test code-related issue</v>
      </c>
      <c r="C53" s="52"/>
      <c r="D53" s="52" t="str">
        <f>IFERROR(__xludf.DUMMYFUNCTION("""COMPUTED_VALUE"""),"bug::confirmed::(master::branch)")</f>
        <v>bug::confirmed::(master::branch)</v>
      </c>
      <c r="E53" s="52"/>
      <c r="F53" s="52" t="str">
        <f>IFERROR(__xludf.DUMMYFUNCTION("""COMPUTED_VALUE"""),"asking::clarification::about::solution::design::(components::of::the::solution)")</f>
        <v>asking::clarification::about::solution::design::(components::of::the::solution)</v>
      </c>
      <c r="G53" s="52"/>
      <c r="H53" s="52" t="str">
        <f>IFERROR(__xludf.DUMMYFUNCTION("""COMPUTED_VALUE"""),"mitigations::of::cons::solution2")</f>
        <v>mitigations::of::cons::solution2</v>
      </c>
      <c r="I53" s="52" t="str">
        <f>IFERROR(__xludf.DUMMYFUNCTION("""COMPUTED_VALUE"""),"maven::repo::(maven::central)")</f>
        <v>maven::repo::(maven::central)</v>
      </c>
      <c r="J53" s="52"/>
      <c r="K53" s="52" t="str">
        <f>IFERROR(__xludf.DUMMYFUNCTION("""COMPUTED_VALUE"""),"usage::of::style::checking::static::analysis::tools::(pylint)")</f>
        <v>usage::of::style::checking::static::analysis::tools::(pylint)</v>
      </c>
      <c r="L53" s="52"/>
      <c r="M53" s="52"/>
      <c r="N53" s="52"/>
      <c r="O53" s="52"/>
      <c r="P53" s="52" t="str">
        <f>IFERROR(__xludf.DUMMYFUNCTION("""COMPUTED_VALUE"""),"approval::for::submitting::granted::(final)::core::rev::(vote7)")</f>
        <v>approval::for::submitting::granted::(final)::core::rev::(vote7)</v>
      </c>
      <c r="Q53" s="52"/>
      <c r="R53" s="52"/>
      <c r="S53" s="52"/>
      <c r="T53" s="52"/>
      <c r="U53" s="52"/>
      <c r="V53" s="52"/>
      <c r="W53" s="52"/>
      <c r="X53" s="52"/>
      <c r="Y53" s="52"/>
      <c r="Z53" s="52"/>
    </row>
    <row r="54">
      <c r="A54" s="52" t="str">
        <f>IFERROR(__xludf.DUMMYFUNCTION("""COMPUTED_VALUE"""),"clarification::about::the::problem::identified::as::culprit::for::regression")</f>
        <v>clarification::about::the::problem::identified::as::culprit::for::regression</v>
      </c>
      <c r="B54" s="52" t="str">
        <f>IFERROR(__xludf.DUMMYFUNCTION("""COMPUTED_VALUE"""),"Configuration issue, GUI-related issue, Network issue")</f>
        <v>Configuration issue, GUI-related issue, Network issue</v>
      </c>
      <c r="C54" s="52"/>
      <c r="D54" s="52" t="str">
        <f>IFERROR(__xludf.DUMMYFUNCTION("""COMPUTED_VALUE"""),"bug::is::not::the::same::as::bug::already::fixed")</f>
        <v>bug::is::not::the::same::as::bug::already::fixed</v>
      </c>
      <c r="E54" s="52"/>
      <c r="F54" s="52" t="str">
        <f>IFERROR(__xludf.DUMMYFUNCTION("""COMPUTED_VALUE"""),"asking::clarification::about::status::of::project::(removing:.label::experimental)::which::holds::the::BP")</f>
        <v>asking::clarification::about::status::of::project::(removing:.label::experimental)::which::holds::the::BP</v>
      </c>
      <c r="G54" s="52"/>
      <c r="H54" s="52" t="str">
        <f>IFERROR(__xludf.DUMMYFUNCTION("""COMPUTED_VALUE"""),"objective::of::the::BP/feature")</f>
        <v>objective::of::the::BP/feature</v>
      </c>
      <c r="I54" s="52" t="str">
        <f>IFERROR(__xludf.DUMMYFUNCTION("""COMPUTED_VALUE"""),"maven::repo::(sonatype)")</f>
        <v>maven::repo::(sonatype)</v>
      </c>
      <c r="J54" s="52"/>
      <c r="K54" s="52" t="str">
        <f>IFERROR(__xludf.DUMMYFUNCTION("""COMPUTED_VALUE"""),"usage::of::testing::conventions::and::practices")</f>
        <v>usage::of::testing::conventions::and::practices</v>
      </c>
      <c r="L54" s="52"/>
      <c r="M54" s="52"/>
      <c r="N54" s="52"/>
      <c r="O54" s="52"/>
      <c r="P54" s="52" t="str">
        <f>IFERROR(__xludf.DUMMYFUNCTION("""COMPUTED_VALUE"""),"approval::for::submitting::granted::(final)::core::rev::(vote8)")</f>
        <v>approval::for::submitting::granted::(final)::core::rev::(vote8)</v>
      </c>
      <c r="Q54" s="52"/>
      <c r="R54" s="52"/>
      <c r="S54" s="52"/>
      <c r="T54" s="52"/>
      <c r="U54" s="52"/>
      <c r="V54" s="52"/>
      <c r="W54" s="52"/>
      <c r="X54" s="52"/>
      <c r="Y54" s="52"/>
      <c r="Z54" s="52"/>
    </row>
    <row r="55">
      <c r="A55" s="52" t="str">
        <f>IFERROR(__xludf.DUMMYFUNCTION("""COMPUTED_VALUE"""),"clarification::about::the:.bug::source")</f>
        <v>clarification::about::the:.bug::source</v>
      </c>
      <c r="B55" s="52" t="str">
        <f>IFERROR(__xludf.DUMMYFUNCTION("""COMPUTED_VALUE"""),"Configuration issue, GUI-related issue, Performance issue")</f>
        <v>Configuration issue, GUI-related issue, Performance issue</v>
      </c>
      <c r="C55" s="52"/>
      <c r="D55" s="52" t="str">
        <f>IFERROR(__xludf.DUMMYFUNCTION("""COMPUTED_VALUE"""),"bug::is::special::version::of::related::bug")</f>
        <v>bug::is::special::version::of::related::bug</v>
      </c>
      <c r="E55" s="52"/>
      <c r="F55" s="52" t="str">
        <f>IFERROR(__xludf.DUMMYFUNCTION("""COMPUTED_VALUE"""),"asking::clarification::interaction::of::different::projects::(nova::neutron)::with::the::change::introduced::by::the:BP")</f>
        <v>asking::clarification::interaction::of::different::projects::(nova::neutron)::with::the::change::introduced::by::the:BP</v>
      </c>
      <c r="G55" s="52"/>
      <c r="H55" s="52" t="str">
        <f>IFERROR(__xludf.DUMMYFUNCTION("""COMPUTED_VALUE"""),"possible::extension::BP/feature")</f>
        <v>possible::extension::BP/feature</v>
      </c>
      <c r="I55" s="52" t="str">
        <f>IFERROR(__xludf.DUMMYFUNCTION("""COMPUTED_VALUE"""),"maven::wagon")</f>
        <v>maven::wagon</v>
      </c>
      <c r="J55" s="52"/>
      <c r="K55" s="52" t="str">
        <f>IFERROR(__xludf.DUMMYFUNCTION("""COMPUTED_VALUE"""),"usage::of::virtual::environments")</f>
        <v>usage::of::virtual::environments</v>
      </c>
      <c r="L55" s="52"/>
      <c r="M55" s="52"/>
      <c r="N55" s="52"/>
      <c r="O55" s="52"/>
      <c r="P55" s="52" t="str">
        <f>IFERROR(__xludf.DUMMYFUNCTION("""COMPUTED_VALUE"""),"approval::for::submitting::granted::(final)::core::rev::(vote9)")</f>
        <v>approval::for::submitting::granted::(final)::core::rev::(vote9)</v>
      </c>
      <c r="Q55" s="52"/>
      <c r="R55" s="52"/>
      <c r="S55" s="52"/>
      <c r="T55" s="52"/>
      <c r="U55" s="52"/>
      <c r="V55" s="52"/>
      <c r="W55" s="52"/>
      <c r="X55" s="52"/>
      <c r="Y55" s="52"/>
      <c r="Z55" s="52"/>
    </row>
    <row r="56">
      <c r="A56" s="52" t="str">
        <f>IFERROR(__xludf.DUMMYFUNCTION("""COMPUTED_VALUE"""),"clarification::about::when::the:.bug::source")</f>
        <v>clarification::about::when::the:.bug::source</v>
      </c>
      <c r="B56" s="52" t="str">
        <f>IFERROR(__xludf.DUMMYFUNCTION("""COMPUTED_VALUE"""),"Configuration issue, GUI-related issue, Permission/deprecation issue")</f>
        <v>Configuration issue, GUI-related issue, Permission/deprecation issue</v>
      </c>
      <c r="C56" s="52"/>
      <c r="D56" s="52" t="str">
        <f>IFERROR(__xludf.DUMMYFUNCTION("""COMPUTED_VALUE"""),"cause::of::another::bug::(explanation)")</f>
        <v>cause::of::another::bug::(explanation)</v>
      </c>
      <c r="E56" s="52"/>
      <c r="F56" s="52" t="str">
        <f>IFERROR(__xludf.DUMMYFUNCTION("""COMPUTED_VALUE"""),"asking::clarification::of::backporting::other::features::of::the::same::release::of::BP")</f>
        <v>asking::clarification::of::backporting::other::features::of::the::same::release::of::BP</v>
      </c>
      <c r="G56" s="52"/>
      <c r="H56" s="52" t="str">
        <f>IFERROR(__xludf.DUMMYFUNCTION("""COMPUTED_VALUE"""),"problem::description")</f>
        <v>problem::description</v>
      </c>
      <c r="I56" s="52" t="str">
        <f>IFERROR(__xludf.DUMMYFUNCTION("""COMPUTED_VALUE"""),"micro-benchmark")</f>
        <v>micro-benchmark</v>
      </c>
      <c r="J56" s="52"/>
      <c r="K56" s="52" t="str">
        <f>IFERROR(__xludf.DUMMYFUNCTION("""COMPUTED_VALUE"""),"usage::of::workflow::testing::tools")</f>
        <v>usage::of::workflow::testing::tools</v>
      </c>
      <c r="L56" s="52"/>
      <c r="M56" s="52"/>
      <c r="N56" s="52"/>
      <c r="O56" s="52"/>
      <c r="P56" s="52" t="str">
        <f>IFERROR(__xludf.DUMMYFUNCTION("""COMPUTED_VALUE"""),"approval::for::submitting::granted::(final)::core::rev1")</f>
        <v>approval::for::submitting::granted::(final)::core::rev1</v>
      </c>
      <c r="Q56" s="52"/>
      <c r="R56" s="52"/>
      <c r="S56" s="52"/>
      <c r="T56" s="52"/>
      <c r="U56" s="52"/>
      <c r="V56" s="52"/>
      <c r="W56" s="52"/>
      <c r="X56" s="52"/>
      <c r="Y56" s="52"/>
      <c r="Z56" s="52"/>
    </row>
    <row r="57">
      <c r="A57" s="52" t="str">
        <f>IFERROR(__xludf.DUMMYFUNCTION("""COMPUTED_VALUE"""),"clarification::about::where::the::bug::occurs")</f>
        <v>clarification::about::where::the::bug::occurs</v>
      </c>
      <c r="B57" s="52" t="str">
        <f>IFERROR(__xludf.DUMMYFUNCTION("""COMPUTED_VALUE"""),"Configuration issue, GUI-related issue, Program anomaly issue")</f>
        <v>Configuration issue, GUI-related issue, Program anomaly issue</v>
      </c>
      <c r="C57" s="52"/>
      <c r="D57" s="52" t="str">
        <f>IFERROR(__xludf.DUMMYFUNCTION("""COMPUTED_VALUE"""),"cause::of::bug::(explanation)")</f>
        <v>cause::of::bug::(explanation)</v>
      </c>
      <c r="E57" s="52"/>
      <c r="F57" s="52" t="str">
        <f>IFERROR(__xludf.DUMMYFUNCTION("""COMPUTED_VALUE"""),"asking::clarification::on::discussing::solution::design::(requirements::of::the::solution)")</f>
        <v>asking::clarification::on::discussing::solution::design::(requirements::of::the::solution)</v>
      </c>
      <c r="G57" s="52"/>
      <c r="H57" s="52" t="str">
        <f>IFERROR(__xludf.DUMMYFUNCTION("""COMPUTED_VALUE"""),"project::priority")</f>
        <v>project::priority</v>
      </c>
      <c r="I57" s="52" t="str">
        <f>IFERROR(__xludf.DUMMYFUNCTION("""COMPUTED_VALUE"""),"Microsoft::Hyper-V::CI")</f>
        <v>Microsoft::Hyper-V::CI</v>
      </c>
      <c r="J57" s="52"/>
      <c r="K57" s="52" t="str">
        <f>IFERROR(__xludf.DUMMYFUNCTION("""COMPUTED_VALUE"""),"use::wrapper::to::avoid::SO::platform::dependencies::when::building")</f>
        <v>use::wrapper::to::avoid::SO::platform::dependencies::when::building</v>
      </c>
      <c r="L57" s="52"/>
      <c r="M57" s="52"/>
      <c r="N57" s="52"/>
      <c r="O57" s="52"/>
      <c r="P57" s="52" t="str">
        <f>IFERROR(__xludf.DUMMYFUNCTION("""COMPUTED_VALUE"""),"approval::for::submitting::granted::(final)::core::rev2")</f>
        <v>approval::for::submitting::granted::(final)::core::rev2</v>
      </c>
      <c r="Q57" s="52"/>
      <c r="R57" s="52"/>
      <c r="S57" s="52"/>
      <c r="T57" s="52"/>
      <c r="U57" s="52"/>
      <c r="V57" s="52"/>
      <c r="W57" s="52"/>
      <c r="X57" s="52"/>
      <c r="Y57" s="52"/>
      <c r="Z57" s="52"/>
    </row>
    <row r="58">
      <c r="A58" s="52" t="str">
        <f>IFERROR(__xludf.DUMMYFUNCTION("""COMPUTED_VALUE"""),"clarification::of::software::versions::affected::by::the::bug")</f>
        <v>clarification::of::software::versions::affected::by::the::bug</v>
      </c>
      <c r="B58" s="52" t="str">
        <f>IFERROR(__xludf.DUMMYFUNCTION("""COMPUTED_VALUE"""),"Configuration issue, GUI-related issue, Security issue")</f>
        <v>Configuration issue, GUI-related issue, Security issue</v>
      </c>
      <c r="C58" s="52"/>
      <c r="D58" s="52" t="str">
        <f>IFERROR(__xludf.DUMMYFUNCTION("""COMPUTED_VALUE"""),"cause::of::bug::(new::feature)")</f>
        <v>cause::of::bug::(new::feature)</v>
      </c>
      <c r="E58" s="52"/>
      <c r="F58" s="52" t="str">
        <f>IFERROR(__xludf.DUMMYFUNCTION("""COMPUTED_VALUE"""),"asking::clarification::on::the::design::decision::taken::(hybrid::compute::nodes)")</f>
        <v>asking::clarification::on::the::design::decision::taken::(hybrid::compute::nodes)</v>
      </c>
      <c r="G58" s="52"/>
      <c r="H58" s="52" t="str">
        <f>IFERROR(__xludf.DUMMYFUNCTION("""COMPUTED_VALUE"""),"project::priority::(none)")</f>
        <v>project::priority::(none)</v>
      </c>
      <c r="I58" s="52" t="str">
        <f>IFERROR(__xludf.DUMMYFUNCTION("""COMPUTED_VALUE"""),"NA")</f>
        <v>NA</v>
      </c>
      <c r="J58" s="52"/>
      <c r="K58" s="52"/>
      <c r="L58" s="52"/>
      <c r="M58" s="52"/>
      <c r="N58" s="52"/>
      <c r="O58" s="52"/>
      <c r="P58" s="52" t="str">
        <f>IFERROR(__xludf.DUMMYFUNCTION("""COMPUTED_VALUE"""),"approval::for::submitting::granted::(final)::core::rev6")</f>
        <v>approval::for::submitting::granted::(final)::core::rev6</v>
      </c>
      <c r="Q58" s="52"/>
      <c r="R58" s="52"/>
      <c r="S58" s="52"/>
      <c r="T58" s="52"/>
      <c r="U58" s="52"/>
      <c r="V58" s="52"/>
      <c r="W58" s="52"/>
      <c r="X58" s="52"/>
      <c r="Y58" s="52"/>
      <c r="Z58" s="52"/>
    </row>
    <row r="59">
      <c r="A59" s="52" t="str">
        <f>IFERROR(__xludf.DUMMYFUNCTION("""COMPUTED_VALUE"""),"cleaning::and::creation::branches::for::the::proposed::fix")</f>
        <v>cleaning::and::creation::branches::for::the::proposed::fix</v>
      </c>
      <c r="B59" s="52" t="str">
        <f>IFERROR(__xludf.DUMMYFUNCTION("""COMPUTED_VALUE"""),"Configuration issue, GUI-related issue, Test code-related issue")</f>
        <v>Configuration issue, GUI-related issue, Test code-related issue</v>
      </c>
      <c r="C59" s="52"/>
      <c r="D59" s="52" t="str">
        <f>IFERROR(__xludf.DUMMYFUNCTION("""COMPUTED_VALUE"""),"causes::bug::(link::launchpad)::not::equal::fixed::bug")</f>
        <v>causes::bug::(link::launchpad)::not::equal::fixed::bug</v>
      </c>
      <c r="E59" s="52"/>
      <c r="F59" s="52" t="str">
        <f>IFERROR(__xludf.DUMMYFUNCTION("""COMPUTED_VALUE"""),"asking::clarification::regarding::responsibilities::(possible::missunderstanding)")</f>
        <v>asking::clarification::regarding::responsibilities::(possible::missunderstanding)</v>
      </c>
      <c r="G59" s="52"/>
      <c r="H59" s="52" t="str">
        <f>IFERROR(__xludf.DUMMYFUNCTION("""COMPUTED_VALUE"""),"proposal::of::a::possible::fix::(idea)")</f>
        <v>proposal::of::a::possible::fix::(idea)</v>
      </c>
      <c r="I59" s="52" t="str">
        <f>IFERROR(__xludf.DUMMYFUNCTION("""COMPUTED_VALUE"""),"nose")</f>
        <v>nose</v>
      </c>
      <c r="J59" s="52"/>
      <c r="K59" s="52"/>
      <c r="L59" s="52"/>
      <c r="M59" s="52"/>
      <c r="N59" s="52"/>
      <c r="O59" s="52"/>
      <c r="P59" s="52" t="str">
        <f>IFERROR(__xludf.DUMMYFUNCTION("""COMPUTED_VALUE"""),"approval::for::submitting::granted::(final)1")</f>
        <v>approval::for::submitting::granted::(final)1</v>
      </c>
      <c r="Q59" s="52"/>
      <c r="R59" s="52"/>
      <c r="S59" s="52"/>
      <c r="T59" s="52"/>
      <c r="U59" s="52"/>
      <c r="V59" s="52"/>
      <c r="W59" s="52"/>
      <c r="X59" s="52"/>
      <c r="Y59" s="52"/>
      <c r="Z59" s="52"/>
    </row>
    <row r="60">
      <c r="A60" s="52" t="str">
        <f>IFERROR(__xludf.DUMMYFUNCTION("""COMPUTED_VALUE"""),"command::line::output")</f>
        <v>command::line::output</v>
      </c>
      <c r="B60" s="52" t="str">
        <f>IFERROR(__xludf.DUMMYFUNCTION("""COMPUTED_VALUE"""),"Configuration issue, Network issue, Performance issue")</f>
        <v>Configuration issue, Network issue, Performance issue</v>
      </c>
      <c r="C60" s="52"/>
      <c r="D60" s="52" t="str">
        <f>IFERROR(__xludf.DUMMYFUNCTION("""COMPUTED_VALUE"""),"change::abandoned::by::the::one::who::proposed::changes::not::main::branch")</f>
        <v>change::abandoned::by::the::one::who::proposed::changes::not::main::branch</v>
      </c>
      <c r="E60" s="52"/>
      <c r="F60" s="52" t="str">
        <f>IFERROR(__xludf.DUMMYFUNCTION("""COMPUTED_VALUE"""),"asking::clarifications::about::bug::trace::implications")</f>
        <v>asking::clarifications::about::bug::trace::implications</v>
      </c>
      <c r="G60" s="52"/>
      <c r="H60" s="52" t="str">
        <f>IFERROR(__xludf.DUMMYFUNCTION("""COMPUTED_VALUE"""),"proposal::of::a::possible::fix::(link::review)")</f>
        <v>proposal::of::a::possible::fix::(link::review)</v>
      </c>
      <c r="I60" s="52" t="str">
        <f>IFERROR(__xludf.DUMMYFUNCTION("""COMPUTED_VALUE"""),"nosetest::(coverage)")</f>
        <v>nosetest::(coverage)</v>
      </c>
      <c r="J60" s="52"/>
      <c r="K60" s="52"/>
      <c r="L60" s="52"/>
      <c r="M60" s="52"/>
      <c r="N60" s="52"/>
      <c r="O60" s="52"/>
      <c r="P60" s="52" t="str">
        <f>IFERROR(__xludf.DUMMYFUNCTION("""COMPUTED_VALUE"""),"approval::for::submitting::granted::(non::final)::(vote1)")</f>
        <v>approval::for::submitting::granted::(non::final)::(vote1)</v>
      </c>
      <c r="Q60" s="52"/>
      <c r="R60" s="52"/>
      <c r="S60" s="52"/>
      <c r="T60" s="52"/>
      <c r="U60" s="52"/>
      <c r="V60" s="52"/>
      <c r="W60" s="52"/>
      <c r="X60" s="52"/>
      <c r="Y60" s="52"/>
      <c r="Z60" s="52"/>
    </row>
    <row r="61">
      <c r="A61" s="52" t="str">
        <f>IFERROR(__xludf.DUMMYFUNCTION("""COMPUTED_VALUE"""),"committed::fix::fixed::the::bug")</f>
        <v>committed::fix::fixed::the::bug</v>
      </c>
      <c r="B61" s="52" t="str">
        <f>IFERROR(__xludf.DUMMYFUNCTION("""COMPUTED_VALUE"""),"Configuration issue, Network issue, Permission/deprecation issue")</f>
        <v>Configuration issue, Network issue, Permission/deprecation issue</v>
      </c>
      <c r="C61" s="52"/>
      <c r="D61" s="52" t="str">
        <f>IFERROR(__xludf.DUMMYFUNCTION("""COMPUTED_VALUE"""),"change::abandoned::by::the::responsible")</f>
        <v>change::abandoned::by::the::responsible</v>
      </c>
      <c r="E61" s="52"/>
      <c r="F61" s="52" t="str">
        <f>IFERROR(__xludf.DUMMYFUNCTION("""COMPUTED_VALUE"""),"asking::clarifications::about::development::process::(testing)")</f>
        <v>asking::clarifications::about::development::process::(testing)</v>
      </c>
      <c r="G61" s="52"/>
      <c r="H61" s="52" t="str">
        <f>IFERROR(__xludf.DUMMYFUNCTION("""COMPUTED_VALUE"""),"proposal::of::a::possible::fix::(link::review)::not::main::branch")</f>
        <v>proposal::of::a::possible::fix::(link::review)::not::main::branch</v>
      </c>
      <c r="I61" s="52" t="str">
        <f>IFERROR(__xludf.DUMMYFUNCTION("""COMPUTED_VALUE"""),"nosetest::(unit::test)")</f>
        <v>nosetest::(unit::test)</v>
      </c>
      <c r="J61" s="52"/>
      <c r="K61" s="52"/>
      <c r="L61" s="52"/>
      <c r="M61" s="52"/>
      <c r="N61" s="52"/>
      <c r="O61" s="52"/>
      <c r="P61" s="52" t="str">
        <f>IFERROR(__xludf.DUMMYFUNCTION("""COMPUTED_VALUE"""),"approval::for::submitting::granted::(non::final)::(vote10)")</f>
        <v>approval::for::submitting::granted::(non::final)::(vote10)</v>
      </c>
      <c r="Q61" s="52"/>
      <c r="R61" s="52"/>
      <c r="S61" s="52"/>
      <c r="T61" s="52"/>
      <c r="U61" s="52"/>
      <c r="V61" s="52"/>
      <c r="W61" s="52"/>
      <c r="X61" s="52"/>
      <c r="Y61" s="52"/>
      <c r="Z61" s="52"/>
    </row>
    <row r="62">
      <c r="A62" s="52" t="str">
        <f>IFERROR(__xludf.DUMMYFUNCTION("""COMPUTED_VALUE"""),"compatibility")</f>
        <v>compatibility</v>
      </c>
      <c r="B62" s="52" t="str">
        <f>IFERROR(__xludf.DUMMYFUNCTION("""COMPUTED_VALUE"""),"Configuration issue, Network issue, Program anomaly issue")</f>
        <v>Configuration issue, Network issue, Program anomaly issue</v>
      </c>
      <c r="C62" s="52"/>
      <c r="D62" s="52" t="str">
        <f>IFERROR(__xludf.DUMMYFUNCTION("""COMPUTED_VALUE"""),"change::abandoned::by::the::responsible::(link::review1)")</f>
        <v>change::abandoned::by::the::responsible::(link::review1)</v>
      </c>
      <c r="E62" s="52"/>
      <c r="F62" s="52" t="str">
        <f>IFERROR(__xludf.DUMMYFUNCTION("""COMPUTED_VALUE"""),"asking::clarifications::about::development::process::(tests::process)")</f>
        <v>asking::clarifications::about::development::process::(tests::process)</v>
      </c>
      <c r="G62" s="52"/>
      <c r="H62" s="52" t="str">
        <f>IFERROR(__xludf.DUMMYFUNCTION("""COMPUTED_VALUE"""),"proposed::change")</f>
        <v>proposed::change</v>
      </c>
      <c r="I62" s="52" t="str">
        <f>IFERROR(__xludf.DUMMYFUNCTION("""COMPUTED_VALUE"""),"OpenStack::Proposal::Bot")</f>
        <v>OpenStack::Proposal::Bot</v>
      </c>
      <c r="J62" s="52"/>
      <c r="K62" s="52"/>
      <c r="L62" s="52"/>
      <c r="M62" s="52"/>
      <c r="N62" s="52"/>
      <c r="O62" s="52"/>
      <c r="P62" s="52" t="str">
        <f>IFERROR(__xludf.DUMMYFUNCTION("""COMPUTED_VALUE"""),"approval::for::submitting::granted::(non::final)::(vote11)")</f>
        <v>approval::for::submitting::granted::(non::final)::(vote11)</v>
      </c>
      <c r="Q62" s="52"/>
      <c r="R62" s="52"/>
      <c r="S62" s="52"/>
      <c r="T62" s="52"/>
      <c r="U62" s="52"/>
      <c r="V62" s="52"/>
      <c r="W62" s="52"/>
      <c r="X62" s="52"/>
      <c r="Y62" s="52"/>
      <c r="Z62" s="52"/>
    </row>
    <row r="63">
      <c r="A63" s="52" t="str">
        <f>IFERROR(__xludf.DUMMYFUNCTION("""COMPUTED_VALUE"""),"complex::changes::in::review::(specifically::tests)")</f>
        <v>complex::changes::in::review::(specifically::tests)</v>
      </c>
      <c r="B63" s="52" t="str">
        <f>IFERROR(__xludf.DUMMYFUNCTION("""COMPUTED_VALUE"""),"Configuration issue, Network issue, Security issue")</f>
        <v>Configuration issue, Network issue, Security issue</v>
      </c>
      <c r="C63" s="52"/>
      <c r="D63" s="52" t="str">
        <f>IFERROR(__xludf.DUMMYFUNCTION("""COMPUTED_VALUE"""),"change::abandoned::by::the::responsible::(link::review2)")</f>
        <v>change::abandoned::by::the::responsible::(link::review2)</v>
      </c>
      <c r="E63" s="52"/>
      <c r="F63" s="52" t="str">
        <f>IFERROR(__xludf.DUMMYFUNCTION("""COMPUTED_VALUE"""),"asking::clarifications::about::plan::development::process")</f>
        <v>asking::clarifications::about::plan::development::process</v>
      </c>
      <c r="G63" s="52"/>
      <c r="H63" s="52" t="str">
        <f>IFERROR(__xludf.DUMMYFUNCTION("""COMPUTED_VALUE"""),"proposed::change::alternative2")</f>
        <v>proposed::change::alternative2</v>
      </c>
      <c r="I63" s="52" t="str">
        <f>IFERROR(__xludf.DUMMYFUNCTION("""COMPUTED_VALUE"""),"pep8")</f>
        <v>pep8</v>
      </c>
      <c r="J63" s="52"/>
      <c r="K63" s="52"/>
      <c r="L63" s="52"/>
      <c r="M63" s="52"/>
      <c r="N63" s="52"/>
      <c r="O63" s="52"/>
      <c r="P63" s="52" t="str">
        <f>IFERROR(__xludf.DUMMYFUNCTION("""COMPUTED_VALUE"""),"approval::for::submitting::granted::(non::final)::(vote2)")</f>
        <v>approval::for::submitting::granted::(non::final)::(vote2)</v>
      </c>
      <c r="Q63" s="52"/>
      <c r="R63" s="52"/>
      <c r="S63" s="52"/>
      <c r="T63" s="52"/>
      <c r="U63" s="52"/>
      <c r="V63" s="52"/>
      <c r="W63" s="52"/>
      <c r="X63" s="52"/>
      <c r="Y63" s="52"/>
      <c r="Z63" s="52"/>
    </row>
    <row r="64">
      <c r="A64" s="52" t="str">
        <f>IFERROR(__xludf.DUMMYFUNCTION("""COMPUTED_VALUE"""),"configuration::of::nova::where::the::bug::was::found")</f>
        <v>configuration::of::nova::where::the::bug::was::found</v>
      </c>
      <c r="B64" s="52" t="str">
        <f>IFERROR(__xludf.DUMMYFUNCTION("""COMPUTED_VALUE"""),"Configuration issue, Network issue, Test code-related issue")</f>
        <v>Configuration issue, Network issue, Test code-related issue</v>
      </c>
      <c r="C64" s="52"/>
      <c r="D64" s="52" t="str">
        <f>IFERROR(__xludf.DUMMYFUNCTION("""COMPUTED_VALUE"""),"change::in::implementation::status::(code::review)")</f>
        <v>change::in::implementation::status::(code::review)</v>
      </c>
      <c r="E64" s="52"/>
      <c r="F64" s="52" t="str">
        <f>IFERROR(__xludf.DUMMYFUNCTION("""COMPUTED_VALUE"""),"asking::clarifications::about::proposed::solution::to::bug::due::to::new::functionality::that::was::enabled::thanks::to::the::BP::(compatibility)")</f>
        <v>asking::clarifications::about::proposed::solution::to::bug::due::to::new::functionality::that::was::enabled::thanks::to::the::BP::(compatibility)</v>
      </c>
      <c r="G64" s="52"/>
      <c r="H64" s="52" t="str">
        <f>IFERROR(__xludf.DUMMYFUNCTION("""COMPUTED_VALUE"""),"relation::with::other::BP/feature")</f>
        <v>relation::with::other::BP/feature</v>
      </c>
      <c r="I64" s="52" t="str">
        <f>IFERROR(__xludf.DUMMYFUNCTION("""COMPUTED_VALUE"""),"pep8::hacking")</f>
        <v>pep8::hacking</v>
      </c>
      <c r="J64" s="52"/>
      <c r="K64" s="52"/>
      <c r="L64" s="52"/>
      <c r="M64" s="52"/>
      <c r="N64" s="52"/>
      <c r="O64" s="52"/>
      <c r="P64" s="52" t="str">
        <f>IFERROR(__xludf.DUMMYFUNCTION("""COMPUTED_VALUE"""),"approval::for::submitting::granted::(non::final)::(vote3)")</f>
        <v>approval::for::submitting::granted::(non::final)::(vote3)</v>
      </c>
      <c r="Q64" s="52"/>
      <c r="R64" s="52"/>
      <c r="S64" s="52"/>
      <c r="T64" s="52"/>
      <c r="U64" s="52"/>
      <c r="V64" s="52"/>
      <c r="W64" s="52"/>
      <c r="X64" s="52"/>
      <c r="Y64" s="52"/>
      <c r="Z64" s="52"/>
    </row>
    <row r="65">
      <c r="A65" s="52" t="str">
        <f>IFERROR(__xludf.DUMMYFUNCTION("""COMPUTED_VALUE"""),"confimation::that::the::bug::is::duplicated::and::fixed")</f>
        <v>confimation::that::the::bug::is::duplicated::and::fixed</v>
      </c>
      <c r="B65" s="52" t="str">
        <f>IFERROR(__xludf.DUMMYFUNCTION("""COMPUTED_VALUE"""),"Configuration issue, Performance issue, Permission/deprecation issue")</f>
        <v>Configuration issue, Performance issue, Permission/deprecation issue</v>
      </c>
      <c r="C65" s="52"/>
      <c r="D65" s="52" t="str">
        <f>IFERROR(__xludf.DUMMYFUNCTION("""COMPUTED_VALUE"""),"change::in::implementation::status::(implemented)")</f>
        <v>change::in::implementation::status::(implemented)</v>
      </c>
      <c r="E65" s="52"/>
      <c r="F65" s="52" t="str">
        <f>IFERROR(__xludf.DUMMYFUNCTION("""COMPUTED_VALUE"""),"asking::clarifications::history::of::the::bug/BP")</f>
        <v>asking::clarifications::history::of::the::bug/BP</v>
      </c>
      <c r="G65" s="52"/>
      <c r="H65" s="52" t="str">
        <f>IFERROR(__xludf.DUMMYFUNCTION("""COMPUTED_VALUE"""),"responsibilities::(assignees)")</f>
        <v>responsibilities::(assignees)</v>
      </c>
      <c r="I65" s="52" t="str">
        <f>IFERROR(__xludf.DUMMYFUNCTION("""COMPUTED_VALUE"""),"pip")</f>
        <v>pip</v>
      </c>
      <c r="J65" s="52"/>
      <c r="K65" s="52"/>
      <c r="L65" s="52"/>
      <c r="M65" s="52"/>
      <c r="N65" s="52"/>
      <c r="O65" s="52"/>
      <c r="P65" s="52" t="str">
        <f>IFERROR(__xludf.DUMMYFUNCTION("""COMPUTED_VALUE"""),"approval::for::submitting::granted::(non::final)::(vote4)")</f>
        <v>approval::for::submitting::granted::(non::final)::(vote4)</v>
      </c>
      <c r="Q65" s="52"/>
      <c r="R65" s="52"/>
      <c r="S65" s="52"/>
      <c r="T65" s="52"/>
      <c r="U65" s="52"/>
      <c r="V65" s="52"/>
      <c r="W65" s="52"/>
      <c r="X65" s="52"/>
      <c r="Y65" s="52"/>
      <c r="Z65" s="52"/>
    </row>
    <row r="66">
      <c r="A66" s="52" t="str">
        <f>IFERROR(__xludf.DUMMYFUNCTION("""COMPUTED_VALUE"""),"confirmation::issue::is::bug")</f>
        <v>confirmation::issue::is::bug</v>
      </c>
      <c r="B66" s="52" t="str">
        <f>IFERROR(__xludf.DUMMYFUNCTION("""COMPUTED_VALUE"""),"Configuration issue, Performance issue, Program anomaly issue")</f>
        <v>Configuration issue, Performance issue, Program anomaly issue</v>
      </c>
      <c r="C66" s="52"/>
      <c r="D66" s="52" t="str">
        <f>IFERROR(__xludf.DUMMYFUNCTION("""COMPUTED_VALUE"""),"change::in::implementation::status::(in::progress)")</f>
        <v>change::in::implementation::status::(in::progress)</v>
      </c>
      <c r="E66" s="52"/>
      <c r="F66" s="52" t="str">
        <f>IFERROR(__xludf.DUMMYFUNCTION("""COMPUTED_VALUE"""),"asking::for::advice::(solution::design)")</f>
        <v>asking::for::advice::(solution::design)</v>
      </c>
      <c r="G66" s="52"/>
      <c r="H66" s="52" t="str">
        <f>IFERROR(__xludf.DUMMYFUNCTION("""COMPUTED_VALUE"""),"scope::of::BP")</f>
        <v>scope::of::BP</v>
      </c>
      <c r="I66" s="52" t="str">
        <f>IFERROR(__xludf.DUMMYFUNCTION("""COMPUTED_VALUE"""),"pre::commit::hooks::(run::unit::tests)")</f>
        <v>pre::commit::hooks::(run::unit::tests)</v>
      </c>
      <c r="J66" s="52"/>
      <c r="K66" s="52"/>
      <c r="L66" s="52"/>
      <c r="M66" s="52"/>
      <c r="N66" s="52"/>
      <c r="O66" s="52"/>
      <c r="P66" s="52" t="str">
        <f>IFERROR(__xludf.DUMMYFUNCTION("""COMPUTED_VALUE"""),"approval::for::submitting::granted::(non::final)::(vote5)")</f>
        <v>approval::for::submitting::granted::(non::final)::(vote5)</v>
      </c>
      <c r="Q66" s="52"/>
      <c r="R66" s="52"/>
      <c r="S66" s="52"/>
      <c r="T66" s="52"/>
      <c r="U66" s="52"/>
      <c r="V66" s="52"/>
      <c r="W66" s="52"/>
      <c r="X66" s="52"/>
      <c r="Y66" s="52"/>
      <c r="Z66" s="52"/>
    </row>
    <row r="67">
      <c r="A67" s="52" t="str">
        <f>IFERROR(__xludf.DUMMYFUNCTION("""COMPUTED_VALUE"""),"contains::logs::links::of::the::behaviour")</f>
        <v>contains::logs::links::of::the::behaviour</v>
      </c>
      <c r="B67" s="52" t="str">
        <f>IFERROR(__xludf.DUMMYFUNCTION("""COMPUTED_VALUE"""),"Configuration issue, Performance issue, Security issue")</f>
        <v>Configuration issue, Performance issue, Security issue</v>
      </c>
      <c r="C67" s="52"/>
      <c r="D67" s="52" t="str">
        <f>IFERROR(__xludf.DUMMYFUNCTION("""COMPUTED_VALUE"""),"change::in::priority::(medium)")</f>
        <v>change::in::priority::(medium)</v>
      </c>
      <c r="E67" s="52"/>
      <c r="F67" s="52" t="str">
        <f>IFERROR(__xludf.DUMMYFUNCTION("""COMPUTED_VALUE"""),"asking::for::approval::of::the::implmentation::(other::review)")</f>
        <v>asking::for::approval::of::the::implmentation::(other::review)</v>
      </c>
      <c r="G67" s="52"/>
      <c r="H67" s="52" t="str">
        <f>IFERROR(__xludf.DUMMYFUNCTION("""COMPUTED_VALUE"""),"source::of::the::bug::(link::to::paste::open::stack)")</f>
        <v>source::of::the::bug::(link::to::paste::open::stack)</v>
      </c>
      <c r="I67" s="52" t="str">
        <f>IFERROR(__xludf.DUMMYFUNCTION("""COMPUTED_VALUE"""),"pyflakes")</f>
        <v>pyflakes</v>
      </c>
      <c r="J67" s="52"/>
      <c r="K67" s="52"/>
      <c r="L67" s="52"/>
      <c r="M67" s="52"/>
      <c r="N67" s="52"/>
      <c r="O67" s="52"/>
      <c r="P67" s="52" t="str">
        <f>IFERROR(__xludf.DUMMYFUNCTION("""COMPUTED_VALUE"""),"approval::for::submitting::granted::(non::final)::(vote6)")</f>
        <v>approval::for::submitting::granted::(non::final)::(vote6)</v>
      </c>
      <c r="Q67" s="52"/>
      <c r="R67" s="52"/>
      <c r="S67" s="52"/>
      <c r="T67" s="52"/>
      <c r="U67" s="52"/>
      <c r="V67" s="52"/>
      <c r="W67" s="52"/>
      <c r="X67" s="52"/>
      <c r="Y67" s="52"/>
      <c r="Z67" s="52"/>
    </row>
    <row r="68">
      <c r="A68" s="52" t="str">
        <f>IFERROR(__xludf.DUMMYFUNCTION("""COMPUTED_VALUE"""),"content::of::possible::fix")</f>
        <v>content::of::possible::fix</v>
      </c>
      <c r="B68" s="52" t="str">
        <f>IFERROR(__xludf.DUMMYFUNCTION("""COMPUTED_VALUE"""),"Configuration issue, Performance issue, Test code-related issue")</f>
        <v>Configuration issue, Performance issue, Test code-related issue</v>
      </c>
      <c r="C68" s="52"/>
      <c r="D68" s="52" t="str">
        <f>IFERROR(__xludf.DUMMYFUNCTION("""COMPUTED_VALUE"""),"change2::abandoned::by::the::responsible")</f>
        <v>change2::abandoned::by::the::responsible</v>
      </c>
      <c r="E68" s="52"/>
      <c r="F68" s="52" t="str">
        <f>IFERROR(__xludf.DUMMYFUNCTION("""COMPUTED_VALUE"""),"asking::for::approval::of::the::implmentation::(review)")</f>
        <v>asking::for::approval::of::the::implmentation::(review)</v>
      </c>
      <c r="G68" s="52"/>
      <c r="H68" s="52" t="str">
        <f>IFERROR(__xludf.DUMMYFUNCTION("""COMPUTED_VALUE"""),"steps::to::follow::BP")</f>
        <v>steps::to::follow::BP</v>
      </c>
      <c r="I68" s="52" t="str">
        <f>IFERROR(__xludf.DUMMYFUNCTION("""COMPUTED_VALUE"""),"Pylint")</f>
        <v>Pylint</v>
      </c>
      <c r="J68" s="52"/>
      <c r="K68" s="52"/>
      <c r="L68" s="52"/>
      <c r="M68" s="52"/>
      <c r="N68" s="52"/>
      <c r="O68" s="52"/>
      <c r="P68" s="52" t="str">
        <f>IFERROR(__xludf.DUMMYFUNCTION("""COMPUTED_VALUE"""),"approval::for::submitting::granted::(non::final)::(vote7)")</f>
        <v>approval::for::submitting::granted::(non::final)::(vote7)</v>
      </c>
      <c r="Q68" s="52"/>
      <c r="R68" s="52"/>
      <c r="S68" s="52"/>
      <c r="T68" s="52"/>
      <c r="U68" s="52"/>
      <c r="V68" s="52"/>
      <c r="W68" s="52"/>
      <c r="X68" s="52"/>
      <c r="Y68" s="52"/>
      <c r="Z68" s="52"/>
    </row>
    <row r="69">
      <c r="A69" s="52" t="str">
        <f>IFERROR(__xludf.DUMMYFUNCTION("""COMPUTED_VALUE"""),"criticallity::of::properties::that::are::affected::by::the::bug")</f>
        <v>criticallity::of::properties::that::are::affected::by::the::bug</v>
      </c>
      <c r="B69" s="52" t="str">
        <f>IFERROR(__xludf.DUMMYFUNCTION("""COMPUTED_VALUE"""),"Configuration issue, Permission/deprecation issue, Program anomaly issue")</f>
        <v>Configuration issue, Permission/deprecation issue, Program anomaly issue</v>
      </c>
      <c r="C69" s="52"/>
      <c r="D69" s="52" t="str">
        <f>IFERROR(__xludf.DUMMYFUNCTION("""COMPUTED_VALUE"""),"changed::original::description::(link::to::original::description)")</f>
        <v>changed::original::description::(link::to::original::description)</v>
      </c>
      <c r="E69" s="52"/>
      <c r="F69" s="52" t="str">
        <f>IFERROR(__xludf.DUMMYFUNCTION("""COMPUTED_VALUE"""),"asking::for::creation::(specification::new::API)")</f>
        <v>asking::for::creation::(specification::new::API)</v>
      </c>
      <c r="G69" s="52"/>
      <c r="H69" s="52" t="str">
        <f>IFERROR(__xludf.DUMMYFUNCTION("""COMPUTED_VALUE"""),"subtask::priorities")</f>
        <v>subtask::priorities</v>
      </c>
      <c r="I69" s="52" t="str">
        <f>IFERROR(__xludf.DUMMYFUNCTION("""COMPUTED_VALUE"""),"randomized::testing::(carrot)")</f>
        <v>randomized::testing::(carrot)</v>
      </c>
      <c r="J69" s="52"/>
      <c r="K69" s="52"/>
      <c r="L69" s="52"/>
      <c r="M69" s="52"/>
      <c r="N69" s="52"/>
      <c r="O69" s="52"/>
      <c r="P69" s="52" t="str">
        <f>IFERROR(__xludf.DUMMYFUNCTION("""COMPUTED_VALUE"""),"approval::for::submitting::granted::(non::final)::(vote8)")</f>
        <v>approval::for::submitting::granted::(non::final)::(vote8)</v>
      </c>
      <c r="Q69" s="52"/>
      <c r="R69" s="52"/>
      <c r="S69" s="52"/>
      <c r="T69" s="52"/>
      <c r="U69" s="52"/>
      <c r="V69" s="52"/>
      <c r="W69" s="52"/>
      <c r="X69" s="52"/>
      <c r="Y69" s="52"/>
      <c r="Z69" s="52"/>
    </row>
    <row r="70">
      <c r="A70" s="52" t="str">
        <f>IFERROR(__xludf.DUMMYFUNCTION("""COMPUTED_VALUE"""),"culprit::related::to::identified::regression")</f>
        <v>culprit::related::to::identified::regression</v>
      </c>
      <c r="B70" s="52" t="str">
        <f>IFERROR(__xludf.DUMMYFUNCTION("""COMPUTED_VALUE"""),"Configuration issue, Permission/deprecation issue, Security issue")</f>
        <v>Configuration issue, Permission/deprecation issue, Security issue</v>
      </c>
      <c r="C70" s="52"/>
      <c r="D70" s="52" t="str">
        <f>IFERROR(__xludf.DUMMYFUNCTION("""COMPUTED_VALUE"""),"claim::of::responsibility::for::fix")</f>
        <v>claim::of::responsibility::for::fix</v>
      </c>
      <c r="E70" s="52"/>
      <c r="F70" s="52" t="str">
        <f>IFERROR(__xludf.DUMMYFUNCTION("""COMPUTED_VALUE"""),"asking::for::help::(help::plea)")</f>
        <v>asking::for::help::(help::plea)</v>
      </c>
      <c r="G70" s="52"/>
      <c r="H70" s="52" t="str">
        <f>IFERROR(__xludf.DUMMYFUNCTION("""COMPUTED_VALUE"""),"summary::problem")</f>
        <v>summary::problem</v>
      </c>
      <c r="I70" s="52" t="str">
        <f>IFERROR(__xludf.DUMMYFUNCTION("""COMPUTED_VALUE"""),"readme")</f>
        <v>readme</v>
      </c>
      <c r="J70" s="52"/>
      <c r="K70" s="52"/>
      <c r="L70" s="52"/>
      <c r="M70" s="52"/>
      <c r="N70" s="52"/>
      <c r="O70" s="52"/>
      <c r="P70" s="52" t="str">
        <f>IFERROR(__xludf.DUMMYFUNCTION("""COMPUTED_VALUE"""),"approval::for::submitting::granted::(non::final)::core::rev::(vote1)")</f>
        <v>approval::for::submitting::granted::(non::final)::core::rev::(vote1)</v>
      </c>
      <c r="Q70" s="52"/>
      <c r="R70" s="52"/>
      <c r="S70" s="52"/>
      <c r="T70" s="52"/>
      <c r="U70" s="52"/>
      <c r="V70" s="52"/>
      <c r="W70" s="52"/>
      <c r="X70" s="52"/>
      <c r="Y70" s="52"/>
      <c r="Z70" s="52"/>
    </row>
    <row r="71">
      <c r="A71" s="52" t="str">
        <f>IFERROR(__xludf.DUMMYFUNCTION("""COMPUTED_VALUE"""),"culprit::related::to::identified::regression::(link::to::commit)")</f>
        <v>culprit::related::to::identified::regression::(link::to::commit)</v>
      </c>
      <c r="B71" s="52" t="str">
        <f>IFERROR(__xludf.DUMMYFUNCTION("""COMPUTED_VALUE"""),"Configuration issue, Permission/deprecation issue, Test code-related issue")</f>
        <v>Configuration issue, Permission/deprecation issue, Test code-related issue</v>
      </c>
      <c r="C71" s="52"/>
      <c r="D71" s="52" t="str">
        <f>IFERROR(__xludf.DUMMYFUNCTION("""COMPUTED_VALUE"""),"clarifying::development::process::(documentation::BP)")</f>
        <v>clarifying::development::process::(documentation::BP)</v>
      </c>
      <c r="E71" s="52"/>
      <c r="F71" s="52" t="str">
        <f>IFERROR(__xludf.DUMMYFUNCTION("""COMPUTED_VALUE"""),"asking::for::more::oppinions::(by::devs::of::related::project)")</f>
        <v>asking::for::more::oppinions::(by::devs::of::related::project)</v>
      </c>
      <c r="G71" s="52"/>
      <c r="H71" s="52" t="str">
        <f>IFERROR(__xludf.DUMMYFUNCTION("""COMPUTED_VALUE"""),"testing")</f>
        <v>testing</v>
      </c>
      <c r="I71" s="52" t="str">
        <f>IFERROR(__xludf.DUMMYFUNCTION("""COMPUTED_VALUE"""),"regression::test::check::(automated)")</f>
        <v>regression::test::check::(automated)</v>
      </c>
      <c r="J71" s="52"/>
      <c r="K71" s="52"/>
      <c r="L71" s="52"/>
      <c r="M71" s="52"/>
      <c r="N71" s="52"/>
      <c r="O71" s="52"/>
      <c r="P71" s="52" t="str">
        <f>IFERROR(__xludf.DUMMYFUNCTION("""COMPUTED_VALUE"""),"approval::for::submitting::granted::(non::final)::core::rev::(vote10)")</f>
        <v>approval::for::submitting::granted::(non::final)::core::rev::(vote10)</v>
      </c>
      <c r="Q71" s="52"/>
      <c r="R71" s="52"/>
      <c r="S71" s="52"/>
      <c r="T71" s="52"/>
      <c r="U71" s="52"/>
      <c r="V71" s="52"/>
      <c r="W71" s="52"/>
      <c r="X71" s="52"/>
      <c r="Y71" s="52"/>
      <c r="Z71" s="52"/>
    </row>
    <row r="72">
      <c r="A72" s="52" t="str">
        <f>IFERROR(__xludf.DUMMYFUNCTION("""COMPUTED_VALUE"""),"culprit::related::to::identified::regression::(link::to::issue)")</f>
        <v>culprit::related::to::identified::regression::(link::to::issue)</v>
      </c>
      <c r="B72" s="52" t="str">
        <f>IFERROR(__xludf.DUMMYFUNCTION("""COMPUTED_VALUE"""),"Configuration issue, Program anomaly issue, Test code-related issue")</f>
        <v>Configuration issue, Program anomaly issue, Test code-related issue</v>
      </c>
      <c r="C72" s="52"/>
      <c r="D72" s="52" t="str">
        <f>IFERROR(__xludf.DUMMYFUNCTION("""COMPUTED_VALUE"""),"clarifying::development::process::(issue::tracker)")</f>
        <v>clarifying::development::process::(issue::tracker)</v>
      </c>
      <c r="E72" s="52"/>
      <c r="F72" s="52" t="str">
        <f>IFERROR(__xludf.DUMMYFUNCTION("""COMPUTED_VALUE"""),"asking::for::plan::development::process::(move::project::outside::nova)")</f>
        <v>asking::for::plan::development::process::(move::project::outside::nova)</v>
      </c>
      <c r="G72" s="52"/>
      <c r="H72" s="52" t="str">
        <f>IFERROR(__xludf.DUMMYFUNCTION("""COMPUTED_VALUE"""),"testing::(tempest::tests)")</f>
        <v>testing::(tempest::tests)</v>
      </c>
      <c r="I72" s="52" t="str">
        <f>IFERROR(__xludf.DUMMYFUNCTION("""COMPUTED_VALUE"""),"requirements::txt")</f>
        <v>requirements::txt</v>
      </c>
      <c r="J72" s="52"/>
      <c r="K72" s="52"/>
      <c r="L72" s="52"/>
      <c r="M72" s="52"/>
      <c r="N72" s="52"/>
      <c r="O72" s="52"/>
      <c r="P72" s="52" t="str">
        <f>IFERROR(__xludf.DUMMYFUNCTION("""COMPUTED_VALUE"""),"approval::for::submitting::granted::(non::final)::core::rev::(vote12)")</f>
        <v>approval::for::submitting::granted::(non::final)::core::rev::(vote12)</v>
      </c>
      <c r="Q72" s="52"/>
      <c r="R72" s="52"/>
      <c r="S72" s="52"/>
      <c r="T72" s="52"/>
      <c r="U72" s="52"/>
      <c r="V72" s="52"/>
      <c r="W72" s="52"/>
      <c r="X72" s="52"/>
      <c r="Y72" s="52"/>
      <c r="Z72" s="52"/>
    </row>
    <row r="73">
      <c r="A73" s="52" t="str">
        <f>IFERROR(__xludf.DUMMYFUNCTION("""COMPUTED_VALUE"""),"culprit::related::to::identified::regression::(link::to::review)")</f>
        <v>culprit::related::to::identified::regression::(link::to::review)</v>
      </c>
      <c r="B73" s="52" t="str">
        <f>IFERROR(__xludf.DUMMYFUNCTION("""COMPUTED_VALUE"""),"Configuration issue, Security issue, Program anomaly issue")</f>
        <v>Configuration issue, Security issue, Program anomaly issue</v>
      </c>
      <c r="C73" s="52"/>
      <c r="D73" s="52" t="str">
        <f>IFERROR(__xludf.DUMMYFUNCTION("""COMPUTED_VALUE"""),"clarifying::development::process::(justification::approach)")</f>
        <v>clarifying::development::process::(justification::approach)</v>
      </c>
      <c r="E73" s="52"/>
      <c r="F73" s="52" t="str">
        <f>IFERROR(__xludf.DUMMYFUNCTION("""COMPUTED_VALUE"""),"asking::for:.an::existing::Bug/BP::to:.work::on")</f>
        <v>asking::for:.an::existing::Bug/BP::to:.work::on</v>
      </c>
      <c r="G73" s="52"/>
      <c r="H73" s="52" t="str">
        <f>IFERROR(__xludf.DUMMYFUNCTION("""COMPUTED_VALUE"""),"testing::(unit::tests)")</f>
        <v>testing::(unit::tests)</v>
      </c>
      <c r="I73" s="52" t="str">
        <f>IFERROR(__xludf.DUMMYFUNCTION("""COMPUTED_VALUE"""),"requirements::txt::(test)")</f>
        <v>requirements::txt::(test)</v>
      </c>
      <c r="J73" s="52"/>
      <c r="K73" s="52"/>
      <c r="L73" s="52"/>
      <c r="M73" s="52"/>
      <c r="N73" s="52"/>
      <c r="O73" s="52"/>
      <c r="P73" s="52" t="str">
        <f>IFERROR(__xludf.DUMMYFUNCTION("""COMPUTED_VALUE"""),"approval::for::submitting::granted::(non::final)::core::rev::(vote2)")</f>
        <v>approval::for::submitting::granted::(non::final)::core::rev::(vote2)</v>
      </c>
      <c r="Q73" s="52"/>
      <c r="R73" s="52"/>
      <c r="S73" s="52"/>
      <c r="T73" s="52"/>
      <c r="U73" s="52"/>
      <c r="V73" s="52"/>
      <c r="W73" s="52"/>
      <c r="X73" s="52"/>
      <c r="Y73" s="52"/>
      <c r="Z73" s="52"/>
    </row>
    <row r="74">
      <c r="A74" s="52" t="str">
        <f>IFERROR(__xludf.DUMMYFUNCTION("""COMPUTED_VALUE"""),"debugging")</f>
        <v>debugging</v>
      </c>
      <c r="B74" s="52" t="str">
        <f>IFERROR(__xludf.DUMMYFUNCTION("""COMPUTED_VALUE"""),"Configuration issue, Security issue, Test code-related issue")</f>
        <v>Configuration issue, Security issue, Test code-related issue</v>
      </c>
      <c r="C74" s="52"/>
      <c r="D74" s="52" t="str">
        <f>IFERROR(__xludf.DUMMYFUNCTION("""COMPUTED_VALUE"""),"code::reviews::required")</f>
        <v>code::reviews::required</v>
      </c>
      <c r="E74" s="52"/>
      <c r="F74" s="52" t="str">
        <f>IFERROR(__xludf.DUMMYFUNCTION("""COMPUTED_VALUE"""),"asking::if::different::bug::could::be::related::to::current::bug")</f>
        <v>asking::if::different::bug::could::be::related::to::current::bug</v>
      </c>
      <c r="G74" s="52"/>
      <c r="H74" s="52" t="str">
        <f>IFERROR(__xludf.DUMMYFUNCTION("""COMPUTED_VALUE"""),"undesired::behaviour")</f>
        <v>undesired::behaviour</v>
      </c>
      <c r="I74" s="52" t="str">
        <f>IFERROR(__xludf.DUMMYFUNCTION("""COMPUTED_VALUE"""),"Setuptools")</f>
        <v>Setuptools</v>
      </c>
      <c r="J74" s="52"/>
      <c r="K74" s="52"/>
      <c r="L74" s="52"/>
      <c r="M74" s="52"/>
      <c r="N74" s="52"/>
      <c r="O74" s="52"/>
      <c r="P74" s="52" t="str">
        <f>IFERROR(__xludf.DUMMYFUNCTION("""COMPUTED_VALUE"""),"approval::for::submitting::granted::(non::final)::core::rev::(vote3)")</f>
        <v>approval::for::submitting::granted::(non::final)::core::rev::(vote3)</v>
      </c>
      <c r="Q74" s="52"/>
      <c r="R74" s="52"/>
      <c r="S74" s="52"/>
      <c r="T74" s="52"/>
      <c r="U74" s="52"/>
      <c r="V74" s="52"/>
      <c r="W74" s="52"/>
      <c r="X74" s="52"/>
      <c r="Y74" s="52"/>
      <c r="Z74" s="52"/>
    </row>
    <row r="75">
      <c r="A75" s="52" t="str">
        <f>IFERROR(__xludf.DUMMYFUNCTION("""COMPUTED_VALUE"""),"desired::behaviour")</f>
        <v>desired::behaviour</v>
      </c>
      <c r="B75" s="52" t="str">
        <f>IFERROR(__xludf.DUMMYFUNCTION("""COMPUTED_VALUE"""),"Database-related issue, GUI-related issue, Network issue")</f>
        <v>Database-related issue, GUI-related issue, Network issue</v>
      </c>
      <c r="C75" s="52"/>
      <c r="D75" s="52" t="str">
        <f>IFERROR(__xludf.DUMMYFUNCTION("""COMPUTED_VALUE"""),"command::line::output")</f>
        <v>command::line::output</v>
      </c>
      <c r="E75" s="52"/>
      <c r="F75" s="52" t="str">
        <f>IFERROR(__xludf.DUMMYFUNCTION("""COMPUTED_VALUE"""),"asking::plans::move::project::ouside::nova")</f>
        <v>asking::plans::move::project::ouside::nova</v>
      </c>
      <c r="G75" s="52"/>
      <c r="H75" s="52" t="str">
        <f>IFERROR(__xludf.DUMMYFUNCTION("""COMPUTED_VALUE"""),"units::of::work")</f>
        <v>units::of::work</v>
      </c>
      <c r="I75" s="52" t="str">
        <f>IFERROR(__xludf.DUMMYFUNCTION("""COMPUTED_VALUE"""),"SIGAR")</f>
        <v>SIGAR</v>
      </c>
      <c r="J75" s="52"/>
      <c r="K75" s="52"/>
      <c r="L75" s="52"/>
      <c r="M75" s="52"/>
      <c r="N75" s="52"/>
      <c r="O75" s="52"/>
      <c r="P75" s="52" t="str">
        <f>IFERROR(__xludf.DUMMYFUNCTION("""COMPUTED_VALUE"""),"approval::for::submitting::granted::(non::final)::core::rev::(vote4)")</f>
        <v>approval::for::submitting::granted::(non::final)::core::rev::(vote4)</v>
      </c>
      <c r="Q75" s="52"/>
      <c r="R75" s="52"/>
      <c r="S75" s="52"/>
      <c r="T75" s="52"/>
      <c r="U75" s="52"/>
      <c r="V75" s="52"/>
      <c r="W75" s="52"/>
      <c r="X75" s="52"/>
      <c r="Y75" s="52"/>
      <c r="Z75" s="52"/>
    </row>
    <row r="76">
      <c r="A76" s="52" t="str">
        <f>IFERROR(__xludf.DUMMYFUNCTION("""COMPUTED_VALUE"""),"details::on::the::involved::hardware")</f>
        <v>details::on::the::involved::hardware</v>
      </c>
      <c r="B76" s="52" t="str">
        <f>IFERROR(__xludf.DUMMYFUNCTION("""COMPUTED_VALUE"""),"Database-related issue, GUI-related issue, Performance issue")</f>
        <v>Database-related issue, GUI-related issue, Performance issue</v>
      </c>
      <c r="C76" s="52"/>
      <c r="D76" s="52" t="str">
        <f>IFERROR(__xludf.DUMMYFUNCTION("""COMPUTED_VALUE"""),"commenting::development::process::(schedule/time)")</f>
        <v>commenting::development::process::(schedule/time)</v>
      </c>
      <c r="E76" s="52"/>
      <c r="F76" s="52" t="str">
        <f>IFERROR(__xludf.DUMMYFUNCTION("""COMPUTED_VALUE"""),"asking::reason::for::(move::project::outside::nova)")</f>
        <v>asking::reason::for::(move::project::outside::nova)</v>
      </c>
      <c r="G76" s="52"/>
      <c r="H76" s="52" t="str">
        <f>IFERROR(__xludf.DUMMYFUNCTION("""COMPUTED_VALUE"""),"use::cases::of::the::BP")</f>
        <v>use::cases::of::the::BP</v>
      </c>
      <c r="I76" s="52" t="str">
        <f>IFERROR(__xludf.DUMMYFUNCTION("""COMPUTED_VALUE"""),"slf4j")</f>
        <v>slf4j</v>
      </c>
      <c r="J76" s="52"/>
      <c r="K76" s="52"/>
      <c r="L76" s="52"/>
      <c r="M76" s="52"/>
      <c r="N76" s="52"/>
      <c r="O76" s="52"/>
      <c r="P76" s="52" t="str">
        <f>IFERROR(__xludf.DUMMYFUNCTION("""COMPUTED_VALUE"""),"approval::for::submitting::granted::(non::final)::core::rev::(vote5)")</f>
        <v>approval::for::submitting::granted::(non::final)::core::rev::(vote5)</v>
      </c>
      <c r="Q76" s="52"/>
      <c r="R76" s="52"/>
      <c r="S76" s="52"/>
      <c r="T76" s="52"/>
      <c r="U76" s="52"/>
      <c r="V76" s="52"/>
      <c r="W76" s="52"/>
      <c r="X76" s="52"/>
      <c r="Y76" s="52"/>
      <c r="Z76" s="52"/>
    </row>
    <row r="77">
      <c r="A77" s="52" t="str">
        <f>IFERROR(__xludf.DUMMYFUNCTION("""COMPUTED_VALUE"""),"disagreeing::bug::description")</f>
        <v>disagreeing::bug::description</v>
      </c>
      <c r="B77" s="52" t="str">
        <f>IFERROR(__xludf.DUMMYFUNCTION("""COMPUTED_VALUE"""),"Database-related issue, GUI-related issue, Permission/deprecation issue")</f>
        <v>Database-related issue, GUI-related issue, Permission/deprecation issue</v>
      </c>
      <c r="C77" s="52"/>
      <c r="D77" s="52" t="str">
        <f>IFERROR(__xludf.DUMMYFUNCTION("""COMPUTED_VALUE"""),"commenting::development::process::(why::blocked)")</f>
        <v>commenting::development::process::(why::blocked)</v>
      </c>
      <c r="E77" s="52"/>
      <c r="F77" s="52" t="str">
        <f>IFERROR(__xludf.DUMMYFUNCTION("""COMPUTED_VALUE"""),"asking::to::review::in::related::changes::of::the::project")</f>
        <v>asking::to::review::in::related::changes::of::the::project</v>
      </c>
      <c r="G77" s="52"/>
      <c r="H77" s="52" t="str">
        <f>IFERROR(__xludf.DUMMYFUNCTION("""COMPUTED_VALUE"""),"version::of::nova:::in::which::the::bug::was::found")</f>
        <v>version::of::nova:::in::which::the::bug::was::found</v>
      </c>
      <c r="I77" s="52" t="str">
        <f>IFERROR(__xludf.DUMMYFUNCTION("""COMPUTED_VALUE"""),"SmokeStack::CI")</f>
        <v>SmokeStack::CI</v>
      </c>
      <c r="J77" s="52"/>
      <c r="K77" s="52"/>
      <c r="L77" s="52"/>
      <c r="M77" s="52"/>
      <c r="N77" s="52"/>
      <c r="O77" s="52"/>
      <c r="P77" s="52" t="str">
        <f>IFERROR(__xludf.DUMMYFUNCTION("""COMPUTED_VALUE"""),"approval::for::submitting::granted::(non::final)::core::rev::(vote6)")</f>
        <v>approval::for::submitting::granted::(non::final)::core::rev::(vote6)</v>
      </c>
      <c r="Q77" s="52"/>
      <c r="R77" s="52"/>
      <c r="S77" s="52"/>
      <c r="T77" s="52"/>
      <c r="U77" s="52"/>
      <c r="V77" s="52"/>
      <c r="W77" s="52"/>
      <c r="X77" s="52"/>
      <c r="Y77" s="52"/>
      <c r="Z77" s="52"/>
    </row>
    <row r="78">
      <c r="A78" s="52" t="str">
        <f>IFERROR(__xludf.DUMMYFUNCTION("""COMPUTED_VALUE"""),"discussing::correct::use::of::issue::tracker")</f>
        <v>discussing::correct::use::of::issue::tracker</v>
      </c>
      <c r="B78" s="52" t="str">
        <f>IFERROR(__xludf.DUMMYFUNCTION("""COMPUTED_VALUE"""),"Database-related issue, GUI-related issue, Program anomaly issue")</f>
        <v>Database-related issue, GUI-related issue, Program anomaly issue</v>
      </c>
      <c r="C78" s="52"/>
      <c r="D78" s="52" t="str">
        <f>IFERROR(__xludf.DUMMYFUNCTION("""COMPUTED_VALUE"""),"contact::for::details")</f>
        <v>contact::for::details</v>
      </c>
      <c r="E78" s="52"/>
      <c r="F78" s="52" t="str">
        <f>IFERROR(__xludf.DUMMYFUNCTION("""COMPUTED_VALUE"""),"BP::associated::to::the::realease::of::the::same::BP")</f>
        <v>BP::associated::to::the::realease::of::the::same::BP</v>
      </c>
      <c r="G78" s="52"/>
      <c r="H78" s="52" t="str">
        <f>IFERROR(__xludf.DUMMYFUNCTION("""COMPUTED_VALUE"""),"what::is::the::bug::causing")</f>
        <v>what::is::the::bug::causing</v>
      </c>
      <c r="I78" s="52" t="str">
        <f>IFERROR(__xludf.DUMMYFUNCTION("""COMPUTED_VALUE"""),"smoketests")</f>
        <v>smoketests</v>
      </c>
      <c r="J78" s="52"/>
      <c r="K78" s="52"/>
      <c r="L78" s="52"/>
      <c r="M78" s="52"/>
      <c r="N78" s="52"/>
      <c r="O78" s="52"/>
      <c r="P78" s="52" t="str">
        <f>IFERROR(__xludf.DUMMYFUNCTION("""COMPUTED_VALUE"""),"approval::for::submitting::granted::(non::final)::core::rev::(vote7)")</f>
        <v>approval::for::submitting::granted::(non::final)::core::rev::(vote7)</v>
      </c>
      <c r="Q78" s="52"/>
      <c r="R78" s="52"/>
      <c r="S78" s="52"/>
      <c r="T78" s="52"/>
      <c r="U78" s="52"/>
      <c r="V78" s="52"/>
      <c r="W78" s="52"/>
      <c r="X78" s="52"/>
      <c r="Y78" s="52"/>
      <c r="Z78" s="52"/>
    </row>
    <row r="79">
      <c r="A79" s="52" t="str">
        <f>IFERROR(__xludf.DUMMYFUNCTION("""COMPUTED_VALUE"""),"displays::error::message")</f>
        <v>displays::error::message</v>
      </c>
      <c r="B79" s="52" t="str">
        <f>IFERROR(__xludf.DUMMYFUNCTION("""COMPUTED_VALUE"""),"Database-related issue, GUI-related issue, Security issue")</f>
        <v>Database-related issue, GUI-related issue, Security issue</v>
      </c>
      <c r="C79" s="52"/>
      <c r="D79" s="52" t="str">
        <f>IFERROR(__xludf.DUMMYFUNCTION("""COMPUTED_VALUE"""),"correction::of::previous::statement")</f>
        <v>correction::of::previous::statement</v>
      </c>
      <c r="E79" s="52"/>
      <c r="F79" s="52" t="str">
        <f>IFERROR(__xludf.DUMMYFUNCTION("""COMPUTED_VALUE"""),"clarification::on::discussing::solution::design::(requirements::of::the::solution)")</f>
        <v>clarification::on::discussing::solution::design::(requirements::of::the::solution)</v>
      </c>
      <c r="G79" s="52"/>
      <c r="H79" s="52"/>
      <c r="I79" s="52" t="str">
        <f>IFERROR(__xludf.DUMMYFUNCTION("""COMPUTED_VALUE"""),"Smoketests::CI")</f>
        <v>Smoketests::CI</v>
      </c>
      <c r="J79" s="52"/>
      <c r="K79" s="52"/>
      <c r="L79" s="52"/>
      <c r="M79" s="52"/>
      <c r="N79" s="52"/>
      <c r="O79" s="52"/>
      <c r="P79" s="52" t="str">
        <f>IFERROR(__xludf.DUMMYFUNCTION("""COMPUTED_VALUE"""),"approval::for::submitting::granted::(non::final)::core::rev::(vote8)")</f>
        <v>approval::for::submitting::granted::(non::final)::core::rev::(vote8)</v>
      </c>
      <c r="Q79" s="52"/>
      <c r="R79" s="52"/>
      <c r="S79" s="52"/>
      <c r="T79" s="52"/>
      <c r="U79" s="52"/>
      <c r="V79" s="52"/>
      <c r="W79" s="52"/>
      <c r="X79" s="52"/>
      <c r="Y79" s="52"/>
      <c r="Z79" s="52"/>
    </row>
    <row r="80">
      <c r="A80" s="52" t="str">
        <f>IFERROR(__xludf.DUMMYFUNCTION("""COMPUTED_VALUE"""),"displays::error::message::(logs)")</f>
        <v>displays::error::message::(logs)</v>
      </c>
      <c r="B80" s="52" t="str">
        <f>IFERROR(__xludf.DUMMYFUNCTION("""COMPUTED_VALUE"""),"Database-related issue, GUI-related issue, Test code-related issue")</f>
        <v>Database-related issue, GUI-related issue, Test code-related issue</v>
      </c>
      <c r="C80" s="52"/>
      <c r="D80" s="52" t="str">
        <f>IFERROR(__xludf.DUMMYFUNCTION("""COMPUTED_VALUE"""),"covered::areas:.of::the::project:.in::the::bp/feature")</f>
        <v>covered::areas:.of::the::project:.in::the::bp/feature</v>
      </c>
      <c r="E80" s="52"/>
      <c r="F80" s="52" t="str">
        <f>IFERROR(__xludf.DUMMYFUNCTION("""COMPUTED_VALUE"""),"clarifications::about::question::of::bp/feature::in::previous::mail")</f>
        <v>clarifications::about::question::of::bp/feature::in::previous::mail</v>
      </c>
      <c r="G80" s="52"/>
      <c r="H80" s="52"/>
      <c r="I80" s="52" t="str">
        <f>IFERROR(__xludf.DUMMYFUNCTION("""COMPUTED_VALUE"""),"Sphinx")</f>
        <v>Sphinx</v>
      </c>
      <c r="J80" s="52"/>
      <c r="K80" s="52"/>
      <c r="L80" s="52"/>
      <c r="M80" s="52"/>
      <c r="N80" s="52"/>
      <c r="O80" s="52"/>
      <c r="P80" s="52" t="str">
        <f>IFERROR(__xludf.DUMMYFUNCTION("""COMPUTED_VALUE"""),"approval::for::submitting::granted::(non::final)::core::rev::(vote9)")</f>
        <v>approval::for::submitting::granted::(non::final)::core::rev::(vote9)</v>
      </c>
      <c r="Q80" s="52"/>
      <c r="R80" s="52"/>
      <c r="S80" s="52"/>
      <c r="T80" s="52"/>
      <c r="U80" s="52"/>
      <c r="V80" s="52"/>
      <c r="W80" s="52"/>
      <c r="X80" s="52"/>
      <c r="Y80" s="52"/>
      <c r="Z80" s="52"/>
    </row>
    <row r="81">
      <c r="A81" s="52" t="str">
        <f>IFERROR(__xludf.DUMMYFUNCTION("""COMPUTED_VALUE"""),"displays::logs::of::previous::behaviour")</f>
        <v>displays::logs::of::previous::behaviour</v>
      </c>
      <c r="B81" s="52" t="str">
        <f>IFERROR(__xludf.DUMMYFUNCTION("""COMPUTED_VALUE"""),"Database-related issue, Network issue, Performance issue")</f>
        <v>Database-related issue, Network issue, Performance issue</v>
      </c>
      <c r="C81" s="52"/>
      <c r="D81" s="52" t="str">
        <f>IFERROR(__xludf.DUMMYFUNCTION("""COMPUTED_VALUE"""),"current::situation::(why::feature::is::needed)")</f>
        <v>current::situation::(why::feature::is::needed)</v>
      </c>
      <c r="E81" s="52"/>
      <c r="F81" s="52" t="str">
        <f>IFERROR(__xludf.DUMMYFUNCTION("""COMPUTED_VALUE"""),"clarifications::about::question::of::bp/feature::in::previous::mail::(to::external::developer::by::external::developer)")</f>
        <v>clarifications::about::question::of::bp/feature::in::previous::mail::(to::external::developer::by::external::developer)</v>
      </c>
      <c r="G81" s="52"/>
      <c r="H81" s="52"/>
      <c r="I81" s="52" t="str">
        <f>IFERROR(__xludf.DUMMYFUNCTION("""COMPUTED_VALUE"""),"Tempest")</f>
        <v>Tempest</v>
      </c>
      <c r="J81" s="52"/>
      <c r="K81" s="52"/>
      <c r="L81" s="52"/>
      <c r="M81" s="52"/>
      <c r="N81" s="52"/>
      <c r="O81" s="52"/>
      <c r="P81" s="52" t="str">
        <f>IFERROR(__xludf.DUMMYFUNCTION("""COMPUTED_VALUE"""),"approval::for::submitting::granted::(non::final)::core::rev1")</f>
        <v>approval::for::submitting::granted::(non::final)::core::rev1</v>
      </c>
      <c r="Q81" s="52"/>
      <c r="R81" s="52"/>
      <c r="S81" s="52"/>
      <c r="T81" s="52"/>
      <c r="U81" s="52"/>
      <c r="V81" s="52"/>
      <c r="W81" s="52"/>
      <c r="X81" s="52"/>
      <c r="Y81" s="52"/>
      <c r="Z81" s="52"/>
    </row>
    <row r="82">
      <c r="A82" s="52" t="str">
        <f>IFERROR(__xludf.DUMMYFUNCTION("""COMPUTED_VALUE"""),"displays::logs::of::the::behaviour")</f>
        <v>displays::logs::of::the::behaviour</v>
      </c>
      <c r="B82" s="52" t="str">
        <f>IFERROR(__xludf.DUMMYFUNCTION("""COMPUTED_VALUE"""),"Database-related issue, Network issue, Permission/deprecation issue")</f>
        <v>Database-related issue, Network issue, Permission/deprecation issue</v>
      </c>
      <c r="C82" s="52"/>
      <c r="D82" s="52" t="str">
        <f>IFERROR(__xludf.DUMMYFUNCTION("""COMPUTED_VALUE"""),"deadline::missed::feature:freeze")</f>
        <v>deadline::missed::feature:freeze</v>
      </c>
      <c r="E82" s="52"/>
      <c r="F82" s="52" t="str">
        <f>IFERROR(__xludf.DUMMYFUNCTION("""COMPUTED_VALUE"""),"clarifications::about::question::of::bp/feature::in::previous::mail::(to::external::developer)")</f>
        <v>clarifications::about::question::of::bp/feature::in::previous::mail::(to::external::developer)</v>
      </c>
      <c r="G82" s="52"/>
      <c r="H82" s="52"/>
      <c r="I82" s="52" t="str">
        <f>IFERROR(__xludf.DUMMYFUNCTION("""COMPUTED_VALUE"""),"testng")</f>
        <v>testng</v>
      </c>
      <c r="J82" s="52"/>
      <c r="K82" s="52"/>
      <c r="L82" s="52"/>
      <c r="M82" s="52"/>
      <c r="N82" s="52"/>
      <c r="O82" s="52"/>
      <c r="P82" s="52" t="str">
        <f>IFERROR(__xludf.DUMMYFUNCTION("""COMPUTED_VALUE"""),"approval::for::submitting::granted::(non::final)::core::rev10")</f>
        <v>approval::for::submitting::granted::(non::final)::core::rev10</v>
      </c>
      <c r="Q82" s="52"/>
      <c r="R82" s="52"/>
      <c r="S82" s="52"/>
      <c r="T82" s="52"/>
      <c r="U82" s="52"/>
      <c r="V82" s="52"/>
      <c r="W82" s="52"/>
      <c r="X82" s="52"/>
      <c r="Y82" s="52"/>
      <c r="Z82" s="52"/>
    </row>
    <row r="83">
      <c r="A83" s="52" t="str">
        <f>IFERROR(__xludf.DUMMYFUNCTION("""COMPUTED_VALUE"""),"displays::logs::of::the::behaviour::with:.extra::debugging")</f>
        <v>displays::logs::of::the::behaviour::with:.extra::debugging</v>
      </c>
      <c r="B83" s="52" t="str">
        <f>IFERROR(__xludf.DUMMYFUNCTION("""COMPUTED_VALUE"""),"Database-related issue, Network issue, Program anomaly issue")</f>
        <v>Database-related issue, Network issue, Program anomaly issue</v>
      </c>
      <c r="C83" s="52"/>
      <c r="D83" s="52" t="str">
        <f>IFERROR(__xludf.DUMMYFUNCTION("""COMPUTED_VALUE"""),"deferred::to::later::release")</f>
        <v>deferred::to::later::release</v>
      </c>
      <c r="E83" s="52"/>
      <c r="F83" s="52" t="str">
        <f>IFERROR(__xludf.DUMMYFUNCTION("""COMPUTED_VALUE"""),"clarified::concepts::of::the::mentioned::BP")</f>
        <v>clarified::concepts::of::the::mentioned::BP</v>
      </c>
      <c r="G83" s="52"/>
      <c r="H83" s="52"/>
      <c r="I83" s="52" t="str">
        <f>IFERROR(__xludf.DUMMYFUNCTION("""COMPUTED_VALUE"""),"Testools")</f>
        <v>Testools</v>
      </c>
      <c r="J83" s="52"/>
      <c r="K83" s="52"/>
      <c r="L83" s="52"/>
      <c r="M83" s="52"/>
      <c r="N83" s="52"/>
      <c r="O83" s="52"/>
      <c r="P83" s="52" t="str">
        <f>IFERROR(__xludf.DUMMYFUNCTION("""COMPUTED_VALUE"""),"approval::for::submitting::granted::(non::final)::core::rev11")</f>
        <v>approval::for::submitting::granted::(non::final)::core::rev11</v>
      </c>
      <c r="Q83" s="52"/>
      <c r="R83" s="52"/>
      <c r="S83" s="52"/>
      <c r="T83" s="52"/>
      <c r="U83" s="52"/>
      <c r="V83" s="52"/>
      <c r="W83" s="52"/>
      <c r="X83" s="52"/>
      <c r="Y83" s="52"/>
      <c r="Z83" s="52"/>
    </row>
    <row r="84">
      <c r="A84" s="52" t="str">
        <f>IFERROR(__xludf.DUMMYFUNCTION("""COMPUTED_VALUE"""),"displays::logs::of::the::behaviour::with:.extra::explanation")</f>
        <v>displays::logs::of::the::behaviour::with:.extra::explanation</v>
      </c>
      <c r="B84" s="52" t="str">
        <f>IFERROR(__xludf.DUMMYFUNCTION("""COMPUTED_VALUE"""),"Database-related issue, Network issue, Security issue")</f>
        <v>Database-related issue, Network issue, Security issue</v>
      </c>
      <c r="C84" s="52"/>
      <c r="D84" s="52" t="str">
        <f>IFERROR(__xludf.DUMMYFUNCTION("""COMPUTED_VALUE"""),"deferred::to::later::release1")</f>
        <v>deferred::to::later::release1</v>
      </c>
      <c r="E84" s="52"/>
      <c r="F84" s="52" t="str">
        <f>IFERROR(__xludf.DUMMYFUNCTION("""COMPUTED_VALUE"""),"clarify::the::differences::of::the::BP/feature::with::the::needs")</f>
        <v>clarify::the::differences::of::the::BP/feature::with::the::needs</v>
      </c>
      <c r="G84" s="52"/>
      <c r="H84" s="52"/>
      <c r="I84" s="52" t="str">
        <f>IFERROR(__xludf.DUMMYFUNCTION("""COMPUTED_VALUE"""),"testr::(coverage)")</f>
        <v>testr::(coverage)</v>
      </c>
      <c r="J84" s="52"/>
      <c r="K84" s="52"/>
      <c r="L84" s="52"/>
      <c r="M84" s="52"/>
      <c r="N84" s="52"/>
      <c r="O84" s="52"/>
      <c r="P84" s="52" t="str">
        <f>IFERROR(__xludf.DUMMYFUNCTION("""COMPUTED_VALUE"""),"approval::for::submitting::granted::(non::final)::core::rev2")</f>
        <v>approval::for::submitting::granted::(non::final)::core::rev2</v>
      </c>
      <c r="Q84" s="52"/>
      <c r="R84" s="52"/>
      <c r="S84" s="52"/>
      <c r="T84" s="52"/>
      <c r="U84" s="52"/>
      <c r="V84" s="52"/>
      <c r="W84" s="52"/>
      <c r="X84" s="52"/>
      <c r="Y84" s="52"/>
      <c r="Z84" s="52"/>
    </row>
    <row r="85">
      <c r="A85" s="52" t="str">
        <f>IFERROR(__xludf.DUMMYFUNCTION("""COMPUTED_VALUE"""),"displays:.contradiction::tests::sucess::and::log")</f>
        <v>displays:.contradiction::tests::sucess::and::log</v>
      </c>
      <c r="B85" s="52" t="str">
        <f>IFERROR(__xludf.DUMMYFUNCTION("""COMPUTED_VALUE"""),"Database-related issue, Network issue, Test code-related issue")</f>
        <v>Database-related issue, Network issue, Test code-related issue</v>
      </c>
      <c r="C85" s="52"/>
      <c r="D85" s="52" t="str">
        <f>IFERROR(__xludf.DUMMYFUNCTION("""COMPUTED_VALUE"""),"dependencies::of::the::BP::in::development::process")</f>
        <v>dependencies::of::the::BP::in::development::process</v>
      </c>
      <c r="E85" s="52"/>
      <c r="F85" s="52" t="str">
        <f>IFERROR(__xludf.DUMMYFUNCTION("""COMPUTED_VALUE"""),"clarifying::design::based::on::functionallity::(current::code)::previous::related::developments")</f>
        <v>clarifying::design::based::on::functionallity::(current::code)::previous::related::developments</v>
      </c>
      <c r="G85" s="52"/>
      <c r="H85" s="52"/>
      <c r="I85" s="52" t="str">
        <f>IFERROR(__xludf.DUMMYFUNCTION("""COMPUTED_VALUE"""),"testr::(unit::test)")</f>
        <v>testr::(unit::test)</v>
      </c>
      <c r="J85" s="52"/>
      <c r="K85" s="52"/>
      <c r="L85" s="52"/>
      <c r="M85" s="52"/>
      <c r="N85" s="52"/>
      <c r="O85" s="52"/>
      <c r="P85" s="52" t="str">
        <f>IFERROR(__xludf.DUMMYFUNCTION("""COMPUTED_VALUE"""),"approval::for::submitting::granted::(non::final)::core::rev3")</f>
        <v>approval::for::submitting::granted::(non::final)::core::rev3</v>
      </c>
      <c r="Q85" s="52"/>
      <c r="R85" s="52"/>
      <c r="S85" s="52"/>
      <c r="T85" s="52"/>
      <c r="U85" s="52"/>
      <c r="V85" s="52"/>
      <c r="W85" s="52"/>
      <c r="X85" s="52"/>
      <c r="Y85" s="52"/>
      <c r="Z85" s="52"/>
    </row>
    <row r="86">
      <c r="A86" s="52" t="str">
        <f>IFERROR(__xludf.DUMMYFUNCTION("""COMPUTED_VALUE"""),"disussing::possible::solutions")</f>
        <v>disussing::possible::solutions</v>
      </c>
      <c r="B86" s="52" t="str">
        <f>IFERROR(__xludf.DUMMYFUNCTION("""COMPUTED_VALUE"""),"Database-related issue, Performance issue, Permission/deprecation issue")</f>
        <v>Database-related issue, Performance issue, Permission/deprecation issue</v>
      </c>
      <c r="C86" s="52"/>
      <c r="D86" s="52" t="str">
        <f>IFERROR(__xludf.DUMMYFUNCTION("""COMPUTED_VALUE"""),"dependency::on::other::feature")</f>
        <v>dependency::on::other::feature</v>
      </c>
      <c r="E86" s="52"/>
      <c r="F86" s="52" t="str">
        <f>IFERROR(__xludf.DUMMYFUNCTION("""COMPUTED_VALUE"""),"commenting::about::the::voting::given::to::the::features/bugs::of::the::BP")</f>
        <v>commenting::about::the::voting::given::to::the::features/bugs::of::the::BP</v>
      </c>
      <c r="G86" s="52"/>
      <c r="H86" s="52"/>
      <c r="I86" s="52" t="str">
        <f>IFERROR(__xludf.DUMMYFUNCTION("""COMPUTED_VALUE"""),"Testrepository*")</f>
        <v>Testrepository*</v>
      </c>
      <c r="J86" s="52"/>
      <c r="K86" s="52"/>
      <c r="L86" s="52"/>
      <c r="M86" s="52"/>
      <c r="N86" s="52"/>
      <c r="O86" s="52"/>
      <c r="P86" s="52" t="str">
        <f>IFERROR(__xludf.DUMMYFUNCTION("""COMPUTED_VALUE"""),"approval::for::submitting::granted::(non::final)::core::rev4")</f>
        <v>approval::for::submitting::granted::(non::final)::core::rev4</v>
      </c>
      <c r="Q86" s="52"/>
      <c r="R86" s="52"/>
      <c r="S86" s="52"/>
      <c r="T86" s="52"/>
      <c r="U86" s="52"/>
      <c r="V86" s="52"/>
      <c r="W86" s="52"/>
      <c r="X86" s="52"/>
      <c r="Y86" s="52"/>
      <c r="Z86" s="52"/>
    </row>
    <row r="87">
      <c r="A87" s="52" t="str">
        <f>IFERROR(__xludf.DUMMYFUNCTION("""COMPUTED_VALUE"""),"example::output")</f>
        <v>example::output</v>
      </c>
      <c r="B87" s="52" t="str">
        <f>IFERROR(__xludf.DUMMYFUNCTION("""COMPUTED_VALUE"""),"Database-related issue, Performance issue, Program anomaly issue")</f>
        <v>Database-related issue, Performance issue, Program anomaly issue</v>
      </c>
      <c r="C87" s="52"/>
      <c r="D87" s="52" t="str">
        <f>IFERROR(__xludf.DUMMYFUNCTION("""COMPUTED_VALUE"""),"dependency::on::other::feature::(no::longer::given)")</f>
        <v>dependency::on::other::feature::(no::longer::given)</v>
      </c>
      <c r="E87" s="52"/>
      <c r="F87" s="52" t="str">
        <f>IFERROR(__xludf.DUMMYFUNCTION("""COMPUTED_VALUE"""),"commiting::to::review")</f>
        <v>commiting::to::review</v>
      </c>
      <c r="G87" s="52"/>
      <c r="H87" s="52"/>
      <c r="I87" s="52" t="str">
        <f>IFERROR(__xludf.DUMMYFUNCTION("""COMPUTED_VALUE"""),"testtools::(unit::test::debugging)")</f>
        <v>testtools::(unit::test::debugging)</v>
      </c>
      <c r="J87" s="52"/>
      <c r="K87" s="52"/>
      <c r="L87" s="52"/>
      <c r="M87" s="52"/>
      <c r="N87" s="52"/>
      <c r="O87" s="52"/>
      <c r="P87" s="52" t="str">
        <f>IFERROR(__xludf.DUMMYFUNCTION("""COMPUTED_VALUE"""),"approval::for::submitting::granted::(non::final)::core::rev5")</f>
        <v>approval::for::submitting::granted::(non::final)::core::rev5</v>
      </c>
      <c r="Q87" s="52"/>
      <c r="R87" s="52"/>
      <c r="S87" s="52"/>
      <c r="T87" s="52"/>
      <c r="U87" s="52"/>
      <c r="V87" s="52"/>
      <c r="W87" s="52"/>
      <c r="X87" s="52"/>
      <c r="Y87" s="52"/>
      <c r="Z87" s="52"/>
    </row>
    <row r="88">
      <c r="A88" s="52" t="str">
        <f>IFERROR(__xludf.DUMMYFUNCTION("""COMPUTED_VALUE"""),"expected::behaviour")</f>
        <v>expected::behaviour</v>
      </c>
      <c r="B88" s="52" t="str">
        <f>IFERROR(__xludf.DUMMYFUNCTION("""COMPUTED_VALUE"""),"Database-related issue, Performance issue, Security issue")</f>
        <v>Database-related issue, Performance issue, Security issue</v>
      </c>
      <c r="C88" s="52"/>
      <c r="D88" s="52" t="str">
        <f>IFERROR(__xludf.DUMMYFUNCTION("""COMPUTED_VALUE"""),"dependency::tree")</f>
        <v>dependency::tree</v>
      </c>
      <c r="E88" s="52"/>
      <c r="F88" s="52" t="str">
        <f>IFERROR(__xludf.DUMMYFUNCTION("""COMPUTED_VALUE"""),"commiting::to::review::due::to::previous::experience::with::topic")</f>
        <v>commiting::to::review::due::to::previous::experience::with::topic</v>
      </c>
      <c r="G88" s="52"/>
      <c r="H88" s="52"/>
      <c r="I88" s="52" t="str">
        <f>IFERROR(__xludf.DUMMYFUNCTION("""COMPUTED_VALUE"""),"Tox")</f>
        <v>Tox</v>
      </c>
      <c r="J88" s="52"/>
      <c r="K88" s="52"/>
      <c r="L88" s="52"/>
      <c r="M88" s="52"/>
      <c r="N88" s="52"/>
      <c r="O88" s="52"/>
      <c r="P88" s="52" t="str">
        <f>IFERROR(__xludf.DUMMYFUNCTION("""COMPUTED_VALUE"""),"approval::for::submitting::granted::(non::final)::core::rev6")</f>
        <v>approval::for::submitting::granted::(non::final)::core::rev6</v>
      </c>
      <c r="Q88" s="52"/>
      <c r="R88" s="52"/>
      <c r="S88" s="52"/>
      <c r="T88" s="52"/>
      <c r="U88" s="52"/>
      <c r="V88" s="52"/>
      <c r="W88" s="52"/>
      <c r="X88" s="52"/>
      <c r="Y88" s="52"/>
      <c r="Z88" s="52"/>
    </row>
    <row r="89">
      <c r="A89" s="52" t="str">
        <f>IFERROR(__xludf.DUMMYFUNCTION("""COMPUTED_VALUE"""),"expected::behaviour::(example::from::previous::version)")</f>
        <v>expected::behaviour::(example::from::previous::version)</v>
      </c>
      <c r="B89" s="52" t="str">
        <f>IFERROR(__xludf.DUMMYFUNCTION("""COMPUTED_VALUE"""),"Database-related issue, Performance issue, Test code-related issue")</f>
        <v>Database-related issue, Performance issue, Test code-related issue</v>
      </c>
      <c r="C89" s="52"/>
      <c r="D89" s="52" t="str">
        <f>IFERROR(__xludf.DUMMYFUNCTION("""COMPUTED_VALUE"""),"disagreeing::suggestion::rename::variables")</f>
        <v>disagreeing::suggestion::rename::variables</v>
      </c>
      <c r="E89" s="52"/>
      <c r="F89" s="52" t="str">
        <f>IFERROR(__xludf.DUMMYFUNCTION("""COMPUTED_VALUE"""),"communicate::need::resources::(developers)")</f>
        <v>communicate::need::resources::(developers)</v>
      </c>
      <c r="G89" s="52"/>
      <c r="H89" s="52"/>
      <c r="I89" s="52" t="str">
        <f>IFERROR(__xludf.DUMMYFUNCTION("""COMPUTED_VALUE"""),"Tox::(testenv)")</f>
        <v>Tox::(testenv)</v>
      </c>
      <c r="J89" s="52"/>
      <c r="K89" s="52"/>
      <c r="L89" s="52"/>
      <c r="M89" s="52"/>
      <c r="N89" s="52"/>
      <c r="O89" s="52"/>
      <c r="P89" s="52" t="str">
        <f>IFERROR(__xludf.DUMMYFUNCTION("""COMPUTED_VALUE"""),"approval::for::submitting::granted::(non::final)::core::rev7")</f>
        <v>approval::for::submitting::granted::(non::final)::core::rev7</v>
      </c>
      <c r="Q89" s="52"/>
      <c r="R89" s="52"/>
      <c r="S89" s="52"/>
      <c r="T89" s="52"/>
      <c r="U89" s="52"/>
      <c r="V89" s="52"/>
      <c r="W89" s="52"/>
      <c r="X89" s="52"/>
      <c r="Y89" s="52"/>
      <c r="Z89" s="52"/>
    </row>
    <row r="90">
      <c r="A90" s="52" t="str">
        <f>IFERROR(__xludf.DUMMYFUNCTION("""COMPUTED_VALUE"""),"expected::behaviour::(logs::from::previous::version)")</f>
        <v>expected::behaviour::(logs::from::previous::version)</v>
      </c>
      <c r="B90" s="52" t="str">
        <f>IFERROR(__xludf.DUMMYFUNCTION("""COMPUTED_VALUE"""),"Database-related issue, Permission/deprecation issue, Program anomaly issue")</f>
        <v>Database-related issue, Permission/deprecation issue, Program anomaly issue</v>
      </c>
      <c r="C90" s="52"/>
      <c r="D90" s="52" t="str">
        <f>IFERROR(__xludf.DUMMYFUNCTION("""COMPUTED_VALUE"""),"disagreement::bug::already::fixed::(different::branch)")</f>
        <v>disagreement::bug::already::fixed::(different::branch)</v>
      </c>
      <c r="E90" s="52"/>
      <c r="F90" s="52" t="str">
        <f>IFERROR(__xludf.DUMMYFUNCTION("""COMPUTED_VALUE"""),"communicate::reallocate::resources::(developers)::move::project::ouside::nova")</f>
        <v>communicate::reallocate::resources::(developers)::move::project::ouside::nova</v>
      </c>
      <c r="G90" s="52"/>
      <c r="H90" s="52"/>
      <c r="I90" s="52" t="str">
        <f>IFERROR(__xludf.DUMMYFUNCTION("""COMPUTED_VALUE"""),"travis::CI")</f>
        <v>travis::CI</v>
      </c>
      <c r="J90" s="52"/>
      <c r="K90" s="52"/>
      <c r="L90" s="52"/>
      <c r="M90" s="52"/>
      <c r="N90" s="52"/>
      <c r="O90" s="52"/>
      <c r="P90" s="52" t="str">
        <f>IFERROR(__xludf.DUMMYFUNCTION("""COMPUTED_VALUE"""),"approval::for::submitting::granted::(non::final)::core::rev8")</f>
        <v>approval::for::submitting::granted::(non::final)::core::rev8</v>
      </c>
      <c r="Q90" s="52"/>
      <c r="R90" s="52"/>
      <c r="S90" s="52"/>
      <c r="T90" s="52"/>
      <c r="U90" s="52"/>
      <c r="V90" s="52"/>
      <c r="W90" s="52"/>
      <c r="X90" s="52"/>
      <c r="Y90" s="52"/>
      <c r="Z90" s="52"/>
    </row>
    <row r="91">
      <c r="A91" s="52" t="str">
        <f>IFERROR(__xludf.DUMMYFUNCTION("""COMPUTED_VALUE"""),"expected::behaviour::(output::previous::version)")</f>
        <v>expected::behaviour::(output::previous::version)</v>
      </c>
      <c r="B91" s="52" t="str">
        <f>IFERROR(__xludf.DUMMYFUNCTION("""COMPUTED_VALUE"""),"Database-related issue, Permission/deprecation issue, Security issue")</f>
        <v>Database-related issue, Permission/deprecation issue, Security issue</v>
      </c>
      <c r="C91" s="52"/>
      <c r="D91" s="52" t="str">
        <f>IFERROR(__xludf.DUMMYFUNCTION("""COMPUTED_VALUE"""),"disagreement::missing::documentation")</f>
        <v>disagreement::missing::documentation</v>
      </c>
      <c r="E91" s="52"/>
      <c r="F91" s="52" t="str">
        <f>IFERROR(__xludf.DUMMYFUNCTION("""COMPUTED_VALUE"""),"communicate::user::status::of::project")</f>
        <v>communicate::user::status::of::project</v>
      </c>
      <c r="G91" s="52"/>
      <c r="H91" s="52"/>
      <c r="I91" s="52" t="str">
        <f>IFERROR(__xludf.DUMMYFUNCTION("""COMPUTED_VALUE"""),"Twissted*")</f>
        <v>Twissted*</v>
      </c>
      <c r="J91" s="52"/>
      <c r="K91" s="52"/>
      <c r="L91" s="52"/>
      <c r="M91" s="52"/>
      <c r="N91" s="52"/>
      <c r="O91" s="52"/>
      <c r="P91" s="52" t="str">
        <f>IFERROR(__xludf.DUMMYFUNCTION("""COMPUTED_VALUE"""),"approval::for::submitting::granted::(non::final)::core::rev9")</f>
        <v>approval::for::submitting::granted::(non::final)::core::rev9</v>
      </c>
      <c r="Q91" s="52"/>
      <c r="R91" s="52"/>
      <c r="S91" s="52"/>
      <c r="T91" s="52"/>
      <c r="U91" s="52"/>
      <c r="V91" s="52"/>
      <c r="W91" s="52"/>
      <c r="X91" s="52"/>
      <c r="Y91" s="52"/>
      <c r="Z91" s="52"/>
    </row>
    <row r="92">
      <c r="A92" s="52" t="str">
        <f>IFERROR(__xludf.DUMMYFUNCTION("""COMPUTED_VALUE"""),"expected::behaviour::(output)")</f>
        <v>expected::behaviour::(output)</v>
      </c>
      <c r="B92" s="52" t="str">
        <f>IFERROR(__xludf.DUMMYFUNCTION("""COMPUTED_VALUE"""),"Database-related issue, Permission/deprecation issue, Test code-related issue")</f>
        <v>Database-related issue, Permission/deprecation issue, Test code-related issue</v>
      </c>
      <c r="C92" s="52"/>
      <c r="D92" s="52" t="str">
        <f>IFERROR(__xludf.DUMMYFUNCTION("""COMPUTED_VALUE"""),"disagreement::potential::bug::found")</f>
        <v>disagreement::potential::bug::found</v>
      </c>
      <c r="E92" s="52"/>
      <c r="F92" s="52" t="str">
        <f>IFERROR(__xludf.DUMMYFUNCTION("""COMPUTED_VALUE"""),"complaining::about::previous::bad::developing")</f>
        <v>complaining::about::previous::bad::developing</v>
      </c>
      <c r="G92" s="52"/>
      <c r="H92" s="52"/>
      <c r="I92" s="52" t="str">
        <f>IFERROR(__xludf.DUMMYFUNCTION("""COMPUTED_VALUE"""),"Unittest")</f>
        <v>Unittest</v>
      </c>
      <c r="J92" s="52"/>
      <c r="K92" s="52"/>
      <c r="L92" s="52"/>
      <c r="M92" s="52"/>
      <c r="N92" s="52"/>
      <c r="O92" s="52"/>
      <c r="P92" s="52" t="str">
        <f>IFERROR(__xludf.DUMMYFUNCTION("""COMPUTED_VALUE"""),"approval::for::submitting::granted::(non::final)1")</f>
        <v>approval::for::submitting::granted::(non::final)1</v>
      </c>
      <c r="Q92" s="52"/>
      <c r="R92" s="52"/>
      <c r="S92" s="52"/>
      <c r="T92" s="52"/>
      <c r="U92" s="52"/>
      <c r="V92" s="52"/>
      <c r="W92" s="52"/>
      <c r="X92" s="52"/>
      <c r="Y92" s="52"/>
      <c r="Z92" s="52"/>
    </row>
    <row r="93">
      <c r="A93" s="52" t="str">
        <f>IFERROR(__xludf.DUMMYFUNCTION("""COMPUTED_VALUE"""),"explanation::for::observed::behaviour")</f>
        <v>explanation::for::observed::behaviour</v>
      </c>
      <c r="B93" s="52" t="str">
        <f>IFERROR(__xludf.DUMMYFUNCTION("""COMPUTED_VALUE"""),"Database-related issue, Program anomaly issue, Test code-related issue")</f>
        <v>Database-related issue, Program anomaly issue, Test code-related issue</v>
      </c>
      <c r="C93" s="52"/>
      <c r="D93" s="52" t="str">
        <f>IFERROR(__xludf.DUMMYFUNCTION("""COMPUTED_VALUE"""),"disagreement::proposal::of::a::possible::solution::(explanation)")</f>
        <v>disagreement::proposal::of::a::possible::solution::(explanation)</v>
      </c>
      <c r="E93" s="52"/>
      <c r="F93" s="52" t="str">
        <f>IFERROR(__xludf.DUMMYFUNCTION("""COMPUTED_VALUE"""),"conditions::to::deprecate::a::feature::(not::BP)")</f>
        <v>conditions::to::deprecate::a::feature::(not::BP)</v>
      </c>
      <c r="G93" s="52"/>
      <c r="H93" s="52"/>
      <c r="I93" s="52" t="str">
        <f>IFERROR(__xludf.DUMMYFUNCTION("""COMPUTED_VALUE"""),"unittest::(unit::test)")</f>
        <v>unittest::(unit::test)</v>
      </c>
      <c r="J93" s="52"/>
      <c r="K93" s="52"/>
      <c r="L93" s="52"/>
      <c r="M93" s="52"/>
      <c r="N93" s="52"/>
      <c r="O93" s="52"/>
      <c r="P93" s="52" t="str">
        <f>IFERROR(__xludf.DUMMYFUNCTION("""COMPUTED_VALUE"""),"approval::for::submitting::granted::(non::final)10")</f>
        <v>approval::for::submitting::granted::(non::final)10</v>
      </c>
      <c r="Q93" s="52"/>
      <c r="R93" s="52"/>
      <c r="S93" s="52"/>
      <c r="T93" s="52"/>
      <c r="U93" s="52"/>
      <c r="V93" s="52"/>
      <c r="W93" s="52"/>
      <c r="X93" s="52"/>
      <c r="Y93" s="52"/>
      <c r="Z93" s="52"/>
    </row>
    <row r="94">
      <c r="A94" s="52" t="str">
        <f>IFERROR(__xludf.DUMMYFUNCTION("""COMPUTED_VALUE"""),"explanation::why::two::differemt::reviews::are::proposed")</f>
        <v>explanation::why::two::differemt::reviews::are::proposed</v>
      </c>
      <c r="B94" s="52" t="str">
        <f>IFERROR(__xludf.DUMMYFUNCTION("""COMPUTED_VALUE"""),"Database-related issue, Security issue, Program anomaly issue")</f>
        <v>Database-related issue, Security issue, Program anomaly issue</v>
      </c>
      <c r="C94" s="52"/>
      <c r="D94" s="52" t="str">
        <f>IFERROR(__xludf.DUMMYFUNCTION("""COMPUTED_VALUE"""),"discussing::inteded::solution::design")</f>
        <v>discussing::inteded::solution::design</v>
      </c>
      <c r="E94" s="52"/>
      <c r="F94" s="52" t="str">
        <f>IFERROR(__xludf.DUMMYFUNCTION("""COMPUTED_VALUE"""),"conditions::to::develop::in::the::new::project::(involve::BP::being::completed)")</f>
        <v>conditions::to::develop::in::the::new::project::(involve::BP::being::completed)</v>
      </c>
      <c r="G94" s="52"/>
      <c r="H94" s="52"/>
      <c r="I94" s="52" t="str">
        <f>IFERROR(__xludf.DUMMYFUNCTION("""COMPUTED_VALUE"""),"vagrant")</f>
        <v>vagrant</v>
      </c>
      <c r="J94" s="52"/>
      <c r="K94" s="52"/>
      <c r="L94" s="52"/>
      <c r="M94" s="52"/>
      <c r="N94" s="52"/>
      <c r="O94" s="52"/>
      <c r="P94" s="52" t="str">
        <f>IFERROR(__xludf.DUMMYFUNCTION("""COMPUTED_VALUE"""),"approval::for::submitting::granted::(non::final)11")</f>
        <v>approval::for::submitting::granted::(non::final)11</v>
      </c>
      <c r="Q94" s="52"/>
      <c r="R94" s="52"/>
      <c r="S94" s="52"/>
      <c r="T94" s="52"/>
      <c r="U94" s="52"/>
      <c r="V94" s="52"/>
      <c r="W94" s="52"/>
      <c r="X94" s="52"/>
      <c r="Y94" s="52"/>
      <c r="Z94" s="52"/>
    </row>
    <row r="95">
      <c r="A95" s="52" t="str">
        <f>IFERROR(__xludf.DUMMYFUNCTION("""COMPUTED_VALUE"""),"failing::test")</f>
        <v>failing::test</v>
      </c>
      <c r="B95" s="52" t="str">
        <f>IFERROR(__xludf.DUMMYFUNCTION("""COMPUTED_VALUE"""),"Database-related issue, Security issue, Test code-related issue")</f>
        <v>Database-related issue, Security issue, Test code-related issue</v>
      </c>
      <c r="C95" s="52"/>
      <c r="D95" s="52" t="str">
        <f>IFERROR(__xludf.DUMMYFUNCTION("""COMPUTED_VALUE"""),"discussing::inteded::solution::design::(join)")</f>
        <v>discussing::inteded::solution::design::(join)</v>
      </c>
      <c r="E95" s="52"/>
      <c r="F95" s="52" t="str">
        <f>IFERROR(__xludf.DUMMYFUNCTION("""COMPUTED_VALUE"""),"confirmation::of::right::place::to::ask::about::feature/bp")</f>
        <v>confirmation::of::right::place::to::ask::about::feature/bp</v>
      </c>
      <c r="G95" s="52"/>
      <c r="H95" s="52"/>
      <c r="I95" s="52" t="str">
        <f>IFERROR(__xludf.DUMMYFUNCTION("""COMPUTED_VALUE"""),"venv")</f>
        <v>venv</v>
      </c>
      <c r="J95" s="52"/>
      <c r="K95" s="52"/>
      <c r="L95" s="52"/>
      <c r="M95" s="52"/>
      <c r="N95" s="52"/>
      <c r="O95" s="52"/>
      <c r="P95" s="52" t="str">
        <f>IFERROR(__xludf.DUMMYFUNCTION("""COMPUTED_VALUE"""),"approval::for::submitting::granted::(non::final)12")</f>
        <v>approval::for::submitting::granted::(non::final)12</v>
      </c>
      <c r="Q95" s="52"/>
      <c r="R95" s="52"/>
      <c r="S95" s="52"/>
      <c r="T95" s="52"/>
      <c r="U95" s="52"/>
      <c r="V95" s="52"/>
      <c r="W95" s="52"/>
      <c r="X95" s="52"/>
      <c r="Y95" s="52"/>
      <c r="Z95" s="52"/>
    </row>
    <row r="96">
      <c r="A96" s="52" t="str">
        <f>IFERROR(__xludf.DUMMYFUNCTION("""COMPUTED_VALUE"""),"feature::request")</f>
        <v>feature::request</v>
      </c>
      <c r="B96" s="52" t="str">
        <f>IFERROR(__xludf.DUMMYFUNCTION("""COMPUTED_VALUE"""),"GUI-related issue, Network issue, Performance issue")</f>
        <v>GUI-related issue, Network issue, Performance issue</v>
      </c>
      <c r="C96" s="52"/>
      <c r="D96" s="52" t="str">
        <f>IFERROR(__xludf.DUMMYFUNCTION("""COMPUTED_VALUE"""),"discussing::potential::bug")</f>
        <v>discussing::potential::bug</v>
      </c>
      <c r="E96" s="52"/>
      <c r="F96" s="52" t="str">
        <f>IFERROR(__xludf.DUMMYFUNCTION("""COMPUTED_VALUE"""),"confirming::discussion::of::the::topic::(related:.to::BP)::in::summit::(global::meeting)")</f>
        <v>confirming::discussion::of::the::topic::(related:.to::BP)::in::summit::(global::meeting)</v>
      </c>
      <c r="G96" s="52"/>
      <c r="H96" s="52"/>
      <c r="I96" s="52" t="str">
        <f>IFERROR(__xludf.DUMMYFUNCTION("""COMPUTED_VALUE"""),"Virtualenv")</f>
        <v>Virtualenv</v>
      </c>
      <c r="J96" s="52"/>
      <c r="K96" s="52"/>
      <c r="L96" s="52"/>
      <c r="M96" s="52"/>
      <c r="N96" s="52"/>
      <c r="O96" s="52"/>
      <c r="P96" s="52" t="str">
        <f>IFERROR(__xludf.DUMMYFUNCTION("""COMPUTED_VALUE"""),"approval::for::submitting::granted::(non::final)13")</f>
        <v>approval::for::submitting::granted::(non::final)13</v>
      </c>
      <c r="Q96" s="52"/>
      <c r="R96" s="52"/>
      <c r="S96" s="52"/>
      <c r="T96" s="52"/>
      <c r="U96" s="52"/>
      <c r="V96" s="52"/>
      <c r="W96" s="52"/>
      <c r="X96" s="52"/>
      <c r="Y96" s="52"/>
      <c r="Z96" s="52"/>
    </row>
    <row r="97">
      <c r="A97" s="52" t="str">
        <f>IFERROR(__xludf.DUMMYFUNCTION("""COMPUTED_VALUE"""),"fix::is::partial::fix")</f>
        <v>fix::is::partial::fix</v>
      </c>
      <c r="B97" s="52" t="str">
        <f>IFERROR(__xludf.DUMMYFUNCTION("""COMPUTED_VALUE"""),"GUI-related issue, Network issue, Permission/deprecation issue")</f>
        <v>GUI-related issue, Network issue, Permission/deprecation issue</v>
      </c>
      <c r="C97" s="52"/>
      <c r="D97" s="52" t="str">
        <f>IFERROR(__xludf.DUMMYFUNCTION("""COMPUTED_VALUE"""),"displays::error::message")</f>
        <v>displays::error::message</v>
      </c>
      <c r="E97" s="52"/>
      <c r="F97" s="52" t="str">
        <f>IFERROR(__xludf.DUMMYFUNCTION("""COMPUTED_VALUE"""),"conflicts::meeting::group::to::discuss::BP/feature")</f>
        <v>conflicts::meeting::group::to::discuss::BP/feature</v>
      </c>
      <c r="G97" s="52"/>
      <c r="H97" s="52"/>
      <c r="I97" s="52" t="str">
        <f>IFERROR(__xludf.DUMMYFUNCTION("""COMPUTED_VALUE"""),"VMware::NSX::CI")</f>
        <v>VMware::NSX::CI</v>
      </c>
      <c r="J97" s="52"/>
      <c r="K97" s="52"/>
      <c r="L97" s="52"/>
      <c r="M97" s="52"/>
      <c r="N97" s="52"/>
      <c r="O97" s="52"/>
      <c r="P97" s="52" t="str">
        <f>IFERROR(__xludf.DUMMYFUNCTION("""COMPUTED_VALUE"""),"approval::for::submitting::granted::(non::final)14")</f>
        <v>approval::for::submitting::granted::(non::final)14</v>
      </c>
      <c r="Q97" s="52"/>
      <c r="R97" s="52"/>
      <c r="S97" s="52"/>
      <c r="T97" s="52"/>
      <c r="U97" s="52"/>
      <c r="V97" s="52"/>
      <c r="W97" s="52"/>
      <c r="X97" s="52"/>
      <c r="Y97" s="52"/>
      <c r="Z97" s="52"/>
    </row>
    <row r="98">
      <c r="A98" s="52" t="str">
        <f>IFERROR(__xludf.DUMMYFUNCTION("""COMPUTED_VALUE"""),"fix::merged")</f>
        <v>fix::merged</v>
      </c>
      <c r="B98" s="52" t="str">
        <f>IFERROR(__xludf.DUMMYFUNCTION("""COMPUTED_VALUE"""),"GUI-related issue, Network issue, Program anomaly issue")</f>
        <v>GUI-related issue, Network issue, Program anomaly issue</v>
      </c>
      <c r="C98" s="52"/>
      <c r="D98" s="52" t="str">
        <f>IFERROR(__xludf.DUMMYFUNCTION("""COMPUTED_VALUE"""),"displays::error::message::(logs)")</f>
        <v>displays::error::message::(logs)</v>
      </c>
      <c r="E98" s="52"/>
      <c r="F98" s="52" t="str">
        <f>IFERROR(__xludf.DUMMYFUNCTION("""COMPUTED_VALUE"""),"cons::and::pros::design::choice::(hybrid::compute::nodes)")</f>
        <v>cons::and::pros::design::choice::(hybrid::compute::nodes)</v>
      </c>
      <c r="G98" s="52"/>
      <c r="H98" s="52"/>
      <c r="I98" s="52" t="str">
        <f>IFERROR(__xludf.DUMMYFUNCTION("""COMPUTED_VALUE"""),"XenProject::CI")</f>
        <v>XenProject::CI</v>
      </c>
      <c r="J98" s="52"/>
      <c r="K98" s="52"/>
      <c r="L98" s="52"/>
      <c r="M98" s="52"/>
      <c r="N98" s="52"/>
      <c r="O98" s="52"/>
      <c r="P98" s="52" t="str">
        <f>IFERROR(__xludf.DUMMYFUNCTION("""COMPUTED_VALUE"""),"approval::for::submitting::granted::(non::final)15")</f>
        <v>approval::for::submitting::granted::(non::final)15</v>
      </c>
      <c r="Q98" s="52"/>
      <c r="R98" s="52"/>
      <c r="S98" s="52"/>
      <c r="T98" s="52"/>
      <c r="U98" s="52"/>
      <c r="V98" s="52"/>
      <c r="W98" s="52"/>
      <c r="X98" s="52"/>
      <c r="Y98" s="52"/>
      <c r="Z98" s="52"/>
    </row>
    <row r="99">
      <c r="A99" s="52" t="str">
        <f>IFERROR(__xludf.DUMMYFUNCTION("""COMPUTED_VALUE"""),"fix::merged::(link::review1)")</f>
        <v>fix::merged::(link::review1)</v>
      </c>
      <c r="B99" s="52" t="str">
        <f>IFERROR(__xludf.DUMMYFUNCTION("""COMPUTED_VALUE"""),"GUI-related issue, Network issue, Security issue")</f>
        <v>GUI-related issue, Network issue, Security issue</v>
      </c>
      <c r="C99" s="52"/>
      <c r="D99" s="52" t="str">
        <f>IFERROR(__xludf.DUMMYFUNCTION("""COMPUTED_VALUE"""),"displays::logs::of::the::behaviour")</f>
        <v>displays::logs::of::the::behaviour</v>
      </c>
      <c r="E99" s="52"/>
      <c r="F99" s="52" t="str">
        <f>IFERROR(__xludf.DUMMYFUNCTION("""COMPUTED_VALUE"""),"cons::and::pros::design::choice::(idea::brought::by::someone::else)")</f>
        <v>cons::and::pros::design::choice::(idea::brought::by::someone::else)</v>
      </c>
      <c r="G99" s="52"/>
      <c r="H99" s="52"/>
      <c r="I99" s="52"/>
      <c r="J99" s="52"/>
      <c r="K99" s="52"/>
      <c r="L99" s="52"/>
      <c r="M99" s="52"/>
      <c r="N99" s="52"/>
      <c r="O99" s="52"/>
      <c r="P99" s="52" t="str">
        <f>IFERROR(__xludf.DUMMYFUNCTION("""COMPUTED_VALUE"""),"approval::for::submitting::granted::(non::final)16")</f>
        <v>approval::for::submitting::granted::(non::final)16</v>
      </c>
      <c r="Q99" s="52"/>
      <c r="R99" s="52"/>
      <c r="S99" s="52"/>
      <c r="T99" s="52"/>
      <c r="U99" s="52"/>
      <c r="V99" s="52"/>
      <c r="W99" s="52"/>
      <c r="X99" s="52"/>
      <c r="Y99" s="52"/>
      <c r="Z99" s="52"/>
    </row>
    <row r="100">
      <c r="A100" s="52" t="str">
        <f>IFERROR(__xludf.DUMMYFUNCTION("""COMPUTED_VALUE"""),"fix::merged::(link::review1)::not::main::branch")</f>
        <v>fix::merged::(link::review1)::not::main::branch</v>
      </c>
      <c r="B100" s="52" t="str">
        <f>IFERROR(__xludf.DUMMYFUNCTION("""COMPUTED_VALUE"""),"GUI-related issue, Network issue, Test code-related issue")</f>
        <v>GUI-related issue, Network issue, Test code-related issue</v>
      </c>
      <c r="C100" s="52"/>
      <c r="D100" s="52" t="str">
        <f>IFERROR(__xludf.DUMMYFUNCTION("""COMPUTED_VALUE"""),"done")</f>
        <v>done</v>
      </c>
      <c r="E100" s="52"/>
      <c r="F100" s="52" t="str">
        <f>IFERROR(__xludf.DUMMYFUNCTION("""COMPUTED_VALUE"""),"cons::and::pros::design::choice::(requirements)")</f>
        <v>cons::and::pros::design::choice::(requirements)</v>
      </c>
      <c r="G100" s="52"/>
      <c r="H100" s="52"/>
      <c r="I100" s="52"/>
      <c r="J100" s="52"/>
      <c r="K100" s="52"/>
      <c r="L100" s="52"/>
      <c r="M100" s="52"/>
      <c r="N100" s="52"/>
      <c r="O100" s="52"/>
      <c r="P100" s="52" t="str">
        <f>IFERROR(__xludf.DUMMYFUNCTION("""COMPUTED_VALUE"""),"approval::for::submitting::granted::(non::final)17")</f>
        <v>approval::for::submitting::granted::(non::final)17</v>
      </c>
      <c r="Q100" s="52"/>
      <c r="R100" s="52"/>
      <c r="S100" s="52"/>
      <c r="T100" s="52"/>
      <c r="U100" s="52"/>
      <c r="V100" s="52"/>
      <c r="W100" s="52"/>
      <c r="X100" s="52"/>
      <c r="Y100" s="52"/>
      <c r="Z100" s="52"/>
    </row>
    <row r="101">
      <c r="A101" s="52" t="str">
        <f>IFERROR(__xludf.DUMMYFUNCTION("""COMPUTED_VALUE"""),"fix::merged::(link::review1)::related::fix")</f>
        <v>fix::merged::(link::review1)::related::fix</v>
      </c>
      <c r="B101" s="52" t="str">
        <f>IFERROR(__xludf.DUMMYFUNCTION("""COMPUTED_VALUE"""),"GUI-related issue, Performance issue, Permission/deprecation issue")</f>
        <v>GUI-related issue, Performance issue, Permission/deprecation issue</v>
      </c>
      <c r="C101" s="52"/>
      <c r="D101" s="52" t="str">
        <f>IFERROR(__xludf.DUMMYFUNCTION("""COMPUTED_VALUE"""),"dropping::some::patches::(outdated::feature)")</f>
        <v>dropping::some::patches::(outdated::feature)</v>
      </c>
      <c r="E101" s="52"/>
      <c r="F101" s="52" t="str">
        <f>IFERROR(__xludf.DUMMYFUNCTION("""COMPUTED_VALUE"""),"cons::and::pros::design::choice::to::deprecating::project::inside::nova")</f>
        <v>cons::and::pros::design::choice::to::deprecating::project::inside::nova</v>
      </c>
      <c r="G101" s="52"/>
      <c r="H101" s="52"/>
      <c r="I101" s="52"/>
      <c r="J101" s="52"/>
      <c r="K101" s="52"/>
      <c r="L101" s="52"/>
      <c r="M101" s="52"/>
      <c r="N101" s="52"/>
      <c r="O101" s="52"/>
      <c r="P101" s="52" t="str">
        <f>IFERROR(__xludf.DUMMYFUNCTION("""COMPUTED_VALUE"""),"approval::for::submitting::granted::(non::final)18")</f>
        <v>approval::for::submitting::granted::(non::final)18</v>
      </c>
      <c r="Q101" s="52"/>
      <c r="R101" s="52"/>
      <c r="S101" s="52"/>
      <c r="T101" s="52"/>
      <c r="U101" s="52"/>
      <c r="V101" s="52"/>
      <c r="W101" s="52"/>
      <c r="X101" s="52"/>
      <c r="Y101" s="52"/>
      <c r="Z101" s="52"/>
    </row>
    <row r="102">
      <c r="A102" s="52" t="str">
        <f>IFERROR(__xludf.DUMMYFUNCTION("""COMPUTED_VALUE"""),"fix::merged::(link::review2)")</f>
        <v>fix::merged::(link::review2)</v>
      </c>
      <c r="B102" s="52" t="str">
        <f>IFERROR(__xludf.DUMMYFUNCTION("""COMPUTED_VALUE"""),"GUI-related issue, Performance issue, Program anomaly issue")</f>
        <v>GUI-related issue, Performance issue, Program anomaly issue</v>
      </c>
      <c r="C102" s="52"/>
      <c r="D102" s="52" t="str">
        <f>IFERROR(__xludf.DUMMYFUNCTION("""COMPUTED_VALUE"""),"examples::of::affected::codes::with::the::BP")</f>
        <v>examples::of::affected::codes::with::the::BP</v>
      </c>
      <c r="E102" s="52"/>
      <c r="F102" s="52" t="str">
        <f>IFERROR(__xludf.DUMMYFUNCTION("""COMPUTED_VALUE"""),"cons::and::pros::design::choice::to::keep::project::inside::nova")</f>
        <v>cons::and::pros::design::choice::to::keep::project::inside::nova</v>
      </c>
      <c r="G102" s="52"/>
      <c r="H102" s="52"/>
      <c r="I102" s="52"/>
      <c r="J102" s="52"/>
      <c r="K102" s="52"/>
      <c r="L102" s="52"/>
      <c r="M102" s="52"/>
      <c r="N102" s="52"/>
      <c r="O102" s="52"/>
      <c r="P102" s="52" t="str">
        <f>IFERROR(__xludf.DUMMYFUNCTION("""COMPUTED_VALUE"""),"approval::for::submitting::granted::(non::final)19")</f>
        <v>approval::for::submitting::granted::(non::final)19</v>
      </c>
      <c r="Q102" s="52"/>
      <c r="R102" s="52"/>
      <c r="S102" s="52"/>
      <c r="T102" s="52"/>
      <c r="U102" s="52"/>
      <c r="V102" s="52"/>
      <c r="W102" s="52"/>
      <c r="X102" s="52"/>
      <c r="Y102" s="52"/>
      <c r="Z102" s="52"/>
    </row>
    <row r="103">
      <c r="A103" s="52" t="str">
        <f>IFERROR(__xludf.DUMMYFUNCTION("""COMPUTED_VALUE"""),"fix::merged::(link::review2)::not::main::branch")</f>
        <v>fix::merged::(link::review2)::not::main::branch</v>
      </c>
      <c r="B103" s="52" t="str">
        <f>IFERROR(__xludf.DUMMYFUNCTION("""COMPUTED_VALUE"""),"GUI-related issue, Performance issue, Security issue")</f>
        <v>GUI-related issue, Performance issue, Security issue</v>
      </c>
      <c r="C103" s="52"/>
      <c r="D103" s="52" t="str">
        <f>IFERROR(__xludf.DUMMYFUNCTION("""COMPUTED_VALUE"""),"examples::of::wrong::behaviour")</f>
        <v>examples::of::wrong::behaviour</v>
      </c>
      <c r="E103" s="52"/>
      <c r="F103" s="52" t="str">
        <f>IFERROR(__xludf.DUMMYFUNCTION("""COMPUTED_VALUE"""),"cons::and::pros::FFE")</f>
        <v>cons::and::pros::FFE</v>
      </c>
      <c r="G103" s="52"/>
      <c r="H103" s="52"/>
      <c r="I103" s="52"/>
      <c r="J103" s="52"/>
      <c r="K103" s="52"/>
      <c r="L103" s="52"/>
      <c r="M103" s="52"/>
      <c r="N103" s="52"/>
      <c r="O103" s="52"/>
      <c r="P103" s="52" t="str">
        <f>IFERROR(__xludf.DUMMYFUNCTION("""COMPUTED_VALUE"""),"approval::for::submitting::granted::(non::final)2")</f>
        <v>approval::for::submitting::granted::(non::final)2</v>
      </c>
      <c r="Q103" s="52"/>
      <c r="R103" s="52"/>
      <c r="S103" s="52"/>
      <c r="T103" s="52"/>
      <c r="U103" s="52"/>
      <c r="V103" s="52"/>
      <c r="W103" s="52"/>
      <c r="X103" s="52"/>
      <c r="Y103" s="52"/>
      <c r="Z103" s="52"/>
    </row>
    <row r="104">
      <c r="A104" s="52" t="str">
        <f>IFERROR(__xludf.DUMMYFUNCTION("""COMPUTED_VALUE"""),"fix::merged::(link::review2)::related::fix")</f>
        <v>fix::merged::(link::review2)::related::fix</v>
      </c>
      <c r="B104" s="52" t="str">
        <f>IFERROR(__xludf.DUMMYFUNCTION("""COMPUTED_VALUE"""),"GUI-related issue, Performance issue, Test code-related issue")</f>
        <v>GUI-related issue, Performance issue, Test code-related issue</v>
      </c>
      <c r="C104" s="52"/>
      <c r="D104" s="52" t="str">
        <f>IFERROR(__xludf.DUMMYFUNCTION("""COMPUTED_VALUE"""),"examples::of::wrong::behaviour::(in::specific::java::version)")</f>
        <v>examples::of::wrong::behaviour::(in::specific::java::version)</v>
      </c>
      <c r="E104" s="52"/>
      <c r="F104" s="52" t="str">
        <f>IFERROR(__xludf.DUMMYFUNCTION("""COMPUTED_VALUE"""),"criticallity::of::bugs")</f>
        <v>criticallity::of::bugs</v>
      </c>
      <c r="G104" s="52"/>
      <c r="H104" s="52"/>
      <c r="I104" s="52"/>
      <c r="J104" s="52"/>
      <c r="K104" s="52"/>
      <c r="L104" s="52"/>
      <c r="M104" s="52"/>
      <c r="N104" s="52"/>
      <c r="O104" s="52"/>
      <c r="P104" s="52" t="str">
        <f>IFERROR(__xludf.DUMMYFUNCTION("""COMPUTED_VALUE"""),"approval::for::submitting::granted::(non::final)20")</f>
        <v>approval::for::submitting::granted::(non::final)20</v>
      </c>
      <c r="Q104" s="52"/>
      <c r="R104" s="52"/>
      <c r="S104" s="52"/>
      <c r="T104" s="52"/>
      <c r="U104" s="52"/>
      <c r="V104" s="52"/>
      <c r="W104" s="52"/>
      <c r="X104" s="52"/>
      <c r="Y104" s="52"/>
      <c r="Z104" s="52"/>
    </row>
    <row r="105">
      <c r="A105" s="52" t="str">
        <f>IFERROR(__xludf.DUMMYFUNCTION("""COMPUTED_VALUE"""),"fix::merged::(link::review3)")</f>
        <v>fix::merged::(link::review3)</v>
      </c>
      <c r="B105" s="52" t="str">
        <f>IFERROR(__xludf.DUMMYFUNCTION("""COMPUTED_VALUE"""),"GUI-related issue, Permission/deprecation issue, Program anomaly issue")</f>
        <v>GUI-related issue, Permission/deprecation issue, Program anomaly issue</v>
      </c>
      <c r="C105" s="52"/>
      <c r="D105" s="52" t="str">
        <f>IFERROR(__xludf.DUMMYFUNCTION("""COMPUTED_VALUE"""),"exceptions::of::expected::behaviour")</f>
        <v>exceptions::of::expected::behaviour</v>
      </c>
      <c r="E105" s="52"/>
      <c r="F105" s="52" t="str">
        <f>IFERROR(__xludf.DUMMYFUNCTION("""COMPUTED_VALUE"""),"deadline::of::tasks::associated::to::BP::approaching")</f>
        <v>deadline::of::tasks::associated::to::BP::approaching</v>
      </c>
      <c r="G105" s="52"/>
      <c r="H105" s="52"/>
      <c r="I105" s="52"/>
      <c r="J105" s="52"/>
      <c r="K105" s="52"/>
      <c r="L105" s="52"/>
      <c r="M105" s="52"/>
      <c r="N105" s="52"/>
      <c r="O105" s="52"/>
      <c r="P105" s="52" t="str">
        <f>IFERROR(__xludf.DUMMYFUNCTION("""COMPUTED_VALUE"""),"approval::for::submitting::granted::(non::final)21")</f>
        <v>approval::for::submitting::granted::(non::final)21</v>
      </c>
      <c r="Q105" s="52"/>
      <c r="R105" s="52"/>
      <c r="S105" s="52"/>
      <c r="T105" s="52"/>
      <c r="U105" s="52"/>
      <c r="V105" s="52"/>
      <c r="W105" s="52"/>
      <c r="X105" s="52"/>
      <c r="Y105" s="52"/>
      <c r="Z105" s="52"/>
    </row>
    <row r="106">
      <c r="A106" s="52" t="str">
        <f>IFERROR(__xludf.DUMMYFUNCTION("""COMPUTED_VALUE"""),"fix::merged::(link::review3)::not::main::branch")</f>
        <v>fix::merged::(link::review3)::not::main::branch</v>
      </c>
      <c r="B106" s="52" t="str">
        <f>IFERROR(__xludf.DUMMYFUNCTION("""COMPUTED_VALUE"""),"GUI-related issue, Permission/deprecation issue, Security issue")</f>
        <v>GUI-related issue, Permission/deprecation issue, Security issue</v>
      </c>
      <c r="C106" s="52"/>
      <c r="D106" s="52" t="str">
        <f>IFERROR(__xludf.DUMMYFUNCTION("""COMPUTED_VALUE"""),"expectations::for::feature::freeze::exception::(FFE)")</f>
        <v>expectations::for::feature::freeze::exception::(FFE)</v>
      </c>
      <c r="E106" s="52"/>
      <c r="F106" s="52" t="str">
        <f>IFERROR(__xludf.DUMMYFUNCTION("""COMPUTED_VALUE"""),"demo::for::suggestions:.of::improvements::of::the::software::based:.on::new::opportunities:.based::on::changes::needed:.for:.the::bug")</f>
        <v>demo::for::suggestions:.of::improvements::of::the::software::based:.on::new::opportunities:.based::on::changes::needed:.for:.the::bug</v>
      </c>
      <c r="G106" s="52"/>
      <c r="H106" s="52"/>
      <c r="I106" s="52"/>
      <c r="J106" s="52"/>
      <c r="K106" s="52"/>
      <c r="L106" s="52"/>
      <c r="M106" s="52"/>
      <c r="N106" s="52"/>
      <c r="O106" s="52"/>
      <c r="P106" s="52" t="str">
        <f>IFERROR(__xludf.DUMMYFUNCTION("""COMPUTED_VALUE"""),"approval::for::submitting::granted::(non::final)22")</f>
        <v>approval::for::submitting::granted::(non::final)22</v>
      </c>
      <c r="Q106" s="52"/>
      <c r="R106" s="52"/>
      <c r="S106" s="52"/>
      <c r="T106" s="52"/>
      <c r="U106" s="52"/>
      <c r="V106" s="52"/>
      <c r="W106" s="52"/>
      <c r="X106" s="52"/>
      <c r="Y106" s="52"/>
      <c r="Z106" s="52"/>
    </row>
    <row r="107">
      <c r="A107" s="52" t="str">
        <f>IFERROR(__xludf.DUMMYFUNCTION("""COMPUTED_VALUE"""),"fix::merged::(link::review4)::related::fix")</f>
        <v>fix::merged::(link::review4)::related::fix</v>
      </c>
      <c r="B107" s="52" t="str">
        <f>IFERROR(__xludf.DUMMYFUNCTION("""COMPUTED_VALUE"""),"GUI-related issue, Permission/deprecation issue, Test code-related issue")</f>
        <v>GUI-related issue, Permission/deprecation issue, Test code-related issue</v>
      </c>
      <c r="C107" s="52"/>
      <c r="D107" s="52" t="str">
        <f>IFERROR(__xludf.DUMMYFUNCTION("""COMPUTED_VALUE"""),"expected::behaviour")</f>
        <v>expected::behaviour</v>
      </c>
      <c r="E107" s="52"/>
      <c r="F107" s="52" t="str">
        <f>IFERROR(__xludf.DUMMYFUNCTION("""COMPUTED_VALUE"""),"deprecate::a::feature::(review)")</f>
        <v>deprecate::a::feature::(review)</v>
      </c>
      <c r="G107" s="52"/>
      <c r="H107" s="52"/>
      <c r="I107" s="52"/>
      <c r="J107" s="52"/>
      <c r="K107" s="52"/>
      <c r="L107" s="52"/>
      <c r="M107" s="52"/>
      <c r="N107" s="52"/>
      <c r="O107" s="52"/>
      <c r="P107" s="52" t="str">
        <f>IFERROR(__xludf.DUMMYFUNCTION("""COMPUTED_VALUE"""),"approval::for::submitting::granted::(non::final)23")</f>
        <v>approval::for::submitting::granted::(non::final)23</v>
      </c>
      <c r="Q107" s="52"/>
      <c r="R107" s="52"/>
      <c r="S107" s="52"/>
      <c r="T107" s="52"/>
      <c r="U107" s="52"/>
      <c r="V107" s="52"/>
      <c r="W107" s="52"/>
      <c r="X107" s="52"/>
      <c r="Y107" s="52"/>
      <c r="Z107" s="52"/>
    </row>
    <row r="108">
      <c r="A108" s="52" t="str">
        <f>IFERROR(__xludf.DUMMYFUNCTION("""COMPUTED_VALUE"""),"fix::merged::not::main::branch")</f>
        <v>fix::merged::not::main::branch</v>
      </c>
      <c r="B108" s="52" t="str">
        <f>IFERROR(__xludf.DUMMYFUNCTION("""COMPUTED_VALUE"""),"GUI-related issue, Program anomaly issue, Test code-related issue")</f>
        <v>GUI-related issue, Program anomaly issue, Test code-related issue</v>
      </c>
      <c r="C108" s="52"/>
      <c r="D108" s="52" t="str">
        <f>IFERROR(__xludf.DUMMYFUNCTION("""COMPUTED_VALUE"""),"expected::behaviour::(per::expected::functionallity)")</f>
        <v>expected::behaviour::(per::expected::functionallity)</v>
      </c>
      <c r="E108" s="52"/>
      <c r="F108" s="52" t="str">
        <f>IFERROR(__xludf.DUMMYFUNCTION("""COMPUTED_VALUE"""),"describing::the::need::of::real::exposure::before::releasing::change")</f>
        <v>describing::the::need::of::real::exposure::before::releasing::change</v>
      </c>
      <c r="G108" s="52"/>
      <c r="H108" s="52"/>
      <c r="I108" s="52"/>
      <c r="J108" s="52"/>
      <c r="K108" s="52"/>
      <c r="L108" s="52"/>
      <c r="M108" s="52"/>
      <c r="N108" s="52"/>
      <c r="O108" s="52"/>
      <c r="P108" s="52" t="str">
        <f>IFERROR(__xludf.DUMMYFUNCTION("""COMPUTED_VALUE"""),"approval::for::submitting::granted::(non::final)24")</f>
        <v>approval::for::submitting::granted::(non::final)24</v>
      </c>
      <c r="Q108" s="52"/>
      <c r="R108" s="52"/>
      <c r="S108" s="52"/>
      <c r="T108" s="52"/>
      <c r="U108" s="52"/>
      <c r="V108" s="52"/>
      <c r="W108" s="52"/>
      <c r="X108" s="52"/>
      <c r="Y108" s="52"/>
      <c r="Z108" s="52"/>
    </row>
    <row r="109">
      <c r="A109" s="52" t="str">
        <f>IFERROR(__xludf.DUMMYFUNCTION("""COMPUTED_VALUE"""),"fix::merged::related::fix")</f>
        <v>fix::merged::related::fix</v>
      </c>
      <c r="B109" s="52" t="str">
        <f>IFERROR(__xludf.DUMMYFUNCTION("""COMPUTED_VALUE"""),"GUI-related issue, Security issue, Program anomaly issue")</f>
        <v>GUI-related issue, Security issue, Program anomaly issue</v>
      </c>
      <c r="C109" s="52"/>
      <c r="D109" s="52" t="str">
        <f>IFERROR(__xludf.DUMMYFUNCTION("""COMPUTED_VALUE"""),"expected::outcome")</f>
        <v>expected::outcome</v>
      </c>
      <c r="E109" s="52"/>
      <c r="F109" s="52" t="str">
        <f>IFERROR(__xludf.DUMMYFUNCTION("""COMPUTED_VALUE"""),"description::of::patch::(solution)::of::a::bug")</f>
        <v>description::of::patch::(solution)::of::a::bug</v>
      </c>
      <c r="G109" s="52"/>
      <c r="H109" s="52"/>
      <c r="I109" s="52"/>
      <c r="J109" s="52"/>
      <c r="K109" s="52"/>
      <c r="L109" s="52"/>
      <c r="M109" s="52"/>
      <c r="N109" s="52"/>
      <c r="O109" s="52"/>
      <c r="P109" s="52" t="str">
        <f>IFERROR(__xludf.DUMMYFUNCTION("""COMPUTED_VALUE"""),"approval::for::submitting::granted::(non::final)25")</f>
        <v>approval::for::submitting::granted::(non::final)25</v>
      </c>
      <c r="Q109" s="52"/>
      <c r="R109" s="52"/>
      <c r="S109" s="52"/>
      <c r="T109" s="52"/>
      <c r="U109" s="52"/>
      <c r="V109" s="52"/>
      <c r="W109" s="52"/>
      <c r="X109" s="52"/>
      <c r="Y109" s="52"/>
      <c r="Z109" s="52"/>
    </row>
    <row r="110">
      <c r="A110" s="52" t="str">
        <f>IFERROR(__xludf.DUMMYFUNCTION("""COMPUTED_VALUE"""),"fix::merged::related::hash::commit")</f>
        <v>fix::merged::related::hash::commit</v>
      </c>
      <c r="B110" s="52" t="str">
        <f>IFERROR(__xludf.DUMMYFUNCTION("""COMPUTED_VALUE"""),"GUI-related issue, Security issue, Test code-related issue")</f>
        <v>GUI-related issue, Security issue, Test code-related issue</v>
      </c>
      <c r="C110" s="52"/>
      <c r="D110" s="52" t="str">
        <f>IFERROR(__xludf.DUMMYFUNCTION("""COMPUTED_VALUE"""),"expected::outcome::(functionallities::to::remove)")</f>
        <v>expected::outcome::(functionallities::to::remove)</v>
      </c>
      <c r="E110" s="52"/>
      <c r="F110" s="52" t="str">
        <f>IFERROR(__xludf.DUMMYFUNCTION("""COMPUTED_VALUE"""),"description::of::the::sender::development::responsabilities::(bug/BP/feature::related)")</f>
        <v>description::of::the::sender::development::responsabilities::(bug/BP/feature::related)</v>
      </c>
      <c r="G110" s="52"/>
      <c r="H110" s="52"/>
      <c r="I110" s="52"/>
      <c r="J110" s="52"/>
      <c r="K110" s="52"/>
      <c r="L110" s="52"/>
      <c r="M110" s="52"/>
      <c r="N110" s="52"/>
      <c r="O110" s="52"/>
      <c r="P110" s="52" t="str">
        <f>IFERROR(__xludf.DUMMYFUNCTION("""COMPUTED_VALUE"""),"approval::for::submitting::granted::(non::final)26")</f>
        <v>approval::for::submitting::granted::(non::final)26</v>
      </c>
      <c r="Q110" s="52"/>
      <c r="R110" s="52"/>
      <c r="S110" s="52"/>
      <c r="T110" s="52"/>
      <c r="U110" s="52"/>
      <c r="V110" s="52"/>
      <c r="W110" s="52"/>
      <c r="X110" s="52"/>
      <c r="Y110" s="52"/>
      <c r="Z110" s="52"/>
    </row>
    <row r="111">
      <c r="A111" s="52" t="str">
        <f>IFERROR(__xludf.DUMMYFUNCTION("""COMPUTED_VALUE"""),"fixed::elsewhere::confirmed")</f>
        <v>fixed::elsewhere::confirmed</v>
      </c>
      <c r="B111" s="52" t="str">
        <f>IFERROR(__xludf.DUMMYFUNCTION("""COMPUTED_VALUE"""),"Network issue, Performance issue, Permission/deprecation issue")</f>
        <v>Network issue, Performance issue, Permission/deprecation issue</v>
      </c>
      <c r="C111" s="52"/>
      <c r="D111" s="52" t="str">
        <f>IFERROR(__xludf.DUMMYFUNCTION("""COMPUTED_VALUE"""),"expected::outcome::(functionallities)")</f>
        <v>expected::outcome::(functionallities)</v>
      </c>
      <c r="E111" s="52"/>
      <c r="F111" s="52" t="str">
        <f>IFERROR(__xludf.DUMMYFUNCTION("""COMPUTED_VALUE"""),"description::of::the::sender::development::responsabilities::(not::bug/BP/feature::related)")</f>
        <v>description::of::the::sender::development::responsabilities::(not::bug/BP/feature::related)</v>
      </c>
      <c r="G111" s="52"/>
      <c r="H111" s="52"/>
      <c r="I111" s="52"/>
      <c r="J111" s="52"/>
      <c r="K111" s="52"/>
      <c r="L111" s="52"/>
      <c r="M111" s="52"/>
      <c r="N111" s="52"/>
      <c r="O111" s="52"/>
      <c r="P111" s="52" t="str">
        <f>IFERROR(__xludf.DUMMYFUNCTION("""COMPUTED_VALUE"""),"approval::for::submitting::granted::(non::final)27")</f>
        <v>approval::for::submitting::granted::(non::final)27</v>
      </c>
      <c r="Q111" s="52"/>
      <c r="R111" s="52"/>
      <c r="S111" s="52"/>
      <c r="T111" s="52"/>
      <c r="U111" s="52"/>
      <c r="V111" s="52"/>
      <c r="W111" s="52"/>
      <c r="X111" s="52"/>
      <c r="Y111" s="52"/>
      <c r="Z111" s="52"/>
    </row>
    <row r="112">
      <c r="A112" s="52" t="str">
        <f>IFERROR(__xludf.DUMMYFUNCTION("""COMPUTED_VALUE"""),"identify::specific::problem::causing::the::bug::regression")</f>
        <v>identify::specific::problem::causing::the::bug::regression</v>
      </c>
      <c r="B112" s="52" t="str">
        <f>IFERROR(__xludf.DUMMYFUNCTION("""COMPUTED_VALUE"""),"Network issue, Performance issue, Program anomaly issue")</f>
        <v>Network issue, Performance issue, Program anomaly issue</v>
      </c>
      <c r="C112" s="52"/>
      <c r="D112" s="52" t="str">
        <f>IFERROR(__xludf.DUMMYFUNCTION("""COMPUTED_VALUE"""),"expected::outcome::(per::expected::functionallity)")</f>
        <v>expected::outcome::(per::expected::functionallity)</v>
      </c>
      <c r="E112" s="52"/>
      <c r="F112" s="52" t="str">
        <f>IFERROR(__xludf.DUMMYFUNCTION("""COMPUTED_VALUE"""),"description::of::the::sender::development::responsabilities::not::taken::(bug/BP/feature::related)")</f>
        <v>description::of::the::sender::development::responsabilities::not::taken::(bug/BP/feature::related)</v>
      </c>
      <c r="G112" s="52"/>
      <c r="H112" s="52"/>
      <c r="I112" s="52"/>
      <c r="J112" s="52"/>
      <c r="K112" s="52"/>
      <c r="L112" s="52"/>
      <c r="M112" s="52"/>
      <c r="N112" s="52"/>
      <c r="O112" s="52"/>
      <c r="P112" s="52" t="str">
        <f>IFERROR(__xludf.DUMMYFUNCTION("""COMPUTED_VALUE"""),"approval::for::submitting::granted::(non::final)28")</f>
        <v>approval::for::submitting::granted::(non::final)28</v>
      </c>
      <c r="Q112" s="52"/>
      <c r="R112" s="52"/>
      <c r="S112" s="52"/>
      <c r="T112" s="52"/>
      <c r="U112" s="52"/>
      <c r="V112" s="52"/>
      <c r="W112" s="52"/>
      <c r="X112" s="52"/>
      <c r="Y112" s="52"/>
      <c r="Z112" s="52"/>
    </row>
    <row r="113">
      <c r="A113" s="52" t="str">
        <f>IFERROR(__xludf.DUMMYFUNCTION("""COMPUTED_VALUE"""),"identifying::bug::fixed::elsewhere::(link::file::other::package)")</f>
        <v>identifying::bug::fixed::elsewhere::(link::file::other::package)</v>
      </c>
      <c r="B113" s="52" t="str">
        <f>IFERROR(__xludf.DUMMYFUNCTION("""COMPUTED_VALUE"""),"Network issue, Performance issue, Security issue")</f>
        <v>Network issue, Performance issue, Security issue</v>
      </c>
      <c r="C113" s="52"/>
      <c r="D113" s="52" t="str">
        <f>IFERROR(__xludf.DUMMYFUNCTION("""COMPUTED_VALUE"""),"expected::outcome::(performance::improvement)")</f>
        <v>expected::outcome::(performance::improvement)</v>
      </c>
      <c r="E113" s="52"/>
      <c r="F113" s="52" t="str">
        <f>IFERROR(__xludf.DUMMYFUNCTION("""COMPUTED_VALUE"""),"details::on::how::a::similar::problem::has::been::approached::by::different::developers::(external)")</f>
        <v>details::on::how::a::similar::problem::has::been::approached::by::different::developers::(external)</v>
      </c>
      <c r="G113" s="52"/>
      <c r="H113" s="52"/>
      <c r="I113" s="52"/>
      <c r="J113" s="52"/>
      <c r="K113" s="52"/>
      <c r="L113" s="52"/>
      <c r="M113" s="52"/>
      <c r="N113" s="52"/>
      <c r="O113" s="52"/>
      <c r="P113" s="52" t="str">
        <f>IFERROR(__xludf.DUMMYFUNCTION("""COMPUTED_VALUE"""),"approval::for::submitting::granted::(non::final)29")</f>
        <v>approval::for::submitting::granted::(non::final)29</v>
      </c>
      <c r="Q113" s="52"/>
      <c r="R113" s="52"/>
      <c r="S113" s="52"/>
      <c r="T113" s="52"/>
      <c r="U113" s="52"/>
      <c r="V113" s="52"/>
      <c r="W113" s="52"/>
      <c r="X113" s="52"/>
      <c r="Y113" s="52"/>
      <c r="Z113" s="52"/>
    </row>
    <row r="114">
      <c r="A114" s="52" t="str">
        <f>IFERROR(__xludf.DUMMYFUNCTION("""COMPUTED_VALUE"""),"identifying::bug::fixed::elsewhere::(link::review)")</f>
        <v>identifying::bug::fixed::elsewhere::(link::review)</v>
      </c>
      <c r="B114" s="52" t="str">
        <f>IFERROR(__xludf.DUMMYFUNCTION("""COMPUTED_VALUE"""),"Network issue, Performance issue, Test code-related issue")</f>
        <v>Network issue, Performance issue, Test code-related issue</v>
      </c>
      <c r="C114" s="52"/>
      <c r="D114" s="52" t="str">
        <f>IFERROR(__xludf.DUMMYFUNCTION("""COMPUTED_VALUE"""),"expected::outcome::(refactoring)")</f>
        <v>expected::outcome::(refactoring)</v>
      </c>
      <c r="E114" s="52"/>
      <c r="F114" s="52" t="str">
        <f>IFERROR(__xludf.DUMMYFUNCTION("""COMPUTED_VALUE"""),"details::on::how::the::functionality::can::also::encompass::a::broader::target::(external::developer)")</f>
        <v>details::on::how::the::functionality::can::also::encompass::a::broader::target::(external::developer)</v>
      </c>
      <c r="G114" s="52"/>
      <c r="H114" s="52"/>
      <c r="I114" s="52"/>
      <c r="J114" s="52"/>
      <c r="K114" s="52"/>
      <c r="L114" s="52"/>
      <c r="M114" s="52"/>
      <c r="N114" s="52"/>
      <c r="O114" s="52"/>
      <c r="P114" s="52" t="str">
        <f>IFERROR(__xludf.DUMMYFUNCTION("""COMPUTED_VALUE"""),"approval::for::submitting::granted::(non::final)3")</f>
        <v>approval::for::submitting::granted::(non::final)3</v>
      </c>
      <c r="Q114" s="52"/>
      <c r="R114" s="52"/>
      <c r="S114" s="52"/>
      <c r="T114" s="52"/>
      <c r="U114" s="52"/>
      <c r="V114" s="52"/>
      <c r="W114" s="52"/>
      <c r="X114" s="52"/>
      <c r="Y114" s="52"/>
      <c r="Z114" s="52"/>
    </row>
    <row r="115">
      <c r="A115" s="52" t="str">
        <f>IFERROR(__xludf.DUMMYFUNCTION("""COMPUTED_VALUE"""),"identifying::bug::fixed::elsewhere::(revision::hash)")</f>
        <v>identifying::bug::fixed::elsewhere::(revision::hash)</v>
      </c>
      <c r="B115" s="52" t="str">
        <f>IFERROR(__xludf.DUMMYFUNCTION("""COMPUTED_VALUE"""),"Network issue, Permission/deprecation issue, Program anomaly issue")</f>
        <v>Network issue, Permission/deprecation issue, Program anomaly issue</v>
      </c>
      <c r="C115" s="52"/>
      <c r="D115" s="52" t="str">
        <f>IFERROR(__xludf.DUMMYFUNCTION("""COMPUTED_VALUE"""),"expected::outcome::(use::of::existing::functionality)")</f>
        <v>expected::outcome::(use::of::existing::functionality)</v>
      </c>
      <c r="E115" s="52"/>
      <c r="F115" s="52" t="str">
        <f>IFERROR(__xludf.DUMMYFUNCTION("""COMPUTED_VALUE"""),"deviations:.from::groupal::summit::(global::meeting)")</f>
        <v>deviations:.from::groupal::summit::(global::meeting)</v>
      </c>
      <c r="G115" s="52"/>
      <c r="H115" s="52"/>
      <c r="I115" s="52"/>
      <c r="J115" s="52"/>
      <c r="K115" s="52"/>
      <c r="L115" s="52"/>
      <c r="M115" s="52"/>
      <c r="N115" s="52"/>
      <c r="O115" s="52"/>
      <c r="P115" s="52" t="str">
        <f>IFERROR(__xludf.DUMMYFUNCTION("""COMPUTED_VALUE"""),"approval::for::submitting::granted::(non::final)30")</f>
        <v>approval::for::submitting::granted::(non::final)30</v>
      </c>
      <c r="Q115" s="52"/>
      <c r="R115" s="52"/>
      <c r="S115" s="52"/>
      <c r="T115" s="52"/>
      <c r="U115" s="52"/>
      <c r="V115" s="52"/>
      <c r="W115" s="52"/>
      <c r="X115" s="52"/>
      <c r="Y115" s="52"/>
      <c r="Z115" s="52"/>
    </row>
    <row r="116">
      <c r="A116" s="52" t="str">
        <f>IFERROR(__xludf.DUMMYFUNCTION("""COMPUTED_VALUE"""),"identifying::the::bug::duplication")</f>
        <v>identifying::the::bug::duplication</v>
      </c>
      <c r="B116" s="52" t="str">
        <f>IFERROR(__xludf.DUMMYFUNCTION("""COMPUTED_VALUE"""),"Network issue, Permission/deprecation issue, Security issue")</f>
        <v>Network issue, Permission/deprecation issue, Security issue</v>
      </c>
      <c r="C116" s="52"/>
      <c r="D116" s="52" t="str">
        <f>IFERROR(__xludf.DUMMYFUNCTION("""COMPUTED_VALUE"""),"expired::freeze::exception::(FFE)")</f>
        <v>expired::freeze::exception::(FFE)</v>
      </c>
      <c r="E116" s="52"/>
      <c r="F116" s="52" t="str">
        <f>IFERROR(__xludf.DUMMYFUNCTION("""COMPUTED_VALUE"""),"disagreeing::refactoring::required")</f>
        <v>disagreeing::refactoring::required</v>
      </c>
      <c r="G116" s="52"/>
      <c r="H116" s="52"/>
      <c r="I116" s="52"/>
      <c r="J116" s="52"/>
      <c r="K116" s="52"/>
      <c r="L116" s="52"/>
      <c r="M116" s="52"/>
      <c r="N116" s="52"/>
      <c r="O116" s="52"/>
      <c r="P116" s="52" t="str">
        <f>IFERROR(__xludf.DUMMYFUNCTION("""COMPUTED_VALUE"""),"approval::for::submitting::granted::(non::final)31")</f>
        <v>approval::for::submitting::granted::(non::final)31</v>
      </c>
      <c r="Q116" s="52"/>
      <c r="R116" s="52"/>
      <c r="S116" s="52"/>
      <c r="T116" s="52"/>
      <c r="U116" s="52"/>
      <c r="V116" s="52"/>
      <c r="W116" s="52"/>
      <c r="X116" s="52"/>
      <c r="Y116" s="52"/>
      <c r="Z116" s="52"/>
    </row>
    <row r="117">
      <c r="A117" s="52" t="str">
        <f>IFERROR(__xludf.DUMMYFUNCTION("""COMPUTED_VALUE"""),"if:.fix::has:.fixed::or::not::the::bug")</f>
        <v>if:.fix::has:.fixed::or::not::the::bug</v>
      </c>
      <c r="B117" s="52" t="str">
        <f>IFERROR(__xludf.DUMMYFUNCTION("""COMPUTED_VALUE"""),"Network issue, Permission/deprecation issue, Test code-related issue")</f>
        <v>Network issue, Permission/deprecation issue, Test code-related issue</v>
      </c>
      <c r="C117" s="52"/>
      <c r="D117" s="52" t="str">
        <f>IFERROR(__xludf.DUMMYFUNCTION("""COMPUTED_VALUE"""),"explanation::of::log")</f>
        <v>explanation::of::log</v>
      </c>
      <c r="E117" s="52"/>
      <c r="F117" s="52" t="str">
        <f>IFERROR(__xludf.DUMMYFUNCTION("""COMPUTED_VALUE"""),"discard::the::idea::of::ussing::the::BP/feature::to::solve::a::need")</f>
        <v>discard::the::idea::of::ussing::the::BP/feature::to::solve::a::need</v>
      </c>
      <c r="G117" s="52"/>
      <c r="H117" s="52"/>
      <c r="I117" s="52"/>
      <c r="J117" s="52"/>
      <c r="K117" s="52"/>
      <c r="L117" s="52"/>
      <c r="M117" s="52"/>
      <c r="N117" s="52"/>
      <c r="O117" s="52"/>
      <c r="P117" s="52" t="str">
        <f>IFERROR(__xludf.DUMMYFUNCTION("""COMPUTED_VALUE"""),"approval::for::submitting::granted::(non::final)32")</f>
        <v>approval::for::submitting::granted::(non::final)32</v>
      </c>
      <c r="Q117" s="52"/>
      <c r="R117" s="52"/>
      <c r="S117" s="52"/>
      <c r="T117" s="52"/>
      <c r="U117" s="52"/>
      <c r="V117" s="52"/>
      <c r="W117" s="52"/>
      <c r="X117" s="52"/>
      <c r="Y117" s="52"/>
      <c r="Z117" s="52"/>
    </row>
    <row r="118">
      <c r="A118" s="52" t="str">
        <f>IFERROR(__xludf.DUMMYFUNCTION("""COMPUTED_VALUE"""),"implications::of::the::changes::needed::to::fix::the::bug")</f>
        <v>implications::of::the::changes::needed::to::fix::the::bug</v>
      </c>
      <c r="B118" s="52" t="str">
        <f>IFERROR(__xludf.DUMMYFUNCTION("""COMPUTED_VALUE"""),"Network issue, Program anomaly issue, Test code-related issue")</f>
        <v>Network issue, Program anomaly issue, Test code-related issue</v>
      </c>
      <c r="C118" s="52"/>
      <c r="D118" s="52" t="str">
        <f>IFERROR(__xludf.DUMMYFUNCTION("""COMPUTED_VALUE"""),"explanation::of::log::(ignore::log)")</f>
        <v>explanation::of::log::(ignore::log)</v>
      </c>
      <c r="E118" s="52"/>
      <c r="F118" s="52" t="str">
        <f>IFERROR(__xludf.DUMMYFUNCTION("""COMPUTED_VALUE"""),"discuss::another::BP::design::decisions")</f>
        <v>discuss::another::BP::design::decisions</v>
      </c>
      <c r="G118" s="52"/>
      <c r="H118" s="52"/>
      <c r="I118" s="52"/>
      <c r="J118" s="52"/>
      <c r="K118" s="52"/>
      <c r="L118" s="52"/>
      <c r="M118" s="52"/>
      <c r="N118" s="52"/>
      <c r="O118" s="52"/>
      <c r="P118" s="52" t="str">
        <f>IFERROR(__xludf.DUMMYFUNCTION("""COMPUTED_VALUE"""),"approval::for::submitting::granted::(non::final)33")</f>
        <v>approval::for::submitting::granted::(non::final)33</v>
      </c>
      <c r="Q118" s="52"/>
      <c r="R118" s="52"/>
      <c r="S118" s="52"/>
      <c r="T118" s="52"/>
      <c r="U118" s="52"/>
      <c r="V118" s="52"/>
      <c r="W118" s="52"/>
      <c r="X118" s="52"/>
      <c r="Y118" s="52"/>
      <c r="Z118" s="52"/>
    </row>
    <row r="119">
      <c r="A119" s="52" t="str">
        <f>IFERROR(__xludf.DUMMYFUNCTION("""COMPUTED_VALUE"""),"inconsistencies::of::the::bahaviour::of::patched/modified::code")</f>
        <v>inconsistencies::of::the::bahaviour::of::patched/modified::code</v>
      </c>
      <c r="B119" s="52" t="str">
        <f>IFERROR(__xludf.DUMMYFUNCTION("""COMPUTED_VALUE"""),"Network issue, Security issue, Program anomaly issue")</f>
        <v>Network issue, Security issue, Program anomaly issue</v>
      </c>
      <c r="C119" s="52"/>
      <c r="D119" s="52" t="str">
        <f>IFERROR(__xludf.DUMMYFUNCTION("""COMPUTED_VALUE"""),"feature::deadline::missed")</f>
        <v>feature::deadline::missed</v>
      </c>
      <c r="E119" s="52"/>
      <c r="F119" s="52" t="str">
        <f>IFERROR(__xludf.DUMMYFUNCTION("""COMPUTED_VALUE"""),"discussing::about::development::process::(location::testing)")</f>
        <v>discussing::about::development::process::(location::testing)</v>
      </c>
      <c r="G119" s="52"/>
      <c r="H119" s="52"/>
      <c r="I119" s="52"/>
      <c r="J119" s="52"/>
      <c r="K119" s="52"/>
      <c r="L119" s="52"/>
      <c r="M119" s="52"/>
      <c r="N119" s="52"/>
      <c r="O119" s="52"/>
      <c r="P119" s="52" t="str">
        <f>IFERROR(__xludf.DUMMYFUNCTION("""COMPUTED_VALUE"""),"approval::for::submitting::granted::(non::final)34")</f>
        <v>approval::for::submitting::granted::(non::final)34</v>
      </c>
      <c r="Q119" s="52"/>
      <c r="R119" s="52"/>
      <c r="S119" s="52"/>
      <c r="T119" s="52"/>
      <c r="U119" s="52"/>
      <c r="V119" s="52"/>
      <c r="W119" s="52"/>
      <c r="X119" s="52"/>
      <c r="Y119" s="52"/>
      <c r="Z119" s="52"/>
    </row>
    <row r="120">
      <c r="A120" s="52" t="str">
        <f>IFERROR(__xludf.DUMMYFUNCTION("""COMPUTED_VALUE"""),"incorporate::the::change::into::a::different::project")</f>
        <v>incorporate::the::change::into::a::different::project</v>
      </c>
      <c r="B120" s="52" t="str">
        <f>IFERROR(__xludf.DUMMYFUNCTION("""COMPUTED_VALUE"""),"Network issue, Security issue, Test code-related issue")</f>
        <v>Network issue, Security issue, Test code-related issue</v>
      </c>
      <c r="C120" s="52"/>
      <c r="D120" s="52" t="str">
        <f>IFERROR(__xludf.DUMMYFUNCTION("""COMPUTED_VALUE"""),"feature::description")</f>
        <v>feature::description</v>
      </c>
      <c r="E120" s="52"/>
      <c r="F120" s="52" t="str">
        <f>IFERROR(__xludf.DUMMYFUNCTION("""COMPUTED_VALUE"""),"discussing::about::development::process::(testing)")</f>
        <v>discussing::about::development::process::(testing)</v>
      </c>
      <c r="G120" s="52"/>
      <c r="H120" s="52"/>
      <c r="I120" s="52"/>
      <c r="J120" s="52"/>
      <c r="K120" s="52"/>
      <c r="L120" s="52"/>
      <c r="M120" s="52"/>
      <c r="N120" s="52"/>
      <c r="O120" s="52"/>
      <c r="P120" s="52" t="str">
        <f>IFERROR(__xludf.DUMMYFUNCTION("""COMPUTED_VALUE"""),"approval::for::submitting::granted::(non::final)35")</f>
        <v>approval::for::submitting::granted::(non::final)35</v>
      </c>
      <c r="Q120" s="52"/>
      <c r="R120" s="52"/>
      <c r="S120" s="52"/>
      <c r="T120" s="52"/>
      <c r="U120" s="52"/>
      <c r="V120" s="52"/>
      <c r="W120" s="52"/>
      <c r="X120" s="52"/>
      <c r="Y120" s="52"/>
      <c r="Z120" s="52"/>
    </row>
    <row r="121">
      <c r="A121" s="52" t="str">
        <f>IFERROR(__xludf.DUMMYFUNCTION("""COMPUTED_VALUE"""),"information::commited::fix")</f>
        <v>information::commited::fix</v>
      </c>
      <c r="B121" s="52" t="str">
        <f>IFERROR(__xludf.DUMMYFUNCTION("""COMPUTED_VALUE"""),"Performance issue, Permission/deprecation issue, Program anomaly issue")</f>
        <v>Performance issue, Permission/deprecation issue, Program anomaly issue</v>
      </c>
      <c r="C121" s="52"/>
      <c r="D121" s="52" t="str">
        <f>IFERROR(__xludf.DUMMYFUNCTION("""COMPUTED_VALUE"""),"feature::description::(multiple::concerns)")</f>
        <v>feature::description::(multiple::concerns)</v>
      </c>
      <c r="E121" s="52"/>
      <c r="F121" s="52" t="str">
        <f>IFERROR(__xludf.DUMMYFUNCTION("""COMPUTED_VALUE"""),"discussing::about::functionallity::(how::to::enable::in::the::future)::design::(alternative::solution)")</f>
        <v>discussing::about::functionallity::(how::to::enable::in::the::future)::design::(alternative::solution)</v>
      </c>
      <c r="G121" s="52"/>
      <c r="H121" s="52"/>
      <c r="I121" s="52"/>
      <c r="J121" s="52"/>
      <c r="K121" s="52"/>
      <c r="L121" s="52"/>
      <c r="M121" s="52"/>
      <c r="N121" s="52"/>
      <c r="O121" s="52"/>
      <c r="P121" s="52" t="str">
        <f>IFERROR(__xludf.DUMMYFUNCTION("""COMPUTED_VALUE"""),"approval::for::submitting::granted::(non::final)36")</f>
        <v>approval::for::submitting::granted::(non::final)36</v>
      </c>
      <c r="Q121" s="52"/>
      <c r="R121" s="52"/>
      <c r="S121" s="52"/>
      <c r="T121" s="52"/>
      <c r="U121" s="52"/>
      <c r="V121" s="52"/>
      <c r="W121" s="52"/>
      <c r="X121" s="52"/>
      <c r="Y121" s="52"/>
      <c r="Z121" s="52"/>
    </row>
    <row r="122">
      <c r="A122" s="52" t="str">
        <f>IFERROR(__xludf.DUMMYFUNCTION("""COMPUTED_VALUE"""),"information::commited::fix::(link::commit::not::related::to::any::previous::review)")</f>
        <v>information::commited::fix::(link::commit::not::related::to::any::previous::review)</v>
      </c>
      <c r="B122" s="52" t="str">
        <f>IFERROR(__xludf.DUMMYFUNCTION("""COMPUTED_VALUE"""),"Performance issue, Permission/deprecation issue, Security issue")</f>
        <v>Performance issue, Permission/deprecation issue, Security issue</v>
      </c>
      <c r="C122" s="52"/>
      <c r="D122" s="52" t="str">
        <f>IFERROR(__xludf.DUMMYFUNCTION("""COMPUTED_VALUE"""),"feature::documentation")</f>
        <v>feature::documentation</v>
      </c>
      <c r="E122" s="52"/>
      <c r="F122" s="52" t="str">
        <f>IFERROR(__xludf.DUMMYFUNCTION("""COMPUTED_VALUE"""),"discussing::about::functionallity::(how::to::enable::in::the::future)::design::(alternative::solution)::cons")</f>
        <v>discussing::about::functionallity::(how::to::enable::in::the::future)::design::(alternative::solution)::cons</v>
      </c>
      <c r="G122" s="52"/>
      <c r="H122" s="52"/>
      <c r="I122" s="52"/>
      <c r="J122" s="52"/>
      <c r="K122" s="52"/>
      <c r="L122" s="52"/>
      <c r="M122" s="52"/>
      <c r="N122" s="52"/>
      <c r="O122" s="52"/>
      <c r="P122" s="52" t="str">
        <f>IFERROR(__xludf.DUMMYFUNCTION("""COMPUTED_VALUE"""),"approval::for::submitting::granted::(non::final)4")</f>
        <v>approval::for::submitting::granted::(non::final)4</v>
      </c>
      <c r="Q122" s="52"/>
      <c r="R122" s="52"/>
      <c r="S122" s="52"/>
      <c r="T122" s="52"/>
      <c r="U122" s="52"/>
      <c r="V122" s="52"/>
      <c r="W122" s="52"/>
      <c r="X122" s="52"/>
      <c r="Y122" s="52"/>
      <c r="Z122" s="52"/>
    </row>
    <row r="123">
      <c r="A123" s="52" t="str">
        <f>IFERROR(__xludf.DUMMYFUNCTION("""COMPUTED_VALUE"""),"information::commited::fix::(link::commit::not::related::to::any::previous::review2)")</f>
        <v>information::commited::fix::(link::commit::not::related::to::any::previous::review2)</v>
      </c>
      <c r="B123" s="52" t="str">
        <f>IFERROR(__xludf.DUMMYFUNCTION("""COMPUTED_VALUE"""),"Performance issue, Permission/deprecation issue, Test code-related issue")</f>
        <v>Performance issue, Permission/deprecation issue, Test code-related issue</v>
      </c>
      <c r="C123" s="52"/>
      <c r="D123" s="52" t="str">
        <f>IFERROR(__xludf.DUMMYFUNCTION("""COMPUTED_VALUE"""),"feature::documentation::link")</f>
        <v>feature::documentation::link</v>
      </c>
      <c r="E123" s="52"/>
      <c r="F123" s="52" t="str">
        <f>IFERROR(__xludf.DUMMYFUNCTION("""COMPUTED_VALUE"""),"discussing::about::plan::development::process::(same::or::different::project)")</f>
        <v>discussing::about::plan::development::process::(same::or::different::project)</v>
      </c>
      <c r="G123" s="52"/>
      <c r="H123" s="52"/>
      <c r="I123" s="52"/>
      <c r="J123" s="52"/>
      <c r="K123" s="52"/>
      <c r="L123" s="52"/>
      <c r="M123" s="52"/>
      <c r="N123" s="52"/>
      <c r="O123" s="52"/>
      <c r="P123" s="52" t="str">
        <f>IFERROR(__xludf.DUMMYFUNCTION("""COMPUTED_VALUE"""),"approval::for::submitting::granted::(non::final)5")</f>
        <v>approval::for::submitting::granted::(non::final)5</v>
      </c>
      <c r="Q123" s="52"/>
      <c r="R123" s="52"/>
      <c r="S123" s="52"/>
      <c r="T123" s="52"/>
      <c r="U123" s="52"/>
      <c r="V123" s="52"/>
      <c r="W123" s="52"/>
      <c r="X123" s="52"/>
      <c r="Y123" s="52"/>
      <c r="Z123" s="52"/>
    </row>
    <row r="124">
      <c r="A124" s="52" t="str">
        <f>IFERROR(__xludf.DUMMYFUNCTION("""COMPUTED_VALUE"""),"information::commited::fix::(link::commit)")</f>
        <v>information::commited::fix::(link::commit)</v>
      </c>
      <c r="B124" s="52" t="str">
        <f>IFERROR(__xludf.DUMMYFUNCTION("""COMPUTED_VALUE"""),"Performance issue, Program anomaly issue, Test code-related issue")</f>
        <v>Performance issue, Program anomaly issue, Test code-related issue</v>
      </c>
      <c r="C124" s="52"/>
      <c r="D124" s="52" t="str">
        <f>IFERROR(__xludf.DUMMYFUNCTION("""COMPUTED_VALUE"""),"feature::freeze::exception::expired")</f>
        <v>feature::freeze::exception::expired</v>
      </c>
      <c r="E124" s="52"/>
      <c r="F124" s="52" t="str">
        <f>IFERROR(__xludf.DUMMYFUNCTION("""COMPUTED_VALUE"""),"discussing::about::plan::development::process::(steps)")</f>
        <v>discussing::about::plan::development::process::(steps)</v>
      </c>
      <c r="G124" s="52"/>
      <c r="H124" s="52"/>
      <c r="I124" s="52"/>
      <c r="J124" s="52"/>
      <c r="K124" s="52"/>
      <c r="L124" s="52"/>
      <c r="M124" s="52"/>
      <c r="N124" s="52"/>
      <c r="O124" s="52"/>
      <c r="P124" s="52" t="str">
        <f>IFERROR(__xludf.DUMMYFUNCTION("""COMPUTED_VALUE"""),"approval::for::submitting::granted::(non::final)6")</f>
        <v>approval::for::submitting::granted::(non::final)6</v>
      </c>
      <c r="Q124" s="52"/>
      <c r="R124" s="52"/>
      <c r="S124" s="52"/>
      <c r="T124" s="52"/>
      <c r="U124" s="52"/>
      <c r="V124" s="52"/>
      <c r="W124" s="52"/>
      <c r="X124" s="52"/>
      <c r="Y124" s="52"/>
      <c r="Z124" s="52"/>
    </row>
    <row r="125">
      <c r="A125" s="52" t="str">
        <f>IFERROR(__xludf.DUMMYFUNCTION("""COMPUTED_VALUE"""),"information::commited::fix::(link::commit)::not::main::branch")</f>
        <v>information::commited::fix::(link::commit)::not::main::branch</v>
      </c>
      <c r="B125" s="52" t="str">
        <f>IFERROR(__xludf.DUMMYFUNCTION("""COMPUTED_VALUE"""),"Performance issue, Security issue, Program anomaly issue")</f>
        <v>Performance issue, Security issue, Program anomaly issue</v>
      </c>
      <c r="C125" s="52"/>
      <c r="D125" s="52" t="str">
        <f>IFERROR(__xludf.DUMMYFUNCTION("""COMPUTED_VALUE"""),"feature::request")</f>
        <v>feature::request</v>
      </c>
      <c r="E125" s="52"/>
      <c r="F125" s="52" t="str">
        <f>IFERROR(__xludf.DUMMYFUNCTION("""COMPUTED_VALUE"""),"discussing::changes::in::different::project::(e.g.,::neutron)")</f>
        <v>discussing::changes::in::different::project::(e.g.,::neutron)</v>
      </c>
      <c r="G125" s="52"/>
      <c r="H125" s="52"/>
      <c r="I125" s="52"/>
      <c r="J125" s="52"/>
      <c r="K125" s="52"/>
      <c r="L125" s="52"/>
      <c r="M125" s="52"/>
      <c r="N125" s="52"/>
      <c r="O125" s="52"/>
      <c r="P125" s="52" t="str">
        <f>IFERROR(__xludf.DUMMYFUNCTION("""COMPUTED_VALUE"""),"approval::for::submitting::granted::(non::final)7")</f>
        <v>approval::for::submitting::granted::(non::final)7</v>
      </c>
      <c r="Q125" s="52"/>
      <c r="R125" s="52"/>
      <c r="S125" s="52"/>
      <c r="T125" s="52"/>
      <c r="U125" s="52"/>
      <c r="V125" s="52"/>
      <c r="W125" s="52"/>
      <c r="X125" s="52"/>
      <c r="Y125" s="52"/>
      <c r="Z125" s="52"/>
    </row>
    <row r="126">
      <c r="A126" s="52" t="str">
        <f>IFERROR(__xludf.DUMMYFUNCTION("""COMPUTED_VALUE"""),"information::commited::fix::(link::commit2)")</f>
        <v>information::commited::fix::(link::commit2)</v>
      </c>
      <c r="B126" s="52" t="str">
        <f>IFERROR(__xludf.DUMMYFUNCTION("""COMPUTED_VALUE"""),"Performance issue, Security issue, Test code-related issue")</f>
        <v>Performance issue, Security issue, Test code-related issue</v>
      </c>
      <c r="C126" s="52"/>
      <c r="D126" s="52" t="str">
        <f>IFERROR(__xludf.DUMMYFUNCTION("""COMPUTED_VALUE"""),"feature::request::(improvement)")</f>
        <v>feature::request::(improvement)</v>
      </c>
      <c r="E126" s="52"/>
      <c r="F126" s="52" t="str">
        <f>IFERROR(__xludf.DUMMYFUNCTION("""COMPUTED_VALUE"""),"discussing::clarification::about::conditions::to::change::status::of::project::(removing:.label::experimental)::which::holds::the::BP")</f>
        <v>discussing::clarification::about::conditions::to::change::status::of::project::(removing:.label::experimental)::which::holds::the::BP</v>
      </c>
      <c r="G126" s="52"/>
      <c r="H126" s="52"/>
      <c r="I126" s="52"/>
      <c r="J126" s="52"/>
      <c r="K126" s="52"/>
      <c r="L126" s="52"/>
      <c r="M126" s="52"/>
      <c r="N126" s="52"/>
      <c r="O126" s="52"/>
      <c r="P126" s="52" t="str">
        <f>IFERROR(__xludf.DUMMYFUNCTION("""COMPUTED_VALUE"""),"approval::for::submitting::granted::(non::final)8")</f>
        <v>approval::for::submitting::granted::(non::final)8</v>
      </c>
      <c r="Q126" s="52"/>
      <c r="R126" s="52"/>
      <c r="S126" s="52"/>
      <c r="T126" s="52"/>
      <c r="U126" s="52"/>
      <c r="V126" s="52"/>
      <c r="W126" s="52"/>
      <c r="X126" s="52"/>
      <c r="Y126" s="52"/>
      <c r="Z126" s="52"/>
    </row>
    <row r="127">
      <c r="A127" s="52" t="str">
        <f>IFERROR(__xludf.DUMMYFUNCTION("""COMPUTED_VALUE"""),"information::commited::fix::(link::commit2)::not::main::branch")</f>
        <v>information::commited::fix::(link::commit2)::not::main::branch</v>
      </c>
      <c r="B127" s="52" t="str">
        <f>IFERROR(__xludf.DUMMYFUNCTION("""COMPUTED_VALUE"""),"Permission/deprecation issue, Program anomaly issue, Test code-related issue")</f>
        <v>Permission/deprecation issue, Program anomaly issue, Test code-related issue</v>
      </c>
      <c r="C127" s="52"/>
      <c r="D127" s="52" t="str">
        <f>IFERROR(__xludf.DUMMYFUNCTION("""COMPUTED_VALUE"""),"features:.deferring:.to::bugs")</f>
        <v>features:.deferring:.to::bugs</v>
      </c>
      <c r="E127" s="52"/>
      <c r="F127" s="52" t="str">
        <f>IFERROR(__xludf.DUMMYFUNCTION("""COMPUTED_VALUE"""),"discussing::clarification::about::design::choice::(hybrid::compute::nodes)")</f>
        <v>discussing::clarification::about::design::choice::(hybrid::compute::nodes)</v>
      </c>
      <c r="G127" s="52"/>
      <c r="H127" s="52"/>
      <c r="I127" s="52"/>
      <c r="J127" s="52"/>
      <c r="K127" s="52"/>
      <c r="L127" s="52"/>
      <c r="M127" s="52"/>
      <c r="N127" s="52"/>
      <c r="O127" s="52"/>
      <c r="P127" s="52" t="str">
        <f>IFERROR(__xludf.DUMMYFUNCTION("""COMPUTED_VALUE"""),"approval::for::submitting::granted::(non::final)9")</f>
        <v>approval::for::submitting::granted::(non::final)9</v>
      </c>
      <c r="Q127" s="52"/>
      <c r="R127" s="52"/>
      <c r="S127" s="52"/>
      <c r="T127" s="52"/>
      <c r="U127" s="52"/>
      <c r="V127" s="52"/>
      <c r="W127" s="52"/>
      <c r="X127" s="52"/>
      <c r="Y127" s="52"/>
      <c r="Z127" s="52"/>
    </row>
    <row r="128">
      <c r="A128" s="52" t="str">
        <f>IFERROR(__xludf.DUMMYFUNCTION("""COMPUTED_VALUE"""),"information::commited::fix::(link::commit3)")</f>
        <v>information::commited::fix::(link::commit3)</v>
      </c>
      <c r="B128" s="52" t="str">
        <f>IFERROR(__xludf.DUMMYFUNCTION("""COMPUTED_VALUE"""),"Permission/deprecation issue, Security issue, Program anomaly issue")</f>
        <v>Permission/deprecation issue, Security issue, Program anomaly issue</v>
      </c>
      <c r="C128" s="52"/>
      <c r="D128" s="52" t="str">
        <f>IFERROR(__xludf.DUMMYFUNCTION("""COMPUTED_VALUE"""),"fix::another::merged::(link::review::commit)")</f>
        <v>fix::another::merged::(link::review::commit)</v>
      </c>
      <c r="E128" s="52"/>
      <c r="F128" s="52" t="str">
        <f>IFERROR(__xludf.DUMMYFUNCTION("""COMPUTED_VALUE"""),"discussing::clarification::about::design::choice::(hybrid::compute::nodes)::use::cases")</f>
        <v>discussing::clarification::about::design::choice::(hybrid::compute::nodes)::use::cases</v>
      </c>
      <c r="G128" s="52"/>
      <c r="H128" s="52"/>
      <c r="I128" s="52"/>
      <c r="J128" s="52"/>
      <c r="K128" s="52"/>
      <c r="L128" s="52"/>
      <c r="M128" s="52"/>
      <c r="N128" s="52"/>
      <c r="O128" s="52"/>
      <c r="P128" s="52" t="str">
        <f>IFERROR(__xludf.DUMMYFUNCTION("""COMPUTED_VALUE"""),"approval::for::submitting::granted::(workflow::vote)::(core::reviewer)")</f>
        <v>approval::for::submitting::granted::(workflow::vote)::(core::reviewer)</v>
      </c>
      <c r="Q128" s="52"/>
      <c r="R128" s="52"/>
      <c r="S128" s="52"/>
      <c r="T128" s="52"/>
      <c r="U128" s="52"/>
      <c r="V128" s="52"/>
      <c r="W128" s="52"/>
      <c r="X128" s="52"/>
      <c r="Y128" s="52"/>
      <c r="Z128" s="52"/>
    </row>
    <row r="129">
      <c r="A129" s="52" t="str">
        <f>IFERROR(__xludf.DUMMYFUNCTION("""COMPUTED_VALUE"""),"information::commited::fix::(link::commit4)")</f>
        <v>information::commited::fix::(link::commit4)</v>
      </c>
      <c r="B129" s="52" t="str">
        <f>IFERROR(__xludf.DUMMYFUNCTION("""COMPUTED_VALUE"""),"Permission/deprecation issue, Security issue, Test code-related issue")</f>
        <v>Permission/deprecation issue, Security issue, Test code-related issue</v>
      </c>
      <c r="C129" s="52"/>
      <c r="D129" s="52" t="str">
        <f>IFERROR(__xludf.DUMMYFUNCTION("""COMPUTED_VALUE"""),"fix::merged::(link::review::1)")</f>
        <v>fix::merged::(link::review::1)</v>
      </c>
      <c r="E129" s="52"/>
      <c r="F129" s="52" t="str">
        <f>IFERROR(__xludf.DUMMYFUNCTION("""COMPUTED_VALUE"""),"discussing::clarification::about::design::choice::providing::options::of::implementation(hybrid::compute::nodes)")</f>
        <v>discussing::clarification::about::design::choice::providing::options::of::implementation(hybrid::compute::nodes)</v>
      </c>
      <c r="G129" s="52"/>
      <c r="H129" s="52"/>
      <c r="I129" s="52"/>
      <c r="J129" s="52"/>
      <c r="K129" s="52"/>
      <c r="L129" s="52"/>
      <c r="M129" s="52"/>
      <c r="N129" s="52"/>
      <c r="O129" s="52"/>
      <c r="P129" s="52" t="str">
        <f>IFERROR(__xludf.DUMMYFUNCTION("""COMPUTED_VALUE"""),"approval::for::submitting::granted::(workflow::vote2)::(core::reviewer)")</f>
        <v>approval::for::submitting::granted::(workflow::vote2)::(core::reviewer)</v>
      </c>
      <c r="Q129" s="52"/>
      <c r="R129" s="52"/>
      <c r="S129" s="52"/>
      <c r="T129" s="52"/>
      <c r="U129" s="52"/>
      <c r="V129" s="52"/>
      <c r="W129" s="52"/>
      <c r="X129" s="52"/>
      <c r="Y129" s="52"/>
      <c r="Z129" s="52"/>
    </row>
    <row r="130">
      <c r="A130" s="52" t="str">
        <f>IFERROR(__xludf.DUMMYFUNCTION("""COMPUTED_VALUE"""),"information::commited::related::fix::(link::commit)")</f>
        <v>information::commited::related::fix::(link::commit)</v>
      </c>
      <c r="B130" s="52" t="str">
        <f>IFERROR(__xludf.DUMMYFUNCTION("""COMPUTED_VALUE"""),"Security issue, Program anomaly issue, Test code-related issue")</f>
        <v>Security issue, Program anomaly issue, Test code-related issue</v>
      </c>
      <c r="C130" s="52"/>
      <c r="D130" s="52" t="str">
        <f>IFERROR(__xludf.DUMMYFUNCTION("""COMPUTED_VALUE"""),"fix::merged::(link::review::2)")</f>
        <v>fix::merged::(link::review::2)</v>
      </c>
      <c r="E130" s="52"/>
      <c r="F130" s="52" t="str">
        <f>IFERROR(__xludf.DUMMYFUNCTION("""COMPUTED_VALUE"""),"discussing::clarification::about::status::of::project::(removing:.label::experimental)::which::holds::the::BP")</f>
        <v>discussing::clarification::about::status::of::project::(removing:.label::experimental)::which::holds::the::BP</v>
      </c>
      <c r="G130" s="52"/>
      <c r="H130" s="52"/>
      <c r="I130" s="52"/>
      <c r="J130" s="52"/>
      <c r="K130" s="52"/>
      <c r="L130" s="52"/>
      <c r="M130" s="52"/>
      <c r="N130" s="52"/>
      <c r="O130" s="52"/>
      <c r="P130" s="52" t="str">
        <f>IFERROR(__xludf.DUMMYFUNCTION("""COMPUTED_VALUE"""),"approval::for::submitting::granted::(workflow::vote3)::(core::reviewer)")</f>
        <v>approval::for::submitting::granted::(workflow::vote3)::(core::reviewer)</v>
      </c>
      <c r="Q130" s="52"/>
      <c r="R130" s="52"/>
      <c r="S130" s="52"/>
      <c r="T130" s="52"/>
      <c r="U130" s="52"/>
      <c r="V130" s="52"/>
      <c r="W130" s="52"/>
      <c r="X130" s="52"/>
      <c r="Y130" s="52"/>
      <c r="Z130" s="52"/>
    </row>
    <row r="131">
      <c r="A131" s="52" t="str">
        <f>IFERROR(__xludf.DUMMYFUNCTION("""COMPUTED_VALUE"""),"information::PR::fix")</f>
        <v>information::PR::fix</v>
      </c>
      <c r="B131" s="52" t="str">
        <f>IFERROR(__xludf.DUMMYFUNCTION("""COMPUTED_VALUE"""),"Configuration issue, Database-related issue, GUI-related issue, Network issue")</f>
        <v>Configuration issue, Database-related issue, GUI-related issue, Network issue</v>
      </c>
      <c r="C131" s="52"/>
      <c r="D131" s="52" t="str">
        <f>IFERROR(__xludf.DUMMYFUNCTION("""COMPUTED_VALUE"""),"fix::merged::(link::review::3)")</f>
        <v>fix::merged::(link::review::3)</v>
      </c>
      <c r="E131" s="52"/>
      <c r="F131" s="52" t="str">
        <f>IFERROR(__xludf.DUMMYFUNCTION("""COMPUTED_VALUE"""),"discussing::compatebility::of::solution::design")</f>
        <v>discussing::compatebility::of::solution::design</v>
      </c>
      <c r="G131" s="52"/>
      <c r="H131" s="52"/>
      <c r="I131" s="52"/>
      <c r="J131" s="52"/>
      <c r="K131" s="52"/>
      <c r="L131" s="52"/>
      <c r="M131" s="52"/>
      <c r="N131" s="52"/>
      <c r="O131" s="52"/>
      <c r="P131" s="52" t="str">
        <f>IFERROR(__xludf.DUMMYFUNCTION("""COMPUTED_VALUE"""),"approval::for::submitting::granted::core::rev")</f>
        <v>approval::for::submitting::granted::core::rev</v>
      </c>
      <c r="Q131" s="52"/>
      <c r="R131" s="52"/>
      <c r="S131" s="52"/>
      <c r="T131" s="52"/>
      <c r="U131" s="52"/>
      <c r="V131" s="52"/>
      <c r="W131" s="52"/>
      <c r="X131" s="52"/>
      <c r="Y131" s="52"/>
      <c r="Z131" s="52"/>
    </row>
    <row r="132">
      <c r="A132" s="52" t="str">
        <f>IFERROR(__xludf.DUMMYFUNCTION("""COMPUTED_VALUE"""),"information::related::fix::merged::(no::source)")</f>
        <v>information::related::fix::merged::(no::source)</v>
      </c>
      <c r="B132" s="52" t="str">
        <f>IFERROR(__xludf.DUMMYFUNCTION("""COMPUTED_VALUE"""),"Configuration issue, Database-related issue, GUI-related issue, Performance issue")</f>
        <v>Configuration issue, Database-related issue, GUI-related issue, Performance issue</v>
      </c>
      <c r="C132" s="52"/>
      <c r="D132" s="52" t="str">
        <f>IFERROR(__xludf.DUMMYFUNCTION("""COMPUTED_VALUE"""),"fix::merged::(link::review::4)")</f>
        <v>fix::merged::(link::review::4)</v>
      </c>
      <c r="E132" s="52"/>
      <c r="F132" s="52" t="str">
        <f>IFERROR(__xludf.DUMMYFUNCTION("""COMPUTED_VALUE"""),"discussing::compatebility::of::solution::design::(with::related::feature)")</f>
        <v>discussing::compatebility::of::solution::design::(with::related::feature)</v>
      </c>
      <c r="G132" s="52"/>
      <c r="H132" s="52"/>
      <c r="I132" s="52"/>
      <c r="J132" s="52"/>
      <c r="K132" s="52"/>
      <c r="L132" s="52"/>
      <c r="M132" s="52"/>
      <c r="N132" s="52"/>
      <c r="O132" s="52"/>
      <c r="P132" s="52" t="str">
        <f>IFERROR(__xludf.DUMMYFUNCTION("""COMPUTED_VALUE"""),"approval::for::submitting::granted::for::the::BP")</f>
        <v>approval::for::submitting::granted::for::the::BP</v>
      </c>
      <c r="Q132" s="52"/>
      <c r="R132" s="52"/>
      <c r="S132" s="52"/>
      <c r="T132" s="52"/>
      <c r="U132" s="52"/>
      <c r="V132" s="52"/>
      <c r="W132" s="52"/>
      <c r="X132" s="52"/>
      <c r="Y132" s="52"/>
      <c r="Z132" s="52"/>
    </row>
    <row r="133">
      <c r="A133" s="52" t="str">
        <f>IFERROR(__xludf.DUMMYFUNCTION("""COMPUTED_VALUE"""),"informing::backporting")</f>
        <v>informing::backporting</v>
      </c>
      <c r="B133" s="52" t="str">
        <f>IFERROR(__xludf.DUMMYFUNCTION("""COMPUTED_VALUE"""),"Configuration issue, Database-related issue, GUI-related issue, Permission/deprecation issue")</f>
        <v>Configuration issue, Database-related issue, GUI-related issue, Permission/deprecation issue</v>
      </c>
      <c r="C133" s="52"/>
      <c r="D133" s="52" t="str">
        <f>IFERROR(__xludf.DUMMYFUNCTION("""COMPUTED_VALUE"""),"fix::merged::(link::review::5)")</f>
        <v>fix::merged::(link::review::5)</v>
      </c>
      <c r="E133" s="52"/>
      <c r="F133" s="52" t="str">
        <f>IFERROR(__xludf.DUMMYFUNCTION("""COMPUTED_VALUE"""),"discussing::complaining::about::previous::bad::developing")</f>
        <v>discussing::complaining::about::previous::bad::developing</v>
      </c>
      <c r="G133" s="52"/>
      <c r="H133" s="52"/>
      <c r="I133" s="52"/>
      <c r="J133" s="52"/>
      <c r="K133" s="52"/>
      <c r="L133" s="52"/>
      <c r="M133" s="52"/>
      <c r="N133" s="52"/>
      <c r="O133" s="52"/>
      <c r="P133" s="52" t="str">
        <f>IFERROR(__xludf.DUMMYFUNCTION("""COMPUTED_VALUE"""),"approval::for::submitting::granted2::(core::reviewer)")</f>
        <v>approval::for::submitting::granted2::(core::reviewer)</v>
      </c>
      <c r="Q133" s="52"/>
      <c r="R133" s="52"/>
      <c r="S133" s="52"/>
      <c r="T133" s="52"/>
      <c r="U133" s="52"/>
      <c r="V133" s="52"/>
      <c r="W133" s="52"/>
      <c r="X133" s="52"/>
      <c r="Y133" s="52"/>
      <c r="Z133" s="52"/>
    </row>
    <row r="134">
      <c r="A134" s="52" t="str">
        <f>IFERROR(__xludf.DUMMYFUNCTION("""COMPUTED_VALUE"""),"informing::bug:.already::fixed")</f>
        <v>informing::bug:.already::fixed</v>
      </c>
      <c r="B134" s="52" t="str">
        <f>IFERROR(__xludf.DUMMYFUNCTION("""COMPUTED_VALUE"""),"Configuration issue, Database-related issue, GUI-related issue, Program anomaly issue")</f>
        <v>Configuration issue, Database-related issue, GUI-related issue, Program anomaly issue</v>
      </c>
      <c r="C134" s="52"/>
      <c r="D134" s="52" t="str">
        <f>IFERROR(__xludf.DUMMYFUNCTION("""COMPUTED_VALUE"""),"fix::merged::(link::review::commit)")</f>
        <v>fix::merged::(link::review::commit)</v>
      </c>
      <c r="E134" s="52"/>
      <c r="F134" s="52" t="str">
        <f>IFERROR(__xludf.DUMMYFUNCTION("""COMPUTED_VALUE"""),"discussing::cons::design::choice:::one::design::choice::of::implementation::(hybrid::compute::nodes)")</f>
        <v>discussing::cons::design::choice:::one::design::choice::of::implementation::(hybrid::compute::nodes)</v>
      </c>
      <c r="G134" s="52"/>
      <c r="H134" s="52"/>
      <c r="I134" s="52"/>
      <c r="J134" s="52"/>
      <c r="K134" s="52"/>
      <c r="L134" s="52"/>
      <c r="M134" s="52"/>
      <c r="N134" s="52"/>
      <c r="O134" s="52"/>
      <c r="P134" s="52" t="str">
        <f>IFERROR(__xludf.DUMMYFUNCTION("""COMPUTED_VALUE"""),"approval::for::workflow::(final)::(vote1)")</f>
        <v>approval::for::workflow::(final)::(vote1)</v>
      </c>
      <c r="Q134" s="52"/>
      <c r="R134" s="52"/>
      <c r="S134" s="52"/>
      <c r="T134" s="52"/>
      <c r="U134" s="52"/>
      <c r="V134" s="52"/>
      <c r="W134" s="52"/>
      <c r="X134" s="52"/>
      <c r="Y134" s="52"/>
      <c r="Z134" s="52"/>
    </row>
    <row r="135">
      <c r="A135" s="52" t="str">
        <f>IFERROR(__xludf.DUMMYFUNCTION("""COMPUTED_VALUE"""),"informing::bug:.already::fixed::(release::name)")</f>
        <v>informing::bug:.already::fixed::(release::name)</v>
      </c>
      <c r="B135" s="52" t="str">
        <f>IFERROR(__xludf.DUMMYFUNCTION("""COMPUTED_VALUE"""),"Configuration issue, Database-related issue, GUI-related issue, Security issue")</f>
        <v>Configuration issue, Database-related issue, GUI-related issue, Security issue</v>
      </c>
      <c r="C135" s="52"/>
      <c r="D135" s="52" t="str">
        <f>IFERROR(__xludf.DUMMYFUNCTION("""COMPUTED_VALUE"""),"fix::merged::(link::review::commit)::not:.main::branch")</f>
        <v>fix::merged::(link::review::commit)::not:.main::branch</v>
      </c>
      <c r="E135" s="52"/>
      <c r="F135" s="52" t="str">
        <f>IFERROR(__xludf.DUMMYFUNCTION("""COMPUTED_VALUE"""),"discussing::cons::design::choice::(hybrid::compute::nodes)")</f>
        <v>discussing::cons::design::choice::(hybrid::compute::nodes)</v>
      </c>
      <c r="G135" s="52"/>
      <c r="H135" s="52"/>
      <c r="I135" s="52"/>
      <c r="J135" s="52"/>
      <c r="K135" s="52"/>
      <c r="L135" s="52"/>
      <c r="M135" s="52"/>
      <c r="N135" s="52"/>
      <c r="O135" s="52"/>
      <c r="P135" s="52" t="str">
        <f>IFERROR(__xludf.DUMMYFUNCTION("""COMPUTED_VALUE"""),"approval::for::workflow::(final)::(vote2)")</f>
        <v>approval::for::workflow::(final)::(vote2)</v>
      </c>
      <c r="Q135" s="52"/>
      <c r="R135" s="52"/>
      <c r="S135" s="52"/>
      <c r="T135" s="52"/>
      <c r="U135" s="52"/>
      <c r="V135" s="52"/>
      <c r="W135" s="52"/>
      <c r="X135" s="52"/>
      <c r="Y135" s="52"/>
      <c r="Z135" s="52"/>
    </row>
    <row r="136">
      <c r="A136" s="52" t="str">
        <f>IFERROR(__xludf.DUMMYFUNCTION("""COMPUTED_VALUE"""),"informing::status::release")</f>
        <v>informing::status::release</v>
      </c>
      <c r="B136" s="52" t="str">
        <f>IFERROR(__xludf.DUMMYFUNCTION("""COMPUTED_VALUE"""),"Configuration issue, Database-related issue, GUI-related issue, Test code-related issue")</f>
        <v>Configuration issue, Database-related issue, GUI-related issue, Test code-related issue</v>
      </c>
      <c r="C136" s="52"/>
      <c r="D136" s="52" t="str">
        <f>IFERROR(__xludf.DUMMYFUNCTION("""COMPUTED_VALUE"""),"fix::merged::(link::review::commit2)")</f>
        <v>fix::merged::(link::review::commit2)</v>
      </c>
      <c r="E136" s="52"/>
      <c r="F136" s="52" t="str">
        <f>IFERROR(__xludf.DUMMYFUNCTION("""COMPUTED_VALUE"""),"discussing::core::reviewer::assignment")</f>
        <v>discussing::core::reviewer::assignment</v>
      </c>
      <c r="G136" s="52"/>
      <c r="H136" s="52"/>
      <c r="I136" s="52"/>
      <c r="J136" s="52"/>
      <c r="K136" s="52"/>
      <c r="L136" s="52"/>
      <c r="M136" s="52"/>
      <c r="N136" s="52"/>
      <c r="O136" s="52"/>
      <c r="P136" s="52" t="str">
        <f>IFERROR(__xludf.DUMMYFUNCTION("""COMPUTED_VALUE"""),"approval::for::workflow::(final)::(vote3)")</f>
        <v>approval::for::workflow::(final)::(vote3)</v>
      </c>
      <c r="Q136" s="52"/>
      <c r="R136" s="52"/>
      <c r="S136" s="52"/>
      <c r="T136" s="52"/>
      <c r="U136" s="52"/>
      <c r="V136" s="52"/>
      <c r="W136" s="52"/>
      <c r="X136" s="52"/>
      <c r="Y136" s="52"/>
      <c r="Z136" s="52"/>
    </row>
    <row r="137">
      <c r="A137" s="52" t="str">
        <f>IFERROR(__xludf.DUMMYFUNCTION("""COMPUTED_VALUE"""),"informing::taking::responsibility::for::solving::issue")</f>
        <v>informing::taking::responsibility::for::solving::issue</v>
      </c>
      <c r="B137" s="52" t="str">
        <f>IFERROR(__xludf.DUMMYFUNCTION("""COMPUTED_VALUE"""),"Configuration issue, Database-related issue, Network issue, Performance issue")</f>
        <v>Configuration issue, Database-related issue, Network issue, Performance issue</v>
      </c>
      <c r="C137" s="52"/>
      <c r="D137" s="52" t="str">
        <f>IFERROR(__xludf.DUMMYFUNCTION("""COMPUTED_VALUE"""),"fix::merged::(link::review::commit2)::not:.main::branch")</f>
        <v>fix::merged::(link::review::commit2)::not:.main::branch</v>
      </c>
      <c r="E137" s="52"/>
      <c r="F137" s="52" t="str">
        <f>IFERROR(__xludf.DUMMYFUNCTION("""COMPUTED_VALUE"""),"discussing::developer::assignment")</f>
        <v>discussing::developer::assignment</v>
      </c>
      <c r="G137" s="52"/>
      <c r="H137" s="52"/>
      <c r="I137" s="52"/>
      <c r="J137" s="52"/>
      <c r="K137" s="52"/>
      <c r="L137" s="52"/>
      <c r="M137" s="52"/>
      <c r="N137" s="52"/>
      <c r="O137" s="52"/>
      <c r="P137" s="52" t="str">
        <f>IFERROR(__xludf.DUMMYFUNCTION("""COMPUTED_VALUE"""),"approval::for::workflow::(non::final)::(vote1)")</f>
        <v>approval::for::workflow::(non::final)::(vote1)</v>
      </c>
      <c r="Q137" s="52"/>
      <c r="R137" s="52"/>
      <c r="S137" s="52"/>
      <c r="T137" s="52"/>
      <c r="U137" s="52"/>
      <c r="V137" s="52"/>
      <c r="W137" s="52"/>
      <c r="X137" s="52"/>
      <c r="Y137" s="52"/>
      <c r="Z137" s="52"/>
    </row>
    <row r="138">
      <c r="A138" s="52" t="str">
        <f>IFERROR(__xludf.DUMMYFUNCTION("""COMPUTED_VALUE"""),"instructions::of::what::to::do::if::a::regression::is::found::in::the::feature")</f>
        <v>instructions::of::what::to::do::if::a::regression::is::found::in::the::feature</v>
      </c>
      <c r="B138" s="52" t="str">
        <f>IFERROR(__xludf.DUMMYFUNCTION("""COMPUTED_VALUE"""),"Configuration issue, Database-related issue, Network issue, Permission/deprecation issue")</f>
        <v>Configuration issue, Database-related issue, Network issue, Permission/deprecation issue</v>
      </c>
      <c r="C138" s="52"/>
      <c r="D138" s="52" t="str">
        <f>IFERROR(__xludf.DUMMYFUNCTION("""COMPUTED_VALUE"""),"fix::merged::(link::review::commit3)")</f>
        <v>fix::merged::(link::review::commit3)</v>
      </c>
      <c r="E138" s="52"/>
      <c r="F138" s="52" t="str">
        <f>IFERROR(__xludf.DUMMYFUNCTION("""COMPUTED_VALUE"""),"discussing::development::process::(developer::team)")</f>
        <v>discussing::development::process::(developer::team)</v>
      </c>
      <c r="G138" s="52"/>
      <c r="H138" s="52"/>
      <c r="I138" s="52"/>
      <c r="J138" s="52"/>
      <c r="K138" s="52"/>
      <c r="L138" s="52"/>
      <c r="M138" s="52"/>
      <c r="N138" s="52"/>
      <c r="O138" s="52"/>
      <c r="P138" s="52" t="str">
        <f>IFERROR(__xludf.DUMMYFUNCTION("""COMPUTED_VALUE"""),"approval::for::workflow::(non::final)::(vote2)")</f>
        <v>approval::for::workflow::(non::final)::(vote2)</v>
      </c>
      <c r="Q138" s="52"/>
      <c r="R138" s="52"/>
      <c r="S138" s="52"/>
      <c r="T138" s="52"/>
      <c r="U138" s="52"/>
      <c r="V138" s="52"/>
      <c r="W138" s="52"/>
      <c r="X138" s="52"/>
      <c r="Y138" s="52"/>
      <c r="Z138" s="52"/>
    </row>
    <row r="139">
      <c r="A139" s="52" t="str">
        <f>IFERROR(__xludf.DUMMYFUNCTION("""COMPUTED_VALUE"""),"introducing::commit::(link::github)")</f>
        <v>introducing::commit::(link::github)</v>
      </c>
      <c r="B139" s="52" t="str">
        <f>IFERROR(__xludf.DUMMYFUNCTION("""COMPUTED_VALUE"""),"Configuration issue, Database-related issue, Network issue, Program anomaly issue")</f>
        <v>Configuration issue, Database-related issue, Network issue, Program anomaly issue</v>
      </c>
      <c r="C139" s="52"/>
      <c r="D139" s="52" t="str">
        <f>IFERROR(__xludf.DUMMYFUNCTION("""COMPUTED_VALUE"""),"fix::merged::(link::review::commit3)::not:.main::branch")</f>
        <v>fix::merged::(link::review::commit3)::not:.main::branch</v>
      </c>
      <c r="E139" s="52"/>
      <c r="F139" s="52" t="str">
        <f>IFERROR(__xludf.DUMMYFUNCTION("""COMPUTED_VALUE"""),"discussing::development::process::(meetings)")</f>
        <v>discussing::development::process::(meetings)</v>
      </c>
      <c r="G139" s="52"/>
      <c r="H139" s="52"/>
      <c r="I139" s="52"/>
      <c r="J139" s="52"/>
      <c r="K139" s="52"/>
      <c r="L139" s="52"/>
      <c r="M139" s="52"/>
      <c r="N139" s="52"/>
      <c r="O139" s="52"/>
      <c r="P139" s="52" t="str">
        <f>IFERROR(__xludf.DUMMYFUNCTION("""COMPUTED_VALUE"""),"approval::for::workflow::(non::final)::(vote3)")</f>
        <v>approval::for::workflow::(non::final)::(vote3)</v>
      </c>
      <c r="Q139" s="52"/>
      <c r="R139" s="52"/>
      <c r="S139" s="52"/>
      <c r="T139" s="52"/>
      <c r="U139" s="52"/>
      <c r="V139" s="52"/>
      <c r="W139" s="52"/>
      <c r="X139" s="52"/>
      <c r="Y139" s="52"/>
      <c r="Z139" s="52"/>
    </row>
    <row r="140">
      <c r="A140" s="52" t="str">
        <f>IFERROR(__xludf.DUMMYFUNCTION("""COMPUTED_VALUE"""),"issue::closed::(revision::hash)")</f>
        <v>issue::closed::(revision::hash)</v>
      </c>
      <c r="B140" s="52" t="str">
        <f>IFERROR(__xludf.DUMMYFUNCTION("""COMPUTED_VALUE"""),"Configuration issue, Database-related issue, Network issue, Security issue")</f>
        <v>Configuration issue, Database-related issue, Network issue, Security issue</v>
      </c>
      <c r="C140" s="52"/>
      <c r="D140" s="52" t="str">
        <f>IFERROR(__xludf.DUMMYFUNCTION("""COMPUTED_VALUE"""),"fix::merged::(link::review::commit4)")</f>
        <v>fix::merged::(link::review::commit4)</v>
      </c>
      <c r="E140" s="52"/>
      <c r="F140" s="52" t="str">
        <f>IFERROR(__xludf.DUMMYFUNCTION("""COMPUTED_VALUE"""),"discussing::development::process::(next::meeting::related::BP::content)")</f>
        <v>discussing::development::process::(next::meeting::related::BP::content)</v>
      </c>
      <c r="G140" s="52"/>
      <c r="H140" s="52"/>
      <c r="I140" s="52"/>
      <c r="J140" s="52"/>
      <c r="K140" s="52"/>
      <c r="L140" s="52"/>
      <c r="M140" s="52"/>
      <c r="N140" s="52"/>
      <c r="O140" s="52"/>
      <c r="P140" s="52" t="str">
        <f>IFERROR(__xludf.DUMMYFUNCTION("""COMPUTED_VALUE"""),"approval::for::workflow::(non::final)::(vote4)")</f>
        <v>approval::for::workflow::(non::final)::(vote4)</v>
      </c>
      <c r="Q140" s="52"/>
      <c r="R140" s="52"/>
      <c r="S140" s="52"/>
      <c r="T140" s="52"/>
      <c r="U140" s="52"/>
      <c r="V140" s="52"/>
      <c r="W140" s="52"/>
      <c r="X140" s="52"/>
      <c r="Y140" s="52"/>
      <c r="Z140" s="52"/>
    </row>
    <row r="141">
      <c r="A141" s="52" t="str">
        <f>IFERROR(__xludf.DUMMYFUNCTION("""COMPUTED_VALUE"""),"issues::related::(link::issue::external)")</f>
        <v>issues::related::(link::issue::external)</v>
      </c>
      <c r="B141" s="52" t="str">
        <f>IFERROR(__xludf.DUMMYFUNCTION("""COMPUTED_VALUE"""),"Configuration issue, Database-related issue, Network issue, Test code-related issue")</f>
        <v>Configuration issue, Database-related issue, Network issue, Test code-related issue</v>
      </c>
      <c r="C141" s="52"/>
      <c r="D141" s="52" t="str">
        <f>IFERROR(__xludf.DUMMYFUNCTION("""COMPUTED_VALUE"""),"fix::merged::(link::review)")</f>
        <v>fix::merged::(link::review)</v>
      </c>
      <c r="E141" s="52"/>
      <c r="F141" s="52" t="str">
        <f>IFERROR(__xludf.DUMMYFUNCTION("""COMPUTED_VALUE"""),"discussing::development::process::(next::meeting::related::BP::priority::not::delaying)")</f>
        <v>discussing::development::process::(next::meeting::related::BP::priority::not::delaying)</v>
      </c>
      <c r="G141" s="52"/>
      <c r="H141" s="52"/>
      <c r="I141" s="52"/>
      <c r="J141" s="52"/>
      <c r="K141" s="52"/>
      <c r="L141" s="52"/>
      <c r="M141" s="52"/>
      <c r="N141" s="52"/>
      <c r="O141" s="52"/>
      <c r="P141" s="52" t="str">
        <f>IFERROR(__xludf.DUMMYFUNCTION("""COMPUTED_VALUE"""),"approval::for::workflow::(non::final)::(vote5)")</f>
        <v>approval::for::workflow::(non::final)::(vote5)</v>
      </c>
      <c r="Q141" s="52"/>
      <c r="R141" s="52"/>
      <c r="S141" s="52"/>
      <c r="T141" s="52"/>
      <c r="U141" s="52"/>
      <c r="V141" s="52"/>
      <c r="W141" s="52"/>
      <c r="X141" s="52"/>
      <c r="Y141" s="52"/>
      <c r="Z141" s="52"/>
    </row>
    <row r="142">
      <c r="A142" s="52" t="str">
        <f>IFERROR(__xludf.DUMMYFUNCTION("""COMPUTED_VALUE"""),"issues::related::(link::issue)")</f>
        <v>issues::related::(link::issue)</v>
      </c>
      <c r="B142" s="52" t="str">
        <f>IFERROR(__xludf.DUMMYFUNCTION("""COMPUTED_VALUE"""),"Configuration issue, Database-related issue, Performance issue, Permission/deprecation issue")</f>
        <v>Configuration issue, Database-related issue, Performance issue, Permission/deprecation issue</v>
      </c>
      <c r="C142" s="52"/>
      <c r="D142" s="52" t="str">
        <f>IFERROR(__xludf.DUMMYFUNCTION("""COMPUTED_VALUE"""),"fix::merged::(link::review)::not::main::branch")</f>
        <v>fix::merged::(link::review)::not::main::branch</v>
      </c>
      <c r="E142" s="52"/>
      <c r="F142" s="52" t="str">
        <f>IFERROR(__xludf.DUMMYFUNCTION("""COMPUTED_VALUE"""),"discussing::intended::solution::design")</f>
        <v>discussing::intended::solution::design</v>
      </c>
      <c r="G142" s="52"/>
      <c r="H142" s="52"/>
      <c r="I142" s="52"/>
      <c r="J142" s="52"/>
      <c r="K142" s="52"/>
      <c r="L142" s="52"/>
      <c r="M142" s="52"/>
      <c r="N142" s="52"/>
      <c r="O142" s="52"/>
      <c r="P142" s="52" t="str">
        <f>IFERROR(__xludf.DUMMYFUNCTION("""COMPUTED_VALUE"""),"approval::for::workflow1")</f>
        <v>approval::for::workflow1</v>
      </c>
      <c r="Q142" s="52"/>
      <c r="R142" s="52"/>
      <c r="S142" s="52"/>
      <c r="T142" s="52"/>
      <c r="U142" s="52"/>
      <c r="V142" s="52"/>
      <c r="W142" s="52"/>
      <c r="X142" s="52"/>
      <c r="Y142" s="52"/>
      <c r="Z142" s="52"/>
    </row>
    <row r="143">
      <c r="A143" s="52" t="str">
        <f>IFERROR(__xludf.DUMMYFUNCTION("""COMPUTED_VALUE"""),"issues::related::(link::launchpad)")</f>
        <v>issues::related::(link::launchpad)</v>
      </c>
      <c r="B143" s="52" t="str">
        <f>IFERROR(__xludf.DUMMYFUNCTION("""COMPUTED_VALUE"""),"Configuration issue, Database-related issue, Performance issue, Program anomaly issue")</f>
        <v>Configuration issue, Database-related issue, Performance issue, Program anomaly issue</v>
      </c>
      <c r="C143" s="52"/>
      <c r="D143" s="52" t="str">
        <f>IFERROR(__xludf.DUMMYFUNCTION("""COMPUTED_VALUE"""),"fix::merged::(link::review)::related::fix")</f>
        <v>fix::merged::(link::review)::related::fix</v>
      </c>
      <c r="E143" s="52"/>
      <c r="F143" s="52" t="str">
        <f>IFERROR(__xludf.DUMMYFUNCTION("""COMPUTED_VALUE"""),"discussing::intended::test::setup")</f>
        <v>discussing::intended::test::setup</v>
      </c>
      <c r="G143" s="52"/>
      <c r="H143" s="52"/>
      <c r="I143" s="52"/>
      <c r="J143" s="52"/>
      <c r="K143" s="52"/>
      <c r="L143" s="52"/>
      <c r="M143" s="52"/>
      <c r="N143" s="52"/>
      <c r="O143" s="52"/>
      <c r="P143" s="52" t="str">
        <f>IFERROR(__xludf.DUMMYFUNCTION("""COMPUTED_VALUE"""),"approval::of::the::BP/spec::associated::to::the::change::before::merging")</f>
        <v>approval::of::the::BP/spec::associated::to::the::change::before::merging</v>
      </c>
      <c r="Q143" s="52"/>
      <c r="R143" s="52"/>
      <c r="S143" s="52"/>
      <c r="T143" s="52"/>
      <c r="U143" s="52"/>
      <c r="V143" s="52"/>
      <c r="W143" s="52"/>
      <c r="X143" s="52"/>
      <c r="Y143" s="52"/>
      <c r="Z143" s="52"/>
    </row>
    <row r="144">
      <c r="A144" s="52" t="str">
        <f>IFERROR(__xludf.DUMMYFUNCTION("""COMPUTED_VALUE"""),"joining::previously:.mentioned::reasons::for::the::continuation::of::bug")</f>
        <v>joining::previously:.mentioned::reasons::for::the::continuation::of::bug</v>
      </c>
      <c r="B144" s="52" t="str">
        <f>IFERROR(__xludf.DUMMYFUNCTION("""COMPUTED_VALUE"""),"Configuration issue, Database-related issue, Performance issue, Security issue")</f>
        <v>Configuration issue, Database-related issue, Performance issue, Security issue</v>
      </c>
      <c r="C144" s="52"/>
      <c r="D144" s="52" t="str">
        <f>IFERROR(__xludf.DUMMYFUNCTION("""COMPUTED_VALUE"""),"fix::merged::(link::review)::related::fix::not::main::branch")</f>
        <v>fix::merged::(link::review)::related::fix::not::main::branch</v>
      </c>
      <c r="E144" s="52"/>
      <c r="F144" s="52" t="str">
        <f>IFERROR(__xludf.DUMMYFUNCTION("""COMPUTED_VALUE"""),"discussing::keeping::inside::project::as::it::is")</f>
        <v>discussing::keeping::inside::project::as::it::is</v>
      </c>
      <c r="G144" s="52"/>
      <c r="H144" s="52"/>
      <c r="I144" s="52"/>
      <c r="J144" s="52"/>
      <c r="K144" s="52"/>
      <c r="L144" s="52"/>
      <c r="M144" s="52"/>
      <c r="N144" s="52"/>
      <c r="O144" s="52"/>
      <c r="P144" s="52" t="str">
        <f>IFERROR(__xludf.DUMMYFUNCTION("""COMPUTED_VALUE"""),"approval::of::the::BP/spec::associated::to::the::change::before::working::on::code")</f>
        <v>approval::of::the::BP/spec::associated::to::the::change::before::working::on::code</v>
      </c>
      <c r="Q144" s="52"/>
      <c r="R144" s="52"/>
      <c r="S144" s="52"/>
      <c r="T144" s="52"/>
      <c r="U144" s="52"/>
      <c r="V144" s="52"/>
      <c r="W144" s="52"/>
      <c r="X144" s="52"/>
      <c r="Y144" s="52"/>
      <c r="Z144" s="52"/>
    </row>
    <row r="145">
      <c r="A145" s="52" t="str">
        <f>IFERROR(__xludf.DUMMYFUNCTION("""COMPUTED_VALUE"""),"justification::of::changing::triage")</f>
        <v>justification::of::changing::triage</v>
      </c>
      <c r="B145" s="52" t="str">
        <f>IFERROR(__xludf.DUMMYFUNCTION("""COMPUTED_VALUE"""),"Configuration issue, Database-related issue, Performance issue, Test code-related issue")</f>
        <v>Configuration issue, Database-related issue, Performance issue, Test code-related issue</v>
      </c>
      <c r="C145" s="52"/>
      <c r="D145" s="52" t="str">
        <f>IFERROR(__xludf.DUMMYFUNCTION("""COMPUTED_VALUE"""),"fix::merged::(link::review1)::related::fix")</f>
        <v>fix::merged::(link::review1)::related::fix</v>
      </c>
      <c r="E145" s="52"/>
      <c r="F145" s="52" t="str">
        <f>IFERROR(__xludf.DUMMYFUNCTION("""COMPUTED_VALUE"""),"discussing::plan::development::process::(move::project::outside::nova)")</f>
        <v>discussing::plan::development::process::(move::project::outside::nova)</v>
      </c>
      <c r="G145" s="52"/>
      <c r="H145" s="52"/>
      <c r="I145" s="52"/>
      <c r="J145" s="52"/>
      <c r="K145" s="52"/>
      <c r="L145" s="52"/>
      <c r="M145" s="52"/>
      <c r="N145" s="52"/>
      <c r="O145" s="52"/>
      <c r="P145" s="52" t="str">
        <f>IFERROR(__xludf.DUMMYFUNCTION("""COMPUTED_VALUE"""),"asking::about::waiting::for::patch::(other::review)")</f>
        <v>asking::about::waiting::for::patch::(other::review)</v>
      </c>
      <c r="Q145" s="52"/>
      <c r="R145" s="52"/>
      <c r="S145" s="52"/>
      <c r="T145" s="52"/>
      <c r="U145" s="52"/>
      <c r="V145" s="52"/>
      <c r="W145" s="52"/>
      <c r="X145" s="52"/>
      <c r="Y145" s="52"/>
      <c r="Z145" s="52"/>
    </row>
    <row r="146">
      <c r="A146" s="52" t="str">
        <f>IFERROR(__xludf.DUMMYFUNCTION("""COMPUTED_VALUE"""),"justification::of:.the::regression::identified")</f>
        <v>justification::of:.the::regression::identified</v>
      </c>
      <c r="B146" s="52" t="str">
        <f>IFERROR(__xludf.DUMMYFUNCTION("""COMPUTED_VALUE"""),"Configuration issue, Database-related issue, Permission/deprecation issue, Program anomaly issue")</f>
        <v>Configuration issue, Database-related issue, Permission/deprecation issue, Program anomaly issue</v>
      </c>
      <c r="C146" s="52"/>
      <c r="D146" s="52" t="str">
        <f>IFERROR(__xludf.DUMMYFUNCTION("""COMPUTED_VALUE"""),"fix::merged::(link::review2::commit2)")</f>
        <v>fix::merged::(link::review2::commit2)</v>
      </c>
      <c r="E146" s="52"/>
      <c r="F146" s="52" t="str">
        <f>IFERROR(__xludf.DUMMYFUNCTION("""COMPUTED_VALUE"""),"discussing::plan::development::process::(reviews)")</f>
        <v>discussing::plan::development::process::(reviews)</v>
      </c>
      <c r="G146" s="52"/>
      <c r="H146" s="52"/>
      <c r="I146" s="52"/>
      <c r="J146" s="52"/>
      <c r="K146" s="52"/>
      <c r="L146" s="52"/>
      <c r="M146" s="52"/>
      <c r="N146" s="52"/>
      <c r="O146" s="52"/>
      <c r="P146" s="52" t="str">
        <f>IFERROR(__xludf.DUMMYFUNCTION("""COMPUTED_VALUE"""),"asking::advice::about::changes::(verify::correctness)")</f>
        <v>asking::advice::about::changes::(verify::correctness)</v>
      </c>
      <c r="Q146" s="52"/>
      <c r="R146" s="52"/>
      <c r="S146" s="52"/>
      <c r="T146" s="52"/>
      <c r="U146" s="52"/>
      <c r="V146" s="52"/>
      <c r="W146" s="52"/>
      <c r="X146" s="52"/>
      <c r="Y146" s="52"/>
      <c r="Z146" s="52"/>
    </row>
    <row r="147">
      <c r="A147" s="52" t="str">
        <f>IFERROR(__xludf.DUMMYFUNCTION("""COMPUTED_VALUE"""),"link::review")</f>
        <v>link::review</v>
      </c>
      <c r="B147" s="52" t="str">
        <f>IFERROR(__xludf.DUMMYFUNCTION("""COMPUTED_VALUE"""),"Configuration issue, Database-related issue, Permission/deprecation issue, Security issue")</f>
        <v>Configuration issue, Database-related issue, Permission/deprecation issue, Security issue</v>
      </c>
      <c r="C147" s="52"/>
      <c r="D147" s="52" t="str">
        <f>IFERROR(__xludf.DUMMYFUNCTION("""COMPUTED_VALUE"""),"fix::merged::(link::review2)::not::main::branch")</f>
        <v>fix::merged::(link::review2)::not::main::branch</v>
      </c>
      <c r="E147" s="52"/>
      <c r="F147" s="52" t="str">
        <f>IFERROR(__xludf.DUMMYFUNCTION("""COMPUTED_VALUE"""),"discussing::plan::development::process::(timeframe)")</f>
        <v>discussing::plan::development::process::(timeframe)</v>
      </c>
      <c r="G147" s="52"/>
      <c r="H147" s="52"/>
      <c r="I147" s="52"/>
      <c r="J147" s="52"/>
      <c r="K147" s="52"/>
      <c r="L147" s="52"/>
      <c r="M147" s="52"/>
      <c r="N147" s="52"/>
      <c r="O147" s="52"/>
      <c r="P147" s="52" t="str">
        <f>IFERROR(__xludf.DUMMYFUNCTION("""COMPUTED_VALUE"""),"asking::advice::about::code::and::documentation::(functionallity)")</f>
        <v>asking::advice::about::code::and::documentation::(functionallity)</v>
      </c>
      <c r="Q147" s="52"/>
      <c r="R147" s="52"/>
      <c r="S147" s="52"/>
      <c r="T147" s="52"/>
      <c r="U147" s="52"/>
      <c r="V147" s="52"/>
      <c r="W147" s="52"/>
      <c r="X147" s="52"/>
      <c r="Y147" s="52"/>
      <c r="Z147" s="52"/>
    </row>
    <row r="148">
      <c r="A148" s="52" t="str">
        <f>IFERROR(__xludf.DUMMYFUNCTION("""COMPUTED_VALUE"""),"link::review3")</f>
        <v>link::review3</v>
      </c>
      <c r="B148" s="52" t="str">
        <f>IFERROR(__xludf.DUMMYFUNCTION("""COMPUTED_VALUE"""),"Configuration issue, Database-related issue, Permission/deprecation issue, Test code-related issue")</f>
        <v>Configuration issue, Database-related issue, Permission/deprecation issue, Test code-related issue</v>
      </c>
      <c r="C148" s="52"/>
      <c r="D148" s="52" t="str">
        <f>IFERROR(__xludf.DUMMYFUNCTION("""COMPUTED_VALUE"""),"fix::merged::(link::review2)::related::fix")</f>
        <v>fix::merged::(link::review2)::related::fix</v>
      </c>
      <c r="E148" s="52"/>
      <c r="F148" s="52" t="str">
        <f>IFERROR(__xludf.DUMMYFUNCTION("""COMPUTED_VALUE"""),"discussing::proposing::development::project::(as::API)")</f>
        <v>discussing::proposing::development::project::(as::API)</v>
      </c>
      <c r="G148" s="52"/>
      <c r="H148" s="52"/>
      <c r="I148" s="52"/>
      <c r="J148" s="52"/>
      <c r="K148" s="52"/>
      <c r="L148" s="52"/>
      <c r="M148" s="52"/>
      <c r="N148" s="52"/>
      <c r="O148" s="52"/>
      <c r="P148" s="52" t="str">
        <f>IFERROR(__xludf.DUMMYFUNCTION("""COMPUTED_VALUE"""),"asking::advice::about::error")</f>
        <v>asking::advice::about::error</v>
      </c>
      <c r="Q148" s="52"/>
      <c r="R148" s="52"/>
      <c r="S148" s="52"/>
      <c r="T148" s="52"/>
      <c r="U148" s="52"/>
      <c r="V148" s="52"/>
      <c r="W148" s="52"/>
      <c r="X148" s="52"/>
      <c r="Y148" s="52"/>
      <c r="Z148" s="52"/>
    </row>
    <row r="149">
      <c r="A149" s="52" t="str">
        <f>IFERROR(__xludf.DUMMYFUNCTION("""COMPUTED_VALUE"""),"link::to::commit::(github)")</f>
        <v>link::to::commit::(github)</v>
      </c>
      <c r="B149" s="52" t="str">
        <f>IFERROR(__xludf.DUMMYFUNCTION("""COMPUTED_VALUE"""),"Configuration issue, Database-related issue, Program anomaly issue, Test code-related issue")</f>
        <v>Configuration issue, Database-related issue, Program anomaly issue, Test code-related issue</v>
      </c>
      <c r="C149" s="52"/>
      <c r="D149" s="52" t="str">
        <f>IFERROR(__xludf.DUMMYFUNCTION("""COMPUTED_VALUE"""),"fix::merged::(link::review3)::not::main::branch")</f>
        <v>fix::merged::(link::review3)::not::main::branch</v>
      </c>
      <c r="E149" s="52"/>
      <c r="F149" s="52" t="str">
        <f>IFERROR(__xludf.DUMMYFUNCTION("""COMPUTED_VALUE"""),"discussing::proposing::keep::project::as::experimental::project")</f>
        <v>discussing::proposing::keep::project::as::experimental::project</v>
      </c>
      <c r="G149" s="52"/>
      <c r="H149" s="52"/>
      <c r="I149" s="52"/>
      <c r="J149" s="52"/>
      <c r="K149" s="52"/>
      <c r="L149" s="52"/>
      <c r="M149" s="52"/>
      <c r="N149" s="52"/>
      <c r="O149" s="52"/>
      <c r="P149" s="52" t="str">
        <f>IFERROR(__xludf.DUMMYFUNCTION("""COMPUTED_VALUE"""),"asking::advice::about::suggestion::change::current::approach::(change::for::different::api::version)")</f>
        <v>asking::advice::about::suggestion::change::current::approach::(change::for::different::api::version)</v>
      </c>
      <c r="Q149" s="52"/>
      <c r="R149" s="52"/>
      <c r="S149" s="52"/>
      <c r="T149" s="52"/>
      <c r="U149" s="52"/>
      <c r="V149" s="52"/>
      <c r="W149" s="52"/>
      <c r="X149" s="52"/>
      <c r="Y149" s="52"/>
      <c r="Z149" s="52"/>
    </row>
    <row r="150">
      <c r="A150" s="52" t="str">
        <f>IFERROR(__xludf.DUMMYFUNCTION("""COMPUTED_VALUE"""),"link::to::file::(github)")</f>
        <v>link::to::file::(github)</v>
      </c>
      <c r="B150" s="52" t="str">
        <f>IFERROR(__xludf.DUMMYFUNCTION("""COMPUTED_VALUE"""),"Configuration issue, Database-related issue, Security issue, Program anomaly issue")</f>
        <v>Configuration issue, Database-related issue, Security issue, Program anomaly issue</v>
      </c>
      <c r="C150" s="52"/>
      <c r="D150" s="52" t="str">
        <f>IFERROR(__xludf.DUMMYFUNCTION("""COMPUTED_VALUE"""),"fix::merged::(link::review4)::related::fix::not::main::branch")</f>
        <v>fix::merged::(link::review4)::related::fix::not::main::branch</v>
      </c>
      <c r="E150" s="52"/>
      <c r="F150" s="52" t="str">
        <f>IFERROR(__xludf.DUMMYFUNCTION("""COMPUTED_VALUE"""),"discussing::pros::design::choice::to::keep::project::inside::nova::(user::importance)")</f>
        <v>discussing::pros::design::choice::to::keep::project::inside::nova::(user::importance)</v>
      </c>
      <c r="G150" s="52"/>
      <c r="H150" s="52"/>
      <c r="I150" s="52"/>
      <c r="J150" s="52"/>
      <c r="K150" s="52"/>
      <c r="L150" s="52"/>
      <c r="M150" s="52"/>
      <c r="N150" s="52"/>
      <c r="O150" s="52"/>
      <c r="P150" s="52" t="str">
        <f>IFERROR(__xludf.DUMMYFUNCTION("""COMPUTED_VALUE"""),"asking::advice::best::practice::(logic)")</f>
        <v>asking::advice::best::practice::(logic)</v>
      </c>
      <c r="Q150" s="52"/>
      <c r="R150" s="52"/>
      <c r="S150" s="52"/>
      <c r="T150" s="52"/>
      <c r="U150" s="52"/>
      <c r="V150" s="52"/>
      <c r="W150" s="52"/>
      <c r="X150" s="52"/>
      <c r="Y150" s="52"/>
      <c r="Z150" s="52"/>
    </row>
    <row r="151">
      <c r="A151" s="52" t="str">
        <f>IFERROR(__xludf.DUMMYFUNCTION("""COMPUTED_VALUE"""),"link::to::pastebin")</f>
        <v>link::to::pastebin</v>
      </c>
      <c r="B151" s="52" t="str">
        <f>IFERROR(__xludf.DUMMYFUNCTION("""COMPUTED_VALUE"""),"Configuration issue, Database-related issue, Security issue, Test code-related issue")</f>
        <v>Configuration issue, Database-related issue, Security issue, Test code-related issue</v>
      </c>
      <c r="C151" s="52"/>
      <c r="D151" s="52" t="str">
        <f>IFERROR(__xludf.DUMMYFUNCTION("""COMPUTED_VALUE"""),"fix::merged::(link::review5)")</f>
        <v>fix::merged::(link::review5)</v>
      </c>
      <c r="E151" s="52"/>
      <c r="F151" s="52" t="str">
        <f>IFERROR(__xludf.DUMMYFUNCTION("""COMPUTED_VALUE"""),"discussing::providing::advice::development::process::(tests::move::them::out:nova)")</f>
        <v>discussing::providing::advice::development::process::(tests::move::them::out:nova)</v>
      </c>
      <c r="G151" s="52"/>
      <c r="H151" s="52"/>
      <c r="I151" s="52"/>
      <c r="J151" s="52"/>
      <c r="K151" s="52"/>
      <c r="L151" s="52"/>
      <c r="M151" s="52"/>
      <c r="N151" s="52"/>
      <c r="O151" s="52"/>
      <c r="P151" s="52" t="str">
        <f>IFERROR(__xludf.DUMMYFUNCTION("""COMPUTED_VALUE"""),"asking::advice::best::practice::(style)")</f>
        <v>asking::advice::best::practice::(style)</v>
      </c>
      <c r="Q151" s="52"/>
      <c r="R151" s="52"/>
      <c r="S151" s="52"/>
      <c r="T151" s="52"/>
      <c r="U151" s="52"/>
      <c r="V151" s="52"/>
      <c r="W151" s="52"/>
      <c r="X151" s="52"/>
      <c r="Y151" s="52"/>
      <c r="Z151" s="52"/>
    </row>
    <row r="152">
      <c r="A152" s="52" t="str">
        <f>IFERROR(__xludf.DUMMYFUNCTION("""COMPUTED_VALUE"""),"link::to::review")</f>
        <v>link::to::review</v>
      </c>
      <c r="B152" s="52" t="str">
        <f>IFERROR(__xludf.DUMMYFUNCTION("""COMPUTED_VALUE"""),"Configuration issue, GUI-related issue, Network issue, Performance issue")</f>
        <v>Configuration issue, GUI-related issue, Network issue, Performance issue</v>
      </c>
      <c r="C152" s="52"/>
      <c r="D152" s="52" t="str">
        <f>IFERROR(__xludf.DUMMYFUNCTION("""COMPUTED_VALUE"""),"fix::merged::different::project")</f>
        <v>fix::merged::different::project</v>
      </c>
      <c r="E152" s="52"/>
      <c r="F152" s="52" t="str">
        <f>IFERROR(__xludf.DUMMYFUNCTION("""COMPUTED_VALUE"""),"discussing::solution::design")</f>
        <v>discussing::solution::design</v>
      </c>
      <c r="G152" s="52"/>
      <c r="H152" s="52"/>
      <c r="I152" s="52"/>
      <c r="J152" s="52"/>
      <c r="K152" s="52"/>
      <c r="L152" s="52"/>
      <c r="M152" s="52"/>
      <c r="N152" s="52"/>
      <c r="O152" s="52"/>
      <c r="P152" s="52" t="str">
        <f>IFERROR(__xludf.DUMMYFUNCTION("""COMPUTED_VALUE"""),"asking::advice::best::practice::(versioning)")</f>
        <v>asking::advice::best::practice::(versioning)</v>
      </c>
      <c r="Q152" s="52"/>
      <c r="R152" s="52"/>
      <c r="S152" s="52"/>
      <c r="T152" s="52"/>
      <c r="U152" s="52"/>
      <c r="V152" s="52"/>
      <c r="W152" s="52"/>
      <c r="X152" s="52"/>
      <c r="Y152" s="52"/>
      <c r="Z152" s="52"/>
    </row>
    <row r="153">
      <c r="A153" s="52" t="str">
        <f>IFERROR(__xludf.DUMMYFUNCTION("""COMPUTED_VALUE"""),"objection::asking::for::examples::when::bug::is::present")</f>
        <v>objection::asking::for::examples::when::bug::is::present</v>
      </c>
      <c r="B153" s="52" t="str">
        <f>IFERROR(__xludf.DUMMYFUNCTION("""COMPUTED_VALUE"""),"Configuration issue, GUI-related issue, Network issue, Permission/deprecation issue")</f>
        <v>Configuration issue, GUI-related issue, Network issue, Permission/deprecation issue</v>
      </c>
      <c r="C153" s="52"/>
      <c r="D153" s="52" t="str">
        <f>IFERROR(__xludf.DUMMYFUNCTION("""COMPUTED_VALUE"""),"fix::summary")</f>
        <v>fix::summary</v>
      </c>
      <c r="E153" s="52"/>
      <c r="F153" s="52" t="str">
        <f>IFERROR(__xludf.DUMMYFUNCTION("""COMPUTED_VALUE"""),"discussing::solution::design::(asking::how::it::is::being::implemented)")</f>
        <v>discussing::solution::design::(asking::how::it::is::being::implemented)</v>
      </c>
      <c r="G153" s="52"/>
      <c r="H153" s="52"/>
      <c r="I153" s="52"/>
      <c r="J153" s="52"/>
      <c r="K153" s="52"/>
      <c r="L153" s="52"/>
      <c r="M153" s="52"/>
      <c r="N153" s="52"/>
      <c r="O153" s="52"/>
      <c r="P153" s="52" t="str">
        <f>IFERROR(__xludf.DUMMYFUNCTION("""COMPUTED_VALUE"""),"asking::advice::how::to::fix::(alternative::solution)")</f>
        <v>asking::advice::how::to::fix::(alternative::solution)</v>
      </c>
      <c r="Q153" s="52"/>
      <c r="R153" s="52"/>
      <c r="S153" s="52"/>
      <c r="T153" s="52"/>
      <c r="U153" s="52"/>
      <c r="V153" s="52"/>
      <c r="W153" s="52"/>
      <c r="X153" s="52"/>
      <c r="Y153" s="52"/>
      <c r="Z153" s="52"/>
    </row>
    <row r="154">
      <c r="A154" s="52" t="str">
        <f>IFERROR(__xludf.DUMMYFUNCTION("""COMPUTED_VALUE"""),"opening::new:.bug::based::on::previous::discussion")</f>
        <v>opening::new:.bug::based::on::previous::discussion</v>
      </c>
      <c r="B154" s="52" t="str">
        <f>IFERROR(__xludf.DUMMYFUNCTION("""COMPUTED_VALUE"""),"Configuration issue, GUI-related issue, Network issue, Program anomaly issue")</f>
        <v>Configuration issue, GUI-related issue, Network issue, Program anomaly issue</v>
      </c>
      <c r="C154" s="52"/>
      <c r="D154" s="52" t="str">
        <f>IFERROR(__xludf.DUMMYFUNCTION("""COMPUTED_VALUE"""),"forwarding::meeting::information")</f>
        <v>forwarding::meeting::information</v>
      </c>
      <c r="E154" s="52"/>
      <c r="F154" s="52" t="str">
        <f>IFERROR(__xludf.DUMMYFUNCTION("""COMPUTED_VALUE"""),"discussing::solution::design::(components::of::the::solution)")</f>
        <v>discussing::solution::design::(components::of::the::solution)</v>
      </c>
      <c r="G154" s="52"/>
      <c r="H154" s="52"/>
      <c r="I154" s="52"/>
      <c r="J154" s="52"/>
      <c r="K154" s="52"/>
      <c r="L154" s="52"/>
      <c r="M154" s="52"/>
      <c r="N154" s="52"/>
      <c r="O154" s="52"/>
      <c r="P154" s="52" t="str">
        <f>IFERROR(__xludf.DUMMYFUNCTION("""COMPUTED_VALUE"""),"asking::advice::how::to::fix::failures::(building::tests)")</f>
        <v>asking::advice::how::to::fix::failures::(building::tests)</v>
      </c>
      <c r="Q154" s="52"/>
      <c r="R154" s="52"/>
      <c r="S154" s="52"/>
      <c r="T154" s="52"/>
      <c r="U154" s="52"/>
      <c r="V154" s="52"/>
      <c r="W154" s="52"/>
      <c r="X154" s="52"/>
      <c r="Y154" s="52"/>
      <c r="Z154" s="52"/>
    </row>
    <row r="155">
      <c r="A155" s="52" t="str">
        <f>IFERROR(__xludf.DUMMYFUNCTION("""COMPUTED_VALUE"""),"originally::reported::elsewhere::(link::github)")</f>
        <v>originally::reported::elsewhere::(link::github)</v>
      </c>
      <c r="B155" s="52" t="str">
        <f>IFERROR(__xludf.DUMMYFUNCTION("""COMPUTED_VALUE"""),"Configuration issue, GUI-related issue, Network issue, Security issue")</f>
        <v>Configuration issue, GUI-related issue, Network issue, Security issue</v>
      </c>
      <c r="C155" s="52"/>
      <c r="D155" s="52" t="str">
        <f>IFERROR(__xludf.DUMMYFUNCTION("""COMPUTED_VALUE"""),"giving::opinion::about::components::of::code::(UUIDS)")</f>
        <v>giving::opinion::about::components::of::code::(UUIDS)</v>
      </c>
      <c r="E155" s="52"/>
      <c r="F155" s="52" t="str">
        <f>IFERROR(__xludf.DUMMYFUNCTION("""COMPUTED_VALUE"""),"discussing::solution::design::(functionallity::that::are::not::yet::available)")</f>
        <v>discussing::solution::design::(functionallity::that::are::not::yet::available)</v>
      </c>
      <c r="G155" s="52"/>
      <c r="H155" s="52"/>
      <c r="I155" s="52"/>
      <c r="J155" s="52"/>
      <c r="K155" s="52"/>
      <c r="L155" s="52"/>
      <c r="M155" s="52"/>
      <c r="N155" s="52"/>
      <c r="O155" s="52"/>
      <c r="P155" s="52" t="str">
        <f>IFERROR(__xludf.DUMMYFUNCTION("""COMPUTED_VALUE"""),"asking::advice::suggestion::change::(solution::design)")</f>
        <v>asking::advice::suggestion::change::(solution::design)</v>
      </c>
      <c r="Q155" s="52"/>
      <c r="R155" s="52"/>
      <c r="S155" s="52"/>
      <c r="T155" s="52"/>
      <c r="U155" s="52"/>
      <c r="V155" s="52"/>
      <c r="W155" s="52"/>
      <c r="X155" s="52"/>
      <c r="Y155" s="52"/>
      <c r="Z155" s="52"/>
    </row>
    <row r="156">
      <c r="A156" s="52" t="str">
        <f>IFERROR(__xludf.DUMMYFUNCTION("""COMPUTED_VALUE"""),"packages::affected::by::bug")</f>
        <v>packages::affected::by::bug</v>
      </c>
      <c r="B156" s="52" t="str">
        <f>IFERROR(__xludf.DUMMYFUNCTION("""COMPUTED_VALUE"""),"Configuration issue, GUI-related issue, Network issue, Test code-related issue")</f>
        <v>Configuration issue, GUI-related issue, Network issue, Test code-related issue</v>
      </c>
      <c r="C156" s="52"/>
      <c r="D156" s="52" t="str">
        <f>IFERROR(__xludf.DUMMYFUNCTION("""COMPUTED_VALUE"""),"history::of::the::BP/feature")</f>
        <v>history::of::the::BP/feature</v>
      </c>
      <c r="E156" s="52"/>
      <c r="F156" s="52" t="str">
        <f>IFERROR(__xludf.DUMMYFUNCTION("""COMPUTED_VALUE"""),"discussing::solution::design::(requirements::of::the::solution)")</f>
        <v>discussing::solution::design::(requirements::of::the::solution)</v>
      </c>
      <c r="G156" s="52"/>
      <c r="H156" s="52"/>
      <c r="I156" s="52"/>
      <c r="J156" s="52"/>
      <c r="K156" s="52"/>
      <c r="L156" s="52"/>
      <c r="M156" s="52"/>
      <c r="N156" s="52"/>
      <c r="O156" s="52"/>
      <c r="P156" s="52" t="str">
        <f>IFERROR(__xludf.DUMMYFUNCTION("""COMPUTED_VALUE"""),"asking::advice::suggestion::refactoring::(cleaner::code)")</f>
        <v>asking::advice::suggestion::refactoring::(cleaner::code)</v>
      </c>
      <c r="Q156" s="52"/>
      <c r="R156" s="52"/>
      <c r="S156" s="52"/>
      <c r="T156" s="52"/>
      <c r="U156" s="52"/>
      <c r="V156" s="52"/>
      <c r="W156" s="52"/>
      <c r="X156" s="52"/>
      <c r="Y156" s="52"/>
      <c r="Z156" s="52"/>
    </row>
    <row r="157">
      <c r="A157" s="52" t="str">
        <f>IFERROR(__xludf.DUMMYFUNCTION("""COMPUTED_VALUE"""),"performance::(timeout)")</f>
        <v>performance::(timeout)</v>
      </c>
      <c r="B157" s="52" t="str">
        <f>IFERROR(__xludf.DUMMYFUNCTION("""COMPUTED_VALUE"""),"Configuration issue, GUI-related issue, Performance issue, Permission/deprecation issue")</f>
        <v>Configuration issue, GUI-related issue, Performance issue, Permission/deprecation issue</v>
      </c>
      <c r="C157" s="52"/>
      <c r="D157" s="52" t="str">
        <f>IFERROR(__xludf.DUMMYFUNCTION("""COMPUTED_VALUE"""),"identifying::addressed::elsewhere::(link::review1)")</f>
        <v>identifying::addressed::elsewhere::(link::review1)</v>
      </c>
      <c r="E157" s="52"/>
      <c r="F157" s="52" t="str">
        <f>IFERROR(__xludf.DUMMYFUNCTION("""COMPUTED_VALUE"""),"discussing::solution::design::(requirements::of::the::solution)::proposing::an::alternative")</f>
        <v>discussing::solution::design::(requirements::of::the::solution)::proposing::an::alternative</v>
      </c>
      <c r="G157" s="52"/>
      <c r="H157" s="52"/>
      <c r="I157" s="52"/>
      <c r="J157" s="52"/>
      <c r="K157" s="52"/>
      <c r="L157" s="52"/>
      <c r="M157" s="52"/>
      <c r="N157" s="52"/>
      <c r="O157" s="52"/>
      <c r="P157" s="52" t="str">
        <f>IFERROR(__xludf.DUMMYFUNCTION("""COMPUTED_VALUE"""),"asking::advice::suggestion::refactoring::(naming::function)")</f>
        <v>asking::advice::suggestion::refactoring::(naming::function)</v>
      </c>
      <c r="Q157" s="52"/>
      <c r="R157" s="52"/>
      <c r="S157" s="52"/>
      <c r="T157" s="52"/>
      <c r="U157" s="52"/>
      <c r="V157" s="52"/>
      <c r="W157" s="52"/>
      <c r="X157" s="52"/>
      <c r="Y157" s="52"/>
      <c r="Z157" s="52"/>
    </row>
    <row r="158">
      <c r="A158" s="52" t="str">
        <f>IFERROR(__xludf.DUMMYFUNCTION("""COMPUTED_VALUE"""),"potential::source::of::the::bug::(link::commit)")</f>
        <v>potential::source::of::the::bug::(link::commit)</v>
      </c>
      <c r="B158" s="52" t="str">
        <f>IFERROR(__xludf.DUMMYFUNCTION("""COMPUTED_VALUE"""),"Configuration issue, GUI-related issue, Performance issue, Program anomaly issue")</f>
        <v>Configuration issue, GUI-related issue, Performance issue, Program anomaly issue</v>
      </c>
      <c r="C158" s="52"/>
      <c r="D158" s="52" t="str">
        <f>IFERROR(__xludf.DUMMYFUNCTION("""COMPUTED_VALUE"""),"identifying::addressed::elsewhere::(link::review2)")</f>
        <v>identifying::addressed::elsewhere::(link::review2)</v>
      </c>
      <c r="E158" s="52"/>
      <c r="F158" s="52" t="str">
        <f>IFERROR(__xludf.DUMMYFUNCTION("""COMPUTED_VALUE"""),"discussing::test::coverage")</f>
        <v>discussing::test::coverage</v>
      </c>
      <c r="G158" s="52"/>
      <c r="H158" s="52"/>
      <c r="I158" s="52"/>
      <c r="J158" s="52"/>
      <c r="K158" s="52"/>
      <c r="L158" s="52"/>
      <c r="M158" s="52"/>
      <c r="N158" s="52"/>
      <c r="O158" s="52"/>
      <c r="P158" s="52" t="str">
        <f>IFERROR(__xludf.DUMMYFUNCTION("""COMPUTED_VALUE"""),"asking::advice::suggestion::refactoring::(removing::not::thread::safe::code)")</f>
        <v>asking::advice::suggestion::refactoring::(removing::not::thread::safe::code)</v>
      </c>
      <c r="Q158" s="52"/>
      <c r="R158" s="52"/>
      <c r="S158" s="52"/>
      <c r="T158" s="52"/>
      <c r="U158" s="52"/>
      <c r="V158" s="52"/>
      <c r="W158" s="52"/>
      <c r="X158" s="52"/>
      <c r="Y158" s="52"/>
      <c r="Z158" s="52"/>
    </row>
    <row r="159">
      <c r="A159" s="52" t="str">
        <f>IFERROR(__xludf.DUMMYFUNCTION("""COMPUTED_VALUE"""),"presence::of::bug::in::other::branches")</f>
        <v>presence::of::bug::in::other::branches</v>
      </c>
      <c r="B159" s="52" t="str">
        <f>IFERROR(__xludf.DUMMYFUNCTION("""COMPUTED_VALUE"""),"Configuration issue, GUI-related issue, Performance issue, Security issue")</f>
        <v>Configuration issue, GUI-related issue, Performance issue, Security issue</v>
      </c>
      <c r="C159" s="52"/>
      <c r="D159" s="52" t="str">
        <f>IFERROR(__xludf.DUMMYFUNCTION("""COMPUTED_VALUE"""),"impact::of::the::proposed::solution")</f>
        <v>impact::of::the::proposed::solution</v>
      </c>
      <c r="E159" s="52"/>
      <c r="F159" s="52" t="str">
        <f>IFERROR(__xludf.DUMMYFUNCTION("""COMPUTED_VALUE"""),"discussing::the::cons::of::a::design::choice::to::keep::project::inside::nova")</f>
        <v>discussing::the::cons::of::a::design::choice::to::keep::project::inside::nova</v>
      </c>
      <c r="G159" s="52"/>
      <c r="H159" s="52"/>
      <c r="I159" s="52"/>
      <c r="J159" s="52"/>
      <c r="K159" s="52"/>
      <c r="L159" s="52"/>
      <c r="M159" s="52"/>
      <c r="N159" s="52"/>
      <c r="O159" s="52"/>
      <c r="P159" s="52" t="str">
        <f>IFERROR(__xludf.DUMMYFUNCTION("""COMPUTED_VALUE"""),"asking::clarification::(location::of::code)")</f>
        <v>asking::clarification::(location::of::code)</v>
      </c>
      <c r="Q159" s="52"/>
      <c r="R159" s="52"/>
      <c r="S159" s="52"/>
      <c r="T159" s="52"/>
      <c r="U159" s="52"/>
      <c r="V159" s="52"/>
      <c r="W159" s="52"/>
      <c r="X159" s="52"/>
      <c r="Y159" s="52"/>
      <c r="Z159" s="52"/>
    </row>
    <row r="160">
      <c r="A160" s="52" t="str">
        <f>IFERROR(__xludf.DUMMYFUNCTION("""COMPUTED_VALUE"""),"presence::of::bug::in::other::branches::packages")</f>
        <v>presence::of::bug::in::other::branches::packages</v>
      </c>
      <c r="B160" s="52" t="str">
        <f>IFERROR(__xludf.DUMMYFUNCTION("""COMPUTED_VALUE"""),"Configuration issue, GUI-related issue, Performance issue, Test code-related issue")</f>
        <v>Configuration issue, GUI-related issue, Performance issue, Test code-related issue</v>
      </c>
      <c r="C160" s="52"/>
      <c r="D160" s="52" t="str">
        <f>IFERROR(__xludf.DUMMYFUNCTION("""COMPUTED_VALUE"""),"implemented::elsewhere")</f>
        <v>implemented::elsewhere</v>
      </c>
      <c r="E160" s="52"/>
      <c r="F160" s="52" t="str">
        <f>IFERROR(__xludf.DUMMYFUNCTION("""COMPUTED_VALUE"""),"discussing::the::depracation::of::a::feature::which::would::block::the::BP")</f>
        <v>discussing::the::depracation::of::a::feature::which::would::block::the::BP</v>
      </c>
      <c r="G160" s="52"/>
      <c r="H160" s="52"/>
      <c r="I160" s="52"/>
      <c r="J160" s="52"/>
      <c r="K160" s="52"/>
      <c r="L160" s="52"/>
      <c r="M160" s="52"/>
      <c r="N160" s="52"/>
      <c r="O160" s="52"/>
      <c r="P160" s="52" t="str">
        <f>IFERROR(__xludf.DUMMYFUNCTION("""COMPUTED_VALUE"""),"asking::clarification::(need::of::conditional)")</f>
        <v>asking::clarification::(need::of::conditional)</v>
      </c>
      <c r="Q160" s="52"/>
      <c r="R160" s="52"/>
      <c r="S160" s="52"/>
      <c r="T160" s="52"/>
      <c r="U160" s="52"/>
      <c r="V160" s="52"/>
      <c r="W160" s="52"/>
      <c r="X160" s="52"/>
      <c r="Y160" s="52"/>
      <c r="Z160" s="52"/>
    </row>
    <row r="161">
      <c r="A161" s="52" t="str">
        <f>IFERROR(__xludf.DUMMYFUNCTION("""COMPUTED_VALUE"""),"progress::update::fix::(tests::added)")</f>
        <v>progress::update::fix::(tests::added)</v>
      </c>
      <c r="B161" s="52" t="str">
        <f>IFERROR(__xludf.DUMMYFUNCTION("""COMPUTED_VALUE"""),"Configuration issue, GUI-related issue, Permission/deprecation issue, Program anomaly issue")</f>
        <v>Configuration issue, GUI-related issue, Permission/deprecation issue, Program anomaly issue</v>
      </c>
      <c r="C161" s="52"/>
      <c r="D161" s="52" t="str">
        <f>IFERROR(__xludf.DUMMYFUNCTION("""COMPUTED_VALUE"""),"importance::of::issue::(high::importance)")</f>
        <v>importance::of::issue::(high::importance)</v>
      </c>
      <c r="E161" s="52"/>
      <c r="F161" s="52" t="str">
        <f>IFERROR(__xludf.DUMMYFUNCTION("""COMPUTED_VALUE"""),"discussing::the::new::release::deadline::for::BP/feature::due::to::rejection::of::FFE")</f>
        <v>discussing::the::new::release::deadline::for::BP/feature::due::to::rejection::of::FFE</v>
      </c>
      <c r="G161" s="52"/>
      <c r="H161" s="52"/>
      <c r="I161" s="52"/>
      <c r="J161" s="52"/>
      <c r="K161" s="52"/>
      <c r="L161" s="52"/>
      <c r="M161" s="52"/>
      <c r="N161" s="52"/>
      <c r="O161" s="52"/>
      <c r="P161" s="52" t="str">
        <f>IFERROR(__xludf.DUMMYFUNCTION("""COMPUTED_VALUE"""),"asking::clarification::(need::of::constant)")</f>
        <v>asking::clarification::(need::of::constant)</v>
      </c>
      <c r="Q161" s="52"/>
      <c r="R161" s="52"/>
      <c r="S161" s="52"/>
      <c r="T161" s="52"/>
      <c r="U161" s="52"/>
      <c r="V161" s="52"/>
      <c r="W161" s="52"/>
      <c r="X161" s="52"/>
      <c r="Y161" s="52"/>
      <c r="Z161" s="52"/>
    </row>
    <row r="162">
      <c r="A162" s="52" t="str">
        <f>IFERROR(__xludf.DUMMYFUNCTION("""COMPUTED_VALUE"""),"proposal::of::a::possible::fix::(code::in::text)")</f>
        <v>proposal::of::a::possible::fix::(code::in::text)</v>
      </c>
      <c r="B162" s="52" t="str">
        <f>IFERROR(__xludf.DUMMYFUNCTION("""COMPUTED_VALUE"""),"Configuration issue, GUI-related issue, Permission/deprecation issue, Security issue")</f>
        <v>Configuration issue, GUI-related issue, Permission/deprecation issue, Security issue</v>
      </c>
      <c r="C162" s="52"/>
      <c r="D162" s="52" t="str">
        <f>IFERROR(__xludf.DUMMYFUNCTION("""COMPUTED_VALUE"""),"improvement::request")</f>
        <v>improvement::request</v>
      </c>
      <c r="E162" s="52"/>
      <c r="F162" s="52" t="str">
        <f>IFERROR(__xludf.DUMMYFUNCTION("""COMPUTED_VALUE"""),"discussing::the::release::deadline::for::BP/feature")</f>
        <v>discussing::the::release::deadline::for::BP/feature</v>
      </c>
      <c r="G162" s="52"/>
      <c r="H162" s="52"/>
      <c r="I162" s="52"/>
      <c r="J162" s="52"/>
      <c r="K162" s="52"/>
      <c r="L162" s="52"/>
      <c r="M162" s="52"/>
      <c r="N162" s="52"/>
      <c r="O162" s="52"/>
      <c r="P162" s="52" t="str">
        <f>IFERROR(__xludf.DUMMYFUNCTION("""COMPUTED_VALUE"""),"asking::clarification::(need::of::method::calling)")</f>
        <v>asking::clarification::(need::of::method::calling)</v>
      </c>
      <c r="Q162" s="52"/>
      <c r="R162" s="52"/>
      <c r="S162" s="52"/>
      <c r="T162" s="52"/>
      <c r="U162" s="52"/>
      <c r="V162" s="52"/>
      <c r="W162" s="52"/>
      <c r="X162" s="52"/>
      <c r="Y162" s="52"/>
      <c r="Z162" s="52"/>
    </row>
    <row r="163">
      <c r="A163" s="52" t="str">
        <f>IFERROR(__xludf.DUMMYFUNCTION("""COMPUTED_VALUE"""),"proposal::of::a::possible::fix::(debdiff)::not::main::branch")</f>
        <v>proposal::of::a::possible::fix::(debdiff)::not::main::branch</v>
      </c>
      <c r="B163" s="52" t="str">
        <f>IFERROR(__xludf.DUMMYFUNCTION("""COMPUTED_VALUE"""),"Configuration issue, GUI-related issue, Permission/deprecation issue, Test code-related issue")</f>
        <v>Configuration issue, GUI-related issue, Permission/deprecation issue, Test code-related issue</v>
      </c>
      <c r="C163" s="52"/>
      <c r="D163" s="52" t="str">
        <f>IFERROR(__xludf.DUMMYFUNCTION("""COMPUTED_VALUE"""),"indicate::sponsor")</f>
        <v>indicate::sponsor</v>
      </c>
      <c r="E163" s="52"/>
      <c r="F163" s="52" t="str">
        <f>IFERROR(__xludf.DUMMYFUNCTION("""COMPUTED_VALUE"""),"discussing::topics::of::a::BP::related")</f>
        <v>discussing::topics::of::a::BP::related</v>
      </c>
      <c r="G163" s="52"/>
      <c r="H163" s="52"/>
      <c r="I163" s="52"/>
      <c r="J163" s="52"/>
      <c r="K163" s="52"/>
      <c r="L163" s="52"/>
      <c r="M163" s="52"/>
      <c r="N163" s="52"/>
      <c r="O163" s="52"/>
      <c r="P163" s="52" t="str">
        <f>IFERROR(__xludf.DUMMYFUNCTION("""COMPUTED_VALUE"""),"asking::clarification::(need::of::new::BP)")</f>
        <v>asking::clarification::(need::of::new::BP)</v>
      </c>
      <c r="Q163" s="52"/>
      <c r="R163" s="52"/>
      <c r="S163" s="52"/>
      <c r="T163" s="52"/>
      <c r="U163" s="52"/>
      <c r="V163" s="52"/>
      <c r="W163" s="52"/>
      <c r="X163" s="52"/>
      <c r="Y163" s="52"/>
      <c r="Z163" s="52"/>
    </row>
    <row r="164">
      <c r="A164" s="52" t="str">
        <f>IFERROR(__xludf.DUMMYFUNCTION("""COMPUTED_VALUE"""),"proposal::of::a::possible::fix::(debdiff)::not::main::branch::not::nova")</f>
        <v>proposal::of::a::possible::fix::(debdiff)::not::main::branch::not::nova</v>
      </c>
      <c r="B164" s="52" t="str">
        <f>IFERROR(__xludf.DUMMYFUNCTION("""COMPUTED_VALUE"""),"Configuration issue, GUI-related issue, Program anomaly issue, Test code-related issue")</f>
        <v>Configuration issue, GUI-related issue, Program anomaly issue, Test code-related issue</v>
      </c>
      <c r="C164" s="52"/>
      <c r="D164" s="52" t="str">
        <f>IFERROR(__xludf.DUMMYFUNCTION("""COMPUTED_VALUE"""),"informing::a::mistake::in::documention")</f>
        <v>informing::a::mistake::in::documention</v>
      </c>
      <c r="E164" s="52"/>
      <c r="F164" s="52" t="str">
        <f>IFERROR(__xludf.DUMMYFUNCTION("""COMPUTED_VALUE"""),"divide::and::conquer::methodology::for::a::group::of::features::which::includes::the::BP/feature")</f>
        <v>divide::and::conquer::methodology::for::a::group::of::features::which::includes::the::BP/feature</v>
      </c>
      <c r="G164" s="52"/>
      <c r="H164" s="52"/>
      <c r="I164" s="52"/>
      <c r="J164" s="52"/>
      <c r="K164" s="52"/>
      <c r="L164" s="52"/>
      <c r="M164" s="52"/>
      <c r="N164" s="52"/>
      <c r="O164" s="52"/>
      <c r="P164" s="52" t="str">
        <f>IFERROR(__xludf.DUMMYFUNCTION("""COMPUTED_VALUE"""),"asking::clarification::(need::of::new::PR)")</f>
        <v>asking::clarification::(need::of::new::PR)</v>
      </c>
      <c r="Q164" s="52"/>
      <c r="R164" s="52"/>
      <c r="S164" s="52"/>
      <c r="T164" s="52"/>
      <c r="U164" s="52"/>
      <c r="V164" s="52"/>
      <c r="W164" s="52"/>
      <c r="X164" s="52"/>
      <c r="Y164" s="52"/>
      <c r="Z164" s="52"/>
    </row>
    <row r="165">
      <c r="A165" s="52" t="str">
        <f>IFERROR(__xludf.DUMMYFUNCTION("""COMPUTED_VALUE"""),"proposal::of::a::possible::fix::(diff::in::text)")</f>
        <v>proposal::of::a::possible::fix::(diff::in::text)</v>
      </c>
      <c r="B165" s="52" t="str">
        <f>IFERROR(__xludf.DUMMYFUNCTION("""COMPUTED_VALUE"""),"Configuration issue, GUI-related issue, Security issue, Program anomaly issue")</f>
        <v>Configuration issue, GUI-related issue, Security issue, Program anomaly issue</v>
      </c>
      <c r="C165" s="52"/>
      <c r="D165" s="52" t="str">
        <f>IFERROR(__xludf.DUMMYFUNCTION("""COMPUTED_VALUE"""),"informing::bug::already::fixed::(different::branch)")</f>
        <v>informing::bug::already::fixed::(different::branch)</v>
      </c>
      <c r="E165" s="52"/>
      <c r="F165" s="52" t="str">
        <f>IFERROR(__xludf.DUMMYFUNCTION("""COMPUTED_VALUE"""),"draft::proposal::for::implementing::the::BP/feature::not::production::code")</f>
        <v>draft::proposal::for::implementing::the::BP/feature::not::production::code</v>
      </c>
      <c r="G165" s="52"/>
      <c r="H165" s="52"/>
      <c r="I165" s="52"/>
      <c r="J165" s="52"/>
      <c r="K165" s="52"/>
      <c r="L165" s="52"/>
      <c r="M165" s="52"/>
      <c r="N165" s="52"/>
      <c r="O165" s="52"/>
      <c r="P165" s="52" t="str">
        <f>IFERROR(__xludf.DUMMYFUNCTION("""COMPUTED_VALUE"""),"asking::clarification::(need::to::move::logic)")</f>
        <v>asking::clarification::(need::to::move::logic)</v>
      </c>
      <c r="Q165" s="52"/>
      <c r="R165" s="52"/>
      <c r="S165" s="52"/>
      <c r="T165" s="52"/>
      <c r="U165" s="52"/>
      <c r="V165" s="52"/>
      <c r="W165" s="52"/>
      <c r="X165" s="52"/>
      <c r="Y165" s="52"/>
      <c r="Z165" s="52"/>
    </row>
    <row r="166">
      <c r="A166" s="52" t="str">
        <f>IFERROR(__xludf.DUMMYFUNCTION("""COMPUTED_VALUE"""),"proposal::of::a::possible::fix::(gist)")</f>
        <v>proposal::of::a::possible::fix::(gist)</v>
      </c>
      <c r="B166" s="52" t="str">
        <f>IFERROR(__xludf.DUMMYFUNCTION("""COMPUTED_VALUE"""),"Configuration issue, GUI-related issue, Security issue, Test code-related issue")</f>
        <v>Configuration issue, GUI-related issue, Security issue, Test code-related issue</v>
      </c>
      <c r="C166" s="52"/>
      <c r="D166" s="52" t="str">
        <f>IFERROR(__xludf.DUMMYFUNCTION("""COMPUTED_VALUE"""),"informing::bug::replaced::with::another")</f>
        <v>informing::bug::replaced::with::another</v>
      </c>
      <c r="E166" s="52"/>
      <c r="F166" s="52" t="str">
        <f>IFERROR(__xludf.DUMMYFUNCTION("""COMPUTED_VALUE"""),"errors::encounter::while::following::the::BP/feature::especification")</f>
        <v>errors::encounter::while::following::the::BP/feature::especification</v>
      </c>
      <c r="G166" s="52"/>
      <c r="H166" s="52"/>
      <c r="I166" s="52"/>
      <c r="J166" s="52"/>
      <c r="K166" s="52"/>
      <c r="L166" s="52"/>
      <c r="M166" s="52"/>
      <c r="N166" s="52"/>
      <c r="O166" s="52"/>
      <c r="P166" s="52" t="str">
        <f>IFERROR(__xludf.DUMMYFUNCTION("""COMPUTED_VALUE"""),"asking::clarification::(need::to::remove::code)")</f>
        <v>asking::clarification::(need::to::remove::code)</v>
      </c>
      <c r="Q166" s="52"/>
      <c r="R166" s="52"/>
      <c r="S166" s="52"/>
      <c r="T166" s="52"/>
      <c r="U166" s="52"/>
      <c r="V166" s="52"/>
      <c r="W166" s="52"/>
      <c r="X166" s="52"/>
      <c r="Y166" s="52"/>
      <c r="Z166" s="52"/>
    </row>
    <row r="167">
      <c r="A167" s="52" t="str">
        <f>IFERROR(__xludf.DUMMYFUNCTION("""COMPUTED_VALUE"""),"proposal::of::a::possible::fix::(idea)")</f>
        <v>proposal::of::a::possible::fix::(idea)</v>
      </c>
      <c r="B167" s="52" t="str">
        <f>IFERROR(__xludf.DUMMYFUNCTION("""COMPUTED_VALUE"""),"Configuration issue, Network issue, Performance issue, Permission/deprecation issue")</f>
        <v>Configuration issue, Network issue, Performance issue, Permission/deprecation issue</v>
      </c>
      <c r="C167" s="52"/>
      <c r="D167" s="52" t="str">
        <f>IFERROR(__xludf.DUMMYFUNCTION("""COMPUTED_VALUE"""),"informing::completness::BP")</f>
        <v>informing::completness::BP</v>
      </c>
      <c r="E167" s="52"/>
      <c r="F167" s="52" t="str">
        <f>IFERROR(__xludf.DUMMYFUNCTION("""COMPUTED_VALUE"""),"expectations::of::addressing::the::proposed::BP/feature::as::API")</f>
        <v>expectations::of::addressing::the::proposed::BP/feature::as::API</v>
      </c>
      <c r="G167" s="52"/>
      <c r="H167" s="52"/>
      <c r="I167" s="52"/>
      <c r="J167" s="52"/>
      <c r="K167" s="52"/>
      <c r="L167" s="52"/>
      <c r="M167" s="52"/>
      <c r="N167" s="52"/>
      <c r="O167" s="52"/>
      <c r="P167" s="52" t="str">
        <f>IFERROR(__xludf.DUMMYFUNCTION("""COMPUTED_VALUE"""),"asking::clarification::(renaming::signature)")</f>
        <v>asking::clarification::(renaming::signature)</v>
      </c>
      <c r="Q167" s="52"/>
      <c r="R167" s="52"/>
      <c r="S167" s="52"/>
      <c r="T167" s="52"/>
      <c r="U167" s="52"/>
      <c r="V167" s="52"/>
      <c r="W167" s="52"/>
      <c r="X167" s="52"/>
      <c r="Y167" s="52"/>
      <c r="Z167" s="52"/>
    </row>
    <row r="168">
      <c r="A168" s="52" t="str">
        <f>IFERROR(__xludf.DUMMYFUNCTION("""COMPUTED_VALUE"""),"proposal::of::a::possible::fix::(link::patch)")</f>
        <v>proposal::of::a::possible::fix::(link::patch)</v>
      </c>
      <c r="B168" s="52" t="str">
        <f>IFERROR(__xludf.DUMMYFUNCTION("""COMPUTED_VALUE"""),"Configuration issue, Network issue, Performance issue, Program anomaly issue")</f>
        <v>Configuration issue, Network issue, Performance issue, Program anomaly issue</v>
      </c>
      <c r="C168" s="52"/>
      <c r="D168" s="52" t="str">
        <f>IFERROR(__xludf.DUMMYFUNCTION("""COMPUTED_VALUE"""),"informing::completness::feature")</f>
        <v>informing::completness::feature</v>
      </c>
      <c r="E168" s="52"/>
      <c r="F168" s="52" t="str">
        <f>IFERROR(__xludf.DUMMYFUNCTION("""COMPUTED_VALUE"""),"expectations::of::addressing::the::proposed::BP/feature::in::software::compatibility")</f>
        <v>expectations::of::addressing::the::proposed::BP/feature::in::software::compatibility</v>
      </c>
      <c r="G168" s="52"/>
      <c r="H168" s="52"/>
      <c r="I168" s="52"/>
      <c r="J168" s="52"/>
      <c r="K168" s="52"/>
      <c r="L168" s="52"/>
      <c r="M168" s="52"/>
      <c r="N168" s="52"/>
      <c r="O168" s="52"/>
      <c r="P168" s="52" t="str">
        <f>IFERROR(__xludf.DUMMYFUNCTION("""COMPUTED_VALUE"""),"asking::clarification::(update::executable::files)")</f>
        <v>asking::clarification::(update::executable::files)</v>
      </c>
      <c r="Q168" s="52"/>
      <c r="R168" s="52"/>
      <c r="S168" s="52"/>
      <c r="T168" s="52"/>
      <c r="U168" s="52"/>
      <c r="V168" s="52"/>
      <c r="W168" s="52"/>
      <c r="X168" s="52"/>
      <c r="Y168" s="52"/>
      <c r="Z168" s="52"/>
    </row>
    <row r="169">
      <c r="A169" s="52" t="str">
        <f>IFERROR(__xludf.DUMMYFUNCTION("""COMPUTED_VALUE"""),"proposal::of::a::possible::fix::(link::review)")</f>
        <v>proposal::of::a::possible::fix::(link::review)</v>
      </c>
      <c r="B169" s="52" t="str">
        <f>IFERROR(__xludf.DUMMYFUNCTION("""COMPUTED_VALUE"""),"Configuration issue, Network issue, Performance issue, Security issue")</f>
        <v>Configuration issue, Network issue, Performance issue, Security issue</v>
      </c>
      <c r="C169" s="52"/>
      <c r="D169" s="52" t="str">
        <f>IFERROR(__xludf.DUMMYFUNCTION("""COMPUTED_VALUE"""),"informing::final::solution::design")</f>
        <v>informing::final::solution::design</v>
      </c>
      <c r="E169" s="52"/>
      <c r="F169" s="52" t="str">
        <f>IFERROR(__xludf.DUMMYFUNCTION("""COMPUTED_VALUE"""),"expectations::of::addressing::the::proposed::BP/feature::in::software::reliability")</f>
        <v>expectations::of::addressing::the::proposed::BP/feature::in::software::reliability</v>
      </c>
      <c r="G169" s="52"/>
      <c r="H169" s="52"/>
      <c r="I169" s="52"/>
      <c r="J169" s="52"/>
      <c r="K169" s="52"/>
      <c r="L169" s="52"/>
      <c r="M169" s="52"/>
      <c r="N169" s="52"/>
      <c r="O169" s="52"/>
      <c r="P169" s="52" t="str">
        <f>IFERROR(__xludf.DUMMYFUNCTION("""COMPUTED_VALUE"""),"asking::clarification::(where::is::the::BP::implemented)")</f>
        <v>asking::clarification::(where::is::the::BP::implemented)</v>
      </c>
      <c r="Q169" s="52"/>
      <c r="R169" s="52"/>
      <c r="S169" s="52"/>
      <c r="T169" s="52"/>
      <c r="U169" s="52"/>
      <c r="V169" s="52"/>
      <c r="W169" s="52"/>
      <c r="X169" s="52"/>
      <c r="Y169" s="52"/>
      <c r="Z169" s="52"/>
    </row>
    <row r="170">
      <c r="A170" s="52" t="str">
        <f>IFERROR(__xludf.DUMMYFUNCTION("""COMPUTED_VALUE"""),"proposal::of::a::possible::fix::(link::review)::not::main::branch")</f>
        <v>proposal::of::a::possible::fix::(link::review)::not::main::branch</v>
      </c>
      <c r="B170" s="52" t="str">
        <f>IFERROR(__xludf.DUMMYFUNCTION("""COMPUTED_VALUE"""),"Configuration issue, Network issue, Performance issue, Test code-related issue")</f>
        <v>Configuration issue, Network issue, Performance issue, Test code-related issue</v>
      </c>
      <c r="C170" s="52"/>
      <c r="D170" s="52" t="str">
        <f>IFERROR(__xludf.DUMMYFUNCTION("""COMPUTED_VALUE"""),"informing::further::requests::should::be::new::issues")</f>
        <v>informing::further::requests::should::be::new::issues</v>
      </c>
      <c r="E170" s="52"/>
      <c r="F170" s="52" t="str">
        <f>IFERROR(__xludf.DUMMYFUNCTION("""COMPUTED_VALUE"""),"expectations::of::addressing::the::proposed::BP/feature::in::software::security")</f>
        <v>expectations::of::addressing::the::proposed::BP/feature::in::software::security</v>
      </c>
      <c r="G170" s="52"/>
      <c r="H170" s="52"/>
      <c r="I170" s="52"/>
      <c r="J170" s="52"/>
      <c r="K170" s="52"/>
      <c r="L170" s="52"/>
      <c r="M170" s="52"/>
      <c r="N170" s="52"/>
      <c r="O170" s="52"/>
      <c r="P170" s="52" t="str">
        <f>IFERROR(__xludf.DUMMYFUNCTION("""COMPUTED_VALUE"""),"asking::clarification::about::bug::(changes)")</f>
        <v>asking::clarification::about::bug::(changes)</v>
      </c>
      <c r="Q170" s="52"/>
      <c r="R170" s="52"/>
      <c r="S170" s="52"/>
      <c r="T170" s="52"/>
      <c r="U170" s="52"/>
      <c r="V170" s="52"/>
      <c r="W170" s="52"/>
      <c r="X170" s="52"/>
      <c r="Y170" s="52"/>
      <c r="Z170" s="52"/>
    </row>
    <row r="171">
      <c r="A171" s="52" t="str">
        <f>IFERROR(__xludf.DUMMYFUNCTION("""COMPUTED_VALUE"""),"proposal::of::a::possible::fix::(link::review1)")</f>
        <v>proposal::of::a::possible::fix::(link::review1)</v>
      </c>
      <c r="B171" s="52" t="str">
        <f>IFERROR(__xludf.DUMMYFUNCTION("""COMPUTED_VALUE"""),"Configuration issue, Network issue, Permission/deprecation issue, Program anomaly issue")</f>
        <v>Configuration issue, Network issue, Permission/deprecation issue, Program anomaly issue</v>
      </c>
      <c r="C171" s="52"/>
      <c r="D171" s="52" t="str">
        <f>IFERROR(__xludf.DUMMYFUNCTION("""COMPUTED_VALUE"""),"informing::in::favor::(closing::issue::+1)")</f>
        <v>informing::in::favor::(closing::issue::+1)</v>
      </c>
      <c r="E171" s="52"/>
      <c r="F171" s="52" t="str">
        <f>IFERROR(__xludf.DUMMYFUNCTION("""COMPUTED_VALUE"""),"expectations::of::releasing::the::proposed::BP/feature::resourceAllocation::scheduling::policies")</f>
        <v>expectations::of::releasing::the::proposed::BP/feature::resourceAllocation::scheduling::policies</v>
      </c>
      <c r="G171" s="52"/>
      <c r="H171" s="52"/>
      <c r="I171" s="52"/>
      <c r="J171" s="52"/>
      <c r="K171" s="52"/>
      <c r="L171" s="52"/>
      <c r="M171" s="52"/>
      <c r="N171" s="52"/>
      <c r="O171" s="52"/>
      <c r="P171" s="52" t="str">
        <f>IFERROR(__xludf.DUMMYFUNCTION("""COMPUTED_VALUE"""),"asking::clarification::about::bug::(status)")</f>
        <v>asking::clarification::about::bug::(status)</v>
      </c>
      <c r="Q171" s="52"/>
      <c r="R171" s="52"/>
      <c r="S171" s="52"/>
      <c r="T171" s="52"/>
      <c r="U171" s="52"/>
      <c r="V171" s="52"/>
      <c r="W171" s="52"/>
      <c r="X171" s="52"/>
      <c r="Y171" s="52"/>
      <c r="Z171" s="52"/>
    </row>
    <row r="172">
      <c r="A172" s="52" t="str">
        <f>IFERROR(__xludf.DUMMYFUNCTION("""COMPUTED_VALUE"""),"proposal::of::a::possible::fix::(link::review1)::not::main::branch")</f>
        <v>proposal::of::a::possible::fix::(link::review1)::not::main::branch</v>
      </c>
      <c r="B172" s="52" t="str">
        <f>IFERROR(__xludf.DUMMYFUNCTION("""COMPUTED_VALUE"""),"Configuration issue, Network issue, Permission/deprecation issue, Security issue")</f>
        <v>Configuration issue, Network issue, Permission/deprecation issue, Security issue</v>
      </c>
      <c r="C172" s="52"/>
      <c r="D172" s="52" t="str">
        <f>IFERROR(__xludf.DUMMYFUNCTION("""COMPUTED_VALUE"""),"informing::in::favor::(deferred::to::later::release::+1)")</f>
        <v>informing::in::favor::(deferred::to::later::release::+1)</v>
      </c>
      <c r="E172" s="52"/>
      <c r="F172" s="52" t="str">
        <f>IFERROR(__xludf.DUMMYFUNCTION("""COMPUTED_VALUE"""),"False::Positive")</f>
        <v>False::Positive</v>
      </c>
      <c r="G172" s="52"/>
      <c r="H172" s="52"/>
      <c r="I172" s="52"/>
      <c r="J172" s="52"/>
      <c r="K172" s="52"/>
      <c r="L172" s="52"/>
      <c r="M172" s="52"/>
      <c r="N172" s="52"/>
      <c r="O172" s="52"/>
      <c r="P172" s="52" t="str">
        <f>IFERROR(__xludf.DUMMYFUNCTION("""COMPUTED_VALUE"""),"asking::clarification::about::change")</f>
        <v>asking::clarification::about::change</v>
      </c>
      <c r="Q172" s="52"/>
      <c r="R172" s="52"/>
      <c r="S172" s="52"/>
      <c r="T172" s="52"/>
      <c r="U172" s="52"/>
      <c r="V172" s="52"/>
      <c r="W172" s="52"/>
      <c r="X172" s="52"/>
      <c r="Y172" s="52"/>
      <c r="Z172" s="52"/>
    </row>
    <row r="173">
      <c r="A173" s="52" t="str">
        <f>IFERROR(__xludf.DUMMYFUNCTION("""COMPUTED_VALUE"""),"proposal::of::a::possible::fix::(link::review2)")</f>
        <v>proposal::of::a::possible::fix::(link::review2)</v>
      </c>
      <c r="B173" s="52" t="str">
        <f>IFERROR(__xludf.DUMMYFUNCTION("""COMPUTED_VALUE"""),"Configuration issue, Network issue, Permission/deprecation issue, Test code-related issue")</f>
        <v>Configuration issue, Network issue, Permission/deprecation issue, Test code-related issue</v>
      </c>
      <c r="C173" s="52"/>
      <c r="D173" s="52" t="str">
        <f>IFERROR(__xludf.DUMMYFUNCTION("""COMPUTED_VALUE"""),"informing::in::favor::(documentation)")</f>
        <v>informing::in::favor::(documentation)</v>
      </c>
      <c r="E173" s="52"/>
      <c r="F173" s="52" t="str">
        <f>IFERROR(__xludf.DUMMYFUNCTION("""COMPUTED_VALUE"""),"False::Positive::(in::thread::no::practice)")</f>
        <v>False::Positive::(in::thread::no::practice)</v>
      </c>
      <c r="G173" s="52"/>
      <c r="H173" s="52"/>
      <c r="I173" s="52"/>
      <c r="J173" s="52"/>
      <c r="K173" s="52"/>
      <c r="L173" s="52"/>
      <c r="M173" s="52"/>
      <c r="N173" s="52"/>
      <c r="O173" s="52"/>
      <c r="P173" s="52" t="str">
        <f>IFERROR(__xludf.DUMMYFUNCTION("""COMPUTED_VALUE"""),"asking::clarification::about::change::(documentation)")</f>
        <v>asking::clarification::about::change::(documentation)</v>
      </c>
      <c r="Q173" s="52"/>
      <c r="R173" s="52"/>
      <c r="S173" s="52"/>
      <c r="T173" s="52"/>
      <c r="U173" s="52"/>
      <c r="V173" s="52"/>
      <c r="W173" s="52"/>
      <c r="X173" s="52"/>
      <c r="Y173" s="52"/>
      <c r="Z173" s="52"/>
    </row>
    <row r="174">
      <c r="A174" s="52" t="str">
        <f>IFERROR(__xludf.DUMMYFUNCTION("""COMPUTED_VALUE"""),"proposal::of::a::possible::fix::(link::review2)::not::main::branch")</f>
        <v>proposal::of::a::possible::fix::(link::review2)::not::main::branch</v>
      </c>
      <c r="B174" s="52" t="str">
        <f>IFERROR(__xludf.DUMMYFUNCTION("""COMPUTED_VALUE"""),"Configuration issue, Network issue, Program anomaly issue, Test code-related issue")</f>
        <v>Configuration issue, Network issue, Program anomaly issue, Test code-related issue</v>
      </c>
      <c r="C174" s="52"/>
      <c r="D174" s="52" t="str">
        <f>IFERROR(__xludf.DUMMYFUNCTION("""COMPUTED_VALUE"""),"informing::in::favor::(feature::design::change)")</f>
        <v>informing::in::favor::(feature::design::change)</v>
      </c>
      <c r="E174" s="52"/>
      <c r="F174" s="52" t="str">
        <f>IFERROR(__xludf.DUMMYFUNCTION("""COMPUTED_VALUE"""),"False::Positive::(in::thread::not::BP::related)")</f>
        <v>False::Positive::(in::thread::not::BP::related)</v>
      </c>
      <c r="G174" s="52"/>
      <c r="H174" s="52"/>
      <c r="I174" s="52"/>
      <c r="J174" s="52"/>
      <c r="K174" s="52"/>
      <c r="L174" s="52"/>
      <c r="M174" s="52"/>
      <c r="N174" s="52"/>
      <c r="O174" s="52"/>
      <c r="P174" s="52" t="str">
        <f>IFERROR(__xludf.DUMMYFUNCTION("""COMPUTED_VALUE"""),"asking::clarification::about::change::(logic)")</f>
        <v>asking::clarification::about::change::(logic)</v>
      </c>
      <c r="Q174" s="52"/>
      <c r="R174" s="52"/>
      <c r="S174" s="52"/>
      <c r="T174" s="52"/>
      <c r="U174" s="52"/>
      <c r="V174" s="52"/>
      <c r="W174" s="52"/>
      <c r="X174" s="52"/>
      <c r="Y174" s="52"/>
      <c r="Z174" s="52"/>
    </row>
    <row r="175">
      <c r="A175" s="52" t="str">
        <f>IFERROR(__xludf.DUMMYFUNCTION("""COMPUTED_VALUE"""),"proposal::of::a::possible::fix::(link::review2)::not::main:.branch")</f>
        <v>proposal::of::a::possible::fix::(link::review2)::not::main:.branch</v>
      </c>
      <c r="B175" s="52" t="str">
        <f>IFERROR(__xludf.DUMMYFUNCTION("""COMPUTED_VALUE"""),"Configuration issue, Network issue, Security issue, Program anomaly issue")</f>
        <v>Configuration issue, Network issue, Security issue, Program anomaly issue</v>
      </c>
      <c r="C175" s="52"/>
      <c r="D175" s="52" t="str">
        <f>IFERROR(__xludf.DUMMYFUNCTION("""COMPUTED_VALUE"""),"informing::in::favor::(feature::design)")</f>
        <v>informing::in::favor::(feature::design)</v>
      </c>
      <c r="E175" s="52"/>
      <c r="F175" s="52" t="str">
        <f>IFERROR(__xludf.DUMMYFUNCTION("""COMPUTED_VALUE"""),"False::Positive::(in::thread::not::bug::related)")</f>
        <v>False::Positive::(in::thread::not::bug::related)</v>
      </c>
      <c r="G175" s="52"/>
      <c r="H175" s="52"/>
      <c r="I175" s="52"/>
      <c r="J175" s="52"/>
      <c r="K175" s="52"/>
      <c r="L175" s="52"/>
      <c r="M175" s="52"/>
      <c r="N175" s="52"/>
      <c r="O175" s="52"/>
      <c r="P175" s="52" t="str">
        <f>IFERROR(__xludf.DUMMYFUNCTION("""COMPUTED_VALUE"""),"asking::clarification::about::code")</f>
        <v>asking::clarification::about::code</v>
      </c>
      <c r="Q175" s="52"/>
      <c r="R175" s="52"/>
      <c r="S175" s="52"/>
      <c r="T175" s="52"/>
      <c r="U175" s="52"/>
      <c r="V175" s="52"/>
      <c r="W175" s="52"/>
      <c r="X175" s="52"/>
      <c r="Y175" s="52"/>
      <c r="Z175" s="52"/>
    </row>
    <row r="176">
      <c r="A176" s="52" t="str">
        <f>IFERROR(__xludf.DUMMYFUNCTION("""COMPUTED_VALUE"""),"proposal::of::a::possible::fix::(link::review3)")</f>
        <v>proposal::of::a::possible::fix::(link::review3)</v>
      </c>
      <c r="B176" s="52" t="str">
        <f>IFERROR(__xludf.DUMMYFUNCTION("""COMPUTED_VALUE"""),"Configuration issue, Network issue, Security issue, Test code-related issue")</f>
        <v>Configuration issue, Network issue, Security issue, Test code-related issue</v>
      </c>
      <c r="C176" s="52"/>
      <c r="D176" s="52" t="str">
        <f>IFERROR(__xludf.DUMMYFUNCTION("""COMPUTED_VALUE"""),"informing::in::favor::(issue::design::+1)")</f>
        <v>informing::in::favor::(issue::design::+1)</v>
      </c>
      <c r="E176" s="52"/>
      <c r="F176" s="52" t="str">
        <f>IFERROR(__xludf.DUMMYFUNCTION("""COMPUTED_VALUE"""),"False::Positive::NOT::related::at::all")</f>
        <v>False::Positive::NOT::related::at::all</v>
      </c>
      <c r="G176" s="52"/>
      <c r="H176" s="52"/>
      <c r="I176" s="52"/>
      <c r="J176" s="52"/>
      <c r="K176" s="52"/>
      <c r="L176" s="52"/>
      <c r="M176" s="52"/>
      <c r="N176" s="52"/>
      <c r="O176" s="52"/>
      <c r="P176" s="52" t="str">
        <f>IFERROR(__xludf.DUMMYFUNCTION("""COMPUTED_VALUE"""),"asking::clarification::about::code::(a::different::approach::than::existing::one)")</f>
        <v>asking::clarification::about::code::(a::different::approach::than::existing::one)</v>
      </c>
      <c r="Q176" s="52"/>
      <c r="R176" s="52"/>
      <c r="S176" s="52"/>
      <c r="T176" s="52"/>
      <c r="U176" s="52"/>
      <c r="V176" s="52"/>
      <c r="W176" s="52"/>
      <c r="X176" s="52"/>
      <c r="Y176" s="52"/>
      <c r="Z176" s="52"/>
    </row>
    <row r="177">
      <c r="A177" s="52" t="str">
        <f>IFERROR(__xludf.DUMMYFUNCTION("""COMPUTED_VALUE"""),"proposal::of::a::possible::fix::(link::review3)::not::main::branch")</f>
        <v>proposal::of::a::possible::fix::(link::review3)::not::main::branch</v>
      </c>
      <c r="B177" s="52" t="str">
        <f>IFERROR(__xludf.DUMMYFUNCTION("""COMPUTED_VALUE"""),"Configuration issue, Performance issue, Permission/deprecation issue, Program anomaly issue")</f>
        <v>Configuration issue, Performance issue, Permission/deprecation issue, Program anomaly issue</v>
      </c>
      <c r="C177" s="52"/>
      <c r="D177" s="52" t="str">
        <f>IFERROR(__xludf.DUMMYFUNCTION("""COMPUTED_VALUE"""),"informing::in::favor::(solution::design)")</f>
        <v>informing::in::favor::(solution::design)</v>
      </c>
      <c r="E177" s="52"/>
      <c r="F177" s="52" t="str">
        <f>IFERROR(__xludf.DUMMYFUNCTION("""COMPUTED_VALUE"""),"feature::parity::between::main::project::and::forked::one")</f>
        <v>feature::parity::between::main::project::and::forked::one</v>
      </c>
      <c r="G177" s="52"/>
      <c r="H177" s="52"/>
      <c r="I177" s="52"/>
      <c r="J177" s="52"/>
      <c r="K177" s="52"/>
      <c r="L177" s="52"/>
      <c r="M177" s="52"/>
      <c r="N177" s="52"/>
      <c r="O177" s="52"/>
      <c r="P177" s="52" t="str">
        <f>IFERROR(__xludf.DUMMYFUNCTION("""COMPUTED_VALUE"""),"asking::clarification::about::code::(avoid::shutdown)")</f>
        <v>asking::clarification::about::code::(avoid::shutdown)</v>
      </c>
      <c r="Q177" s="52"/>
      <c r="R177" s="52"/>
      <c r="S177" s="52"/>
      <c r="T177" s="52"/>
      <c r="U177" s="52"/>
      <c r="V177" s="52"/>
      <c r="W177" s="52"/>
      <c r="X177" s="52"/>
      <c r="Y177" s="52"/>
      <c r="Z177" s="52"/>
    </row>
    <row r="178">
      <c r="A178" s="52" t="str">
        <f>IFERROR(__xludf.DUMMYFUNCTION("""COMPUTED_VALUE"""),"proposal::of::a::possible::fix::(link::review4)")</f>
        <v>proposal::of::a::possible::fix::(link::review4)</v>
      </c>
      <c r="B178" s="52" t="str">
        <f>IFERROR(__xludf.DUMMYFUNCTION("""COMPUTED_VALUE"""),"Configuration issue, Performance issue, Permission/deprecation issue, Security issue")</f>
        <v>Configuration issue, Performance issue, Permission/deprecation issue, Security issue</v>
      </c>
      <c r="C178" s="52"/>
      <c r="D178" s="52" t="str">
        <f>IFERROR(__xludf.DUMMYFUNCTION("""COMPUTED_VALUE"""),"informing::lgtm::(+1)")</f>
        <v>informing::lgtm::(+1)</v>
      </c>
      <c r="E178" s="52"/>
      <c r="F178" s="52" t="str">
        <f>IFERROR(__xludf.DUMMYFUNCTION("""COMPUTED_VALUE"""),"FFE::request")</f>
        <v>FFE::request</v>
      </c>
      <c r="G178" s="52"/>
      <c r="H178" s="52"/>
      <c r="I178" s="52"/>
      <c r="J178" s="52"/>
      <c r="K178" s="52"/>
      <c r="L178" s="52"/>
      <c r="M178" s="52"/>
      <c r="N178" s="52"/>
      <c r="O178" s="52"/>
      <c r="P178" s="52" t="str">
        <f>IFERROR(__xludf.DUMMYFUNCTION("""COMPUTED_VALUE"""),"asking::clarification::about::code::(conditional::with::break)")</f>
        <v>asking::clarification::about::code::(conditional::with::break)</v>
      </c>
      <c r="Q178" s="52"/>
      <c r="R178" s="52"/>
      <c r="S178" s="52"/>
      <c r="T178" s="52"/>
      <c r="U178" s="52"/>
      <c r="V178" s="52"/>
      <c r="W178" s="52"/>
      <c r="X178" s="52"/>
      <c r="Y178" s="52"/>
      <c r="Z178" s="52"/>
    </row>
    <row r="179">
      <c r="A179" s="52" t="str">
        <f>IFERROR(__xludf.DUMMYFUNCTION("""COMPUTED_VALUE"""),"proposal::of::a::possible::fix::(link::review5)")</f>
        <v>proposal::of::a::possible::fix::(link::review5)</v>
      </c>
      <c r="B179" s="52" t="str">
        <f>IFERROR(__xludf.DUMMYFUNCTION("""COMPUTED_VALUE"""),"Configuration issue, Performance issue, Permission/deprecation issue, Test code-related issue")</f>
        <v>Configuration issue, Performance issue, Permission/deprecation issue, Test code-related issue</v>
      </c>
      <c r="C179" s="52"/>
      <c r="D179" s="52" t="str">
        <f>IFERROR(__xludf.DUMMYFUNCTION("""COMPUTED_VALUE"""),"informing::missmatch::nbetween::code:.and::documentation")</f>
        <v>informing::missmatch::nbetween::code:.and::documentation</v>
      </c>
      <c r="E179" s="52"/>
      <c r="F179" s="52" t="str">
        <f>IFERROR(__xludf.DUMMYFUNCTION("""COMPUTED_VALUE"""),"FFE::request::(related::review)")</f>
        <v>FFE::request::(related::review)</v>
      </c>
      <c r="G179" s="52"/>
      <c r="H179" s="52"/>
      <c r="I179" s="52"/>
      <c r="J179" s="52"/>
      <c r="K179" s="52"/>
      <c r="L179" s="52"/>
      <c r="M179" s="52"/>
      <c r="N179" s="52"/>
      <c r="O179" s="52"/>
      <c r="P179" s="52" t="str">
        <f>IFERROR(__xludf.DUMMYFUNCTION("""COMPUTED_VALUE"""),"asking::clarification::about::code::(default::value)")</f>
        <v>asking::clarification::about::code::(default::value)</v>
      </c>
      <c r="Q179" s="52"/>
      <c r="R179" s="52"/>
      <c r="S179" s="52"/>
      <c r="T179" s="52"/>
      <c r="U179" s="52"/>
      <c r="V179" s="52"/>
      <c r="W179" s="52"/>
      <c r="X179" s="52"/>
      <c r="Y179" s="52"/>
      <c r="Z179" s="52"/>
    </row>
    <row r="180">
      <c r="A180" s="52" t="str">
        <f>IFERROR(__xludf.DUMMYFUNCTION("""COMPUTED_VALUE"""),"proposal::of::a::possible::fix::(link::review5)::not::main::branch")</f>
        <v>proposal::of::a::possible::fix::(link::review5)::not::main::branch</v>
      </c>
      <c r="B180" s="52" t="str">
        <f>IFERROR(__xludf.DUMMYFUNCTION("""COMPUTED_VALUE"""),"Configuration issue, Performance issue, Program anomaly issue, Test code-related issue")</f>
        <v>Configuration issue, Performance issue, Program anomaly issue, Test code-related issue</v>
      </c>
      <c r="C180" s="52"/>
      <c r="D180" s="52" t="str">
        <f>IFERROR(__xludf.DUMMYFUNCTION("""COMPUTED_VALUE"""),"informing::opening::another::issue::(related::feature)")</f>
        <v>informing::opening::another::issue::(related::feature)</v>
      </c>
      <c r="E180" s="52"/>
      <c r="F180" s="52" t="str">
        <f>IFERROR(__xludf.DUMMYFUNCTION("""COMPUTED_VALUE"""),"functionality::that::was::enabled::thanks::to::the::BP::introduced::a::bug")</f>
        <v>functionality::that::was::enabled::thanks::to::the::BP::introduced::a::bug</v>
      </c>
      <c r="G180" s="52"/>
      <c r="H180" s="52"/>
      <c r="I180" s="52"/>
      <c r="J180" s="52"/>
      <c r="K180" s="52"/>
      <c r="L180" s="52"/>
      <c r="M180" s="52"/>
      <c r="N180" s="52"/>
      <c r="O180" s="52"/>
      <c r="P180" s="52" t="str">
        <f>IFERROR(__xludf.DUMMYFUNCTION("""COMPUTED_VALUE"""),"asking::clarification::about::code::(design::access::modifiers)")</f>
        <v>asking::clarification::about::code::(design::access::modifiers)</v>
      </c>
      <c r="Q180" s="52"/>
      <c r="R180" s="52"/>
      <c r="S180" s="52"/>
      <c r="T180" s="52"/>
      <c r="U180" s="52"/>
      <c r="V180" s="52"/>
      <c r="W180" s="52"/>
      <c r="X180" s="52"/>
      <c r="Y180" s="52"/>
      <c r="Z180" s="52"/>
    </row>
    <row r="181">
      <c r="A181" s="52" t="str">
        <f>IFERROR(__xludf.DUMMYFUNCTION("""COMPUTED_VALUE"""),"proposal::of::a::possible::fix::(package)::not::main::branch")</f>
        <v>proposal::of::a::possible::fix::(package)::not::main::branch</v>
      </c>
      <c r="B181" s="52" t="str">
        <f>IFERROR(__xludf.DUMMYFUNCTION("""COMPUTED_VALUE"""),"Configuration issue, Performance issue, Security issue, Program anomaly issue")</f>
        <v>Configuration issue, Performance issue, Security issue, Program anomaly issue</v>
      </c>
      <c r="C181" s="52"/>
      <c r="D181" s="52" t="str">
        <f>IFERROR(__xludf.DUMMYFUNCTION("""COMPUTED_VALUE"""),"informing::opinion::(not::common)")</f>
        <v>informing::opinion::(not::common)</v>
      </c>
      <c r="E181" s="52"/>
      <c r="F181" s="52" t="str">
        <f>IFERROR(__xludf.DUMMYFUNCTION("""COMPUTED_VALUE"""),"history::of::the::bug/BP")</f>
        <v>history::of::the::bug/BP</v>
      </c>
      <c r="G181" s="52"/>
      <c r="H181" s="52"/>
      <c r="I181" s="52"/>
      <c r="J181" s="52"/>
      <c r="K181" s="52"/>
      <c r="L181" s="52"/>
      <c r="M181" s="52"/>
      <c r="N181" s="52"/>
      <c r="O181" s="52"/>
      <c r="P181" s="52" t="str">
        <f>IFERROR(__xludf.DUMMYFUNCTION("""COMPUTED_VALUE"""),"asking::clarification::about::code::(design)")</f>
        <v>asking::clarification::about::code::(design)</v>
      </c>
      <c r="Q181" s="52"/>
      <c r="R181" s="52"/>
      <c r="S181" s="52"/>
      <c r="T181" s="52"/>
      <c r="U181" s="52"/>
      <c r="V181" s="52"/>
      <c r="W181" s="52"/>
      <c r="X181" s="52"/>
      <c r="Y181" s="52"/>
      <c r="Z181" s="52"/>
    </row>
    <row r="182">
      <c r="A182" s="52" t="str">
        <f>IFERROR(__xludf.DUMMYFUNCTION("""COMPUTED_VALUE"""),"proposal::of::a::possible::fix::(PR)")</f>
        <v>proposal::of::a::possible::fix::(PR)</v>
      </c>
      <c r="B182" s="52" t="str">
        <f>IFERROR(__xludf.DUMMYFUNCTION("""COMPUTED_VALUE"""),"Configuration issue, Performance issue, Security issue, Test code-related issue")</f>
        <v>Configuration issue, Performance issue, Security issue, Test code-related issue</v>
      </c>
      <c r="C182" s="52"/>
      <c r="D182" s="52" t="str">
        <f>IFERROR(__xludf.DUMMYFUNCTION("""COMPUTED_VALUE"""),"informing::oppinion::(task::is::out::of::the::ordinary)")</f>
        <v>informing::oppinion::(task::is::out::of::the::ordinary)</v>
      </c>
      <c r="E182" s="52"/>
      <c r="F182" s="52" t="str">
        <f>IFERROR(__xludf.DUMMYFUNCTION("""COMPUTED_VALUE"""),"how::to::adress::bugs::(not::bp/feature::related)")</f>
        <v>how::to::adress::bugs::(not::bp/feature::related)</v>
      </c>
      <c r="G182" s="52"/>
      <c r="H182" s="52"/>
      <c r="I182" s="52"/>
      <c r="J182" s="52"/>
      <c r="K182" s="52"/>
      <c r="L182" s="52"/>
      <c r="M182" s="52"/>
      <c r="N182" s="52"/>
      <c r="O182" s="52"/>
      <c r="P182" s="52" t="str">
        <f>IFERROR(__xludf.DUMMYFUNCTION("""COMPUTED_VALUE"""),"asking::clarification::about::code::(error::handling)")</f>
        <v>asking::clarification::about::code::(error::handling)</v>
      </c>
      <c r="Q182" s="52"/>
      <c r="R182" s="52"/>
      <c r="S182" s="52"/>
      <c r="T182" s="52"/>
      <c r="U182" s="52"/>
      <c r="V182" s="52"/>
      <c r="W182" s="52"/>
      <c r="X182" s="52"/>
      <c r="Y182" s="52"/>
      <c r="Z182" s="52"/>
    </row>
    <row r="183">
      <c r="A183" s="52" t="str">
        <f>IFERROR(__xludf.DUMMYFUNCTION("""COMPUTED_VALUE"""),"proposal::of::a::possible::related::fix::(link::review)")</f>
        <v>proposal::of::a::possible::related::fix::(link::review)</v>
      </c>
      <c r="B183" s="52" t="str">
        <f>IFERROR(__xludf.DUMMYFUNCTION("""COMPUTED_VALUE"""),"Configuration issue, Permission/deprecation issue, Program anomaly issue, Test code-related issue")</f>
        <v>Configuration issue, Permission/deprecation issue, Program anomaly issue, Test code-related issue</v>
      </c>
      <c r="C183" s="52"/>
      <c r="D183" s="52" t="str">
        <f>IFERROR(__xludf.DUMMYFUNCTION("""COMPUTED_VALUE"""),"informing::potential::bug:.found")</f>
        <v>informing::potential::bug:.found</v>
      </c>
      <c r="E183" s="52"/>
      <c r="F183" s="52" t="str">
        <f>IFERROR(__xludf.DUMMYFUNCTION("""COMPUTED_VALUE"""),"impact::of::bp::(security)")</f>
        <v>impact::of::bp::(security)</v>
      </c>
      <c r="G183" s="52"/>
      <c r="H183" s="52"/>
      <c r="I183" s="52"/>
      <c r="J183" s="52"/>
      <c r="K183" s="52"/>
      <c r="L183" s="52"/>
      <c r="M183" s="52"/>
      <c r="N183" s="52"/>
      <c r="O183" s="52"/>
      <c r="P183" s="52" t="str">
        <f>IFERROR(__xludf.DUMMYFUNCTION("""COMPUTED_VALUE"""),"asking::clarification::about::code::(functionallity::exception::works)")</f>
        <v>asking::clarification::about::code::(functionallity::exception::works)</v>
      </c>
      <c r="Q183" s="52"/>
      <c r="R183" s="52"/>
      <c r="S183" s="52"/>
      <c r="T183" s="52"/>
      <c r="U183" s="52"/>
      <c r="V183" s="52"/>
      <c r="W183" s="52"/>
      <c r="X183" s="52"/>
      <c r="Y183" s="52"/>
      <c r="Z183" s="52"/>
    </row>
    <row r="184">
      <c r="A184" s="52" t="str">
        <f>IFERROR(__xludf.DUMMYFUNCTION("""COMPUTED_VALUE"""),"proposal::of::a::related::fix::(link::review1)")</f>
        <v>proposal::of::a::related::fix::(link::review1)</v>
      </c>
      <c r="B184" s="52" t="str">
        <f>IFERROR(__xludf.DUMMYFUNCTION("""COMPUTED_VALUE"""),"Configuration issue, Permission/deprecation issue, Security issue, Program anomaly issue")</f>
        <v>Configuration issue, Permission/deprecation issue, Security issue, Program anomaly issue</v>
      </c>
      <c r="C184" s="52"/>
      <c r="D184" s="52" t="str">
        <f>IFERROR(__xludf.DUMMYFUNCTION("""COMPUTED_VALUE"""),"informing::potential::bug:.found::closed")</f>
        <v>informing::potential::bug:.found::closed</v>
      </c>
      <c r="E184" s="52"/>
      <c r="F184" s="52" t="str">
        <f>IFERROR(__xludf.DUMMYFUNCTION("""COMPUTED_VALUE"""),"impact::of::depracating::a::feature::(not::BP)")</f>
        <v>impact::of::depracating::a::feature::(not::BP)</v>
      </c>
      <c r="G184" s="52"/>
      <c r="H184" s="52"/>
      <c r="I184" s="52"/>
      <c r="J184" s="52"/>
      <c r="K184" s="52"/>
      <c r="L184" s="52"/>
      <c r="M184" s="52"/>
      <c r="N184" s="52"/>
      <c r="O184" s="52"/>
      <c r="P184" s="52" t="str">
        <f>IFERROR(__xludf.DUMMYFUNCTION("""COMPUTED_VALUE"""),"asking::clarification::about::code::(functionallity::paths::scope)")</f>
        <v>asking::clarification::about::code::(functionallity::paths::scope)</v>
      </c>
      <c r="Q184" s="52"/>
      <c r="R184" s="52"/>
      <c r="S184" s="52"/>
      <c r="T184" s="52"/>
      <c r="U184" s="52"/>
      <c r="V184" s="52"/>
      <c r="W184" s="52"/>
      <c r="X184" s="52"/>
      <c r="Y184" s="52"/>
      <c r="Z184" s="52"/>
    </row>
    <row r="185">
      <c r="A185" s="52" t="str">
        <f>IFERROR(__xludf.DUMMYFUNCTION("""COMPUTED_VALUE"""),"proposal::of::a::related::fix::(link::review2)")</f>
        <v>proposal::of::a::related::fix::(link::review2)</v>
      </c>
      <c r="B185" s="52" t="str">
        <f>IFERROR(__xludf.DUMMYFUNCTION("""COMPUTED_VALUE"""),"Configuration issue, Permission/deprecation issue, Security issue, Test code-related issue")</f>
        <v>Configuration issue, Permission/deprecation issue, Security issue, Test code-related issue</v>
      </c>
      <c r="C185" s="52"/>
      <c r="D185" s="52" t="str">
        <f>IFERROR(__xludf.DUMMYFUNCTION("""COMPUTED_VALUE"""),"informing::PR::opened")</f>
        <v>informing::PR::opened</v>
      </c>
      <c r="E185" s="52"/>
      <c r="F185" s="52" t="str">
        <f>IFERROR(__xludf.DUMMYFUNCTION("""COMPUTED_VALUE"""),"impact::of::the::bug::fix::(open::oportunities::to::new:.changes)")</f>
        <v>impact::of::the::bug::fix::(open::oportunities::to::new:.changes)</v>
      </c>
      <c r="G185" s="52"/>
      <c r="H185" s="52"/>
      <c r="I185" s="52"/>
      <c r="J185" s="52"/>
      <c r="K185" s="52"/>
      <c r="L185" s="52"/>
      <c r="M185" s="52"/>
      <c r="N185" s="52"/>
      <c r="O185" s="52"/>
      <c r="P185" s="52" t="str">
        <f>IFERROR(__xludf.DUMMYFUNCTION("""COMPUTED_VALUE"""),"asking::clarification::about::code::(functionallity::works)")</f>
        <v>asking::clarification::about::code::(functionallity::works)</v>
      </c>
      <c r="Q185" s="52"/>
      <c r="R185" s="52"/>
      <c r="S185" s="52"/>
      <c r="T185" s="52"/>
      <c r="U185" s="52"/>
      <c r="V185" s="52"/>
      <c r="W185" s="52"/>
      <c r="X185" s="52"/>
      <c r="Y185" s="52"/>
      <c r="Z185" s="52"/>
    </row>
    <row r="186">
      <c r="A186" s="52" t="str">
        <f>IFERROR(__xludf.DUMMYFUNCTION("""COMPUTED_VALUE"""),"proposal::of::a::related::fix::(link::review3)")</f>
        <v>proposal::of::a::related::fix::(link::review3)</v>
      </c>
      <c r="B186" s="52" t="str">
        <f>IFERROR(__xludf.DUMMYFUNCTION("""COMPUTED_VALUE"""),"Configuration issue, Security issue, Program anomaly issue, Test code-related issue")</f>
        <v>Configuration issue, Security issue, Program anomaly issue, Test code-related issue</v>
      </c>
      <c r="C186" s="52"/>
      <c r="D186" s="52" t="str">
        <f>IFERROR(__xludf.DUMMYFUNCTION("""COMPUTED_VALUE"""),"informing::scope::of::this::issue::(limited::to::functional::design)")</f>
        <v>informing::scope::of::this::issue::(limited::to::functional::design)</v>
      </c>
      <c r="E186" s="52"/>
      <c r="F186" s="52" t="str">
        <f>IFERROR(__xludf.DUMMYFUNCTION("""COMPUTED_VALUE"""),"implement::a::temporal::solution::that::will::be::later::improved")</f>
        <v>implement::a::temporal::solution::that::will::be::later::improved</v>
      </c>
      <c r="G186" s="52"/>
      <c r="H186" s="52"/>
      <c r="I186" s="52"/>
      <c r="J186" s="52"/>
      <c r="K186" s="52"/>
      <c r="L186" s="52"/>
      <c r="M186" s="52"/>
      <c r="N186" s="52"/>
      <c r="O186" s="52"/>
      <c r="P186" s="52" t="str">
        <f>IFERROR(__xludf.DUMMYFUNCTION("""COMPUTED_VALUE"""),"asking::clarification::about::code::(functionallity)")</f>
        <v>asking::clarification::about::code::(functionallity)</v>
      </c>
      <c r="Q186" s="52"/>
      <c r="R186" s="52"/>
      <c r="S186" s="52"/>
      <c r="T186" s="52"/>
      <c r="U186" s="52"/>
      <c r="V186" s="52"/>
      <c r="W186" s="52"/>
      <c r="X186" s="52"/>
      <c r="Y186" s="52"/>
      <c r="Z186" s="52"/>
    </row>
    <row r="187">
      <c r="A187" s="52" t="str">
        <f>IFERROR(__xludf.DUMMYFUNCTION("""COMPUTED_VALUE"""),"proposal::of::a::related::fix::(link::review4)")</f>
        <v>proposal::of::a::related::fix::(link::review4)</v>
      </c>
      <c r="B187" s="52" t="str">
        <f>IFERROR(__xludf.DUMMYFUNCTION("""COMPUTED_VALUE"""),"Database-related issue, GUI-related issue, Network issue, Performance issue")</f>
        <v>Database-related issue, GUI-related issue, Network issue, Performance issue</v>
      </c>
      <c r="C187" s="52"/>
      <c r="D187" s="52" t="str">
        <f>IFERROR(__xludf.DUMMYFUNCTION("""COMPUTED_VALUE"""),"informing::should::be::discussed::on::mailinglist")</f>
        <v>informing::should::be::discussed::on::mailinglist</v>
      </c>
      <c r="E187" s="52"/>
      <c r="F187" s="52" t="str">
        <f>IFERROR(__xludf.DUMMYFUNCTION("""COMPUTED_VALUE"""),"including::people::from::different::but::related::thread::to::the::actual::thread")</f>
        <v>including::people::from::different::but::related::thread::to::the::actual::thread</v>
      </c>
      <c r="G187" s="52"/>
      <c r="H187" s="52"/>
      <c r="I187" s="52"/>
      <c r="J187" s="52"/>
      <c r="K187" s="52"/>
      <c r="L187" s="52"/>
      <c r="M187" s="52"/>
      <c r="N187" s="52"/>
      <c r="O187" s="52"/>
      <c r="P187" s="52" t="str">
        <f>IFERROR(__xludf.DUMMYFUNCTION("""COMPUTED_VALUE"""),"asking::clarification::about::code::(how::to::test::it)")</f>
        <v>asking::clarification::about::code::(how::to::test::it)</v>
      </c>
      <c r="Q187" s="52"/>
      <c r="R187" s="52"/>
      <c r="S187" s="52"/>
      <c r="T187" s="52"/>
      <c r="U187" s="52"/>
      <c r="V187" s="52"/>
      <c r="W187" s="52"/>
      <c r="X187" s="52"/>
      <c r="Y187" s="52"/>
      <c r="Z187" s="52"/>
    </row>
    <row r="188">
      <c r="A188" s="52" t="str">
        <f>IFERROR(__xludf.DUMMYFUNCTION("""COMPUTED_VALUE"""),"proposes::refactoring")</f>
        <v>proposes::refactoring</v>
      </c>
      <c r="B188" s="52" t="str">
        <f>IFERROR(__xludf.DUMMYFUNCTION("""COMPUTED_VALUE"""),"Database-related issue, GUI-related issue, Network issue, Permission/deprecation issue")</f>
        <v>Database-related issue, GUI-related issue, Network issue, Permission/deprecation issue</v>
      </c>
      <c r="C188" s="52"/>
      <c r="D188" s="52" t="str">
        <f>IFERROR(__xludf.DUMMYFUNCTION("""COMPUTED_VALUE"""),"instructions::current::release::cycle")</f>
        <v>instructions::current::release::cycle</v>
      </c>
      <c r="E188" s="52"/>
      <c r="F188" s="52" t="str">
        <f>IFERROR(__xludf.DUMMYFUNCTION("""COMPUTED_VALUE"""),"indicating::information::(development::progress)")</f>
        <v>indicating::information::(development::progress)</v>
      </c>
      <c r="G188" s="52"/>
      <c r="H188" s="52"/>
      <c r="I188" s="52"/>
      <c r="J188" s="52"/>
      <c r="K188" s="52"/>
      <c r="L188" s="52"/>
      <c r="M188" s="52"/>
      <c r="N188" s="52"/>
      <c r="O188" s="52"/>
      <c r="P188" s="52" t="str">
        <f>IFERROR(__xludf.DUMMYFUNCTION("""COMPUTED_VALUE"""),"asking::clarification::about::code::(if:.test::covers::case)")</f>
        <v>asking::clarification::about::code::(if:.test::covers::case)</v>
      </c>
      <c r="Q188" s="52"/>
      <c r="R188" s="52"/>
      <c r="S188" s="52"/>
      <c r="T188" s="52"/>
      <c r="U188" s="52"/>
      <c r="V188" s="52"/>
      <c r="W188" s="52"/>
      <c r="X188" s="52"/>
      <c r="Y188" s="52"/>
      <c r="Z188" s="52"/>
    </row>
    <row r="189">
      <c r="A189" s="52" t="str">
        <f>IFERROR(__xludf.DUMMYFUNCTION("""COMPUTED_VALUE"""),"proposes::workaround::(code::in::text)")</f>
        <v>proposes::workaround::(code::in::text)</v>
      </c>
      <c r="B189" s="52" t="str">
        <f>IFERROR(__xludf.DUMMYFUNCTION("""COMPUTED_VALUE"""),"Database-related issue, GUI-related issue, Network issue, Program anomaly issue")</f>
        <v>Database-related issue, GUI-related issue, Network issue, Program anomaly issue</v>
      </c>
      <c r="C189" s="52"/>
      <c r="D189" s="52" t="str">
        <f>IFERROR(__xludf.DUMMYFUNCTION("""COMPUTED_VALUE"""),"instructions::next::release::cycle")</f>
        <v>instructions::next::release::cycle</v>
      </c>
      <c r="E189" s="52"/>
      <c r="F189" s="52" t="str">
        <f>IFERROR(__xludf.DUMMYFUNCTION("""COMPUTED_VALUE"""),"indicating::status::of::cycle::of::development::for::a::milestone::including::feature/BP/bug")</f>
        <v>indicating::status::of::cycle::of::development::for::a::milestone::including::feature/BP/bug</v>
      </c>
      <c r="G189" s="52"/>
      <c r="H189" s="52"/>
      <c r="I189" s="52"/>
      <c r="J189" s="52"/>
      <c r="K189" s="52"/>
      <c r="L189" s="52"/>
      <c r="M189" s="52"/>
      <c r="N189" s="52"/>
      <c r="O189" s="52"/>
      <c r="P189" s="52" t="str">
        <f>IFERROR(__xludf.DUMMYFUNCTION("""COMPUTED_VALUE"""),"asking::clarification::about::code::(input::parameter)")</f>
        <v>asking::clarification::about::code::(input::parameter)</v>
      </c>
      <c r="Q189" s="52"/>
      <c r="R189" s="52"/>
      <c r="S189" s="52"/>
      <c r="T189" s="52"/>
      <c r="U189" s="52"/>
      <c r="V189" s="52"/>
      <c r="W189" s="52"/>
      <c r="X189" s="52"/>
      <c r="Y189" s="52"/>
      <c r="Z189" s="52"/>
    </row>
    <row r="190">
      <c r="A190" s="52" t="str">
        <f>IFERROR(__xludf.DUMMYFUNCTION("""COMPUTED_VALUE"""),"proposes::workaround::(diff::in::text)")</f>
        <v>proposes::workaround::(diff::in::text)</v>
      </c>
      <c r="B190" s="52" t="str">
        <f>IFERROR(__xludf.DUMMYFUNCTION("""COMPUTED_VALUE"""),"Database-related issue, GUI-related issue, Network issue, Security issue")</f>
        <v>Database-related issue, GUI-related issue, Network issue, Security issue</v>
      </c>
      <c r="C190" s="52"/>
      <c r="D190" s="52" t="str">
        <f>IFERROR(__xludf.DUMMYFUNCTION("""COMPUTED_VALUE"""),"intention::to::ticket::re::opening")</f>
        <v>intention::to::ticket::re::opening</v>
      </c>
      <c r="E190" s="52"/>
      <c r="F190" s="52" t="str">
        <f>IFERROR(__xludf.DUMMYFUNCTION("""COMPUTED_VALUE"""),"indicating::status::of::cycle::of::development::for::a::patch")</f>
        <v>indicating::status::of::cycle::of::development::for::a::patch</v>
      </c>
      <c r="G190" s="52"/>
      <c r="H190" s="52"/>
      <c r="I190" s="52"/>
      <c r="J190" s="52"/>
      <c r="K190" s="52"/>
      <c r="L190" s="52"/>
      <c r="M190" s="52"/>
      <c r="N190" s="52"/>
      <c r="O190" s="52"/>
      <c r="P190" s="52" t="str">
        <f>IFERROR(__xludf.DUMMYFUNCTION("""COMPUTED_VALUE"""),"asking::clarification::about::code::(log::need)")</f>
        <v>asking::clarification::about::code::(log::need)</v>
      </c>
      <c r="Q190" s="52"/>
      <c r="R190" s="52"/>
      <c r="S190" s="52"/>
      <c r="T190" s="52"/>
      <c r="U190" s="52"/>
      <c r="V190" s="52"/>
      <c r="W190" s="52"/>
      <c r="X190" s="52"/>
      <c r="Y190" s="52"/>
      <c r="Z190" s="52"/>
    </row>
    <row r="191">
      <c r="A191" s="52" t="str">
        <f>IFERROR(__xludf.DUMMYFUNCTION("""COMPUTED_VALUE"""),"providing::advice::coding")</f>
        <v>providing::advice::coding</v>
      </c>
      <c r="B191" s="52" t="str">
        <f>IFERROR(__xludf.DUMMYFUNCTION("""COMPUTED_VALUE"""),"Database-related issue, GUI-related issue, Network issue, Test code-related issue")</f>
        <v>Database-related issue, GUI-related issue, Network issue, Test code-related issue</v>
      </c>
      <c r="C191" s="52"/>
      <c r="D191" s="52" t="str">
        <f>IFERROR(__xludf.DUMMYFUNCTION("""COMPUTED_VALUE"""),"issue::closed::(revision::hash)")</f>
        <v>issue::closed::(revision::hash)</v>
      </c>
      <c r="E191" s="52"/>
      <c r="F191" s="52" t="str">
        <f>IFERROR(__xludf.DUMMYFUNCTION("""COMPUTED_VALUE"""),"indicating::status::of::cycle::of::development::for::a::project")</f>
        <v>indicating::status::of::cycle::of::development::for::a::project</v>
      </c>
      <c r="G191" s="52"/>
      <c r="H191" s="52"/>
      <c r="I191" s="52"/>
      <c r="J191" s="52"/>
      <c r="K191" s="52"/>
      <c r="L191" s="52"/>
      <c r="M191" s="52"/>
      <c r="N191" s="52"/>
      <c r="O191" s="52"/>
      <c r="P191" s="52" t="str">
        <f>IFERROR(__xludf.DUMMYFUNCTION("""COMPUTED_VALUE"""),"asking::clarification::about::code::(logging)")</f>
        <v>asking::clarification::about::code::(logging)</v>
      </c>
      <c r="Q191" s="52"/>
      <c r="R191" s="52"/>
      <c r="S191" s="52"/>
      <c r="T191" s="52"/>
      <c r="U191" s="52"/>
      <c r="V191" s="52"/>
      <c r="W191" s="52"/>
      <c r="X191" s="52"/>
      <c r="Y191" s="52"/>
      <c r="Z191" s="52"/>
    </row>
    <row r="192">
      <c r="A192" s="52" t="str">
        <f>IFERROR(__xludf.DUMMYFUNCTION("""COMPUTED_VALUE"""),"providing::clarification::(culprit::regression)")</f>
        <v>providing::clarification::(culprit::regression)</v>
      </c>
      <c r="B192" s="52" t="str">
        <f>IFERROR(__xludf.DUMMYFUNCTION("""COMPUTED_VALUE"""),"Database-related issue, GUI-related issue, Performance issue, Permission/deprecation issue")</f>
        <v>Database-related issue, GUI-related issue, Performance issue, Permission/deprecation issue</v>
      </c>
      <c r="C192" s="52"/>
      <c r="D192" s="52" t="str">
        <f>IFERROR(__xludf.DUMMYFUNCTION("""COMPUTED_VALUE"""),"join::the::fix::of::the::bug::with::a::broader::fix")</f>
        <v>join::the::fix::of::the::bug::with::a::broader::fix</v>
      </c>
      <c r="E192" s="52"/>
      <c r="F192" s="52" t="str">
        <f>IFERROR(__xludf.DUMMYFUNCTION("""COMPUTED_VALUE"""),"indicating::status::of::cycle::of::development::for::a::project::(related::to::BP::topic)")</f>
        <v>indicating::status::of::cycle::of::development::for::a::project::(related::to::BP::topic)</v>
      </c>
      <c r="G192" s="52"/>
      <c r="H192" s="52"/>
      <c r="I192" s="52"/>
      <c r="J192" s="52"/>
      <c r="K192" s="52"/>
      <c r="L192" s="52"/>
      <c r="M192" s="52"/>
      <c r="N192" s="52"/>
      <c r="O192" s="52"/>
      <c r="P192" s="52" t="str">
        <f>IFERROR(__xludf.DUMMYFUNCTION("""COMPUTED_VALUE"""),"asking::clarification::about::code::(logic)")</f>
        <v>asking::clarification::about::code::(logic)</v>
      </c>
      <c r="Q192" s="52"/>
      <c r="R192" s="52"/>
      <c r="S192" s="52"/>
      <c r="T192" s="52"/>
      <c r="U192" s="52"/>
      <c r="V192" s="52"/>
      <c r="W192" s="52"/>
      <c r="X192" s="52"/>
      <c r="Y192" s="52"/>
      <c r="Z192" s="52"/>
    </row>
    <row r="193">
      <c r="A193" s="52" t="str">
        <f>IFERROR(__xludf.DUMMYFUNCTION("""COMPUTED_VALUE"""),"providing::clarification::about::the::development::process::(releasing::time)")</f>
        <v>providing::clarification::about::the::development::process::(releasing::time)</v>
      </c>
      <c r="B193" s="52" t="str">
        <f>IFERROR(__xludf.DUMMYFUNCTION("""COMPUTED_VALUE"""),"Database-related issue, GUI-related issue, Performance issue, Program anomaly issue")</f>
        <v>Database-related issue, GUI-related issue, Performance issue, Program anomaly issue</v>
      </c>
      <c r="C193" s="52"/>
      <c r="D193" s="52" t="str">
        <f>IFERROR(__xludf.DUMMYFUNCTION("""COMPUTED_VALUE"""),"key::concepts::and::terminology::of::issue")</f>
        <v>key::concepts::and::terminology::of::issue</v>
      </c>
      <c r="E193" s="52"/>
      <c r="F193" s="52" t="str">
        <f>IFERROR(__xludf.DUMMYFUNCTION("""COMPUTED_VALUE"""),"indicating::status::of::cycle::of::development::for::a::release")</f>
        <v>indicating::status::of::cycle::of::development::for::a::release</v>
      </c>
      <c r="G193" s="52"/>
      <c r="H193" s="52"/>
      <c r="I193" s="52"/>
      <c r="J193" s="52"/>
      <c r="K193" s="52"/>
      <c r="L193" s="52"/>
      <c r="M193" s="52"/>
      <c r="N193" s="52"/>
      <c r="O193" s="52"/>
      <c r="P193" s="52" t="str">
        <f>IFERROR(__xludf.DUMMYFUNCTION("""COMPUTED_VALUE"""),"asking::clarification::about::code::(migration)")</f>
        <v>asking::clarification::about::code::(migration)</v>
      </c>
      <c r="Q193" s="52"/>
      <c r="R193" s="52"/>
      <c r="S193" s="52"/>
      <c r="T193" s="52"/>
      <c r="U193" s="52"/>
      <c r="V193" s="52"/>
      <c r="W193" s="52"/>
      <c r="X193" s="52"/>
      <c r="Y193" s="52"/>
      <c r="Z193" s="52"/>
    </row>
    <row r="194">
      <c r="A194" s="52" t="str">
        <f>IFERROR(__xludf.DUMMYFUNCTION("""COMPUTED_VALUE"""),"providing::clarification::about::when::the::bug::is::present")</f>
        <v>providing::clarification::about::when::the::bug::is::present</v>
      </c>
      <c r="B194" s="52" t="str">
        <f>IFERROR(__xludf.DUMMYFUNCTION("""COMPUTED_VALUE"""),"Database-related issue, GUI-related issue, Performance issue, Security issue")</f>
        <v>Database-related issue, GUI-related issue, Performance issue, Security issue</v>
      </c>
      <c r="C194" s="52"/>
      <c r="D194" s="52" t="str">
        <f>IFERROR(__xludf.DUMMYFUNCTION("""COMPUTED_VALUE"""),"link::related::issue")</f>
        <v>link::related::issue</v>
      </c>
      <c r="E194" s="52"/>
      <c r="F194" s="52" t="str">
        <f>IFERROR(__xludf.DUMMYFUNCTION("""COMPUTED_VALUE"""),"indicating::status::of::cycle::of::development::for::specific::bugs::(other::bugs::not::feature/BP::related)")</f>
        <v>indicating::status::of::cycle::of::development::for::specific::bugs::(other::bugs::not::feature/BP::related)</v>
      </c>
      <c r="G194" s="52"/>
      <c r="H194" s="52"/>
      <c r="I194" s="52"/>
      <c r="J194" s="52"/>
      <c r="K194" s="52"/>
      <c r="L194" s="52"/>
      <c r="M194" s="52"/>
      <c r="N194" s="52"/>
      <c r="O194" s="52"/>
      <c r="P194" s="52" t="str">
        <f>IFERROR(__xludf.DUMMYFUNCTION("""COMPUTED_VALUE"""),"asking::clarification::about::code::(missing::context)")</f>
        <v>asking::clarification::about::code::(missing::context)</v>
      </c>
      <c r="Q194" s="52"/>
      <c r="R194" s="52"/>
      <c r="S194" s="52"/>
      <c r="T194" s="52"/>
      <c r="U194" s="52"/>
      <c r="V194" s="52"/>
      <c r="W194" s="52"/>
      <c r="X194" s="52"/>
      <c r="Y194" s="52"/>
      <c r="Z194" s="52"/>
    </row>
    <row r="195">
      <c r="A195" s="52" t="str">
        <f>IFERROR(__xludf.DUMMYFUNCTION("""COMPUTED_VALUE"""),"providing::clarification::expected::behaboiur")</f>
        <v>providing::clarification::expected::behaboiur</v>
      </c>
      <c r="B195" s="52" t="str">
        <f>IFERROR(__xludf.DUMMYFUNCTION("""COMPUTED_VALUE"""),"Database-related issue, GUI-related issue, Performance issue, Test code-related issue")</f>
        <v>Database-related issue, GUI-related issue, Performance issue, Test code-related issue</v>
      </c>
      <c r="C195" s="52"/>
      <c r="D195" s="52" t="str">
        <f>IFERROR(__xludf.DUMMYFUNCTION("""COMPUTED_VALUE"""),"link::related::review")</f>
        <v>link::related::review</v>
      </c>
      <c r="E195" s="52"/>
      <c r="F195" s="52" t="str">
        <f>IFERROR(__xludf.DUMMYFUNCTION("""COMPUTED_VALUE"""),"indicating::status::of::cycle::of::development::for::the::BP/feature")</f>
        <v>indicating::status::of::cycle::of::development::for::the::BP/feature</v>
      </c>
      <c r="G195" s="52"/>
      <c r="H195" s="52"/>
      <c r="I195" s="52"/>
      <c r="J195" s="52"/>
      <c r="K195" s="52"/>
      <c r="L195" s="52"/>
      <c r="M195" s="52"/>
      <c r="N195" s="52"/>
      <c r="O195" s="52"/>
      <c r="P195" s="52" t="str">
        <f>IFERROR(__xludf.DUMMYFUNCTION("""COMPUTED_VALUE"""),"asking::clarification::about::code::(missing::tests)")</f>
        <v>asking::clarification::about::code::(missing::tests)</v>
      </c>
      <c r="Q195" s="52"/>
      <c r="R195" s="52"/>
      <c r="S195" s="52"/>
      <c r="T195" s="52"/>
      <c r="U195" s="52"/>
      <c r="V195" s="52"/>
      <c r="W195" s="52"/>
      <c r="X195" s="52"/>
      <c r="Y195" s="52"/>
      <c r="Z195" s="52"/>
    </row>
    <row r="196">
      <c r="A196" s="52" t="str">
        <f>IFERROR(__xludf.DUMMYFUNCTION("""COMPUTED_VALUE"""),"providing::clarification::expected::behaviour")</f>
        <v>providing::clarification::expected::behaviour</v>
      </c>
      <c r="B196" s="52" t="str">
        <f>IFERROR(__xludf.DUMMYFUNCTION("""COMPUTED_VALUE"""),"Database-related issue, GUI-related issue, Permission/deprecation issue, Program anomaly issue")</f>
        <v>Database-related issue, GUI-related issue, Permission/deprecation issue, Program anomaly issue</v>
      </c>
      <c r="C196" s="52"/>
      <c r="D196" s="52" t="str">
        <f>IFERROR(__xludf.DUMMYFUNCTION("""COMPUTED_VALUE"""),"link::repository::forged::project")</f>
        <v>link::repository::forged::project</v>
      </c>
      <c r="E196" s="52"/>
      <c r="F196" s="52" t="str">
        <f>IFERROR(__xludf.DUMMYFUNCTION("""COMPUTED_VALUE"""),"informing::abandoning::abandoned::ppojects::(exercises)")</f>
        <v>informing::abandoning::abandoned::ppojects::(exercises)</v>
      </c>
      <c r="G196" s="52"/>
      <c r="H196" s="52"/>
      <c r="I196" s="52"/>
      <c r="J196" s="52"/>
      <c r="K196" s="52"/>
      <c r="L196" s="52"/>
      <c r="M196" s="52"/>
      <c r="N196" s="52"/>
      <c r="O196" s="52"/>
      <c r="P196" s="52" t="str">
        <f>IFERROR(__xludf.DUMMYFUNCTION("""COMPUTED_VALUE"""),"asking::clarification::about::code::(naming)")</f>
        <v>asking::clarification::about::code::(naming)</v>
      </c>
      <c r="Q196" s="52"/>
      <c r="R196" s="52"/>
      <c r="S196" s="52"/>
      <c r="T196" s="52"/>
      <c r="U196" s="52"/>
      <c r="V196" s="52"/>
      <c r="W196" s="52"/>
      <c r="X196" s="52"/>
      <c r="Y196" s="52"/>
      <c r="Z196" s="52"/>
    </row>
    <row r="197">
      <c r="A197" s="52" t="str">
        <f>IFERROR(__xludf.DUMMYFUNCTION("""COMPUTED_VALUE"""),"providing::clarification::status::release")</f>
        <v>providing::clarification::status::release</v>
      </c>
      <c r="B197" s="52" t="str">
        <f>IFERROR(__xludf.DUMMYFUNCTION("""COMPUTED_VALUE"""),"Database-related issue, GUI-related issue, Permission/deprecation issue, Security issue")</f>
        <v>Database-related issue, GUI-related issue, Permission/deprecation issue, Security issue</v>
      </c>
      <c r="C197" s="52"/>
      <c r="D197" s="52" t="str">
        <f>IFERROR(__xludf.DUMMYFUNCTION("""COMPUTED_VALUE"""),"link::review")</f>
        <v>link::review</v>
      </c>
      <c r="E197" s="52"/>
      <c r="F197" s="52" t="str">
        <f>IFERROR(__xludf.DUMMYFUNCTION("""COMPUTED_VALUE"""),"informing::about::next::steps")</f>
        <v>informing::about::next::steps</v>
      </c>
      <c r="G197" s="52"/>
      <c r="H197" s="52"/>
      <c r="I197" s="52"/>
      <c r="J197" s="52"/>
      <c r="K197" s="52"/>
      <c r="L197" s="52"/>
      <c r="M197" s="52"/>
      <c r="N197" s="52"/>
      <c r="O197" s="52"/>
      <c r="P197" s="52" t="str">
        <f>IFERROR(__xludf.DUMMYFUNCTION("""COMPUTED_VALUE"""),"asking::clarification::about::code::(need::of::code)")</f>
        <v>asking::clarification::about::code::(need::of::code)</v>
      </c>
      <c r="Q197" s="52"/>
      <c r="R197" s="52"/>
      <c r="S197" s="52"/>
      <c r="T197" s="52"/>
      <c r="U197" s="52"/>
      <c r="V197" s="52"/>
      <c r="W197" s="52"/>
      <c r="X197" s="52"/>
      <c r="Y197" s="52"/>
      <c r="Z197" s="52"/>
    </row>
    <row r="198">
      <c r="A198" s="52" t="str">
        <f>IFERROR(__xludf.DUMMYFUNCTION("""COMPUTED_VALUE"""),"providing::example::when::bug::is::not::present")</f>
        <v>providing::example::when::bug::is::not::present</v>
      </c>
      <c r="B198" s="52" t="str">
        <f>IFERROR(__xludf.DUMMYFUNCTION("""COMPUTED_VALUE"""),"Database-related issue, GUI-related issue, Permission/deprecation issue, Test code-related issue")</f>
        <v>Database-related issue, GUI-related issue, Permission/deprecation issue, Test code-related issue</v>
      </c>
      <c r="C198" s="52"/>
      <c r="D198" s="52" t="str">
        <f>IFERROR(__xludf.DUMMYFUNCTION("""COMPUTED_VALUE"""),"link::review::(review2)")</f>
        <v>link::review::(review2)</v>
      </c>
      <c r="E198" s="52"/>
      <c r="F198" s="52" t="str">
        <f>IFERROR(__xludf.DUMMYFUNCTION("""COMPUTED_VALUE"""),"informing::added::comment::(bug)")</f>
        <v>informing::added::comment::(bug)</v>
      </c>
      <c r="G198" s="52"/>
      <c r="H198" s="52"/>
      <c r="I198" s="52"/>
      <c r="J198" s="52"/>
      <c r="K198" s="52"/>
      <c r="L198" s="52"/>
      <c r="M198" s="52"/>
      <c r="N198" s="52"/>
      <c r="O198" s="52"/>
      <c r="P198" s="52" t="str">
        <f>IFERROR(__xludf.DUMMYFUNCTION("""COMPUTED_VALUE"""),"asking::clarification::about::code::(need::of::config::parameters)")</f>
        <v>asking::clarification::about::code::(need::of::config::parameters)</v>
      </c>
      <c r="Q198" s="52"/>
      <c r="R198" s="52"/>
      <c r="S198" s="52"/>
      <c r="T198" s="52"/>
      <c r="U198" s="52"/>
      <c r="V198" s="52"/>
      <c r="W198" s="52"/>
      <c r="X198" s="52"/>
      <c r="Y198" s="52"/>
      <c r="Z198" s="52"/>
    </row>
    <row r="199">
      <c r="A199" s="52" t="str">
        <f>IFERROR(__xludf.DUMMYFUNCTION("""COMPUTED_VALUE"""),"providing::example::when::bug::is::present")</f>
        <v>providing::example::when::bug::is::present</v>
      </c>
      <c r="B199" s="52" t="str">
        <f>IFERROR(__xludf.DUMMYFUNCTION("""COMPUTED_VALUE"""),"Database-related issue, GUI-related issue, Program anomaly issue, Test code-related issue")</f>
        <v>Database-related issue, GUI-related issue, Program anomaly issue, Test code-related issue</v>
      </c>
      <c r="C199" s="52"/>
      <c r="D199" s="52" t="str">
        <f>IFERROR(__xludf.DUMMYFUNCTION("""COMPUTED_VALUE"""),"list::remaining::patches::not::closed::in::the::development::cycle")</f>
        <v>list::remaining::patches::not::closed::in::the::development::cycle</v>
      </c>
      <c r="E199" s="52"/>
      <c r="F199" s="52" t="str">
        <f>IFERROR(__xludf.DUMMYFUNCTION("""COMPUTED_VALUE"""),"informing::bp::updated")</f>
        <v>informing::bp::updated</v>
      </c>
      <c r="G199" s="52"/>
      <c r="H199" s="52"/>
      <c r="I199" s="52"/>
      <c r="J199" s="52"/>
      <c r="K199" s="52"/>
      <c r="L199" s="52"/>
      <c r="M199" s="52"/>
      <c r="N199" s="52"/>
      <c r="O199" s="52"/>
      <c r="P199" s="52" t="str">
        <f>IFERROR(__xludf.DUMMYFUNCTION("""COMPUTED_VALUE"""),"asking::clarification::about::code::(need::of::tests)")</f>
        <v>asking::clarification::about::code::(need::of::tests)</v>
      </c>
      <c r="Q199" s="52"/>
      <c r="R199" s="52"/>
      <c r="S199" s="52"/>
      <c r="T199" s="52"/>
      <c r="U199" s="52"/>
      <c r="V199" s="52"/>
      <c r="W199" s="52"/>
      <c r="X199" s="52"/>
      <c r="Y199" s="52"/>
      <c r="Z199" s="52"/>
    </row>
    <row r="200">
      <c r="A200" s="52" t="str">
        <f>IFERROR(__xludf.DUMMYFUNCTION("""COMPUTED_VALUE"""),"providing::example::when::bug::is::present1")</f>
        <v>providing::example::when::bug::is::present1</v>
      </c>
      <c r="B200" s="52" t="str">
        <f>IFERROR(__xludf.DUMMYFUNCTION("""COMPUTED_VALUE"""),"Database-related issue, GUI-related issue, Security issue, Program anomaly issue")</f>
        <v>Database-related issue, GUI-related issue, Security issue, Program anomaly issue</v>
      </c>
      <c r="C200" s="52"/>
      <c r="D200" s="52" t="str">
        <f>IFERROR(__xludf.DUMMYFUNCTION("""COMPUTED_VALUE"""),"marking::code::as::abandoned")</f>
        <v>marking::code::as::abandoned</v>
      </c>
      <c r="E200" s="52"/>
      <c r="F200" s="52" t="str">
        <f>IFERROR(__xludf.DUMMYFUNCTION("""COMPUTED_VALUE"""),"informing::code::push")</f>
        <v>informing::code::push</v>
      </c>
      <c r="G200" s="52"/>
      <c r="H200" s="52"/>
      <c r="I200" s="52"/>
      <c r="J200" s="52"/>
      <c r="K200" s="52"/>
      <c r="L200" s="52"/>
      <c r="M200" s="52"/>
      <c r="N200" s="52"/>
      <c r="O200" s="52"/>
      <c r="P200" s="52" t="str">
        <f>IFERROR(__xludf.DUMMYFUNCTION("""COMPUTED_VALUE"""),"asking::clarification::about::code::(need:functionallity)")</f>
        <v>asking::clarification::about::code::(need:functionallity)</v>
      </c>
      <c r="Q200" s="52"/>
      <c r="R200" s="52"/>
      <c r="S200" s="52"/>
      <c r="T200" s="52"/>
      <c r="U200" s="52"/>
      <c r="V200" s="52"/>
      <c r="W200" s="52"/>
      <c r="X200" s="52"/>
      <c r="Y200" s="52"/>
      <c r="Z200" s="52"/>
    </row>
    <row r="201">
      <c r="A201" s="52" t="str">
        <f>IFERROR(__xludf.DUMMYFUNCTION("""COMPUTED_VALUE"""),"providing::example::when::bug::is::present2")</f>
        <v>providing::example::when::bug::is::present2</v>
      </c>
      <c r="B201" s="52" t="str">
        <f>IFERROR(__xludf.DUMMYFUNCTION("""COMPUTED_VALUE"""),"Database-related issue, GUI-related issue, Security issue, Test code-related issue")</f>
        <v>Database-related issue, GUI-related issue, Security issue, Test code-related issue</v>
      </c>
      <c r="C201" s="52"/>
      <c r="D201" s="52" t="str">
        <f>IFERROR(__xludf.DUMMYFUNCTION("""COMPUTED_VALUE"""),"merge::of::unknown::review::(link::review3)")</f>
        <v>merge::of::unknown::review::(link::review3)</v>
      </c>
      <c r="E201" s="52"/>
      <c r="F201" s="52" t="str">
        <f>IFERROR(__xludf.DUMMYFUNCTION("""COMPUTED_VALUE"""),"informing::concerns::for::introducing::more::code::(time::constraints)::(current::development::cycle)")</f>
        <v>informing::concerns::for::introducing::more::code::(time::constraints)::(current::development::cycle)</v>
      </c>
      <c r="G201" s="52"/>
      <c r="H201" s="52"/>
      <c r="I201" s="52"/>
      <c r="J201" s="52"/>
      <c r="K201" s="52"/>
      <c r="L201" s="52"/>
      <c r="M201" s="52"/>
      <c r="N201" s="52"/>
      <c r="O201" s="52"/>
      <c r="P201" s="52" t="str">
        <f>IFERROR(__xludf.DUMMYFUNCTION("""COMPUTED_VALUE"""),"asking::clarification::about::code::(performance)")</f>
        <v>asking::clarification::about::code::(performance)</v>
      </c>
      <c r="Q201" s="52"/>
      <c r="R201" s="52"/>
      <c r="S201" s="52"/>
      <c r="T201" s="52"/>
      <c r="U201" s="52"/>
      <c r="V201" s="52"/>
      <c r="W201" s="52"/>
      <c r="X201" s="52"/>
      <c r="Y201" s="52"/>
      <c r="Z201" s="52"/>
    </row>
    <row r="202">
      <c r="A202" s="52" t="str">
        <f>IFERROR(__xludf.DUMMYFUNCTION("""COMPUTED_VALUE"""),"question::version::of::software::in::which::the::bug::was::found")</f>
        <v>question::version::of::software::in::which::the::bug::was::found</v>
      </c>
      <c r="B202" s="52" t="str">
        <f>IFERROR(__xludf.DUMMYFUNCTION("""COMPUTED_VALUE"""),"Database-related issue, Network issue, Performance issue, Permission/deprecation issue")</f>
        <v>Database-related issue, Network issue, Performance issue, Permission/deprecation issue</v>
      </c>
      <c r="C202" s="52"/>
      <c r="D202" s="52" t="str">
        <f>IFERROR(__xludf.DUMMYFUNCTION("""COMPUTED_VALUE"""),"merge::of::unknown::review::(link::review5)")</f>
        <v>merge::of::unknown::review::(link::review5)</v>
      </c>
      <c r="E202" s="52"/>
      <c r="F202" s="52" t="str">
        <f>IFERROR(__xludf.DUMMYFUNCTION("""COMPUTED_VALUE"""),"informing::duplication::of::code::in::the::presented::design::solution:::(code)")</f>
        <v>informing::duplication::of::code::in::the::presented::design::solution:::(code)</v>
      </c>
      <c r="G202" s="52"/>
      <c r="H202" s="52"/>
      <c r="I202" s="52"/>
      <c r="J202" s="52"/>
      <c r="K202" s="52"/>
      <c r="L202" s="52"/>
      <c r="M202" s="52"/>
      <c r="N202" s="52"/>
      <c r="O202" s="52"/>
      <c r="P202" s="52" t="str">
        <f>IFERROR(__xludf.DUMMYFUNCTION("""COMPUTED_VALUE"""),"asking::clarification::about::code::(previous::version::vs::actual::code)")</f>
        <v>asking::clarification::about::code::(previous::version::vs::actual::code)</v>
      </c>
      <c r="Q202" s="52"/>
      <c r="R202" s="52"/>
      <c r="S202" s="52"/>
      <c r="T202" s="52"/>
      <c r="U202" s="52"/>
      <c r="V202" s="52"/>
      <c r="W202" s="52"/>
      <c r="X202" s="52"/>
      <c r="Y202" s="52"/>
      <c r="Z202" s="52"/>
    </row>
    <row r="203">
      <c r="A203" s="52" t="str">
        <f>IFERROR(__xludf.DUMMYFUNCTION("""COMPUTED_VALUE"""),"re::opening::bug")</f>
        <v>re::opening::bug</v>
      </c>
      <c r="B203" s="52" t="str">
        <f>IFERROR(__xludf.DUMMYFUNCTION("""COMPUTED_VALUE"""),"Database-related issue, Network issue, Performance issue, Program anomaly issue")</f>
        <v>Database-related issue, Network issue, Performance issue, Program anomaly issue</v>
      </c>
      <c r="C203" s="52"/>
      <c r="D203" s="52" t="str">
        <f>IFERROR(__xludf.DUMMYFUNCTION("""COMPUTED_VALUE"""),"merge::sync::notification")</f>
        <v>merge::sync::notification</v>
      </c>
      <c r="E203" s="52"/>
      <c r="F203" s="52" t="str">
        <f>IFERROR(__xludf.DUMMYFUNCTION("""COMPUTED_VALUE"""),"informing::extension::of::scope::for::blueprint")</f>
        <v>informing::extension::of::scope::for::blueprint</v>
      </c>
      <c r="G203" s="52"/>
      <c r="H203" s="52"/>
      <c r="I203" s="52"/>
      <c r="J203" s="52"/>
      <c r="K203" s="52"/>
      <c r="L203" s="52"/>
      <c r="M203" s="52"/>
      <c r="N203" s="52"/>
      <c r="O203" s="52"/>
      <c r="P203" s="52" t="str">
        <f>IFERROR(__xludf.DUMMYFUNCTION("""COMPUTED_VALUE"""),"asking::clarification::about::code::(previous::version)")</f>
        <v>asking::clarification::about::code::(previous::version)</v>
      </c>
      <c r="Q203" s="52"/>
      <c r="R203" s="52"/>
      <c r="S203" s="52"/>
      <c r="T203" s="52"/>
      <c r="U203" s="52"/>
      <c r="V203" s="52"/>
      <c r="W203" s="52"/>
      <c r="X203" s="52"/>
      <c r="Y203" s="52"/>
      <c r="Z203" s="52"/>
    </row>
    <row r="204">
      <c r="A204" s="52" t="str">
        <f>IFERROR(__xludf.DUMMYFUNCTION("""COMPUTED_VALUE"""),"reason::for::abandoning::the::change")</f>
        <v>reason::for::abandoning::the::change</v>
      </c>
      <c r="B204" s="52" t="str">
        <f>IFERROR(__xludf.DUMMYFUNCTION("""COMPUTED_VALUE"""),"Database-related issue, Network issue, Performance issue, Security issue")</f>
        <v>Database-related issue, Network issue, Performance issue, Security issue</v>
      </c>
      <c r="C204" s="52"/>
      <c r="D204" s="52" t="str">
        <f>IFERROR(__xludf.DUMMYFUNCTION("""COMPUTED_VALUE"""),"merged::units::of::work")</f>
        <v>merged::units::of::work</v>
      </c>
      <c r="E204" s="52"/>
      <c r="F204" s="52" t="str">
        <f>IFERROR(__xludf.DUMMYFUNCTION("""COMPUTED_VALUE"""),"informing::feature::waiting::for::completion::(review::approval)")</f>
        <v>informing::feature::waiting::for::completion::(review::approval)</v>
      </c>
      <c r="G204" s="52"/>
      <c r="H204" s="52"/>
      <c r="I204" s="52"/>
      <c r="J204" s="52"/>
      <c r="K204" s="52"/>
      <c r="L204" s="52"/>
      <c r="M204" s="52"/>
      <c r="N204" s="52"/>
      <c r="O204" s="52"/>
      <c r="P204" s="52" t="str">
        <f>IFERROR(__xludf.DUMMYFUNCTION("""COMPUTED_VALUE"""),"asking::clarification::about::code::(reason::of::changing::code)")</f>
        <v>asking::clarification::about::code::(reason::of::changing::code)</v>
      </c>
      <c r="Q204" s="52"/>
      <c r="R204" s="52"/>
      <c r="S204" s="52"/>
      <c r="T204" s="52"/>
      <c r="U204" s="52"/>
      <c r="V204" s="52"/>
      <c r="W204" s="52"/>
      <c r="X204" s="52"/>
      <c r="Y204" s="52"/>
      <c r="Z204" s="52"/>
    </row>
    <row r="205">
      <c r="A205" s="52" t="str">
        <f>IFERROR(__xludf.DUMMYFUNCTION("""COMPUTED_VALUE"""),"reason::for::abandoning::the::change::(in::favour::of::another::review)")</f>
        <v>reason::for::abandoning::the::change::(in::favour::of::another::review)</v>
      </c>
      <c r="B205" s="52" t="str">
        <f>IFERROR(__xludf.DUMMYFUNCTION("""COMPUTED_VALUE"""),"Database-related issue, Network issue, Performance issue, Test code-related issue")</f>
        <v>Database-related issue, Network issue, Performance issue, Test code-related issue</v>
      </c>
      <c r="C205" s="52"/>
      <c r="D205" s="52" t="str">
        <f>IFERROR(__xludf.DUMMYFUNCTION("""COMPUTED_VALUE"""),"missing::documentation")</f>
        <v>missing::documentation</v>
      </c>
      <c r="E205" s="52"/>
      <c r="F205" s="52" t="str">
        <f>IFERROR(__xludf.DUMMYFUNCTION("""COMPUTED_VALUE"""),"informing::filing::blue::print::to::track::progress")</f>
        <v>informing::filing::blue::print::to::track::progress</v>
      </c>
      <c r="G205" s="52"/>
      <c r="H205" s="52"/>
      <c r="I205" s="52"/>
      <c r="J205" s="52"/>
      <c r="K205" s="52"/>
      <c r="L205" s="52"/>
      <c r="M205" s="52"/>
      <c r="N205" s="52"/>
      <c r="O205" s="52"/>
      <c r="P205" s="52" t="str">
        <f>IFERROR(__xludf.DUMMYFUNCTION("""COMPUTED_VALUE"""),"asking::clarification::about::code::(reason::of::the::design)")</f>
        <v>asking::clarification::about::code::(reason::of::the::design)</v>
      </c>
      <c r="Q205" s="52"/>
      <c r="R205" s="52"/>
      <c r="S205" s="52"/>
      <c r="T205" s="52"/>
      <c r="U205" s="52"/>
      <c r="V205" s="52"/>
      <c r="W205" s="52"/>
      <c r="X205" s="52"/>
      <c r="Y205" s="52"/>
      <c r="Z205" s="52"/>
    </row>
    <row r="206">
      <c r="A206" s="52" t="str">
        <f>IFERROR(__xludf.DUMMYFUNCTION("""COMPUTED_VALUE"""),"reason::for::abandoning::the::change::not::main::branch::(not::longer::needed)")</f>
        <v>reason::for::abandoning::the::change::not::main::branch::(not::longer::needed)</v>
      </c>
      <c r="B206" s="52" t="str">
        <f>IFERROR(__xludf.DUMMYFUNCTION("""COMPUTED_VALUE"""),"Database-related issue, Network issue, Permission/deprecation issue, Program anomaly issue")</f>
        <v>Database-related issue, Network issue, Permission/deprecation issue, Program anomaly issue</v>
      </c>
      <c r="C206" s="52"/>
      <c r="D206" s="52" t="str">
        <f>IFERROR(__xludf.DUMMYFUNCTION("""COMPUTED_VALUE"""),"missing::feature")</f>
        <v>missing::feature</v>
      </c>
      <c r="E206" s="52"/>
      <c r="F206" s="52" t="str">
        <f>IFERROR(__xludf.DUMMYFUNCTION("""COMPUTED_VALUE"""),"informing::filing::bug::due::to::new::functionality::that::was::enabled::thanks::to::the::BP")</f>
        <v>informing::filing::bug::due::to::new::functionality::that::was::enabled::thanks::to::the::BP</v>
      </c>
      <c r="G206" s="52"/>
      <c r="H206" s="52"/>
      <c r="I206" s="52"/>
      <c r="J206" s="52"/>
      <c r="K206" s="52"/>
      <c r="L206" s="52"/>
      <c r="M206" s="52"/>
      <c r="N206" s="52"/>
      <c r="O206" s="52"/>
      <c r="P206" s="52" t="str">
        <f>IFERROR(__xludf.DUMMYFUNCTION("""COMPUTED_VALUE"""),"asking::clarification::about::code::(reason::of::the:.code)")</f>
        <v>asking::clarification::about::code::(reason::of::the:.code)</v>
      </c>
      <c r="Q206" s="52"/>
      <c r="R206" s="52"/>
      <c r="S206" s="52"/>
      <c r="T206" s="52"/>
      <c r="U206" s="52"/>
      <c r="V206" s="52"/>
      <c r="W206" s="52"/>
      <c r="X206" s="52"/>
      <c r="Y206" s="52"/>
      <c r="Z206" s="52"/>
    </row>
    <row r="207">
      <c r="A207" s="52" t="str">
        <f>IFERROR(__xludf.DUMMYFUNCTION("""COMPUTED_VALUE"""),"reason::for::abandoning::the::change1")</f>
        <v>reason::for::abandoning::the::change1</v>
      </c>
      <c r="B207" s="52" t="str">
        <f>IFERROR(__xludf.DUMMYFUNCTION("""COMPUTED_VALUE"""),"Database-related issue, Network issue, Permission/deprecation issue, Security issue")</f>
        <v>Database-related issue, Network issue, Permission/deprecation issue, Security issue</v>
      </c>
      <c r="C207" s="52"/>
      <c r="D207" s="52" t="str">
        <f>IFERROR(__xludf.DUMMYFUNCTION("""COMPUTED_VALUE"""),"new::blueprint::for::remaining::patches")</f>
        <v>new::blueprint::for::remaining::patches</v>
      </c>
      <c r="E207" s="52"/>
      <c r="F207" s="52" t="str">
        <f>IFERROR(__xludf.DUMMYFUNCTION("""COMPUTED_VALUE"""),"informing::filing::bug::to::track::progress")</f>
        <v>informing::filing::bug::to::track::progress</v>
      </c>
      <c r="G207" s="52"/>
      <c r="H207" s="52"/>
      <c r="I207" s="52"/>
      <c r="J207" s="52"/>
      <c r="K207" s="52"/>
      <c r="L207" s="52"/>
      <c r="M207" s="52"/>
      <c r="N207" s="52"/>
      <c r="O207" s="52"/>
      <c r="P207" s="52" t="str">
        <f>IFERROR(__xludf.DUMMYFUNCTION("""COMPUTED_VALUE"""),"asking::clarification::about::code::(solution::design)")</f>
        <v>asking::clarification::about::code::(solution::design)</v>
      </c>
      <c r="Q207" s="52"/>
      <c r="R207" s="52"/>
      <c r="S207" s="52"/>
      <c r="T207" s="52"/>
      <c r="U207" s="52"/>
      <c r="V207" s="52"/>
      <c r="W207" s="52"/>
      <c r="X207" s="52"/>
      <c r="Y207" s="52"/>
      <c r="Z207" s="52"/>
    </row>
    <row r="208">
      <c r="A208" s="52" t="str">
        <f>IFERROR(__xludf.DUMMYFUNCTION("""COMPUTED_VALUE"""),"reason::for::abandoning::the::change2")</f>
        <v>reason::for::abandoning::the::change2</v>
      </c>
      <c r="B208" s="52" t="str">
        <f>IFERROR(__xludf.DUMMYFUNCTION("""COMPUTED_VALUE"""),"Database-related issue, Network issue, Permission/deprecation issue, Test code-related issue")</f>
        <v>Database-related issue, Network issue, Permission/deprecation issue, Test code-related issue</v>
      </c>
      <c r="C208" s="52"/>
      <c r="D208" s="52" t="str">
        <f>IFERROR(__xludf.DUMMYFUNCTION("""COMPUTED_VALUE"""),"no::backporting::(feature::only::in::next::version)")</f>
        <v>no::backporting::(feature::only::in::next::version)</v>
      </c>
      <c r="E208" s="52"/>
      <c r="F208" s="52" t="str">
        <f>IFERROR(__xludf.DUMMYFUNCTION("""COMPUTED_VALUE"""),"informing::found::another::reasong::for::bug")</f>
        <v>informing::found::another::reasong::for::bug</v>
      </c>
      <c r="G208" s="52"/>
      <c r="H208" s="52"/>
      <c r="I208" s="52"/>
      <c r="J208" s="52"/>
      <c r="K208" s="52"/>
      <c r="L208" s="52"/>
      <c r="M208" s="52"/>
      <c r="N208" s="52"/>
      <c r="O208" s="52"/>
      <c r="P208" s="52" t="str">
        <f>IFERROR(__xludf.DUMMYFUNCTION("""COMPUTED_VALUE"""),"asking::clarification::about::code::(test::possible::change)")</f>
        <v>asking::clarification::about::code::(test::possible::change)</v>
      </c>
      <c r="Q208" s="52"/>
      <c r="R208" s="52"/>
      <c r="S208" s="52"/>
      <c r="T208" s="52"/>
      <c r="U208" s="52"/>
      <c r="V208" s="52"/>
      <c r="W208" s="52"/>
      <c r="X208" s="52"/>
      <c r="Y208" s="52"/>
      <c r="Z208" s="52"/>
    </row>
    <row r="209">
      <c r="A209" s="52" t="str">
        <f>IFERROR(__xludf.DUMMYFUNCTION("""COMPUTED_VALUE"""),"reason::for::abandoning::the::change3")</f>
        <v>reason::for::abandoning::the::change3</v>
      </c>
      <c r="B209" s="52" t="str">
        <f>IFERROR(__xludf.DUMMYFUNCTION("""COMPUTED_VALUE"""),"Database-related issue, Network issue, Program anomaly issue, Test code-related issue")</f>
        <v>Database-related issue, Network issue, Program anomaly issue, Test code-related issue</v>
      </c>
      <c r="C209" s="52"/>
      <c r="D209" s="52" t="str">
        <f>IFERROR(__xludf.DUMMYFUNCTION("""COMPUTED_VALUE"""),"not::meeting::deadline")</f>
        <v>not::meeting::deadline</v>
      </c>
      <c r="E209" s="52"/>
      <c r="F209" s="52" t="str">
        <f>IFERROR(__xludf.DUMMYFUNCTION("""COMPUTED_VALUE"""),"informing::functionallity::(current::code)::interaction::between::projects")</f>
        <v>informing::functionallity::(current::code)::interaction::between::projects</v>
      </c>
      <c r="G209" s="52"/>
      <c r="H209" s="52"/>
      <c r="I209" s="52"/>
      <c r="J209" s="52"/>
      <c r="K209" s="52"/>
      <c r="L209" s="52"/>
      <c r="M209" s="52"/>
      <c r="N209" s="52"/>
      <c r="O209" s="52"/>
      <c r="P209" s="52" t="str">
        <f>IFERROR(__xludf.DUMMYFUNCTION("""COMPUTED_VALUE"""),"asking::clarification::about::code::(tests::result::specific::case)")</f>
        <v>asking::clarification::about::code::(tests::result::specific::case)</v>
      </c>
      <c r="Q209" s="52"/>
      <c r="R209" s="52"/>
      <c r="S209" s="52"/>
      <c r="T209" s="52"/>
      <c r="U209" s="52"/>
      <c r="V209" s="52"/>
      <c r="W209" s="52"/>
      <c r="X209" s="52"/>
      <c r="Y209" s="52"/>
      <c r="Z209" s="52"/>
    </row>
    <row r="210">
      <c r="A210" s="52" t="str">
        <f>IFERROR(__xludf.DUMMYFUNCTION("""COMPUTED_VALUE"""),"reason::of::the::bug")</f>
        <v>reason::of::the::bug</v>
      </c>
      <c r="B210" s="52" t="str">
        <f>IFERROR(__xludf.DUMMYFUNCTION("""COMPUTED_VALUE"""),"Database-related issue, Network issue, Security issue, Program anomaly issue")</f>
        <v>Database-related issue, Network issue, Security issue, Program anomaly issue</v>
      </c>
      <c r="C210" s="52"/>
      <c r="D210" s="52" t="str">
        <f>IFERROR(__xludf.DUMMYFUNCTION("""COMPUTED_VALUE"""),"not::yet::approved")</f>
        <v>not::yet::approved</v>
      </c>
      <c r="E210" s="52"/>
      <c r="F210" s="52" t="str">
        <f>IFERROR(__xludf.DUMMYFUNCTION("""COMPUTED_VALUE"""),"informing::functionallity::(current::code)::previous::related::developments")</f>
        <v>informing::functionallity::(current::code)::previous::related::developments</v>
      </c>
      <c r="G210" s="52"/>
      <c r="H210" s="52"/>
      <c r="I210" s="52"/>
      <c r="J210" s="52"/>
      <c r="K210" s="52"/>
      <c r="L210" s="52"/>
      <c r="M210" s="52"/>
      <c r="N210" s="52"/>
      <c r="O210" s="52"/>
      <c r="P210" s="52" t="str">
        <f>IFERROR(__xludf.DUMMYFUNCTION("""COMPUTED_VALUE"""),"asking::clarification::about::code::(types)")</f>
        <v>asking::clarification::about::code::(types)</v>
      </c>
      <c r="Q210" s="52"/>
      <c r="R210" s="52"/>
      <c r="S210" s="52"/>
      <c r="T210" s="52"/>
      <c r="U210" s="52"/>
      <c r="V210" s="52"/>
      <c r="W210" s="52"/>
      <c r="X210" s="52"/>
      <c r="Y210" s="52"/>
      <c r="Z210" s="52"/>
    </row>
    <row r="211">
      <c r="A211" s="52" t="str">
        <f>IFERROR(__xludf.DUMMYFUNCTION("""COMPUTED_VALUE"""),"reason::of::the::bug::disagreeing::with::previous::given::reason")</f>
        <v>reason::of::the::bug::disagreeing::with::previous::given::reason</v>
      </c>
      <c r="B211" s="52" t="str">
        <f>IFERROR(__xludf.DUMMYFUNCTION("""COMPUTED_VALUE"""),"Database-related issue, Network issue, Security issue, Test code-related issue")</f>
        <v>Database-related issue, Network issue, Security issue, Test code-related issue</v>
      </c>
      <c r="C211" s="52"/>
      <c r="D211" s="52" t="str">
        <f>IFERROR(__xludf.DUMMYFUNCTION("""COMPUTED_VALUE"""),"objection::closing::issue")</f>
        <v>objection::closing::issue</v>
      </c>
      <c r="E211" s="52"/>
      <c r="F211" s="52" t="str">
        <f>IFERROR(__xludf.DUMMYFUNCTION("""COMPUTED_VALUE"""),"informing::functionallity::limitations::(current::code)::interaction::between::projects")</f>
        <v>informing::functionallity::limitations::(current::code)::interaction::between::projects</v>
      </c>
      <c r="G211" s="52"/>
      <c r="H211" s="52"/>
      <c r="I211" s="52"/>
      <c r="J211" s="52"/>
      <c r="K211" s="52"/>
      <c r="L211" s="52"/>
      <c r="M211" s="52"/>
      <c r="N211" s="52"/>
      <c r="O211" s="52"/>
      <c r="P211" s="52" t="str">
        <f>IFERROR(__xludf.DUMMYFUNCTION("""COMPUTED_VALUE"""),"asking::clarification::about::code::(unnecesary::loop)")</f>
        <v>asking::clarification::about::code::(unnecesary::loop)</v>
      </c>
      <c r="Q211" s="52"/>
      <c r="R211" s="52"/>
      <c r="S211" s="52"/>
      <c r="T211" s="52"/>
      <c r="U211" s="52"/>
      <c r="V211" s="52"/>
      <c r="W211" s="52"/>
      <c r="X211" s="52"/>
      <c r="Y211" s="52"/>
      <c r="Z211" s="52"/>
    </row>
    <row r="212">
      <c r="A212" s="52" t="str">
        <f>IFERROR(__xludf.DUMMYFUNCTION("""COMPUTED_VALUE"""),"reason::of::the::continuation::of::bug::after::fix")</f>
        <v>reason::of::the::continuation::of::bug::after::fix</v>
      </c>
      <c r="B212" s="52" t="str">
        <f>IFERROR(__xludf.DUMMYFUNCTION("""COMPUTED_VALUE"""),"Database-related issue, Performance issue, Permission/deprecation issue, Program anomaly issue")</f>
        <v>Database-related issue, Performance issue, Permission/deprecation issue, Program anomaly issue</v>
      </c>
      <c r="C212" s="52"/>
      <c r="D212" s="52" t="str">
        <f>IFERROR(__xludf.DUMMYFUNCTION("""COMPUTED_VALUE"""),"objection::proposal::of::possible::solution")</f>
        <v>objection::proposal::of::possible::solution</v>
      </c>
      <c r="E212" s="52"/>
      <c r="F212" s="52" t="str">
        <f>IFERROR(__xludf.DUMMYFUNCTION("""COMPUTED_VALUE"""),"informing::good::clarification::of::design")</f>
        <v>informing::good::clarification::of::design</v>
      </c>
      <c r="G212" s="52"/>
      <c r="H212" s="52"/>
      <c r="I212" s="52"/>
      <c r="J212" s="52"/>
      <c r="K212" s="52"/>
      <c r="L212" s="52"/>
      <c r="M212" s="52"/>
      <c r="N212" s="52"/>
      <c r="O212" s="52"/>
      <c r="P212" s="52" t="str">
        <f>IFERROR(__xludf.DUMMYFUNCTION("""COMPUTED_VALUE"""),"asking::clarification::about::code::(unnecesary::method::calling)")</f>
        <v>asking::clarification::about::code::(unnecesary::method::calling)</v>
      </c>
      <c r="Q212" s="52"/>
      <c r="R212" s="52"/>
      <c r="S212" s="52"/>
      <c r="T212" s="52"/>
      <c r="U212" s="52"/>
      <c r="V212" s="52"/>
      <c r="W212" s="52"/>
      <c r="X212" s="52"/>
      <c r="Y212" s="52"/>
      <c r="Z212" s="52"/>
    </row>
    <row r="213">
      <c r="A213" s="52" t="str">
        <f>IFERROR(__xludf.DUMMYFUNCTION("""COMPUTED_VALUE"""),"reason::of::the::regression")</f>
        <v>reason::of::the::regression</v>
      </c>
      <c r="B213" s="52" t="str">
        <f>IFERROR(__xludf.DUMMYFUNCTION("""COMPUTED_VALUE"""),"Database-related issue, Performance issue, Permission/deprecation issue, Security issue")</f>
        <v>Database-related issue, Performance issue, Permission/deprecation issue, Security issue</v>
      </c>
      <c r="C213" s="52"/>
      <c r="D213" s="52" t="str">
        <f>IFERROR(__xludf.DUMMYFUNCTION("""COMPUTED_VALUE"""),"outdated::behaviour")</f>
        <v>outdated::behaviour</v>
      </c>
      <c r="E213" s="52"/>
      <c r="F213" s="52" t="str">
        <f>IFERROR(__xludf.DUMMYFUNCTION("""COMPUTED_VALUE"""),"informing::improvement::(live::migration)")</f>
        <v>informing::improvement::(live::migration)</v>
      </c>
      <c r="G213" s="52"/>
      <c r="H213" s="52"/>
      <c r="I213" s="52"/>
      <c r="J213" s="52"/>
      <c r="K213" s="52"/>
      <c r="L213" s="52"/>
      <c r="M213" s="52"/>
      <c r="N213" s="52"/>
      <c r="O213" s="52"/>
      <c r="P213" s="52" t="str">
        <f>IFERROR(__xludf.DUMMYFUNCTION("""COMPUTED_VALUE"""),"asking::clarification::about::code::(unnecesary::parentheses)")</f>
        <v>asking::clarification::about::code::(unnecesary::parentheses)</v>
      </c>
      <c r="Q213" s="52"/>
      <c r="R213" s="52"/>
      <c r="S213" s="52"/>
      <c r="T213" s="52"/>
      <c r="U213" s="52"/>
      <c r="V213" s="52"/>
      <c r="W213" s="52"/>
      <c r="X213" s="52"/>
      <c r="Y213" s="52"/>
      <c r="Z213" s="52"/>
    </row>
    <row r="214">
      <c r="A214" s="52" t="str">
        <f>IFERROR(__xludf.DUMMYFUNCTION("""COMPUTED_VALUE"""),"reason::of::why::the::persistent::bug::could::be:.a::different/another::bug")</f>
        <v>reason::of::why::the::persistent::bug::could::be:.a::different/another::bug</v>
      </c>
      <c r="B214" s="52" t="str">
        <f>IFERROR(__xludf.DUMMYFUNCTION("""COMPUTED_VALUE"""),"Database-related issue, Performance issue, Permission/deprecation issue, Test code-related issue")</f>
        <v>Database-related issue, Performance issue, Permission/deprecation issue, Test code-related issue</v>
      </c>
      <c r="C214" s="52"/>
      <c r="D214" s="52" t="str">
        <f>IFERROR(__xludf.DUMMYFUNCTION("""COMPUTED_VALUE"""),"partial::implementation")</f>
        <v>partial::implementation</v>
      </c>
      <c r="E214" s="52"/>
      <c r="F214" s="52" t="str">
        <f>IFERROR(__xludf.DUMMYFUNCTION("""COMPUTED_VALUE"""),"informing::in::favor::(ffe)")</f>
        <v>informing::in::favor::(ffe)</v>
      </c>
      <c r="G214" s="52"/>
      <c r="H214" s="52"/>
      <c r="I214" s="52"/>
      <c r="J214" s="52"/>
      <c r="K214" s="52"/>
      <c r="L214" s="52"/>
      <c r="M214" s="52"/>
      <c r="N214" s="52"/>
      <c r="O214" s="52"/>
      <c r="P214" s="52" t="str">
        <f>IFERROR(__xludf.DUMMYFUNCTION("""COMPUTED_VALUE"""),"asking::clarification::about::config")</f>
        <v>asking::clarification::about::config</v>
      </c>
      <c r="Q214" s="52"/>
      <c r="R214" s="52"/>
      <c r="S214" s="52"/>
      <c r="T214" s="52"/>
      <c r="U214" s="52"/>
      <c r="V214" s="52"/>
      <c r="W214" s="52"/>
      <c r="X214" s="52"/>
      <c r="Y214" s="52"/>
      <c r="Z214" s="52"/>
    </row>
    <row r="215">
      <c r="A215" s="52" t="str">
        <f>IFERROR(__xludf.DUMMYFUNCTION("""COMPUTED_VALUE"""),"reason::why::the::suggested::solution::for::regression::can::not::be::conducted")</f>
        <v>reason::why::the::suggested::solution::for::regression::can::not::be::conducted</v>
      </c>
      <c r="B215" s="52" t="str">
        <f>IFERROR(__xludf.DUMMYFUNCTION("""COMPUTED_VALUE"""),"Database-related issue, Performance issue, Program anomaly issue, Test code-related issue")</f>
        <v>Database-related issue, Performance issue, Program anomaly issue, Test code-related issue</v>
      </c>
      <c r="C215" s="52"/>
      <c r="D215" s="52" t="str">
        <f>IFERROR(__xludf.DUMMYFUNCTION("""COMPUTED_VALUE"""),"partially::deferred::to::later::release1")</f>
        <v>partially::deferred::to::later::release1</v>
      </c>
      <c r="E215" s="52"/>
      <c r="F215" s="52" t="str">
        <f>IFERROR(__xludf.DUMMYFUNCTION("""COMPUTED_VALUE"""),"informing::in::favour::(fix)")</f>
        <v>informing::in::favour::(fix)</v>
      </c>
      <c r="G215" s="52"/>
      <c r="H215" s="52"/>
      <c r="I215" s="52"/>
      <c r="J215" s="52"/>
      <c r="K215" s="52"/>
      <c r="L215" s="52"/>
      <c r="M215" s="52"/>
      <c r="N215" s="52"/>
      <c r="O215" s="52"/>
      <c r="P215" s="52" t="str">
        <f>IFERROR(__xludf.DUMMYFUNCTION("""COMPUTED_VALUE"""),"asking::clarification::about::config::(fixed::values)")</f>
        <v>asking::clarification::about::config::(fixed::values)</v>
      </c>
      <c r="Q215" s="52"/>
      <c r="R215" s="52"/>
      <c r="S215" s="52"/>
      <c r="T215" s="52"/>
      <c r="U215" s="52"/>
      <c r="V215" s="52"/>
      <c r="W215" s="52"/>
      <c r="X215" s="52"/>
      <c r="Y215" s="52"/>
      <c r="Z215" s="52"/>
    </row>
    <row r="216">
      <c r="A216" s="52" t="str">
        <f>IFERROR(__xludf.DUMMYFUNCTION("""COMPUTED_VALUE"""),"referes::to::mailinglist")</f>
        <v>referes::to::mailinglist</v>
      </c>
      <c r="B216" s="52" t="str">
        <f>IFERROR(__xludf.DUMMYFUNCTION("""COMPUTED_VALUE"""),"Database-related issue, Performance issue, Security issue, Program anomaly issue")</f>
        <v>Database-related issue, Performance issue, Security issue, Program anomaly issue</v>
      </c>
      <c r="C216" s="52"/>
      <c r="D216" s="52" t="str">
        <f>IFERROR(__xludf.DUMMYFUNCTION("""COMPUTED_VALUE"""),"partially::deferred::to::later::release2")</f>
        <v>partially::deferred::to::later::release2</v>
      </c>
      <c r="E216" s="52"/>
      <c r="F216" s="52" t="str">
        <f>IFERROR(__xludf.DUMMYFUNCTION("""COMPUTED_VALUE"""),"informing::in::favour::(merge)")</f>
        <v>informing::in::favour::(merge)</v>
      </c>
      <c r="G216" s="52"/>
      <c r="H216" s="52"/>
      <c r="I216" s="52"/>
      <c r="J216" s="52"/>
      <c r="K216" s="52"/>
      <c r="L216" s="52"/>
      <c r="M216" s="52"/>
      <c r="N216" s="52"/>
      <c r="O216" s="52"/>
      <c r="P216" s="52" t="str">
        <f>IFERROR(__xludf.DUMMYFUNCTION("""COMPUTED_VALUE"""),"asking::clarification::about::dependencies")</f>
        <v>asking::clarification::about::dependencies</v>
      </c>
      <c r="Q216" s="52"/>
      <c r="R216" s="52"/>
      <c r="S216" s="52"/>
      <c r="T216" s="52"/>
      <c r="U216" s="52"/>
      <c r="V216" s="52"/>
      <c r="W216" s="52"/>
      <c r="X216" s="52"/>
      <c r="Y216" s="52"/>
      <c r="Z216" s="52"/>
    </row>
    <row r="217">
      <c r="A217" s="52" t="str">
        <f>IFERROR(__xludf.DUMMYFUNCTION("""COMPUTED_VALUE"""),"regression::identified")</f>
        <v>regression::identified</v>
      </c>
      <c r="B217" s="52" t="str">
        <f>IFERROR(__xludf.DUMMYFUNCTION("""COMPUTED_VALUE"""),"Database-related issue, Performance issue, Security issue, Test code-related issue")</f>
        <v>Database-related issue, Performance issue, Security issue, Test code-related issue</v>
      </c>
      <c r="C217" s="52"/>
      <c r="D217" s="52" t="str">
        <f>IFERROR(__xludf.DUMMYFUNCTION("""COMPUTED_VALUE"""),"points::out::inconsistent::behaviour")</f>
        <v>points::out::inconsistent::behaviour</v>
      </c>
      <c r="E217" s="52"/>
      <c r="F217" s="52" t="str">
        <f>IFERROR(__xludf.DUMMYFUNCTION("""COMPUTED_VALUE"""),"informing::low::interest::(by::devs::of::related::project)")</f>
        <v>informing::low::interest::(by::devs::of::related::project)</v>
      </c>
      <c r="G217" s="52"/>
      <c r="H217" s="52"/>
      <c r="I217" s="52"/>
      <c r="J217" s="52"/>
      <c r="K217" s="52"/>
      <c r="L217" s="52"/>
      <c r="M217" s="52"/>
      <c r="N217" s="52"/>
      <c r="O217" s="52"/>
      <c r="P217" s="52" t="str">
        <f>IFERROR(__xludf.DUMMYFUNCTION("""COMPUTED_VALUE"""),"asking::clarification::about::dependency")</f>
        <v>asking::clarification::about::dependency</v>
      </c>
      <c r="Q217" s="52"/>
      <c r="R217" s="52"/>
      <c r="S217" s="52"/>
      <c r="T217" s="52"/>
      <c r="U217" s="52"/>
      <c r="V217" s="52"/>
      <c r="W217" s="52"/>
      <c r="X217" s="52"/>
      <c r="Y217" s="52"/>
      <c r="Z217" s="52"/>
    </row>
    <row r="218">
      <c r="A218" s="52" t="str">
        <f>IFERROR(__xludf.DUMMYFUNCTION("""COMPUTED_VALUE"""),"regression::identified::while::solving::the::bug")</f>
        <v>regression::identified::while::solving::the::bug</v>
      </c>
      <c r="B218" s="52" t="str">
        <f>IFERROR(__xludf.DUMMYFUNCTION("""COMPUTED_VALUE"""),"Database-related issue, Permission/deprecation issue, Program anomaly issue, Test code-related issue")</f>
        <v>Database-related issue, Permission/deprecation issue, Program anomaly issue, Test code-related issue</v>
      </c>
      <c r="C218" s="52"/>
      <c r="D218" s="52" t="str">
        <f>IFERROR(__xludf.DUMMYFUNCTION("""COMPUTED_VALUE"""),"preceeding::change::(revision::hash)")</f>
        <v>preceeding::change::(revision::hash)</v>
      </c>
      <c r="E218" s="52"/>
      <c r="F218" s="52" t="str">
        <f>IFERROR(__xludf.DUMMYFUNCTION("""COMPUTED_VALUE"""),"informing::preference::implementation::timeframe::(sooner::than::later)")</f>
        <v>informing::preference::implementation::timeframe::(sooner::than::later)</v>
      </c>
      <c r="G218" s="52"/>
      <c r="H218" s="52"/>
      <c r="I218" s="52"/>
      <c r="J218" s="52"/>
      <c r="K218" s="52"/>
      <c r="L218" s="52"/>
      <c r="M218" s="52"/>
      <c r="N218" s="52"/>
      <c r="O218" s="52"/>
      <c r="P218" s="52" t="str">
        <f>IFERROR(__xludf.DUMMYFUNCTION("""COMPUTED_VALUE"""),"asking::clarification::about::dependency::(api::version)")</f>
        <v>asking::clarification::about::dependency::(api::version)</v>
      </c>
      <c r="Q218" s="52"/>
      <c r="R218" s="52"/>
      <c r="S218" s="52"/>
      <c r="T218" s="52"/>
      <c r="U218" s="52"/>
      <c r="V218" s="52"/>
      <c r="W218" s="52"/>
      <c r="X218" s="52"/>
      <c r="Y218" s="52"/>
      <c r="Z218" s="52"/>
    </row>
    <row r="219">
      <c r="A219" s="52" t="str">
        <f>IFERROR(__xludf.DUMMYFUNCTION("""COMPUTED_VALUE"""),"related::release::hash::commit")</f>
        <v>related::release::hash::commit</v>
      </c>
      <c r="B219" s="52" t="str">
        <f>IFERROR(__xludf.DUMMYFUNCTION("""COMPUTED_VALUE"""),"Database-related issue, Permission/deprecation issue, Security issue, Program anomaly issue")</f>
        <v>Database-related issue, Permission/deprecation issue, Security issue, Program anomaly issue</v>
      </c>
      <c r="C219" s="52"/>
      <c r="D219" s="52" t="str">
        <f>IFERROR(__xludf.DUMMYFUNCTION("""COMPUTED_VALUE"""),"preceeding::feature")</f>
        <v>preceeding::feature</v>
      </c>
      <c r="E219" s="52"/>
      <c r="F219" s="52" t="str">
        <f>IFERROR(__xludf.DUMMYFUNCTION("""COMPUTED_VALUE"""),"informing::previous::decision")</f>
        <v>informing::previous::decision</v>
      </c>
      <c r="G219" s="52"/>
      <c r="H219" s="52"/>
      <c r="I219" s="52"/>
      <c r="J219" s="52"/>
      <c r="K219" s="52"/>
      <c r="L219" s="52"/>
      <c r="M219" s="52"/>
      <c r="N219" s="52"/>
      <c r="O219" s="52"/>
      <c r="P219" s="52" t="str">
        <f>IFERROR(__xludf.DUMMYFUNCTION("""COMPUTED_VALUE"""),"asking::clarification::about::documentation")</f>
        <v>asking::clarification::about::documentation</v>
      </c>
      <c r="Q219" s="52"/>
      <c r="R219" s="52"/>
      <c r="S219" s="52"/>
      <c r="T219" s="52"/>
      <c r="U219" s="52"/>
      <c r="V219" s="52"/>
      <c r="W219" s="52"/>
      <c r="X219" s="52"/>
      <c r="Y219" s="52"/>
      <c r="Z219" s="52"/>
    </row>
    <row r="220">
      <c r="A220" s="52" t="str">
        <f>IFERROR(__xludf.DUMMYFUNCTION("""COMPUTED_VALUE"""),"relevance::of::previous::attachments")</f>
        <v>relevance::of::previous::attachments</v>
      </c>
      <c r="B220" s="52" t="str">
        <f>IFERROR(__xludf.DUMMYFUNCTION("""COMPUTED_VALUE"""),"Database-related issue, Permission/deprecation issue, Security issue, Test code-related issue")</f>
        <v>Database-related issue, Permission/deprecation issue, Security issue, Test code-related issue</v>
      </c>
      <c r="C220" s="52"/>
      <c r="D220" s="52" t="str">
        <f>IFERROR(__xludf.DUMMYFUNCTION("""COMPUTED_VALUE"""),"priority::justification")</f>
        <v>priority::justification</v>
      </c>
      <c r="E220" s="52"/>
      <c r="F220" s="52" t="str">
        <f>IFERROR(__xludf.DUMMYFUNCTION("""COMPUTED_VALUE"""),"informing::previous::experience::with::topic")</f>
        <v>informing::previous::experience::with::topic</v>
      </c>
      <c r="G220" s="52"/>
      <c r="H220" s="52"/>
      <c r="I220" s="52"/>
      <c r="J220" s="52"/>
      <c r="K220" s="52"/>
      <c r="L220" s="52"/>
      <c r="M220" s="52"/>
      <c r="N220" s="52"/>
      <c r="O220" s="52"/>
      <c r="P220" s="52" t="str">
        <f>IFERROR(__xludf.DUMMYFUNCTION("""COMPUTED_VALUE"""),"asking::clarification::about::project::(version)")</f>
        <v>asking::clarification::about::project::(version)</v>
      </c>
      <c r="Q220" s="52"/>
      <c r="R220" s="52"/>
      <c r="S220" s="52"/>
      <c r="T220" s="52"/>
      <c r="U220" s="52"/>
      <c r="V220" s="52"/>
      <c r="W220" s="52"/>
      <c r="X220" s="52"/>
      <c r="Y220" s="52"/>
      <c r="Z220" s="52"/>
    </row>
    <row r="221">
      <c r="A221" s="52" t="str">
        <f>IFERROR(__xludf.DUMMYFUNCTION("""COMPUTED_VALUE"""),"reminder::bug::status::(still::active)")</f>
        <v>reminder::bug::status::(still::active)</v>
      </c>
      <c r="B221" s="52" t="str">
        <f>IFERROR(__xludf.DUMMYFUNCTION("""COMPUTED_VALUE"""),"Database-related issue, Security issue, Program anomaly issue, Test code-related issue")</f>
        <v>Database-related issue, Security issue, Program anomaly issue, Test code-related issue</v>
      </c>
      <c r="C221" s="52"/>
      <c r="D221" s="52" t="str">
        <f>IFERROR(__xludf.DUMMYFUNCTION("""COMPUTED_VALUE"""),"proposal::change::solution::design")</f>
        <v>proposal::change::solution::design</v>
      </c>
      <c r="E221" s="52"/>
      <c r="F221" s="52" t="str">
        <f>IFERROR(__xludf.DUMMYFUNCTION("""COMPUTED_VALUE"""),"informing::progress")</f>
        <v>informing::progress</v>
      </c>
      <c r="G221" s="52"/>
      <c r="H221" s="52"/>
      <c r="I221" s="52"/>
      <c r="J221" s="52"/>
      <c r="K221" s="52"/>
      <c r="L221" s="52"/>
      <c r="M221" s="52"/>
      <c r="N221" s="52"/>
      <c r="O221" s="52"/>
      <c r="P221" s="52" t="str">
        <f>IFERROR(__xludf.DUMMYFUNCTION("""COMPUTED_VALUE"""),"asking::clarification::about::question")</f>
        <v>asking::clarification::about::question</v>
      </c>
      <c r="Q221" s="52"/>
      <c r="R221" s="52"/>
      <c r="S221" s="52"/>
      <c r="T221" s="52"/>
      <c r="U221" s="52"/>
      <c r="V221" s="52"/>
      <c r="W221" s="52"/>
      <c r="X221" s="52"/>
      <c r="Y221" s="52"/>
      <c r="Z221" s="52"/>
    </row>
    <row r="222">
      <c r="A222" s="52" t="str">
        <f>IFERROR(__xludf.DUMMYFUNCTION("""COMPUTED_VALUE"""),"request::confimation::that::the::bug::is::duplicated::and::fixed")</f>
        <v>request::confimation::that::the::bug::is::duplicated::and::fixed</v>
      </c>
      <c r="B222" s="52" t="str">
        <f>IFERROR(__xludf.DUMMYFUNCTION("""COMPUTED_VALUE"""),"GUI-related issue, Network issue, Performance issue, Permission/deprecation issue")</f>
        <v>GUI-related issue, Network issue, Performance issue, Permission/deprecation issue</v>
      </c>
      <c r="C222" s="52"/>
      <c r="D222" s="52" t="str">
        <f>IFERROR(__xludf.DUMMYFUNCTION("""COMPUTED_VALUE"""),"proposal::change::solution::design::(additional::feature))")</f>
        <v>proposal::change::solution::design::(additional::feature))</v>
      </c>
      <c r="E222" s="52"/>
      <c r="F222" s="52" t="str">
        <f>IFERROR(__xludf.DUMMYFUNCTION("""COMPUTED_VALUE"""),"informing::progress::(tests)")</f>
        <v>informing::progress::(tests)</v>
      </c>
      <c r="G222" s="52"/>
      <c r="H222" s="52"/>
      <c r="I222" s="52"/>
      <c r="J222" s="52"/>
      <c r="K222" s="52"/>
      <c r="L222" s="52"/>
      <c r="M222" s="52"/>
      <c r="N222" s="52"/>
      <c r="O222" s="52"/>
      <c r="P222" s="52" t="str">
        <f>IFERROR(__xludf.DUMMYFUNCTION("""COMPUTED_VALUE"""),"asking::clarification::about::suggestion")</f>
        <v>asking::clarification::about::suggestion</v>
      </c>
      <c r="Q222" s="52"/>
      <c r="R222" s="52"/>
      <c r="S222" s="52"/>
      <c r="T222" s="52"/>
      <c r="U222" s="52"/>
      <c r="V222" s="52"/>
      <c r="W222" s="52"/>
      <c r="X222" s="52"/>
      <c r="Y222" s="52"/>
      <c r="Z222" s="52"/>
    </row>
    <row r="223">
      <c r="A223" s="52" t="str">
        <f>IFERROR(__xludf.DUMMYFUNCTION("""COMPUTED_VALUE"""),"request::steps::for::reproducing")</f>
        <v>request::steps::for::reproducing</v>
      </c>
      <c r="B223" s="52" t="str">
        <f>IFERROR(__xludf.DUMMYFUNCTION("""COMPUTED_VALUE"""),"GUI-related issue, Network issue, Performance issue, Program anomaly issue")</f>
        <v>GUI-related issue, Network issue, Performance issue, Program anomaly issue</v>
      </c>
      <c r="C223" s="52"/>
      <c r="D223" s="52" t="str">
        <f>IFERROR(__xludf.DUMMYFUNCTION("""COMPUTED_VALUE"""),"proposal::change::solution::design::(leave::as::is)")</f>
        <v>proposal::change::solution::design::(leave::as::is)</v>
      </c>
      <c r="E223" s="52"/>
      <c r="F223" s="52" t="str">
        <f>IFERROR(__xludf.DUMMYFUNCTION("""COMPUTED_VALUE"""),"informing::prove::of::concept")</f>
        <v>informing::prove::of::concept</v>
      </c>
      <c r="G223" s="52"/>
      <c r="H223" s="52"/>
      <c r="I223" s="52"/>
      <c r="J223" s="52"/>
      <c r="K223" s="52"/>
      <c r="L223" s="52"/>
      <c r="M223" s="52"/>
      <c r="N223" s="52"/>
      <c r="O223" s="52"/>
      <c r="P223" s="52" t="str">
        <f>IFERROR(__xludf.DUMMYFUNCTION("""COMPUTED_VALUE"""),"asking::clarification::about::suggestion::(logging)")</f>
        <v>asking::clarification::about::suggestion::(logging)</v>
      </c>
      <c r="Q223" s="52"/>
      <c r="R223" s="52"/>
      <c r="S223" s="52"/>
      <c r="T223" s="52"/>
      <c r="U223" s="52"/>
      <c r="V223" s="52"/>
      <c r="W223" s="52"/>
      <c r="X223" s="52"/>
      <c r="Y223" s="52"/>
      <c r="Z223" s="52"/>
    </row>
    <row r="224">
      <c r="A224" s="52" t="str">
        <f>IFERROR(__xludf.DUMMYFUNCTION("""COMPUTED_VALUE"""),"request::steps::for::reproducing::(more::information)")</f>
        <v>request::steps::for::reproducing::(more::information)</v>
      </c>
      <c r="B224" s="52" t="str">
        <f>IFERROR(__xludf.DUMMYFUNCTION("""COMPUTED_VALUE"""),"GUI-related issue, Network issue, Performance issue, Security issue")</f>
        <v>GUI-related issue, Network issue, Performance issue, Security issue</v>
      </c>
      <c r="C224" s="52"/>
      <c r="D224" s="52" t="str">
        <f>IFERROR(__xludf.DUMMYFUNCTION("""COMPUTED_VALUE"""),"proposal::change::solution::design::(minor)1")</f>
        <v>proposal::change::solution::design::(minor)1</v>
      </c>
      <c r="E224" s="52"/>
      <c r="F224" s="52" t="str">
        <f>IFERROR(__xludf.DUMMYFUNCTION("""COMPUTED_VALUE"""),"informing::refactoring")</f>
        <v>informing::refactoring</v>
      </c>
      <c r="G224" s="52"/>
      <c r="H224" s="52"/>
      <c r="I224" s="52"/>
      <c r="J224" s="52"/>
      <c r="K224" s="52"/>
      <c r="L224" s="52"/>
      <c r="M224" s="52"/>
      <c r="N224" s="52"/>
      <c r="O224" s="52"/>
      <c r="P224" s="52" t="str">
        <f>IFERROR(__xludf.DUMMYFUNCTION("""COMPUTED_VALUE"""),"asking::clarification::about::suggestion::(logic)")</f>
        <v>asking::clarification::about::suggestion::(logic)</v>
      </c>
      <c r="Q224" s="52"/>
      <c r="R224" s="52"/>
      <c r="S224" s="52"/>
      <c r="T224" s="52"/>
      <c r="U224" s="52"/>
      <c r="V224" s="52"/>
      <c r="W224" s="52"/>
      <c r="X224" s="52"/>
      <c r="Y224" s="52"/>
      <c r="Z224" s="52"/>
    </row>
    <row r="225">
      <c r="A225" s="52" t="str">
        <f>IFERROR(__xludf.DUMMYFUNCTION("""COMPUTED_VALUE"""),"request::to::check::if::an::attached::review::solve::the::bug")</f>
        <v>request::to::check::if::an::attached::review::solve::the::bug</v>
      </c>
      <c r="B225" s="52" t="str">
        <f>IFERROR(__xludf.DUMMYFUNCTION("""COMPUTED_VALUE"""),"GUI-related issue, Network issue, Performance issue, Test code-related issue")</f>
        <v>GUI-related issue, Network issue, Performance issue, Test code-related issue</v>
      </c>
      <c r="C225" s="52"/>
      <c r="D225" s="52" t="str">
        <f>IFERROR(__xludf.DUMMYFUNCTION("""COMPUTED_VALUE"""),"proposal::change::solution::design::(minor)2")</f>
        <v>proposal::change::solution::design::(minor)2</v>
      </c>
      <c r="E225" s="52"/>
      <c r="F225" s="52" t="str">
        <f>IFERROR(__xludf.DUMMYFUNCTION("""COMPUTED_VALUE"""),"informing::refactoring::required")</f>
        <v>informing::refactoring::required</v>
      </c>
      <c r="G225" s="52"/>
      <c r="H225" s="52"/>
      <c r="I225" s="52"/>
      <c r="J225" s="52"/>
      <c r="K225" s="52"/>
      <c r="L225" s="52"/>
      <c r="M225" s="52"/>
      <c r="N225" s="52"/>
      <c r="O225" s="52"/>
      <c r="P225" s="52" t="str">
        <f>IFERROR(__xludf.DUMMYFUNCTION("""COMPUTED_VALUE"""),"asking::clarification::change::(change::method)")</f>
        <v>asking::clarification::change::(change::method)</v>
      </c>
      <c r="Q225" s="52"/>
      <c r="R225" s="52"/>
      <c r="S225" s="52"/>
      <c r="T225" s="52"/>
      <c r="U225" s="52"/>
      <c r="V225" s="52"/>
      <c r="W225" s="52"/>
      <c r="X225" s="52"/>
      <c r="Y225" s="52"/>
      <c r="Z225" s="52"/>
    </row>
    <row r="226">
      <c r="A226" s="52" t="str">
        <f>IFERROR(__xludf.DUMMYFUNCTION("""COMPUTED_VALUE"""),"response::arguing::issue::fixed")</f>
        <v>response::arguing::issue::fixed</v>
      </c>
      <c r="B226" s="52" t="str">
        <f>IFERROR(__xludf.DUMMYFUNCTION("""COMPUTED_VALUE"""),"GUI-related issue, Network issue, Permission/deprecation issue, Program anomaly issue")</f>
        <v>GUI-related issue, Network issue, Permission/deprecation issue, Program anomaly issue</v>
      </c>
      <c r="C226" s="52"/>
      <c r="D226" s="52" t="str">
        <f>IFERROR(__xludf.DUMMYFUNCTION("""COMPUTED_VALUE"""),"proposal::change::solution::design::(minor)3")</f>
        <v>proposal::change::solution::design::(minor)3</v>
      </c>
      <c r="E226" s="52"/>
      <c r="F226" s="52" t="str">
        <f>IFERROR(__xludf.DUMMYFUNCTION("""COMPUTED_VALUE"""),"informing::where::bug::occures")</f>
        <v>informing::where::bug::occures</v>
      </c>
      <c r="G226" s="52"/>
      <c r="H226" s="52"/>
      <c r="I226" s="52"/>
      <c r="J226" s="52"/>
      <c r="K226" s="52"/>
      <c r="L226" s="52"/>
      <c r="M226" s="52"/>
      <c r="N226" s="52"/>
      <c r="O226" s="52"/>
      <c r="P226" s="52" t="str">
        <f>IFERROR(__xludf.DUMMYFUNCTION("""COMPUTED_VALUE"""),"asking::clarification::content::(commit::message)")</f>
        <v>asking::clarification::content::(commit::message)</v>
      </c>
      <c r="Q226" s="52"/>
      <c r="R226" s="52"/>
      <c r="S226" s="52"/>
      <c r="T226" s="52"/>
      <c r="U226" s="52"/>
      <c r="V226" s="52"/>
      <c r="W226" s="52"/>
      <c r="X226" s="52"/>
      <c r="Y226" s="52"/>
      <c r="Z226" s="52"/>
    </row>
    <row r="227">
      <c r="A227" s="52" t="str">
        <f>IFERROR(__xludf.DUMMYFUNCTION("""COMPUTED_VALUE"""),"response::arguing::issue::not::fixed")</f>
        <v>response::arguing::issue::not::fixed</v>
      </c>
      <c r="B227" s="52" t="str">
        <f>IFERROR(__xludf.DUMMYFUNCTION("""COMPUTED_VALUE"""),"GUI-related issue, Network issue, Permission/deprecation issue, Security issue")</f>
        <v>GUI-related issue, Network issue, Permission/deprecation issue, Security issue</v>
      </c>
      <c r="C227" s="52"/>
      <c r="D227" s="52" t="str">
        <f>IFERROR(__xludf.DUMMYFUNCTION("""COMPUTED_VALUE"""),"proposal::change::solution::design::(minor)4")</f>
        <v>proposal::change::solution::design::(minor)4</v>
      </c>
      <c r="E227" s="52"/>
      <c r="F227" s="52" t="str">
        <f>IFERROR(__xludf.DUMMYFUNCTION("""COMPUTED_VALUE"""),"informing::will::do::creation::(specification::new::API)")</f>
        <v>informing::will::do::creation::(specification::new::API)</v>
      </c>
      <c r="G227" s="52"/>
      <c r="H227" s="52"/>
      <c r="I227" s="52"/>
      <c r="J227" s="52"/>
      <c r="K227" s="52"/>
      <c r="L227" s="52"/>
      <c r="M227" s="52"/>
      <c r="N227" s="52"/>
      <c r="O227" s="52"/>
      <c r="P227" s="52" t="str">
        <f>IFERROR(__xludf.DUMMYFUNCTION("""COMPUTED_VALUE"""),"asking::clarification::developing::process::(added::wrong::commit::to::PR)")</f>
        <v>asking::clarification::developing::process::(added::wrong::commit::to::PR)</v>
      </c>
      <c r="Q227" s="52"/>
      <c r="R227" s="52"/>
      <c r="S227" s="52"/>
      <c r="T227" s="52"/>
      <c r="U227" s="52"/>
      <c r="V227" s="52"/>
      <c r="W227" s="52"/>
      <c r="X227" s="52"/>
      <c r="Y227" s="52"/>
      <c r="Z227" s="52"/>
    </row>
    <row r="228">
      <c r="A228" s="52" t="str">
        <f>IFERROR(__xludf.DUMMYFUNCTION("""COMPUTED_VALUE"""),"response::confirming::issue::existence")</f>
        <v>response::confirming::issue::existence</v>
      </c>
      <c r="B228" s="52" t="str">
        <f>IFERROR(__xludf.DUMMYFUNCTION("""COMPUTED_VALUE"""),"GUI-related issue, Network issue, Permission/deprecation issue, Test code-related issue")</f>
        <v>GUI-related issue, Network issue, Permission/deprecation issue, Test code-related issue</v>
      </c>
      <c r="C228" s="52"/>
      <c r="D228" s="52" t="str">
        <f>IFERROR(__xludf.DUMMYFUNCTION("""COMPUTED_VALUE"""),"proposal::for::backporting::change")</f>
        <v>proposal::for::backporting::change</v>
      </c>
      <c r="E228" s="52"/>
      <c r="F228" s="52" t="str">
        <f>IFERROR(__xludf.DUMMYFUNCTION("""COMPUTED_VALUE"""),"informing::will::investigate::(potential::downsides)")</f>
        <v>informing::will::investigate::(potential::downsides)</v>
      </c>
      <c r="G228" s="52"/>
      <c r="H228" s="52"/>
      <c r="I228" s="52"/>
      <c r="J228" s="52"/>
      <c r="K228" s="52"/>
      <c r="L228" s="52"/>
      <c r="M228" s="52"/>
      <c r="N228" s="52"/>
      <c r="O228" s="52"/>
      <c r="P228" s="52" t="str">
        <f>IFERROR(__xludf.DUMMYFUNCTION("""COMPUTED_VALUE"""),"asking::clarification::developing::process::(code::and::managment::of::patches)")</f>
        <v>asking::clarification::developing::process::(code::and::managment::of::patches)</v>
      </c>
      <c r="Q228" s="52"/>
      <c r="R228" s="52"/>
      <c r="S228" s="52"/>
      <c r="T228" s="52"/>
      <c r="U228" s="52"/>
      <c r="V228" s="52"/>
      <c r="W228" s="52"/>
      <c r="X228" s="52"/>
      <c r="Y228" s="52"/>
      <c r="Z228" s="52"/>
    </row>
    <row r="229">
      <c r="A229" s="52" t="str">
        <f>IFERROR(__xludf.DUMMYFUNCTION("""COMPUTED_VALUE"""),"response::confirms::workaround::working")</f>
        <v>response::confirms::workaround::working</v>
      </c>
      <c r="B229" s="52" t="str">
        <f>IFERROR(__xludf.DUMMYFUNCTION("""COMPUTED_VALUE"""),"GUI-related issue, Network issue, Program anomaly issue, Test code-related issue")</f>
        <v>GUI-related issue, Network issue, Program anomaly issue, Test code-related issue</v>
      </c>
      <c r="C229" s="52"/>
      <c r="D229" s="52" t="str">
        <f>IFERROR(__xludf.DUMMYFUNCTION("""COMPUTED_VALUE"""),"proposal::of::a::possible::fix::(code::in::text)")</f>
        <v>proposal::of::a::possible::fix::(code::in::text)</v>
      </c>
      <c r="E229" s="52"/>
      <c r="F229" s="52" t="str">
        <f>IFERROR(__xludf.DUMMYFUNCTION("""COMPUTED_VALUE"""),"informing::will::investigate::(specific::failures)")</f>
        <v>informing::will::investigate::(specific::failures)</v>
      </c>
      <c r="G229" s="52"/>
      <c r="H229" s="52"/>
      <c r="I229" s="52"/>
      <c r="J229" s="52"/>
      <c r="K229" s="52"/>
      <c r="L229" s="52"/>
      <c r="M229" s="52"/>
      <c r="N229" s="52"/>
      <c r="O229" s="52"/>
      <c r="P229" s="52" t="str">
        <f>IFERROR(__xludf.DUMMYFUNCTION("""COMPUTED_VALUE"""),"asking::clarification::developing::process::(need::to::file::BP)")</f>
        <v>asking::clarification::developing::process::(need::to::file::BP)</v>
      </c>
      <c r="Q229" s="52"/>
      <c r="R229" s="52"/>
      <c r="S229" s="52"/>
      <c r="T229" s="52"/>
      <c r="U229" s="52"/>
      <c r="V229" s="52"/>
      <c r="W229" s="52"/>
      <c r="X229" s="52"/>
      <c r="Y229" s="52"/>
      <c r="Z229" s="52"/>
    </row>
    <row r="230">
      <c r="A230" s="52" t="str">
        <f>IFERROR(__xludf.DUMMYFUNCTION("""COMPUTED_VALUE"""),"review::not::label::as::fix")</f>
        <v>review::not::label::as::fix</v>
      </c>
      <c r="B230" s="52" t="str">
        <f>IFERROR(__xludf.DUMMYFUNCTION("""COMPUTED_VALUE"""),"GUI-related issue, Network issue, Security issue, Program anomaly issue")</f>
        <v>GUI-related issue, Network issue, Security issue, Program anomaly issue</v>
      </c>
      <c r="C230" s="52"/>
      <c r="D230" s="52" t="str">
        <f>IFERROR(__xludf.DUMMYFUNCTION("""COMPUTED_VALUE"""),"proposal::of::a::possible::fix::(explanation)")</f>
        <v>proposal::of::a::possible::fix::(explanation)</v>
      </c>
      <c r="E230" s="52"/>
      <c r="F230" s="52" t="str">
        <f>IFERROR(__xludf.DUMMYFUNCTION("""COMPUTED_VALUE"""),"infroming::review::waiting::for::approval")</f>
        <v>infroming::review::waiting::for::approval</v>
      </c>
      <c r="G230" s="52"/>
      <c r="H230" s="52"/>
      <c r="I230" s="52"/>
      <c r="J230" s="52"/>
      <c r="K230" s="52"/>
      <c r="L230" s="52"/>
      <c r="M230" s="52"/>
      <c r="N230" s="52"/>
      <c r="O230" s="52"/>
      <c r="P230" s="52" t="str">
        <f>IFERROR(__xludf.DUMMYFUNCTION("""COMPUTED_VALUE"""),"asking::clarification::developing::process::(voting::approved::or::not)")</f>
        <v>asking::clarification::developing::process::(voting::approved::or::not)</v>
      </c>
      <c r="Q230" s="52"/>
      <c r="R230" s="52"/>
      <c r="S230" s="52"/>
      <c r="T230" s="52"/>
      <c r="U230" s="52"/>
      <c r="V230" s="52"/>
      <c r="W230" s="52"/>
      <c r="X230" s="52"/>
      <c r="Y230" s="52"/>
      <c r="Z230" s="52"/>
    </row>
    <row r="231">
      <c r="A231" s="52" t="str">
        <f>IFERROR(__xludf.DUMMYFUNCTION("""COMPUTED_VALUE"""),"similar::bug::(link::bug)")</f>
        <v>similar::bug::(link::bug)</v>
      </c>
      <c r="B231" s="52" t="str">
        <f>IFERROR(__xludf.DUMMYFUNCTION("""COMPUTED_VALUE"""),"GUI-related issue, Network issue, Security issue, Test code-related issue")</f>
        <v>GUI-related issue, Network issue, Security issue, Test code-related issue</v>
      </c>
      <c r="C231" s="52"/>
      <c r="D231" s="52" t="str">
        <f>IFERROR(__xludf.DUMMYFUNCTION("""COMPUTED_VALUE"""),"proposal::of::a::possible::fix::(explanation)::related::project")</f>
        <v>proposal::of::a::possible::fix::(explanation)::related::project</v>
      </c>
      <c r="E231" s="52"/>
      <c r="F231" s="52" t="str">
        <f>IFERROR(__xludf.DUMMYFUNCTION("""COMPUTED_VALUE"""),"interaction::of::different::projects::(nova::neutron)::with::the::change::introduced::by::the:BP")</f>
        <v>interaction::of::different::projects::(nova::neutron)::with::the::change::introduced::by::the:BP</v>
      </c>
      <c r="G231" s="52"/>
      <c r="H231" s="52"/>
      <c r="I231" s="52"/>
      <c r="J231" s="52"/>
      <c r="K231" s="52"/>
      <c r="L231" s="52"/>
      <c r="M231" s="52"/>
      <c r="N231" s="52"/>
      <c r="O231" s="52"/>
      <c r="P231" s="52" t="str">
        <f>IFERROR(__xludf.DUMMYFUNCTION("""COMPUTED_VALUE"""),"asking::clarification::intended::solution::design")</f>
        <v>asking::clarification::intended::solution::design</v>
      </c>
      <c r="Q231" s="52"/>
      <c r="R231" s="52"/>
      <c r="S231" s="52"/>
      <c r="T231" s="52"/>
      <c r="U231" s="52"/>
      <c r="V231" s="52"/>
      <c r="W231" s="52"/>
      <c r="X231" s="52"/>
      <c r="Y231" s="52"/>
      <c r="Z231" s="52"/>
    </row>
    <row r="232">
      <c r="A232" s="52" t="str">
        <f>IFERROR(__xludf.DUMMYFUNCTION("""COMPUTED_VALUE"""),"situation::where::the::bug::appears")</f>
        <v>situation::where::the::bug::appears</v>
      </c>
      <c r="B232" s="52" t="str">
        <f>IFERROR(__xludf.DUMMYFUNCTION("""COMPUTED_VALUE"""),"GUI-related issue, Performance issue, Permission/deprecation issue, Program anomaly issue")</f>
        <v>GUI-related issue, Performance issue, Permission/deprecation issue, Program anomaly issue</v>
      </c>
      <c r="C232" s="52"/>
      <c r="D232" s="52" t="str">
        <f>IFERROR(__xludf.DUMMYFUNCTION("""COMPUTED_VALUE"""),"proposal::of::a::possible::fix::(link::review)")</f>
        <v>proposal::of::a::possible::fix::(link::review)</v>
      </c>
      <c r="E232" s="52"/>
      <c r="F232" s="52" t="str">
        <f>IFERROR(__xludf.DUMMYFUNCTION("""COMPUTED_VALUE"""),"interest::on::details::about::the::alternative::enhancement::of::a::BP/feature::(external::developer)")</f>
        <v>interest::on::details::about::the::alternative::enhancement::of::a::BP/feature::(external::developer)</v>
      </c>
      <c r="G232" s="52"/>
      <c r="H232" s="52"/>
      <c r="I232" s="52"/>
      <c r="J232" s="52"/>
      <c r="K232" s="52"/>
      <c r="L232" s="52"/>
      <c r="M232" s="52"/>
      <c r="N232" s="52"/>
      <c r="O232" s="52"/>
      <c r="P232" s="52" t="str">
        <f>IFERROR(__xludf.DUMMYFUNCTION("""COMPUTED_VALUE"""),"asking::clarification::intended::test::design")</f>
        <v>asking::clarification::intended::test::design</v>
      </c>
      <c r="Q232" s="52"/>
      <c r="R232" s="52"/>
      <c r="S232" s="52"/>
      <c r="T232" s="52"/>
      <c r="U232" s="52"/>
      <c r="V232" s="52"/>
      <c r="W232" s="52"/>
      <c r="X232" s="52"/>
      <c r="Y232" s="52"/>
      <c r="Z232" s="52"/>
    </row>
    <row r="233">
      <c r="A233" s="52" t="str">
        <f>IFERROR(__xludf.DUMMYFUNCTION("""COMPUTED_VALUE"""),"solution::found")</f>
        <v>solution::found</v>
      </c>
      <c r="B233" s="52" t="str">
        <f>IFERROR(__xludf.DUMMYFUNCTION("""COMPUTED_VALUE"""),"GUI-related issue, Performance issue, Permission/deprecation issue, Security issue")</f>
        <v>GUI-related issue, Performance issue, Permission/deprecation issue, Security issue</v>
      </c>
      <c r="C233" s="52"/>
      <c r="D233" s="52" t="str">
        <f>IFERROR(__xludf.DUMMYFUNCTION("""COMPUTED_VALUE"""),"proposal::of::a::possible::fix::(link::review)::not::main::branch")</f>
        <v>proposal::of::a::possible::fix::(link::review)::not::main::branch</v>
      </c>
      <c r="E233" s="52"/>
      <c r="F233" s="52" t="str">
        <f>IFERROR(__xludf.DUMMYFUNCTION("""COMPUTED_VALUE"""),"interest::on::working::on::related::BP::(different::project)")</f>
        <v>interest::on::working::on::related::BP::(different::project)</v>
      </c>
      <c r="G233" s="52"/>
      <c r="H233" s="52"/>
      <c r="I233" s="52"/>
      <c r="J233" s="52"/>
      <c r="K233" s="52"/>
      <c r="L233" s="52"/>
      <c r="M233" s="52"/>
      <c r="N233" s="52"/>
      <c r="O233" s="52"/>
      <c r="P233" s="52" t="str">
        <f>IFERROR(__xludf.DUMMYFUNCTION("""COMPUTED_VALUE"""),"asking::clarification::log::(content::logging::misleading)")</f>
        <v>asking::clarification::log::(content::logging::misleading)</v>
      </c>
      <c r="Q233" s="52"/>
      <c r="R233" s="52"/>
      <c r="S233" s="52"/>
      <c r="T233" s="52"/>
      <c r="U233" s="52"/>
      <c r="V233" s="52"/>
      <c r="W233" s="52"/>
      <c r="X233" s="52"/>
      <c r="Y233" s="52"/>
      <c r="Z233" s="52"/>
    </row>
    <row r="234">
      <c r="A234" s="52" t="str">
        <f>IFERROR(__xludf.DUMMYFUNCTION("""COMPUTED_VALUE"""),"some::version::of::the::software::where::it::was::identified::and::in::which::not")</f>
        <v>some::version::of::the::software::where::it::was::identified::and::in::which::not</v>
      </c>
      <c r="B234" s="52" t="str">
        <f>IFERROR(__xludf.DUMMYFUNCTION("""COMPUTED_VALUE"""),"GUI-related issue, Performance issue, Permission/deprecation issue, Test code-related issue")</f>
        <v>GUI-related issue, Performance issue, Permission/deprecation issue, Test code-related issue</v>
      </c>
      <c r="C234" s="52"/>
      <c r="D234" s="52" t="str">
        <f>IFERROR(__xludf.DUMMYFUNCTION("""COMPUTED_VALUE"""),"proposal::of::a::possible::fix::(link::review1)")</f>
        <v>proposal::of::a::possible::fix::(link::review1)</v>
      </c>
      <c r="E234" s="52"/>
      <c r="F234" s="52" t="str">
        <f>IFERROR(__xludf.DUMMYFUNCTION("""COMPUTED_VALUE"""),"inviting::developer::to::help::with::the::development")</f>
        <v>inviting::developer::to::help::with::the::development</v>
      </c>
      <c r="G234" s="52"/>
      <c r="H234" s="52"/>
      <c r="I234" s="52"/>
      <c r="J234" s="52"/>
      <c r="K234" s="52"/>
      <c r="L234" s="52"/>
      <c r="M234" s="52"/>
      <c r="N234" s="52"/>
      <c r="O234" s="52"/>
      <c r="P234" s="52" t="str">
        <f>IFERROR(__xludf.DUMMYFUNCTION("""COMPUTED_VALUE"""),"asking::clarification::missing::content::(commit::message)")</f>
        <v>asking::clarification::missing::content::(commit::message)</v>
      </c>
      <c r="Q234" s="52"/>
      <c r="R234" s="52"/>
      <c r="S234" s="52"/>
      <c r="T234" s="52"/>
      <c r="U234" s="52"/>
      <c r="V234" s="52"/>
      <c r="W234" s="52"/>
      <c r="X234" s="52"/>
      <c r="Y234" s="52"/>
      <c r="Z234" s="52"/>
    </row>
    <row r="235">
      <c r="A235" s="52" t="str">
        <f>IFERROR(__xludf.DUMMYFUNCTION("""COMPUTED_VALUE"""),"source::of::the::bug")</f>
        <v>source::of::the::bug</v>
      </c>
      <c r="B235" s="52" t="str">
        <f>IFERROR(__xludf.DUMMYFUNCTION("""COMPUTED_VALUE"""),"GUI-related issue, Performance issue, Program anomaly issue, Test code-related issue")</f>
        <v>GUI-related issue, Performance issue, Program anomaly issue, Test code-related issue</v>
      </c>
      <c r="C235" s="52"/>
      <c r="D235" s="52" t="str">
        <f>IFERROR(__xludf.DUMMYFUNCTION("""COMPUTED_VALUE"""),"proposal::of::a::possible::fix::(link::review2)")</f>
        <v>proposal::of::a::possible::fix::(link::review2)</v>
      </c>
      <c r="E235" s="52"/>
      <c r="F235" s="52" t="str">
        <f>IFERROR(__xludf.DUMMYFUNCTION("""COMPUTED_VALUE"""),"inviting::the::external::developer::to::internal::meetings::to::discuss::more::about::BP/feature")</f>
        <v>inviting::the::external::developer::to::internal::meetings::to::discuss::more::about::BP/feature</v>
      </c>
      <c r="G235" s="52"/>
      <c r="H235" s="52"/>
      <c r="I235" s="52"/>
      <c r="J235" s="52"/>
      <c r="K235" s="52"/>
      <c r="L235" s="52"/>
      <c r="M235" s="52"/>
      <c r="N235" s="52"/>
      <c r="O235" s="52"/>
      <c r="P235" s="52" t="str">
        <f>IFERROR(__xludf.DUMMYFUNCTION("""COMPUTED_VALUE"""),"asking::clarification::process::of::merging::changes")</f>
        <v>asking::clarification::process::of::merging::changes</v>
      </c>
      <c r="Q235" s="52"/>
      <c r="R235" s="52"/>
      <c r="S235" s="52"/>
      <c r="T235" s="52"/>
      <c r="U235" s="52"/>
      <c r="V235" s="52"/>
      <c r="W235" s="52"/>
      <c r="X235" s="52"/>
      <c r="Y235" s="52"/>
      <c r="Z235" s="52"/>
    </row>
    <row r="236">
      <c r="A236" s="52" t="str">
        <f>IFERROR(__xludf.DUMMYFUNCTION("""COMPUTED_VALUE"""),"source::of::the::bug::(changeID)")</f>
        <v>source::of::the::bug::(changeID)</v>
      </c>
      <c r="B236" s="52" t="str">
        <f>IFERROR(__xludf.DUMMYFUNCTION("""COMPUTED_VALUE"""),"GUI-related issue, Performance issue, Security issue, Program anomaly issue")</f>
        <v>GUI-related issue, Performance issue, Security issue, Program anomaly issue</v>
      </c>
      <c r="C236" s="52"/>
      <c r="D236" s="52" t="str">
        <f>IFERROR(__xludf.DUMMYFUNCTION("""COMPUTED_VALUE"""),"proposal::of::a::possible::fix::(link::review2)::not::main::branch")</f>
        <v>proposal::of::a::possible::fix::(link::review2)::not::main::branch</v>
      </c>
      <c r="E236" s="52"/>
      <c r="F236" s="52" t="str">
        <f>IFERROR(__xludf.DUMMYFUNCTION("""COMPUTED_VALUE"""),"irrelevant")</f>
        <v>irrelevant</v>
      </c>
      <c r="G236" s="52"/>
      <c r="H236" s="52"/>
      <c r="I236" s="52"/>
      <c r="J236" s="52"/>
      <c r="K236" s="52"/>
      <c r="L236" s="52"/>
      <c r="M236" s="52"/>
      <c r="N236" s="52"/>
      <c r="O236" s="52"/>
      <c r="P236" s="52" t="str">
        <f>IFERROR(__xludf.DUMMYFUNCTION("""COMPUTED_VALUE"""),"asking::clarification::suggestion::refactoring::(accessibility::modifiers)")</f>
        <v>asking::clarification::suggestion::refactoring::(accessibility::modifiers)</v>
      </c>
      <c r="Q236" s="52"/>
      <c r="R236" s="52"/>
      <c r="S236" s="52"/>
      <c r="T236" s="52"/>
      <c r="U236" s="52"/>
      <c r="V236" s="52"/>
      <c r="W236" s="52"/>
      <c r="X236" s="52"/>
      <c r="Y236" s="52"/>
      <c r="Z236" s="52"/>
    </row>
    <row r="237">
      <c r="A237" s="52" t="str">
        <f>IFERROR(__xludf.DUMMYFUNCTION("""COMPUTED_VALUE"""),"source::of::the::bug::(code::in::text)")</f>
        <v>source::of::the::bug::(code::in::text)</v>
      </c>
      <c r="B237" s="52" t="str">
        <f>IFERROR(__xludf.DUMMYFUNCTION("""COMPUTED_VALUE"""),"GUI-related issue, Performance issue, Security issue, Test code-related issue")</f>
        <v>GUI-related issue, Performance issue, Security issue, Test code-related issue</v>
      </c>
      <c r="C237" s="52"/>
      <c r="D237" s="52" t="str">
        <f>IFERROR(__xludf.DUMMYFUNCTION("""COMPUTED_VALUE"""),"proposal::of::a::possible::fix::(link::review3)")</f>
        <v>proposal::of::a::possible::fix::(link::review3)</v>
      </c>
      <c r="E237" s="52"/>
      <c r="F237" s="52" t="str">
        <f>IFERROR(__xludf.DUMMYFUNCTION("""COMPUTED_VALUE"""),"issue::progress::(related::issue)")</f>
        <v>issue::progress::(related::issue)</v>
      </c>
      <c r="G237" s="52"/>
      <c r="H237" s="52"/>
      <c r="I237" s="52"/>
      <c r="J237" s="52"/>
      <c r="K237" s="52"/>
      <c r="L237" s="52"/>
      <c r="M237" s="52"/>
      <c r="N237" s="52"/>
      <c r="O237" s="52"/>
      <c r="P237" s="52" t="str">
        <f>IFERROR(__xludf.DUMMYFUNCTION("""COMPUTED_VALUE"""),"asking::clarification::suggestion::refactoring::(move::logic)")</f>
        <v>asking::clarification::suggestion::refactoring::(move::logic)</v>
      </c>
      <c r="Q237" s="52"/>
      <c r="R237" s="52"/>
      <c r="S237" s="52"/>
      <c r="T237" s="52"/>
      <c r="U237" s="52"/>
      <c r="V237" s="52"/>
      <c r="W237" s="52"/>
      <c r="X237" s="52"/>
      <c r="Y237" s="52"/>
      <c r="Z237" s="52"/>
    </row>
    <row r="238">
      <c r="A238" s="52" t="str">
        <f>IFERROR(__xludf.DUMMYFUNCTION("""COMPUTED_VALUE"""),"source::of::the::bug::(diff::in::text)")</f>
        <v>source::of::the::bug::(diff::in::text)</v>
      </c>
      <c r="B238" s="52" t="str">
        <f>IFERROR(__xludf.DUMMYFUNCTION("""COMPUTED_VALUE"""),"GUI-related issue, Permission/deprecation issue, Program anomaly issue, Test code-related issue")</f>
        <v>GUI-related issue, Permission/deprecation issue, Program anomaly issue, Test code-related issue</v>
      </c>
      <c r="C238" s="52"/>
      <c r="D238" s="52" t="str">
        <f>IFERROR(__xludf.DUMMYFUNCTION("""COMPUTED_VALUE"""),"proposal::of::a::possible::fix::(link::review3)::not::main::branch")</f>
        <v>proposal::of::a::possible::fix::(link::review3)::not::main::branch</v>
      </c>
      <c r="E238" s="52"/>
      <c r="F238" s="52" t="str">
        <f>IFERROR(__xludf.DUMMYFUNCTION("""COMPUTED_VALUE"""),"issue::progress::(unrelated::issue)")</f>
        <v>issue::progress::(unrelated::issue)</v>
      </c>
      <c r="G238" s="52"/>
      <c r="H238" s="52"/>
      <c r="I238" s="52"/>
      <c r="J238" s="52"/>
      <c r="K238" s="52"/>
      <c r="L238" s="52"/>
      <c r="M238" s="52"/>
      <c r="N238" s="52"/>
      <c r="O238" s="52"/>
      <c r="P238" s="52" t="str">
        <f>IFERROR(__xludf.DUMMYFUNCTION("""COMPUTED_VALUE"""),"asking::clarification::suggestion::refactoring::(style::add:newline)")</f>
        <v>asking::clarification::suggestion::refactoring::(style::add:newline)</v>
      </c>
      <c r="Q238" s="52"/>
      <c r="R238" s="52"/>
      <c r="S238" s="52"/>
      <c r="T238" s="52"/>
      <c r="U238" s="52"/>
      <c r="V238" s="52"/>
      <c r="W238" s="52"/>
      <c r="X238" s="52"/>
      <c r="Y238" s="52"/>
      <c r="Z238" s="52"/>
    </row>
    <row r="239">
      <c r="A239" s="52" t="str">
        <f>IFERROR(__xludf.DUMMYFUNCTION("""COMPUTED_VALUE"""),"source::of::the::bug::(file::path)")</f>
        <v>source::of::the::bug::(file::path)</v>
      </c>
      <c r="B239" s="52" t="str">
        <f>IFERROR(__xludf.DUMMYFUNCTION("""COMPUTED_VALUE"""),"GUI-related issue, Permission/deprecation issue, Security issue, Program anomaly issue")</f>
        <v>GUI-related issue, Permission/deprecation issue, Security issue, Program anomaly issue</v>
      </c>
      <c r="C239" s="52"/>
      <c r="D239" s="52" t="str">
        <f>IFERROR(__xludf.DUMMYFUNCTION("""COMPUTED_VALUE"""),"proposal::of::a::possible::fix::(link::review4)")</f>
        <v>proposal::of::a::possible::fix::(link::review4)</v>
      </c>
      <c r="E239" s="52"/>
      <c r="F239" s="52" t="str">
        <f>IFERROR(__xludf.DUMMYFUNCTION("""COMPUTED_VALUE"""),"justifying::the::alternative::design::solution")</f>
        <v>justifying::the::alternative::design::solution</v>
      </c>
      <c r="G239" s="52"/>
      <c r="H239" s="52"/>
      <c r="I239" s="52"/>
      <c r="J239" s="52"/>
      <c r="K239" s="52"/>
      <c r="L239" s="52"/>
      <c r="M239" s="52"/>
      <c r="N239" s="52"/>
      <c r="O239" s="52"/>
      <c r="P239" s="52" t="str">
        <f>IFERROR(__xludf.DUMMYFUNCTION("""COMPUTED_VALUE"""),"asking::clarification::suggestion::refactoring::(use::method/function)")</f>
        <v>asking::clarification::suggestion::refactoring::(use::method/function)</v>
      </c>
      <c r="Q239" s="52"/>
      <c r="R239" s="52"/>
      <c r="S239" s="52"/>
      <c r="T239" s="52"/>
      <c r="U239" s="52"/>
      <c r="V239" s="52"/>
      <c r="W239" s="52"/>
      <c r="X239" s="52"/>
      <c r="Y239" s="52"/>
      <c r="Z239" s="52"/>
    </row>
    <row r="240">
      <c r="A240" s="52" t="str">
        <f>IFERROR(__xludf.DUMMYFUNCTION("""COMPUTED_VALUE"""),"source::of::the::bug::(link::blame)")</f>
        <v>source::of::the::bug::(link::blame)</v>
      </c>
      <c r="B240" s="52" t="str">
        <f>IFERROR(__xludf.DUMMYFUNCTION("""COMPUTED_VALUE"""),"GUI-related issue, Permission/deprecation issue, Security issue, Test code-related issue")</f>
        <v>GUI-related issue, Permission/deprecation issue, Security issue, Test code-related issue</v>
      </c>
      <c r="C240" s="52"/>
      <c r="D240" s="52" t="str">
        <f>IFERROR(__xludf.DUMMYFUNCTION("""COMPUTED_VALUE"""),"proposal::of::a::possible::fix::(link::review5)")</f>
        <v>proposal::of::a::possible::fix::(link::review5)</v>
      </c>
      <c r="E240" s="52"/>
      <c r="F240" s="52" t="str">
        <f>IFERROR(__xludf.DUMMYFUNCTION("""COMPUTED_VALUE"""),"justifying::the::need::for::the::proposed::BP/feature")</f>
        <v>justifying::the::need::for::the::proposed::BP/feature</v>
      </c>
      <c r="G240" s="52"/>
      <c r="H240" s="52"/>
      <c r="I240" s="52"/>
      <c r="J240" s="52"/>
      <c r="K240" s="52"/>
      <c r="L240" s="52"/>
      <c r="M240" s="52"/>
      <c r="N240" s="52"/>
      <c r="O240" s="52"/>
      <c r="P240" s="52" t="str">
        <f>IFERROR(__xludf.DUMMYFUNCTION("""COMPUTED_VALUE"""),"asking::clarification:.about::assert::usage")</f>
        <v>asking::clarification:.about::assert::usage</v>
      </c>
      <c r="Q240" s="52"/>
      <c r="R240" s="52"/>
      <c r="S240" s="52"/>
      <c r="T240" s="52"/>
      <c r="U240" s="52"/>
      <c r="V240" s="52"/>
      <c r="W240" s="52"/>
      <c r="X240" s="52"/>
      <c r="Y240" s="52"/>
      <c r="Z240" s="52"/>
    </row>
    <row r="241">
      <c r="A241" s="52" t="str">
        <f>IFERROR(__xludf.DUMMYFUNCTION("""COMPUTED_VALUE"""),"source::of::the::bug::(link::commit)")</f>
        <v>source::of::the::bug::(link::commit)</v>
      </c>
      <c r="B241" s="52" t="str">
        <f>IFERROR(__xludf.DUMMYFUNCTION("""COMPUTED_VALUE"""),"GUI-related issue, Security issue, Program anomaly issue, Test code-related issue")</f>
        <v>GUI-related issue, Security issue, Program anomaly issue, Test code-related issue</v>
      </c>
      <c r="C241" s="52"/>
      <c r="D241" s="52" t="str">
        <f>IFERROR(__xludf.DUMMYFUNCTION("""COMPUTED_VALUE"""),"proposal::of::a::possible::solution::(code::in::text)")</f>
        <v>proposal::of::a::possible::solution::(code::in::text)</v>
      </c>
      <c r="E241" s="52"/>
      <c r="F241" s="52" t="str">
        <f>IFERROR(__xludf.DUMMYFUNCTION("""COMPUTED_VALUE"""),"keeping::inside::project::as::it::is")</f>
        <v>keeping::inside::project::as::it::is</v>
      </c>
      <c r="G241" s="52"/>
      <c r="H241" s="52"/>
      <c r="I241" s="52"/>
      <c r="J241" s="52"/>
      <c r="K241" s="52"/>
      <c r="L241" s="52"/>
      <c r="M241" s="52"/>
      <c r="N241" s="52"/>
      <c r="O241" s="52"/>
      <c r="P241" s="52" t="str">
        <f>IFERROR(__xludf.DUMMYFUNCTION("""COMPUTED_VALUE"""),"asking::confirmation::of::intended::solution")</f>
        <v>asking::confirmation::of::intended::solution</v>
      </c>
      <c r="Q241" s="52"/>
      <c r="R241" s="52"/>
      <c r="S241" s="52"/>
      <c r="T241" s="52"/>
      <c r="U241" s="52"/>
      <c r="V241" s="52"/>
      <c r="W241" s="52"/>
      <c r="X241" s="52"/>
      <c r="Y241" s="52"/>
      <c r="Z241" s="52"/>
    </row>
    <row r="242">
      <c r="A242" s="52" t="str">
        <f>IFERROR(__xludf.DUMMYFUNCTION("""COMPUTED_VALUE"""),"source::of::the::bug::(link::repo)")</f>
        <v>source::of::the::bug::(link::repo)</v>
      </c>
      <c r="B242" s="52" t="str">
        <f>IFERROR(__xludf.DUMMYFUNCTION("""COMPUTED_VALUE"""),"Network issue, Performance issue, Permission/deprecation issue, Program anomaly issue")</f>
        <v>Network issue, Performance issue, Permission/deprecation issue, Program anomaly issue</v>
      </c>
      <c r="C242" s="52"/>
      <c r="D242" s="52" t="str">
        <f>IFERROR(__xludf.DUMMYFUNCTION("""COMPUTED_VALUE"""),"proposal::of::a::possible::solution::(explanation)")</f>
        <v>proposal::of::a::possible::solution::(explanation)</v>
      </c>
      <c r="E242" s="52"/>
      <c r="F242" s="52" t="str">
        <f>IFERROR(__xludf.DUMMYFUNCTION("""COMPUTED_VALUE"""),"leverl::up::another::feature:.in::a::new::project")</f>
        <v>leverl::up::another::feature:.in::a::new::project</v>
      </c>
      <c r="G242" s="52"/>
      <c r="H242" s="52"/>
      <c r="I242" s="52"/>
      <c r="J242" s="52"/>
      <c r="K242" s="52"/>
      <c r="L242" s="52"/>
      <c r="M242" s="52"/>
      <c r="N242" s="52"/>
      <c r="O242" s="52"/>
      <c r="P242" s="52" t="str">
        <f>IFERROR(__xludf.DUMMYFUNCTION("""COMPUTED_VALUE"""),"asking::development::status")</f>
        <v>asking::development::status</v>
      </c>
      <c r="Q242" s="52"/>
      <c r="R242" s="52"/>
      <c r="S242" s="52"/>
      <c r="T242" s="52"/>
      <c r="U242" s="52"/>
      <c r="V242" s="52"/>
      <c r="W242" s="52"/>
      <c r="X242" s="52"/>
      <c r="Y242" s="52"/>
      <c r="Z242" s="52"/>
    </row>
    <row r="243">
      <c r="A243" s="52" t="str">
        <f>IFERROR(__xludf.DUMMYFUNCTION("""COMPUTED_VALUE"""),"source::of::the::bug::(link::review)")</f>
        <v>source::of::the::bug::(link::review)</v>
      </c>
      <c r="B243" s="52" t="str">
        <f>IFERROR(__xludf.DUMMYFUNCTION("""COMPUTED_VALUE"""),"Network issue, Performance issue, Permission/deprecation issue, Security issue")</f>
        <v>Network issue, Performance issue, Permission/deprecation issue, Security issue</v>
      </c>
      <c r="C243" s="52"/>
      <c r="D243" s="52" t="str">
        <f>IFERROR(__xludf.DUMMYFUNCTION("""COMPUTED_VALUE"""),"proposal::of::a::related::fix::(link::review)")</f>
        <v>proposal::of::a::related::fix::(link::review)</v>
      </c>
      <c r="E243" s="52"/>
      <c r="F243" s="52" t="str">
        <f>IFERROR(__xludf.DUMMYFUNCTION("""COMPUTED_VALUE"""),"mentioned::other::BPs")</f>
        <v>mentioned::other::BPs</v>
      </c>
      <c r="G243" s="52"/>
      <c r="H243" s="52"/>
      <c r="I243" s="52"/>
      <c r="J243" s="52"/>
      <c r="K243" s="52"/>
      <c r="L243" s="52"/>
      <c r="M243" s="52"/>
      <c r="N243" s="52"/>
      <c r="O243" s="52"/>
      <c r="P243" s="52" t="str">
        <f>IFERROR(__xludf.DUMMYFUNCTION("""COMPUTED_VALUE"""),"asking::for::assistance")</f>
        <v>asking::for::assistance</v>
      </c>
      <c r="Q243" s="52"/>
      <c r="R243" s="52"/>
      <c r="S243" s="52"/>
      <c r="T243" s="52"/>
      <c r="U243" s="52"/>
      <c r="V243" s="52"/>
      <c r="W243" s="52"/>
      <c r="X243" s="52"/>
      <c r="Y243" s="52"/>
      <c r="Z243" s="52"/>
    </row>
    <row r="244">
      <c r="A244" s="52" t="str">
        <f>IFERROR(__xludf.DUMMYFUNCTION("""COMPUTED_VALUE"""),"source::of::the::bug::(refactoring)")</f>
        <v>source::of::the::bug::(refactoring)</v>
      </c>
      <c r="B244" s="52" t="str">
        <f>IFERROR(__xludf.DUMMYFUNCTION("""COMPUTED_VALUE"""),"Network issue, Performance issue, Permission/deprecation issue, Test code-related issue")</f>
        <v>Network issue, Performance issue, Permission/deprecation issue, Test code-related issue</v>
      </c>
      <c r="C244" s="52"/>
      <c r="D244" s="52" t="str">
        <f>IFERROR(__xludf.DUMMYFUNCTION("""COMPUTED_VALUE"""),"proposal::of::a::related::fix::(link::review)::not::main::branch")</f>
        <v>proposal::of::a::related::fix::(link::review)::not::main::branch</v>
      </c>
      <c r="E244" s="52"/>
      <c r="F244" s="52" t="str">
        <f>IFERROR(__xludf.DUMMYFUNCTION("""COMPUTED_VALUE"""),"mentioned::other::reviews")</f>
        <v>mentioned::other::reviews</v>
      </c>
      <c r="G244" s="52"/>
      <c r="H244" s="52"/>
      <c r="I244" s="52"/>
      <c r="J244" s="52"/>
      <c r="K244" s="52"/>
      <c r="L244" s="52"/>
      <c r="M244" s="52"/>
      <c r="N244" s="52"/>
      <c r="O244" s="52"/>
      <c r="P244" s="52" t="str">
        <f>IFERROR(__xludf.DUMMYFUNCTION("""COMPUTED_VALUE"""),"asking::for::assistance::(more::tests)")</f>
        <v>asking::for::assistance::(more::tests)</v>
      </c>
      <c r="Q244" s="52"/>
      <c r="R244" s="52"/>
      <c r="S244" s="52"/>
      <c r="T244" s="52"/>
      <c r="U244" s="52"/>
      <c r="V244" s="52"/>
      <c r="W244" s="52"/>
      <c r="X244" s="52"/>
      <c r="Y244" s="52"/>
      <c r="Z244" s="52"/>
    </row>
    <row r="245">
      <c r="A245" s="52" t="str">
        <f>IFERROR(__xludf.DUMMYFUNCTION("""COMPUTED_VALUE"""),"source::of::the::bug::(revision::hash)")</f>
        <v>source::of::the::bug::(revision::hash)</v>
      </c>
      <c r="B245" s="52" t="str">
        <f>IFERROR(__xludf.DUMMYFUNCTION("""COMPUTED_VALUE"""),"Network issue, Performance issue, Program anomaly issue, Test code-related issue")</f>
        <v>Network issue, Performance issue, Program anomaly issue, Test code-related issue</v>
      </c>
      <c r="C245" s="52"/>
      <c r="D245" s="52" t="str">
        <f>IFERROR(__xludf.DUMMYFUNCTION("""COMPUTED_VALUE"""),"proposal::of::a::related::fix::(link::review1)")</f>
        <v>proposal::of::a::related::fix::(link::review1)</v>
      </c>
      <c r="E245" s="52"/>
      <c r="F245" s="52" t="str">
        <f>IFERROR(__xludf.DUMMYFUNCTION("""COMPUTED_VALUE"""),"mentioned::the::BP")</f>
        <v>mentioned::the::BP</v>
      </c>
      <c r="G245" s="52"/>
      <c r="H245" s="52"/>
      <c r="I245" s="52"/>
      <c r="J245" s="52"/>
      <c r="K245" s="52"/>
      <c r="L245" s="52"/>
      <c r="M245" s="52"/>
      <c r="N245" s="52"/>
      <c r="O245" s="52"/>
      <c r="P245" s="52" t="str">
        <f>IFERROR(__xludf.DUMMYFUNCTION("""COMPUTED_VALUE"""),"asking::for::assistance::(unrelated)")</f>
        <v>asking::for::assistance::(unrelated)</v>
      </c>
      <c r="Q245" s="52"/>
      <c r="R245" s="52"/>
      <c r="S245" s="52"/>
      <c r="T245" s="52"/>
      <c r="U245" s="52"/>
      <c r="V245" s="52"/>
      <c r="W245" s="52"/>
      <c r="X245" s="52"/>
      <c r="Y245" s="52"/>
      <c r="Z245" s="52"/>
    </row>
    <row r="246">
      <c r="A246" s="52" t="str">
        <f>IFERROR(__xludf.DUMMYFUNCTION("""COMPUTED_VALUE"""),"source::of::the::continuation::of::bug::after::fix")</f>
        <v>source::of::the::continuation::of::bug::after::fix</v>
      </c>
      <c r="B246" s="52" t="str">
        <f>IFERROR(__xludf.DUMMYFUNCTION("""COMPUTED_VALUE"""),"Network issue, Performance issue, Security issue, Program anomaly issue")</f>
        <v>Network issue, Performance issue, Security issue, Program anomaly issue</v>
      </c>
      <c r="C246" s="52"/>
      <c r="D246" s="52" t="str">
        <f>IFERROR(__xludf.DUMMYFUNCTION("""COMPUTED_VALUE"""),"proposal::of::a::related::fix::(link::review2)")</f>
        <v>proposal::of::a::related::fix::(link::review2)</v>
      </c>
      <c r="E246" s="52"/>
      <c r="F246" s="52" t="str">
        <f>IFERROR(__xludf.DUMMYFUNCTION("""COMPUTED_VALUE"""),"mentioned::the::BP::as::a::solution::to::a::need")</f>
        <v>mentioned::the::BP::as::a::solution::to::a::need</v>
      </c>
      <c r="G246" s="52"/>
      <c r="H246" s="52"/>
      <c r="I246" s="52"/>
      <c r="J246" s="52"/>
      <c r="K246" s="52"/>
      <c r="L246" s="52"/>
      <c r="M246" s="52"/>
      <c r="N246" s="52"/>
      <c r="O246" s="52"/>
      <c r="P246" s="52" t="str">
        <f>IFERROR(__xludf.DUMMYFUNCTION("""COMPUTED_VALUE"""),"asking::for::clarification::about::previous::question")</f>
        <v>asking::for::clarification::about::previous::question</v>
      </c>
      <c r="Q246" s="52"/>
      <c r="R246" s="52"/>
      <c r="S246" s="52"/>
      <c r="T246" s="52"/>
      <c r="U246" s="52"/>
      <c r="V246" s="52"/>
      <c r="W246" s="52"/>
      <c r="X246" s="52"/>
      <c r="Y246" s="52"/>
      <c r="Z246" s="52"/>
    </row>
    <row r="247">
      <c r="A247" s="52" t="str">
        <f>IFERROR(__xludf.DUMMYFUNCTION("""COMPUTED_VALUE"""),"source::of::the::continuation::of::bug::after::fix3")</f>
        <v>source::of::the::continuation::of::bug::after::fix3</v>
      </c>
      <c r="B247" s="52" t="str">
        <f>IFERROR(__xludf.DUMMYFUNCTION("""COMPUTED_VALUE"""),"Network issue, Performance issue, Security issue, Test code-related issue")</f>
        <v>Network issue, Performance issue, Security issue, Test code-related issue</v>
      </c>
      <c r="C247" s="52"/>
      <c r="D247" s="52" t="str">
        <f>IFERROR(__xludf.DUMMYFUNCTION("""COMPUTED_VALUE"""),"proposal::of::a::related::fix::(link::review4)::not::main::branch")</f>
        <v>proposal::of::a::related::fix::(link::review4)::not::main::branch</v>
      </c>
      <c r="E247" s="52"/>
      <c r="F247" s="52" t="str">
        <f>IFERROR(__xludf.DUMMYFUNCTION("""COMPUTED_VALUE"""),"mentioned::the::BP::as::an::example::of::work::in::progress::of::the::discussed::topic")</f>
        <v>mentioned::the::BP::as::an::example::of::work::in::progress::of::the::discussed::topic</v>
      </c>
      <c r="G247" s="52"/>
      <c r="H247" s="52"/>
      <c r="I247" s="52"/>
      <c r="J247" s="52"/>
      <c r="K247" s="52"/>
      <c r="L247" s="52"/>
      <c r="M247" s="52"/>
      <c r="N247" s="52"/>
      <c r="O247" s="52"/>
      <c r="P247" s="52" t="str">
        <f>IFERROR(__xludf.DUMMYFUNCTION("""COMPUTED_VALUE"""),"asking::for::feedback")</f>
        <v>asking::for::feedback</v>
      </c>
      <c r="Q247" s="52"/>
      <c r="R247" s="52"/>
      <c r="S247" s="52"/>
      <c r="T247" s="52"/>
      <c r="U247" s="52"/>
      <c r="V247" s="52"/>
      <c r="W247" s="52"/>
      <c r="X247" s="52"/>
      <c r="Y247" s="52"/>
      <c r="Z247" s="52"/>
    </row>
    <row r="248">
      <c r="A248" s="52" t="str">
        <f>IFERROR(__xludf.DUMMYFUNCTION("""COMPUTED_VALUE"""),"source::of::the::regression::(link::repo)")</f>
        <v>source::of::the::regression::(link::repo)</v>
      </c>
      <c r="B248" s="52" t="str">
        <f>IFERROR(__xludf.DUMMYFUNCTION("""COMPUTED_VALUE"""),"Network issue, Permission/deprecation issue, Program anomaly issue, Test code-related issue")</f>
        <v>Network issue, Permission/deprecation issue, Program anomaly issue, Test code-related issue</v>
      </c>
      <c r="C248" s="52"/>
      <c r="D248" s="52" t="str">
        <f>IFERROR(__xludf.DUMMYFUNCTION("""COMPUTED_VALUE"""),"proposal::of::extending::the::task")</f>
        <v>proposal::of::extending::the::task</v>
      </c>
      <c r="E248" s="52"/>
      <c r="F248" s="52" t="str">
        <f>IFERROR(__xludf.DUMMYFUNCTION("""COMPUTED_VALUE"""),"mentioned::the::BP::as::part::of::current::development::cycle")</f>
        <v>mentioned::the::BP::as::part::of::current::development::cycle</v>
      </c>
      <c r="G248" s="52"/>
      <c r="H248" s="52"/>
      <c r="I248" s="52"/>
      <c r="J248" s="52"/>
      <c r="K248" s="52"/>
      <c r="L248" s="52"/>
      <c r="M248" s="52"/>
      <c r="N248" s="52"/>
      <c r="O248" s="52"/>
      <c r="P248" s="52" t="str">
        <f>IFERROR(__xludf.DUMMYFUNCTION("""COMPUTED_VALUE"""),"asking::opinions::about::current::approach")</f>
        <v>asking::opinions::about::current::approach</v>
      </c>
      <c r="Q248" s="52"/>
      <c r="R248" s="52"/>
      <c r="S248" s="52"/>
      <c r="T248" s="52"/>
      <c r="U248" s="52"/>
      <c r="V248" s="52"/>
      <c r="W248" s="52"/>
      <c r="X248" s="52"/>
      <c r="Y248" s="52"/>
      <c r="Z248" s="52"/>
    </row>
    <row r="249">
      <c r="A249" s="52" t="str">
        <f>IFERROR(__xludf.DUMMYFUNCTION("""COMPUTED_VALUE"""),"source::of::the::regression::(link::review)")</f>
        <v>source::of::the::regression::(link::review)</v>
      </c>
      <c r="B249" s="52" t="str">
        <f>IFERROR(__xludf.DUMMYFUNCTION("""COMPUTED_VALUE"""),"Network issue, Permission/deprecation issue, Security issue, Program anomaly issue")</f>
        <v>Network issue, Permission/deprecation issue, Security issue, Program anomaly issue</v>
      </c>
      <c r="C249" s="52"/>
      <c r="D249" s="52" t="str">
        <f>IFERROR(__xludf.DUMMYFUNCTION("""COMPUTED_VALUE"""),"proposes::refactoring")</f>
        <v>proposes::refactoring</v>
      </c>
      <c r="E249" s="52"/>
      <c r="F249" s="52" t="str">
        <f>IFERROR(__xludf.DUMMYFUNCTION("""COMPUTED_VALUE"""),"mentioned::the::BP::as::part::of::feature::parity::with::other::project")</f>
        <v>mentioned::the::BP::as::part::of::feature::parity::with::other::project</v>
      </c>
      <c r="G249" s="52"/>
      <c r="H249" s="52"/>
      <c r="I249" s="52"/>
      <c r="J249" s="52"/>
      <c r="K249" s="52"/>
      <c r="L249" s="52"/>
      <c r="M249" s="52"/>
      <c r="N249" s="52"/>
      <c r="O249" s="52"/>
      <c r="P249" s="52" t="str">
        <f>IFERROR(__xludf.DUMMYFUNCTION("""COMPUTED_VALUE"""),"asking:.clarification::about::the::reason::error::unit::test")</f>
        <v>asking:.clarification::about::the::reason::error::unit::test</v>
      </c>
      <c r="Q249" s="52"/>
      <c r="R249" s="52"/>
      <c r="S249" s="52"/>
      <c r="T249" s="52"/>
      <c r="U249" s="52"/>
      <c r="V249" s="52"/>
      <c r="W249" s="52"/>
      <c r="X249" s="52"/>
      <c r="Y249" s="52"/>
      <c r="Z249" s="52"/>
    </row>
    <row r="250">
      <c r="A250" s="52" t="str">
        <f>IFERROR(__xludf.DUMMYFUNCTION("""COMPUTED_VALUE"""),"status::of::the::patch/review")</f>
        <v>status::of::the::patch/review</v>
      </c>
      <c r="B250" s="52" t="str">
        <f>IFERROR(__xludf.DUMMYFUNCTION("""COMPUTED_VALUE"""),"Network issue, Permission/deprecation issue, Security issue, Test code-related issue")</f>
        <v>Network issue, Permission/deprecation issue, Security issue, Test code-related issue</v>
      </c>
      <c r="C250" s="52"/>
      <c r="D250" s="52" t="str">
        <f>IFERROR(__xludf.DUMMYFUNCTION("""COMPUTED_VALUE"""),"proposes::workaround::to::expected::functionallity::(code::in::text)")</f>
        <v>proposes::workaround::to::expected::functionallity::(code::in::text)</v>
      </c>
      <c r="E250" s="52"/>
      <c r="F250" s="52" t="str">
        <f>IFERROR(__xludf.DUMMYFUNCTION("""COMPUTED_VALUE"""),"mentioned::the::change")</f>
        <v>mentioned::the::change</v>
      </c>
      <c r="G250" s="52"/>
      <c r="H250" s="52"/>
      <c r="I250" s="52"/>
      <c r="J250" s="52"/>
      <c r="K250" s="52"/>
      <c r="L250" s="52"/>
      <c r="M250" s="52"/>
      <c r="N250" s="52"/>
      <c r="O250" s="52"/>
      <c r="P250" s="52" t="str">
        <f>IFERROR(__xludf.DUMMYFUNCTION("""COMPUTED_VALUE"""),"BP::needs::approval")</f>
        <v>BP::needs::approval</v>
      </c>
      <c r="Q250" s="52"/>
      <c r="R250" s="52"/>
      <c r="S250" s="52"/>
      <c r="T250" s="52"/>
      <c r="U250" s="52"/>
      <c r="V250" s="52"/>
      <c r="W250" s="52"/>
      <c r="X250" s="52"/>
      <c r="Y250" s="52"/>
      <c r="Z250" s="52"/>
    </row>
    <row r="251">
      <c r="A251" s="52" t="str">
        <f>IFERROR(__xludf.DUMMYFUNCTION("""COMPUTED_VALUE"""),"steps::to::replicate::the::bug")</f>
        <v>steps::to::replicate::the::bug</v>
      </c>
      <c r="B251" s="52" t="str">
        <f>IFERROR(__xludf.DUMMYFUNCTION("""COMPUTED_VALUE"""),"Network issue, Security issue, Program anomaly issue, Test code-related issue")</f>
        <v>Network issue, Security issue, Program anomaly issue, Test code-related issue</v>
      </c>
      <c r="C251" s="52"/>
      <c r="D251" s="52" t="str">
        <f>IFERROR(__xludf.DUMMYFUNCTION("""COMPUTED_VALUE"""),"proposes::workaround::to::expected::functionallity::(link)")</f>
        <v>proposes::workaround::to::expected::functionallity::(link)</v>
      </c>
      <c r="E251" s="52"/>
      <c r="F251" s="52" t="str">
        <f>IFERROR(__xludf.DUMMYFUNCTION("""COMPUTED_VALUE"""),"mentioned::the::introducing::review")</f>
        <v>mentioned::the::introducing::review</v>
      </c>
      <c r="G251" s="52"/>
      <c r="H251" s="52"/>
      <c r="I251" s="52"/>
      <c r="J251" s="52"/>
      <c r="K251" s="52"/>
      <c r="L251" s="52"/>
      <c r="M251" s="52"/>
      <c r="N251" s="52"/>
      <c r="O251" s="52"/>
      <c r="P251" s="52" t="str">
        <f>IFERROR(__xludf.DUMMYFUNCTION("""COMPUTED_VALUE"""),"bug::fixed")</f>
        <v>bug::fixed</v>
      </c>
      <c r="Q251" s="52"/>
      <c r="R251" s="52"/>
      <c r="S251" s="52"/>
      <c r="T251" s="52"/>
      <c r="U251" s="52"/>
      <c r="V251" s="52"/>
      <c r="W251" s="52"/>
      <c r="X251" s="52"/>
      <c r="Y251" s="52"/>
      <c r="Z251" s="52"/>
    </row>
    <row r="252">
      <c r="A252" s="52" t="str">
        <f>IFERROR(__xludf.DUMMYFUNCTION("""COMPUTED_VALUE"""),"steps::to::replicate::the::bug::(link::gist)")</f>
        <v>steps::to::replicate::the::bug::(link::gist)</v>
      </c>
      <c r="B252" s="52" t="str">
        <f>IFERROR(__xludf.DUMMYFUNCTION("""COMPUTED_VALUE"""),"Performance issue, Permission/deprecation issue, Program anomaly issue, Test code-related issue")</f>
        <v>Performance issue, Permission/deprecation issue, Program anomaly issue, Test code-related issue</v>
      </c>
      <c r="C252" s="52"/>
      <c r="D252" s="52" t="str">
        <f>IFERROR(__xludf.DUMMYFUNCTION("""COMPUTED_VALUE"""),"providing::assistance::(confirming::bug)")</f>
        <v>providing::assistance::(confirming::bug)</v>
      </c>
      <c r="E252" s="52"/>
      <c r="F252" s="52" t="str">
        <f>IFERROR(__xludf.DUMMYFUNCTION("""COMPUTED_VALUE"""),"mentioned::the::issue")</f>
        <v>mentioned::the::issue</v>
      </c>
      <c r="G252" s="52"/>
      <c r="H252" s="52"/>
      <c r="I252" s="52"/>
      <c r="J252" s="52"/>
      <c r="K252" s="52"/>
      <c r="L252" s="52"/>
      <c r="M252" s="52"/>
      <c r="N252" s="52"/>
      <c r="O252" s="52"/>
      <c r="P252" s="52" t="str">
        <f>IFERROR(__xludf.DUMMYFUNCTION("""COMPUTED_VALUE"""),"bugs::hit")</f>
        <v>bugs::hit</v>
      </c>
      <c r="Q252" s="52"/>
      <c r="R252" s="52"/>
      <c r="S252" s="52"/>
      <c r="T252" s="52"/>
      <c r="U252" s="52"/>
      <c r="V252" s="52"/>
      <c r="W252" s="52"/>
      <c r="X252" s="52"/>
      <c r="Y252" s="52"/>
      <c r="Z252" s="52"/>
    </row>
    <row r="253">
      <c r="A253" s="52" t="str">
        <f>IFERROR(__xludf.DUMMYFUNCTION("""COMPUTED_VALUE"""),"steps::to::replicate::the::bug::(link::tool)")</f>
        <v>steps::to::replicate::the::bug::(link::tool)</v>
      </c>
      <c r="B253" s="52" t="str">
        <f>IFERROR(__xludf.DUMMYFUNCTION("""COMPUTED_VALUE"""),"Performance issue, Permission/deprecation issue, Security issue, Program anomaly issue")</f>
        <v>Performance issue, Permission/deprecation issue, Security issue, Program anomaly issue</v>
      </c>
      <c r="C253" s="52"/>
      <c r="D253" s="52" t="str">
        <f>IFERROR(__xludf.DUMMYFUNCTION("""COMPUTED_VALUE"""),"providing::assistance::(status::bug)")</f>
        <v>providing::assistance::(status::bug)</v>
      </c>
      <c r="E253" s="52"/>
      <c r="F253" s="52" t="str">
        <f>IFERROR(__xludf.DUMMYFUNCTION("""COMPUTED_VALUE"""),"mentioning::conditions::to::do::a::feature::freeze::exception")</f>
        <v>mentioning::conditions::to::do::a::feature::freeze::exception</v>
      </c>
      <c r="G253" s="52"/>
      <c r="H253" s="52"/>
      <c r="I253" s="52"/>
      <c r="J253" s="52"/>
      <c r="K253" s="52"/>
      <c r="L253" s="52"/>
      <c r="M253" s="52"/>
      <c r="N253" s="52"/>
      <c r="O253" s="52"/>
      <c r="P253" s="52" t="str">
        <f>IFERROR(__xludf.DUMMYFUNCTION("""COMPUTED_VALUE"""),"cc::other::discssants")</f>
        <v>cc::other::discssants</v>
      </c>
      <c r="Q253" s="52"/>
      <c r="R253" s="52"/>
      <c r="S253" s="52"/>
      <c r="T253" s="52"/>
      <c r="U253" s="52"/>
      <c r="V253" s="52"/>
      <c r="W253" s="52"/>
      <c r="X253" s="52"/>
      <c r="Y253" s="52"/>
      <c r="Z253" s="52"/>
    </row>
    <row r="254">
      <c r="A254" s="52" t="str">
        <f>IFERROR(__xludf.DUMMYFUNCTION("""COMPUTED_VALUE"""),"steps::to::replicate::the::bug::(low::detail)")</f>
        <v>steps::to::replicate::the::bug::(low::detail)</v>
      </c>
      <c r="B254" s="52" t="str">
        <f>IFERROR(__xludf.DUMMYFUNCTION("""COMPUTED_VALUE"""),"Performance issue, Permission/deprecation issue, Security issue, Test code-related issue")</f>
        <v>Performance issue, Permission/deprecation issue, Security issue, Test code-related issue</v>
      </c>
      <c r="C254" s="52"/>
      <c r="D254" s="52" t="str">
        <f>IFERROR(__xludf.DUMMYFUNCTION("""COMPUTED_VALUE"""),"providing::claarification::about::availability::feature")</f>
        <v>providing::claarification::about::availability::feature</v>
      </c>
      <c r="E254" s="52"/>
      <c r="F254" s="52" t="str">
        <f>IFERROR(__xludf.DUMMYFUNCTION("""COMPUTED_VALUE"""),"mentioning::documented::dependency::of::the::BP")</f>
        <v>mentioning::documented::dependency::of::the::BP</v>
      </c>
      <c r="G254" s="52"/>
      <c r="H254" s="52"/>
      <c r="I254" s="52"/>
      <c r="J254" s="52"/>
      <c r="K254" s="52"/>
      <c r="L254" s="52"/>
      <c r="M254" s="52"/>
      <c r="N254" s="52"/>
      <c r="O254" s="52"/>
      <c r="P254" s="52" t="str">
        <f>IFERROR(__xludf.DUMMYFUNCTION("""COMPUTED_VALUE"""),"challenges::to::rebase::other::patches")</f>
        <v>challenges::to::rebase::other::patches</v>
      </c>
      <c r="Q254" s="52"/>
      <c r="R254" s="52"/>
      <c r="S254" s="52"/>
      <c r="T254" s="52"/>
      <c r="U254" s="52"/>
      <c r="V254" s="52"/>
      <c r="W254" s="52"/>
      <c r="X254" s="52"/>
      <c r="Y254" s="52"/>
      <c r="Z254" s="52"/>
    </row>
    <row r="255">
      <c r="A255" s="52" t="str">
        <f>IFERROR(__xludf.DUMMYFUNCTION("""COMPUTED_VALUE"""),"steps::to::replicate::the::bug::(test)")</f>
        <v>steps::to::replicate::the::bug::(test)</v>
      </c>
      <c r="B255" s="52" t="str">
        <f>IFERROR(__xludf.DUMMYFUNCTION("""COMPUTED_VALUE"""),"Performance issue, Security issue, Program anomaly issue, Test code-related issue")</f>
        <v>Performance issue, Security issue, Program anomaly issue, Test code-related issue</v>
      </c>
      <c r="C255" s="52"/>
      <c r="D255" s="52" t="str">
        <f>IFERROR(__xludf.DUMMYFUNCTION("""COMPUTED_VALUE"""),"providing::clarification::about::availability::feature")</f>
        <v>providing::clarification::about::availability::feature</v>
      </c>
      <c r="E255" s="52"/>
      <c r="F255" s="52" t="str">
        <f>IFERROR(__xludf.DUMMYFUNCTION("""COMPUTED_VALUE"""),"mentioning::implications::to::do::a::feature::freeze::exception")</f>
        <v>mentioning::implications::to::do::a::feature::freeze::exception</v>
      </c>
      <c r="G255" s="52"/>
      <c r="H255" s="52"/>
      <c r="I255" s="52"/>
      <c r="J255" s="52"/>
      <c r="K255" s="52"/>
      <c r="L255" s="52"/>
      <c r="M255" s="52"/>
      <c r="N255" s="52"/>
      <c r="O255" s="52"/>
      <c r="P255" s="52" t="str">
        <f>IFERROR(__xludf.DUMMYFUNCTION("""COMPUTED_VALUE"""),"change::ID")</f>
        <v>change::ID</v>
      </c>
      <c r="Q255" s="52"/>
      <c r="R255" s="52"/>
      <c r="S255" s="52"/>
      <c r="T255" s="52"/>
      <c r="U255" s="52"/>
      <c r="V255" s="52"/>
      <c r="W255" s="52"/>
      <c r="X255" s="52"/>
      <c r="Y255" s="52"/>
      <c r="Z255" s="52"/>
    </row>
    <row r="256">
      <c r="A256" s="52" t="str">
        <f>IFERROR(__xludf.DUMMYFUNCTION("""COMPUTED_VALUE"""),"subscribing::external::sponsors::for::the::bug")</f>
        <v>subscribing::external::sponsors::for::the::bug</v>
      </c>
      <c r="B256" s="52" t="str">
        <f>IFERROR(__xludf.DUMMYFUNCTION("""COMPUTED_VALUE"""),"Permission/deprecation issue, Security issue, Program anomaly issue, Test code-related issue")</f>
        <v>Permission/deprecation issue, Security issue, Program anomaly issue, Test code-related issue</v>
      </c>
      <c r="C256" s="52"/>
      <c r="D256" s="52" t="str">
        <f>IFERROR(__xludf.DUMMYFUNCTION("""COMPUTED_VALUE"""),"providing::clarification::about::current::implementation")</f>
        <v>providing::clarification::about::current::implementation</v>
      </c>
      <c r="E256" s="52"/>
      <c r="F256" s="52" t="str">
        <f>IFERROR(__xludf.DUMMYFUNCTION("""COMPUTED_VALUE"""),"mentioning::importance::of::BP::in::release::version")</f>
        <v>mentioning::importance::of::BP::in::release::version</v>
      </c>
      <c r="G256" s="52"/>
      <c r="H256" s="52"/>
      <c r="I256" s="52"/>
      <c r="J256" s="52"/>
      <c r="K256" s="52"/>
      <c r="L256" s="52"/>
      <c r="M256" s="52"/>
      <c r="N256" s="52"/>
      <c r="O256" s="52"/>
      <c r="P256" s="52" t="str">
        <f>IFERROR(__xludf.DUMMYFUNCTION("""COMPUTED_VALUE"""),"changes::required::for::submitting")</f>
        <v>changes::required::for::submitting</v>
      </c>
      <c r="Q256" s="52"/>
      <c r="R256" s="52"/>
      <c r="S256" s="52"/>
      <c r="T256" s="52"/>
      <c r="U256" s="52"/>
      <c r="V256" s="52"/>
      <c r="W256" s="52"/>
      <c r="X256" s="52"/>
      <c r="Y256" s="52"/>
      <c r="Z256" s="52"/>
    </row>
    <row r="257">
      <c r="A257" s="52" t="str">
        <f>IFERROR(__xludf.DUMMYFUNCTION("""COMPUTED_VALUE"""),"suggests::documentation")</f>
        <v>suggests::documentation</v>
      </c>
      <c r="B257" s="52" t="str">
        <f>IFERROR(__xludf.DUMMYFUNCTION("""COMPUTED_VALUE"""),"Configuration issue, Database-related issue, GUI-related issue, Network issue, Performance issue")</f>
        <v>Configuration issue, Database-related issue, GUI-related issue, Network issue, Performance issue</v>
      </c>
      <c r="C257" s="52"/>
      <c r="D257" s="52" t="str">
        <f>IFERROR(__xludf.DUMMYFUNCTION("""COMPUTED_VALUE"""),"providing::clarification::about::release::timeline")</f>
        <v>providing::clarification::about::release::timeline</v>
      </c>
      <c r="E257" s="52"/>
      <c r="F257" s="52" t="str">
        <f>IFERROR(__xludf.DUMMYFUNCTION("""COMPUTED_VALUE"""),"mentioning::related::bp")</f>
        <v>mentioning::related::bp</v>
      </c>
      <c r="G257" s="52"/>
      <c r="H257" s="52"/>
      <c r="I257" s="52"/>
      <c r="J257" s="52"/>
      <c r="K257" s="52"/>
      <c r="L257" s="52"/>
      <c r="M257" s="52"/>
      <c r="N257" s="52"/>
      <c r="O257" s="52"/>
      <c r="P257" s="52" t="str">
        <f>IFERROR(__xludf.DUMMYFUNCTION("""COMPUTED_VALUE"""),"changes::required::for::submitting::(comments::added)")</f>
        <v>changes::required::for::submitting::(comments::added)</v>
      </c>
      <c r="Q257" s="52"/>
      <c r="R257" s="52"/>
      <c r="S257" s="52"/>
      <c r="T257" s="52"/>
      <c r="U257" s="52"/>
      <c r="V257" s="52"/>
      <c r="W257" s="52"/>
      <c r="X257" s="52"/>
      <c r="Y257" s="52"/>
      <c r="Z257" s="52"/>
    </row>
    <row r="258">
      <c r="A258" s="52" t="str">
        <f>IFERROR(__xludf.DUMMYFUNCTION("""COMPUTED_VALUE"""),"test::logs")</f>
        <v>test::logs</v>
      </c>
      <c r="B258" s="52" t="str">
        <f>IFERROR(__xludf.DUMMYFUNCTION("""COMPUTED_VALUE"""),"Configuration issue, Database-related issue, GUI-related issue, Network issue, Permission/deprecation issue")</f>
        <v>Configuration issue, Database-related issue, GUI-related issue, Network issue, Permission/deprecation issue</v>
      </c>
      <c r="C258" s="52"/>
      <c r="D258" s="52" t="str">
        <f>IFERROR(__xludf.DUMMYFUNCTION("""COMPUTED_VALUE"""),"providing::clarification::documentation")</f>
        <v>providing::clarification::documentation</v>
      </c>
      <c r="E258" s="52"/>
      <c r="F258" s="52" t="str">
        <f>IFERROR(__xludf.DUMMYFUNCTION("""COMPUTED_VALUE"""),"mentioning::related::bug")</f>
        <v>mentioning::related::bug</v>
      </c>
      <c r="G258" s="52"/>
      <c r="H258" s="52"/>
      <c r="I258" s="52"/>
      <c r="J258" s="52"/>
      <c r="K258" s="52"/>
      <c r="L258" s="52"/>
      <c r="M258" s="52"/>
      <c r="N258" s="52"/>
      <c r="O258" s="52"/>
      <c r="P258" s="52" t="str">
        <f>IFERROR(__xludf.DUMMYFUNCTION("""COMPUTED_VALUE"""),"changes::reverted")</f>
        <v>changes::reverted</v>
      </c>
      <c r="Q258" s="52"/>
      <c r="R258" s="52"/>
      <c r="S258" s="52"/>
      <c r="T258" s="52"/>
      <c r="U258" s="52"/>
      <c r="V258" s="52"/>
      <c r="W258" s="52"/>
      <c r="X258" s="52"/>
      <c r="Y258" s="52"/>
      <c r="Z258" s="52"/>
    </row>
    <row r="259">
      <c r="A259" s="52" t="str">
        <f>IFERROR(__xludf.DUMMYFUNCTION("""COMPUTED_VALUE"""),"test::logs::(external::link::404)")</f>
        <v>test::logs::(external::link::404)</v>
      </c>
      <c r="B259" s="52" t="str">
        <f>IFERROR(__xludf.DUMMYFUNCTION("""COMPUTED_VALUE"""),"Configuration issue, Database-related issue, GUI-related issue, Network issue, Program anomaly issue")</f>
        <v>Configuration issue, Database-related issue, GUI-related issue, Network issue, Program anomaly issue</v>
      </c>
      <c r="C259" s="52"/>
      <c r="D259" s="52" t="str">
        <f>IFERROR(__xludf.DUMMYFUNCTION("""COMPUTED_VALUE"""),"providing::clarification::documentation::(issue)")</f>
        <v>providing::clarification::documentation::(issue)</v>
      </c>
      <c r="E259" s="52"/>
      <c r="F259" s="52" t="str">
        <f>IFERROR(__xludf.DUMMYFUNCTION("""COMPUTED_VALUE"""),"mentioning::related::issue")</f>
        <v>mentioning::related::issue</v>
      </c>
      <c r="G259" s="52"/>
      <c r="H259" s="52"/>
      <c r="I259" s="52"/>
      <c r="J259" s="52"/>
      <c r="K259" s="52"/>
      <c r="L259" s="52"/>
      <c r="M259" s="52"/>
      <c r="N259" s="52"/>
      <c r="O259" s="52"/>
      <c r="P259" s="52" t="str">
        <f>IFERROR(__xludf.DUMMYFUNCTION("""COMPUTED_VALUE"""),"commenting::about::the::imposssibility::of::using::something::(decorators)")</f>
        <v>commenting::about::the::imposssibility::of::using::something::(decorators)</v>
      </c>
      <c r="Q259" s="52"/>
      <c r="R259" s="52"/>
      <c r="S259" s="52"/>
      <c r="T259" s="52"/>
      <c r="U259" s="52"/>
      <c r="V259" s="52"/>
      <c r="W259" s="52"/>
      <c r="X259" s="52"/>
      <c r="Y259" s="52"/>
      <c r="Z259" s="52"/>
    </row>
    <row r="260">
      <c r="A260" s="52" t="str">
        <f>IFERROR(__xludf.DUMMYFUNCTION("""COMPUTED_VALUE"""),"time::used::to::work::on::the::BFC::review")</f>
        <v>time::used::to::work::on::the::BFC::review</v>
      </c>
      <c r="B260" s="52" t="str">
        <f>IFERROR(__xludf.DUMMYFUNCTION("""COMPUTED_VALUE"""),"Configuration issue, Database-related issue, GUI-related issue, Network issue, Security issue")</f>
        <v>Configuration issue, Database-related issue, GUI-related issue, Network issue, Security issue</v>
      </c>
      <c r="C260" s="52"/>
      <c r="D260" s="52" t="str">
        <f>IFERROR(__xludf.DUMMYFUNCTION("""COMPUTED_VALUE"""),"providing::clarification::documentation::(where)")</f>
        <v>providing::clarification::documentation::(where)</v>
      </c>
      <c r="E260" s="52"/>
      <c r="F260" s="52" t="str">
        <f>IFERROR(__xludf.DUMMYFUNCTION("""COMPUTED_VALUE"""),"mentioning::related::review")</f>
        <v>mentioning::related::review</v>
      </c>
      <c r="G260" s="52"/>
      <c r="H260" s="52"/>
      <c r="I260" s="52"/>
      <c r="J260" s="52"/>
      <c r="K260" s="52"/>
      <c r="L260" s="52"/>
      <c r="M260" s="52"/>
      <c r="N260" s="52"/>
      <c r="O260" s="52"/>
      <c r="P260" s="52" t="str">
        <f>IFERROR(__xludf.DUMMYFUNCTION("""COMPUTED_VALUE"""),"comments::addressed")</f>
        <v>comments::addressed</v>
      </c>
      <c r="Q260" s="52"/>
      <c r="R260" s="52"/>
      <c r="S260" s="52"/>
      <c r="T260" s="52"/>
      <c r="U260" s="52"/>
      <c r="V260" s="52"/>
      <c r="W260" s="52"/>
      <c r="X260" s="52"/>
      <c r="Y260" s="52"/>
      <c r="Z260" s="52"/>
    </row>
    <row r="261">
      <c r="A261" s="52" t="str">
        <f>IFERROR(__xludf.DUMMYFUNCTION("""COMPUTED_VALUE"""),"undesired::behaviour")</f>
        <v>undesired::behaviour</v>
      </c>
      <c r="B261" s="52" t="str">
        <f>IFERROR(__xludf.DUMMYFUNCTION("""COMPUTED_VALUE"""),"Configuration issue, Database-related issue, GUI-related issue, Network issue, Test code-related issue")</f>
        <v>Configuration issue, Database-related issue, GUI-related issue, Network issue, Test code-related issue</v>
      </c>
      <c r="C261" s="52"/>
      <c r="D261" s="52" t="str">
        <f>IFERROR(__xludf.DUMMYFUNCTION("""COMPUTED_VALUE"""),"providing::clarification::expected::behaviour")</f>
        <v>providing::clarification::expected::behaviour</v>
      </c>
      <c r="E261" s="52"/>
      <c r="F261" s="52" t="str">
        <f>IFERROR(__xludf.DUMMYFUNCTION("""COMPUTED_VALUE"""),"mentioning::status::of::version::after::current::release::cycle")</f>
        <v>mentioning::status::of::version::after::current::release::cycle</v>
      </c>
      <c r="G261" s="52"/>
      <c r="H261" s="52"/>
      <c r="I261" s="52"/>
      <c r="J261" s="52"/>
      <c r="K261" s="52"/>
      <c r="L261" s="52"/>
      <c r="M261" s="52"/>
      <c r="N261" s="52"/>
      <c r="O261" s="52"/>
      <c r="P261" s="52" t="str">
        <f>IFERROR(__xludf.DUMMYFUNCTION("""COMPUTED_VALUE"""),"comments::will::be::addressed::(soon)")</f>
        <v>comments::will::be::addressed::(soon)</v>
      </c>
      <c r="Q261" s="52"/>
      <c r="R261" s="52"/>
      <c r="S261" s="52"/>
      <c r="T261" s="52"/>
      <c r="U261" s="52"/>
      <c r="V261" s="52"/>
      <c r="W261" s="52"/>
      <c r="X261" s="52"/>
      <c r="Y261" s="52"/>
      <c r="Z261" s="52"/>
    </row>
    <row r="262">
      <c r="A262" s="52" t="str">
        <f>IFERROR(__xludf.DUMMYFUNCTION("""COMPUTED_VALUE"""),"unsubscribing::external::sponsors")</f>
        <v>unsubscribing::external::sponsors</v>
      </c>
      <c r="B262" s="52" t="str">
        <f>IFERROR(__xludf.DUMMYFUNCTION("""COMPUTED_VALUE"""),"Configuration issue, Database-related issue, GUI-related issue, Performance issue, Permission/deprecation issue")</f>
        <v>Configuration issue, Database-related issue, GUI-related issue, Performance issue, Permission/deprecation issue</v>
      </c>
      <c r="C262" s="52"/>
      <c r="D262" s="52" t="str">
        <f>IFERROR(__xludf.DUMMYFUNCTION("""COMPUTED_VALUE"""),"providing::clarification::intended::solution::design")</f>
        <v>providing::clarification::intended::solution::design</v>
      </c>
      <c r="E262" s="52"/>
      <c r="F262" s="52" t="str">
        <f>IFERROR(__xludf.DUMMYFUNCTION("""COMPUTED_VALUE"""),"mentioning::that::the::existing::BP/feature::partially::covers::some::of::the::new::requested::features")</f>
        <v>mentioning::that::the::existing::BP/feature::partially::covers::some::of::the::new::requested::features</v>
      </c>
      <c r="G262" s="52"/>
      <c r="H262" s="52"/>
      <c r="I262" s="52"/>
      <c r="J262" s="52"/>
      <c r="K262" s="52"/>
      <c r="L262" s="52"/>
      <c r="M262" s="52"/>
      <c r="N262" s="52"/>
      <c r="O262" s="52"/>
      <c r="P262" s="52" t="str">
        <f>IFERROR(__xludf.DUMMYFUNCTION("""COMPUTED_VALUE"""),"complaining::of::the::developing::process::(modifying::unnecessary::files)")</f>
        <v>complaining::of::the::developing::process::(modifying::unnecessary::files)</v>
      </c>
      <c r="Q262" s="52"/>
      <c r="R262" s="52"/>
      <c r="S262" s="52"/>
      <c r="T262" s="52"/>
      <c r="U262" s="52"/>
      <c r="V262" s="52"/>
      <c r="W262" s="52"/>
      <c r="X262" s="52"/>
      <c r="Y262" s="52"/>
      <c r="Z262" s="52"/>
    </row>
    <row r="263">
      <c r="A263" s="52" t="str">
        <f>IFERROR(__xludf.DUMMYFUNCTION("""COMPUTED_VALUE"""),"version::of::elasticsearch:::in::which::the::bug::was::found")</f>
        <v>version::of::elasticsearch:::in::which::the::bug::was::found</v>
      </c>
      <c r="B263" s="52" t="str">
        <f>IFERROR(__xludf.DUMMYFUNCTION("""COMPUTED_VALUE"""),"Configuration issue, Database-related issue, GUI-related issue, Performance issue, Program anomaly issue")</f>
        <v>Configuration issue, Database-related issue, GUI-related issue, Performance issue, Program anomaly issue</v>
      </c>
      <c r="C263" s="52"/>
      <c r="D263" s="52" t="str">
        <f>IFERROR(__xludf.DUMMYFUNCTION("""COMPUTED_VALUE"""),"providing::clarification::intended::solution::design::(backwards::compatebility)")</f>
        <v>providing::clarification::intended::solution::design::(backwards::compatebility)</v>
      </c>
      <c r="E263" s="52"/>
      <c r="F263" s="52" t="str">
        <f>IFERROR(__xludf.DUMMYFUNCTION("""COMPUTED_VALUE"""),"message::containing::code")</f>
        <v>message::containing::code</v>
      </c>
      <c r="G263" s="52"/>
      <c r="H263" s="52"/>
      <c r="I263" s="52"/>
      <c r="J263" s="52"/>
      <c r="K263" s="52"/>
      <c r="L263" s="52"/>
      <c r="M263" s="52"/>
      <c r="N263" s="52"/>
      <c r="O263" s="52"/>
      <c r="P263" s="52" t="str">
        <f>IFERROR(__xludf.DUMMYFUNCTION("""COMPUTED_VALUE"""),"complaining::of::the::developing::process::(speed::reviews)")</f>
        <v>complaining::of::the::developing::process::(speed::reviews)</v>
      </c>
      <c r="Q263" s="52"/>
      <c r="R263" s="52"/>
      <c r="S263" s="52"/>
      <c r="T263" s="52"/>
      <c r="U263" s="52"/>
      <c r="V263" s="52"/>
      <c r="W263" s="52"/>
      <c r="X263" s="52"/>
      <c r="Y263" s="52"/>
      <c r="Z263" s="52"/>
    </row>
    <row r="264">
      <c r="A264" s="52" t="str">
        <f>IFERROR(__xludf.DUMMYFUNCTION("""COMPUTED_VALUE"""),"version::of::nova:::in::which::the::bug::was::found")</f>
        <v>version::of::nova:::in::which::the::bug::was::found</v>
      </c>
      <c r="B264" s="52" t="str">
        <f>IFERROR(__xludf.DUMMYFUNCTION("""COMPUTED_VALUE"""),"Configuration issue, Database-related issue, GUI-related issue, Performance issue, Security issue")</f>
        <v>Configuration issue, Database-related issue, GUI-related issue, Performance issue, Security issue</v>
      </c>
      <c r="C264" s="52"/>
      <c r="D264" s="52" t="str">
        <f>IFERROR(__xludf.DUMMYFUNCTION("""COMPUTED_VALUE"""),"providing::clarification::missing::documentation")</f>
        <v>providing::clarification::missing::documentation</v>
      </c>
      <c r="E264" s="52"/>
      <c r="F264" s="52" t="str">
        <f>IFERROR(__xludf.DUMMYFUNCTION("""COMPUTED_VALUE"""),"message::containing::debug::log")</f>
        <v>message::containing::debug::log</v>
      </c>
      <c r="G264" s="52"/>
      <c r="H264" s="52"/>
      <c r="I264" s="52"/>
      <c r="J264" s="52"/>
      <c r="K264" s="52"/>
      <c r="L264" s="52"/>
      <c r="M264" s="52"/>
      <c r="N264" s="52"/>
      <c r="O264" s="52"/>
      <c r="P264" s="52" t="str">
        <f>IFERROR(__xludf.DUMMYFUNCTION("""COMPUTED_VALUE"""),"complaining::of::the::developing::process::(tests)")</f>
        <v>complaining::of::the::developing::process::(tests)</v>
      </c>
      <c r="Q264" s="52"/>
      <c r="R264" s="52"/>
      <c r="S264" s="52"/>
      <c r="T264" s="52"/>
      <c r="U264" s="52"/>
      <c r="V264" s="52"/>
      <c r="W264" s="52"/>
      <c r="X264" s="52"/>
      <c r="Y264" s="52"/>
      <c r="Z264" s="52"/>
    </row>
    <row r="265">
      <c r="A265" s="52" t="str">
        <f>IFERROR(__xludf.DUMMYFUNCTION("""COMPUTED_VALUE"""),"version::of::operating::system::affected")</f>
        <v>version::of::operating::system::affected</v>
      </c>
      <c r="B265" s="52" t="str">
        <f>IFERROR(__xludf.DUMMYFUNCTION("""COMPUTED_VALUE"""),"Configuration issue, Database-related issue, GUI-related issue, Performance issue, Test code-related issue")</f>
        <v>Configuration issue, Database-related issue, GUI-related issue, Performance issue, Test code-related issue</v>
      </c>
      <c r="C265" s="52"/>
      <c r="D265" s="52" t="str">
        <f>IFERROR(__xludf.DUMMYFUNCTION("""COMPUTED_VALUE"""),"providing::clarification::possible::usage")</f>
        <v>providing::clarification::possible::usage</v>
      </c>
      <c r="E265" s="52"/>
      <c r="F265" s="52" t="str">
        <f>IFERROR(__xludf.DUMMYFUNCTION("""COMPUTED_VALUE"""),"minor::changes")</f>
        <v>minor::changes</v>
      </c>
      <c r="G265" s="52"/>
      <c r="H265" s="52"/>
      <c r="I265" s="52"/>
      <c r="J265" s="52"/>
      <c r="K265" s="52"/>
      <c r="L265" s="52"/>
      <c r="M265" s="52"/>
      <c r="N265" s="52"/>
      <c r="O265" s="52"/>
      <c r="P265" s="52" t="str">
        <f>IFERROR(__xludf.DUMMYFUNCTION("""COMPUTED_VALUE"""),"compliment::to::the::author")</f>
        <v>compliment::to::the::author</v>
      </c>
      <c r="Q265" s="52"/>
      <c r="R265" s="52"/>
      <c r="S265" s="52"/>
      <c r="T265" s="52"/>
      <c r="U265" s="52"/>
      <c r="V265" s="52"/>
      <c r="W265" s="52"/>
      <c r="X265" s="52"/>
      <c r="Y265" s="52"/>
      <c r="Z265" s="52"/>
    </row>
    <row r="266">
      <c r="A266" s="52" t="str">
        <f>IFERROR(__xludf.DUMMYFUNCTION("""COMPUTED_VALUE"""),"what::is::the::bug::causing")</f>
        <v>what::is::the::bug::causing</v>
      </c>
      <c r="B266" s="52" t="str">
        <f>IFERROR(__xludf.DUMMYFUNCTION("""COMPUTED_VALUE"""),"Configuration issue, Database-related issue, GUI-related issue, Permission/deprecation issue, Program anomaly issue")</f>
        <v>Configuration issue, Database-related issue, GUI-related issue, Permission/deprecation issue, Program anomaly issue</v>
      </c>
      <c r="C266" s="52"/>
      <c r="D266" s="52" t="str">
        <f>IFERROR(__xludf.DUMMYFUNCTION("""COMPUTED_VALUE"""),"providing::clarification::proposal::change::solution::design::(minor)1")</f>
        <v>providing::clarification::proposal::change::solution::design::(minor)1</v>
      </c>
      <c r="E266" s="52"/>
      <c r="F266" s="52" t="str">
        <f>IFERROR(__xludf.DUMMYFUNCTION("""COMPUTED_VALUE"""),"move::discussion::into::a::related::review")</f>
        <v>move::discussion::into::a::related::review</v>
      </c>
      <c r="G266" s="52"/>
      <c r="H266" s="52"/>
      <c r="I266" s="52"/>
      <c r="J266" s="52"/>
      <c r="K266" s="52"/>
      <c r="L266" s="52"/>
      <c r="M266" s="52"/>
      <c r="N266" s="52"/>
      <c r="O266" s="52"/>
      <c r="P266" s="52" t="str">
        <f>IFERROR(__xludf.DUMMYFUNCTION("""COMPUTED_VALUE"""),"compliment::to::the::author::(solution::design)")</f>
        <v>compliment::to::the::author::(solution::design)</v>
      </c>
      <c r="Q266" s="52"/>
      <c r="R266" s="52"/>
      <c r="S266" s="52"/>
      <c r="T266" s="52"/>
      <c r="U266" s="52"/>
      <c r="V266" s="52"/>
      <c r="W266" s="52"/>
      <c r="X266" s="52"/>
      <c r="Y266" s="52"/>
      <c r="Z266" s="52"/>
    </row>
    <row r="267">
      <c r="A267" s="52" t="str">
        <f>IFERROR(__xludf.DUMMYFUNCTION("""COMPUTED_VALUE"""),"when::is::the::bug::present")</f>
        <v>when::is::the::bug::present</v>
      </c>
      <c r="B267" s="52" t="str">
        <f>IFERROR(__xludf.DUMMYFUNCTION("""COMPUTED_VALUE"""),"Configuration issue, Database-related issue, GUI-related issue, Permission/deprecation issue, Security issue")</f>
        <v>Configuration issue, Database-related issue, GUI-related issue, Permission/deprecation issue, Security issue</v>
      </c>
      <c r="C267" s="52"/>
      <c r="D267" s="52" t="str">
        <f>IFERROR(__xludf.DUMMYFUNCTION("""COMPUTED_VALUE"""),"providing::clarification::proposal::change::solution::design::(minor)2")</f>
        <v>providing::clarification::proposal::change::solution::design::(minor)2</v>
      </c>
      <c r="E267" s="52"/>
      <c r="F267" s="52" t="str">
        <f>IFERROR(__xludf.DUMMYFUNCTION("""COMPUTED_VALUE"""),"new::features::proposed::on::top::of::the::BP/feature")</f>
        <v>new::features::proposed::on::top::of::the::BP/feature</v>
      </c>
      <c r="G267" s="52"/>
      <c r="H267" s="52"/>
      <c r="I267" s="52"/>
      <c r="J267" s="52"/>
      <c r="K267" s="52"/>
      <c r="L267" s="52"/>
      <c r="M267" s="52"/>
      <c r="N267" s="52"/>
      <c r="O267" s="52"/>
      <c r="P267" s="52" t="str">
        <f>IFERROR(__xludf.DUMMYFUNCTION("""COMPUTED_VALUE"""),"compliment::to::the::author::(test::design)")</f>
        <v>compliment::to::the::author::(test::design)</v>
      </c>
      <c r="Q267" s="52"/>
      <c r="R267" s="52"/>
      <c r="S267" s="52"/>
      <c r="T267" s="52"/>
      <c r="U267" s="52"/>
      <c r="V267" s="52"/>
      <c r="W267" s="52"/>
      <c r="X267" s="52"/>
      <c r="Y267" s="52"/>
      <c r="Z267" s="52"/>
    </row>
    <row r="268">
      <c r="A268" s="52" t="str">
        <f>IFERROR(__xludf.DUMMYFUNCTION("""COMPUTED_VALUE"""),"where::bug::appears")</f>
        <v>where::bug::appears</v>
      </c>
      <c r="B268" s="52" t="str">
        <f>IFERROR(__xludf.DUMMYFUNCTION("""COMPUTED_VALUE"""),"Configuration issue, Database-related issue, GUI-related issue, Permission/deprecation issue, Test code-related issue")</f>
        <v>Configuration issue, Database-related issue, GUI-related issue, Permission/deprecation issue, Test code-related issue</v>
      </c>
      <c r="C268" s="52"/>
      <c r="D268" s="52" t="str">
        <f>IFERROR(__xludf.DUMMYFUNCTION("""COMPUTED_VALUE"""),"providing::clarification::regarding::implementation::details")</f>
        <v>providing::clarification::regarding::implementation::details</v>
      </c>
      <c r="E268" s="52"/>
      <c r="F268" s="52" t="str">
        <f>IFERROR(__xludf.DUMMYFUNCTION("""COMPUTED_VALUE"""),"new::functionality::that::was::enabled::thanks::to::the::BP")</f>
        <v>new::functionality::that::was::enabled::thanks::to::the::BP</v>
      </c>
      <c r="G268" s="52"/>
      <c r="H268" s="52"/>
      <c r="I268" s="52"/>
      <c r="J268" s="52"/>
      <c r="K268" s="52"/>
      <c r="L268" s="52"/>
      <c r="M268" s="52"/>
      <c r="N268" s="52"/>
      <c r="O268" s="52"/>
      <c r="P268" s="52" t="str">
        <f>IFERROR(__xludf.DUMMYFUNCTION("""COMPUTED_VALUE"""),"compliment::to::the::author::(use::method/function)")</f>
        <v>compliment::to::the::author::(use::method/function)</v>
      </c>
      <c r="Q268" s="52"/>
      <c r="R268" s="52"/>
      <c r="S268" s="52"/>
      <c r="T268" s="52"/>
      <c r="U268" s="52"/>
      <c r="V268" s="52"/>
      <c r="W268" s="52"/>
      <c r="X268" s="52"/>
      <c r="Y268" s="52"/>
      <c r="Z268" s="52"/>
    </row>
    <row r="269">
      <c r="A269" s="52" t="str">
        <f>IFERROR(__xludf.DUMMYFUNCTION("""COMPUTED_VALUE"""),"why::change::is::required")</f>
        <v>why::change::is::required</v>
      </c>
      <c r="B269" s="52" t="str">
        <f>IFERROR(__xludf.DUMMYFUNCTION("""COMPUTED_VALUE"""),"Configuration issue, Database-related issue, GUI-related issue, Program anomaly issue, Test code-related issue")</f>
        <v>Configuration issue, Database-related issue, GUI-related issue, Program anomaly issue, Test code-related issue</v>
      </c>
      <c r="C269" s="52"/>
      <c r="D269" s="52" t="str">
        <f>IFERROR(__xludf.DUMMYFUNCTION("""COMPUTED_VALUE"""),"providing::clarification::regarding::previous::question")</f>
        <v>providing::clarification::regarding::previous::question</v>
      </c>
      <c r="E269" s="52"/>
      <c r="F269" s="52" t="str">
        <f>IFERROR(__xludf.DUMMYFUNCTION("""COMPUTED_VALUE"""),"not::having::the::proposed::BP/feature::is::the::cause::of::a::bug")</f>
        <v>not::having::the::proposed::BP/feature::is::the::cause::of::a::bug</v>
      </c>
      <c r="G269" s="52"/>
      <c r="H269" s="52"/>
      <c r="I269" s="52"/>
      <c r="J269" s="52"/>
      <c r="K269" s="52"/>
      <c r="L269" s="52"/>
      <c r="M269" s="52"/>
      <c r="N269" s="52"/>
      <c r="O269" s="52"/>
      <c r="P269" s="52" t="str">
        <f>IFERROR(__xludf.DUMMYFUNCTION("""COMPUTED_VALUE"""),"conditioning::a::rebase::(only::if::negative::scores::are::removed)")</f>
        <v>conditioning::a::rebase::(only::if::negative::scores::are::removed)</v>
      </c>
      <c r="Q269" s="52"/>
      <c r="R269" s="52"/>
      <c r="S269" s="52"/>
      <c r="T269" s="52"/>
      <c r="U269" s="52"/>
      <c r="V269" s="52"/>
      <c r="W269" s="52"/>
      <c r="X269" s="52"/>
      <c r="Y269" s="52"/>
      <c r="Z269" s="52"/>
    </row>
    <row r="270">
      <c r="A270" s="52" t="str">
        <f>IFERROR(__xludf.DUMMYFUNCTION("""COMPUTED_VALUE"""),"why::this::is::a::problem")</f>
        <v>why::this::is::a::problem</v>
      </c>
      <c r="B270" s="52" t="str">
        <f>IFERROR(__xludf.DUMMYFUNCTION("""COMPUTED_VALUE"""),"Configuration issue, Database-related issue, GUI-related issue, Security issue, Program anomaly issue")</f>
        <v>Configuration issue, Database-related issue, GUI-related issue, Security issue, Program anomaly issue</v>
      </c>
      <c r="C270" s="52"/>
      <c r="D270" s="52" t="str">
        <f>IFERROR(__xludf.DUMMYFUNCTION("""COMPUTED_VALUE"""),"providing::clarification::regarding::where::to::document")</f>
        <v>providing::clarification::regarding::where::to::document</v>
      </c>
      <c r="E270" s="52"/>
      <c r="F270" s="52" t="str">
        <f>IFERROR(__xludf.DUMMYFUNCTION("""COMPUTED_VALUE"""),"offering::help::for::developing::project")</f>
        <v>offering::help::for::developing::project</v>
      </c>
      <c r="G270" s="52"/>
      <c r="H270" s="52"/>
      <c r="I270" s="52"/>
      <c r="J270" s="52"/>
      <c r="K270" s="52"/>
      <c r="L270" s="52"/>
      <c r="M270" s="52"/>
      <c r="N270" s="52"/>
      <c r="O270" s="52"/>
      <c r="P270" s="52" t="str">
        <f>IFERROR(__xludf.DUMMYFUNCTION("""COMPUTED_VALUE"""),"conditioning::a::refactoring::(only::if::further::changes::are::needed)")</f>
        <v>conditioning::a::refactoring::(only::if::further::changes::are::needed)</v>
      </c>
      <c r="Q270" s="52"/>
      <c r="R270" s="52"/>
      <c r="S270" s="52"/>
      <c r="T270" s="52"/>
      <c r="U270" s="52"/>
      <c r="V270" s="52"/>
      <c r="W270" s="52"/>
      <c r="X270" s="52"/>
      <c r="Y270" s="52"/>
      <c r="Z270" s="52"/>
    </row>
    <row r="271">
      <c r="A271" s="52" t="str">
        <f>IFERROR(__xludf.DUMMYFUNCTION("""COMPUTED_VALUE"""),"will::verify::bug::not::present::(specific::version)")</f>
        <v>will::verify::bug::not::present::(specific::version)</v>
      </c>
      <c r="B271" s="52" t="str">
        <f>IFERROR(__xludf.DUMMYFUNCTION("""COMPUTED_VALUE"""),"Configuration issue, Database-related issue, GUI-related issue, Security issue, Test code-related issue")</f>
        <v>Configuration issue, Database-related issue, GUI-related issue, Security issue, Test code-related issue</v>
      </c>
      <c r="C271" s="52"/>
      <c r="D271" s="52" t="str">
        <f>IFERROR(__xludf.DUMMYFUNCTION("""COMPUTED_VALUE"""),"providing::details::(nova::version)")</f>
        <v>providing::details::(nova::version)</v>
      </c>
      <c r="E271" s="52"/>
      <c r="F271" s="52" t="str">
        <f>IFERROR(__xludf.DUMMYFUNCTION("""COMPUTED_VALUE"""),"offering::help::to::implement::test")</f>
        <v>offering::help::to::implement::test</v>
      </c>
      <c r="G271" s="52"/>
      <c r="H271" s="52"/>
      <c r="I271" s="52"/>
      <c r="J271" s="52"/>
      <c r="K271" s="52"/>
      <c r="L271" s="52"/>
      <c r="M271" s="52"/>
      <c r="N271" s="52"/>
      <c r="O271" s="52"/>
      <c r="P271" s="52" t="str">
        <f>IFERROR(__xludf.DUMMYFUNCTION("""COMPUTED_VALUE"""),"confirming::bug::fixed")</f>
        <v>confirming::bug::fixed</v>
      </c>
      <c r="Q271" s="52"/>
      <c r="R271" s="52"/>
      <c r="S271" s="52"/>
      <c r="T271" s="52"/>
      <c r="U271" s="52"/>
      <c r="V271" s="52"/>
      <c r="W271" s="52"/>
      <c r="X271" s="52"/>
      <c r="Y271" s="52"/>
      <c r="Z271" s="52"/>
    </row>
    <row r="272">
      <c r="A272" s="52"/>
      <c r="B272" s="52" t="str">
        <f>IFERROR(__xludf.DUMMYFUNCTION("""COMPUTED_VALUE"""),"Configuration issue, Database-related issue, Network issue, Performance issue, Permission/deprecation issue")</f>
        <v>Configuration issue, Database-related issue, Network issue, Performance issue, Permission/deprecation issue</v>
      </c>
      <c r="C272" s="52"/>
      <c r="D272" s="52" t="str">
        <f>IFERROR(__xludf.DUMMYFUNCTION("""COMPUTED_VALUE"""),"providing::details::(query::used)")</f>
        <v>providing::details::(query::used)</v>
      </c>
      <c r="E272" s="52"/>
      <c r="F272" s="52" t="str">
        <f>IFERROR(__xludf.DUMMYFUNCTION("""COMPUTED_VALUE"""),"offering::help::to::shephard::reviews")</f>
        <v>offering::help::to::shephard::reviews</v>
      </c>
      <c r="G272" s="52"/>
      <c r="H272" s="52"/>
      <c r="I272" s="52"/>
      <c r="J272" s="52"/>
      <c r="K272" s="52"/>
      <c r="L272" s="52"/>
      <c r="M272" s="52"/>
      <c r="N272" s="52"/>
      <c r="O272" s="52"/>
      <c r="P272" s="52" t="str">
        <f>IFERROR(__xludf.DUMMYFUNCTION("""COMPUTED_VALUE"""),"confirming::possbile::bug")</f>
        <v>confirming::possbile::bug</v>
      </c>
      <c r="Q272" s="52"/>
      <c r="R272" s="52"/>
      <c r="S272" s="52"/>
      <c r="T272" s="52"/>
      <c r="U272" s="52"/>
      <c r="V272" s="52"/>
      <c r="W272" s="52"/>
      <c r="X272" s="52"/>
      <c r="Y272" s="52"/>
      <c r="Z272" s="52"/>
    </row>
    <row r="273">
      <c r="A273" s="52"/>
      <c r="B273" s="52" t="str">
        <f>IFERROR(__xludf.DUMMYFUNCTION("""COMPUTED_VALUE"""),"Configuration issue, Database-related issue, Network issue, Performance issue, Program anomaly issue")</f>
        <v>Configuration issue, Database-related issue, Network issue, Performance issue, Program anomaly issue</v>
      </c>
      <c r="C273" s="52"/>
      <c r="D273" s="52" t="str">
        <f>IFERROR(__xludf.DUMMYFUNCTION("""COMPUTED_VALUE"""),"providing::documentation")</f>
        <v>providing::documentation</v>
      </c>
      <c r="E273" s="52"/>
      <c r="F273" s="52" t="str">
        <f>IFERROR(__xludf.DUMMYFUNCTION("""COMPUTED_VALUE"""),"other::project::that::can::be::benefited::from::the::BP/feature")</f>
        <v>other::project::that::can::be::benefited::from::the::BP/feature</v>
      </c>
      <c r="G273" s="52"/>
      <c r="H273" s="52"/>
      <c r="I273" s="52"/>
      <c r="J273" s="52"/>
      <c r="K273" s="52"/>
      <c r="L273" s="52"/>
      <c r="M273" s="52"/>
      <c r="N273" s="52"/>
      <c r="O273" s="52"/>
      <c r="P273" s="52" t="str">
        <f>IFERROR(__xludf.DUMMYFUNCTION("""COMPUTED_VALUE"""),"content::of::each::patchset")</f>
        <v>content::of::each::patchset</v>
      </c>
      <c r="Q273" s="52"/>
      <c r="R273" s="52"/>
      <c r="S273" s="52"/>
      <c r="T273" s="52"/>
      <c r="U273" s="52"/>
      <c r="V273" s="52"/>
      <c r="W273" s="52"/>
      <c r="X273" s="52"/>
      <c r="Y273" s="52"/>
      <c r="Z273" s="52"/>
    </row>
    <row r="274">
      <c r="A274" s="52"/>
      <c r="B274" s="52" t="str">
        <f>IFERROR(__xludf.DUMMYFUNCTION("""COMPUTED_VALUE"""),"Configuration issue, Database-related issue, Network issue, Performance issue, Security issue")</f>
        <v>Configuration issue, Database-related issue, Network issue, Performance issue, Security issue</v>
      </c>
      <c r="C274" s="52"/>
      <c r="D274" s="52" t="str">
        <f>IFERROR(__xludf.DUMMYFUNCTION("""COMPUTED_VALUE"""),"providing::example::for::expected::outcome")</f>
        <v>providing::example::for::expected::outcome</v>
      </c>
      <c r="E274" s="52"/>
      <c r="F274" s="52" t="str">
        <f>IFERROR(__xludf.DUMMYFUNCTION("""COMPUTED_VALUE"""),"overlap::and::differences::between::similar::functionalities::between::two::development::process::(nova::and::external::developer)")</f>
        <v>overlap::and::differences::between::similar::functionalities::between::two::development::process::(nova::and::external::developer)</v>
      </c>
      <c r="G274" s="52"/>
      <c r="H274" s="52"/>
      <c r="I274" s="52"/>
      <c r="J274" s="52"/>
      <c r="K274" s="52"/>
      <c r="L274" s="52"/>
      <c r="M274" s="52"/>
      <c r="N274" s="52"/>
      <c r="O274" s="52"/>
      <c r="P274" s="52" t="str">
        <f>IFERROR(__xludf.DUMMYFUNCTION("""COMPUTED_VALUE"""),"correcting::own::suggestion")</f>
        <v>correcting::own::suggestion</v>
      </c>
      <c r="Q274" s="52"/>
      <c r="R274" s="52"/>
      <c r="S274" s="52"/>
      <c r="T274" s="52"/>
      <c r="U274" s="52"/>
      <c r="V274" s="52"/>
      <c r="W274" s="52"/>
      <c r="X274" s="52"/>
      <c r="Y274" s="52"/>
      <c r="Z274" s="52"/>
    </row>
    <row r="275">
      <c r="A275" s="52"/>
      <c r="B275" s="52" t="str">
        <f>IFERROR(__xludf.DUMMYFUNCTION("""COMPUTED_VALUE"""),"Configuration issue, Database-related issue, Network issue, Performance issue, Test code-related issue")</f>
        <v>Configuration issue, Database-related issue, Network issue, Performance issue, Test code-related issue</v>
      </c>
      <c r="C275" s="52"/>
      <c r="D275" s="52" t="str">
        <f>IFERROR(__xludf.DUMMYFUNCTION("""COMPUTED_VALUE"""),"providing::example::for::intended::usage::(from::another:issue)")</f>
        <v>providing::example::for::intended::usage::(from::another:issue)</v>
      </c>
      <c r="E275" s="52"/>
      <c r="F275" s="52" t="str">
        <f>IFERROR(__xludf.DUMMYFUNCTION("""COMPUTED_VALUE"""),"patches::that::require::FFE")</f>
        <v>patches::that::require::FFE</v>
      </c>
      <c r="G275" s="52"/>
      <c r="H275" s="52"/>
      <c r="I275" s="52"/>
      <c r="J275" s="52"/>
      <c r="K275" s="52"/>
      <c r="L275" s="52"/>
      <c r="M275" s="52"/>
      <c r="N275" s="52"/>
      <c r="O275" s="52"/>
      <c r="P275" s="52" t="str">
        <f>IFERROR(__xludf.DUMMYFUNCTION("""COMPUTED_VALUE"""),"deferred::to::later::release")</f>
        <v>deferred::to::later::release</v>
      </c>
      <c r="Q275" s="52"/>
      <c r="R275" s="52"/>
      <c r="S275" s="52"/>
      <c r="T275" s="52"/>
      <c r="U275" s="52"/>
      <c r="V275" s="52"/>
      <c r="W275" s="52"/>
      <c r="X275" s="52"/>
      <c r="Y275" s="52"/>
      <c r="Z275" s="52"/>
    </row>
    <row r="276">
      <c r="A276" s="52"/>
      <c r="B276" s="52" t="str">
        <f>IFERROR(__xludf.DUMMYFUNCTION("""COMPUTED_VALUE"""),"Configuration issue, Database-related issue, Network issue, Permission/deprecation issue, Program anomaly issue")</f>
        <v>Configuration issue, Database-related issue, Network issue, Permission/deprecation issue, Program anomaly issue</v>
      </c>
      <c r="C276" s="52"/>
      <c r="D276" s="52" t="str">
        <f>IFERROR(__xludf.DUMMYFUNCTION("""COMPUTED_VALUE"""),"providing::example::for::intended::usage::(per::expected::functionallity)")</f>
        <v>providing::example::for::intended::usage::(per::expected::functionallity)</v>
      </c>
      <c r="E276" s="52"/>
      <c r="F276" s="52" t="str">
        <f>IFERROR(__xludf.DUMMYFUNCTION("""COMPUTED_VALUE"""),"possible::reasons::why::it::has::not::been::merged::(conflict::heavy)")</f>
        <v>possible::reasons::why::it::has::not::been::merged::(conflict::heavy)</v>
      </c>
      <c r="G276" s="52"/>
      <c r="H276" s="52"/>
      <c r="I276" s="52"/>
      <c r="J276" s="52"/>
      <c r="K276" s="52"/>
      <c r="L276" s="52"/>
      <c r="M276" s="52"/>
      <c r="N276" s="52"/>
      <c r="O276" s="52"/>
      <c r="P276" s="52" t="str">
        <f>IFERROR(__xludf.DUMMYFUNCTION("""COMPUTED_VALUE"""),"discussing::about::another::patches::(dependencies::status)")</f>
        <v>discussing::about::another::patches::(dependencies::status)</v>
      </c>
      <c r="Q276" s="52"/>
      <c r="R276" s="52"/>
      <c r="S276" s="52"/>
      <c r="T276" s="52"/>
      <c r="U276" s="52"/>
      <c r="V276" s="52"/>
      <c r="W276" s="52"/>
      <c r="X276" s="52"/>
      <c r="Y276" s="52"/>
      <c r="Z276" s="52"/>
    </row>
    <row r="277">
      <c r="A277" s="52"/>
      <c r="B277" s="52" t="str">
        <f>IFERROR(__xludf.DUMMYFUNCTION("""COMPUTED_VALUE"""),"Configuration issue, Database-related issue, Network issue, Permission/deprecation issue, Security issue")</f>
        <v>Configuration issue, Database-related issue, Network issue, Permission/deprecation issue, Security issue</v>
      </c>
      <c r="C277" s="52"/>
      <c r="D277" s="52" t="str">
        <f>IFERROR(__xludf.DUMMYFUNCTION("""COMPUTED_VALUE"""),"providing::example::for::intended::usage1")</f>
        <v>providing::example::for::intended::usage1</v>
      </c>
      <c r="E277" s="52"/>
      <c r="F277" s="52" t="str">
        <f>IFERROR(__xludf.DUMMYFUNCTION("""COMPUTED_VALUE"""),"precendence::of::the::BP/feature::in::another::development::process")</f>
        <v>precendence::of::the::BP/feature::in::another::development::process</v>
      </c>
      <c r="G277" s="52"/>
      <c r="H277" s="52"/>
      <c r="I277" s="52"/>
      <c r="J277" s="52"/>
      <c r="K277" s="52"/>
      <c r="L277" s="52"/>
      <c r="M277" s="52"/>
      <c r="N277" s="52"/>
      <c r="O277" s="52"/>
      <c r="P277" s="52" t="str">
        <f>IFERROR(__xludf.DUMMYFUNCTION("""COMPUTED_VALUE"""),"discussing::about::another::patches::(dependencies)")</f>
        <v>discussing::about::another::patches::(dependencies)</v>
      </c>
      <c r="Q277" s="52"/>
      <c r="R277" s="52"/>
      <c r="S277" s="52"/>
      <c r="T277" s="52"/>
      <c r="U277" s="52"/>
      <c r="V277" s="52"/>
      <c r="W277" s="52"/>
      <c r="X277" s="52"/>
      <c r="Y277" s="52"/>
      <c r="Z277" s="52"/>
    </row>
    <row r="278">
      <c r="A278" s="52"/>
      <c r="B278" s="52" t="str">
        <f>IFERROR(__xludf.DUMMYFUNCTION("""COMPUTED_VALUE"""),"Configuration issue, Database-related issue, Network issue, Permission/deprecation issue, Test code-related issue")</f>
        <v>Configuration issue, Database-related issue, Network issue, Permission/deprecation issue, Test code-related issue</v>
      </c>
      <c r="C278" s="52"/>
      <c r="D278" s="52" t="str">
        <f>IFERROR(__xludf.DUMMYFUNCTION("""COMPUTED_VALUE"""),"providing::example::for::intended::usage2")</f>
        <v>providing::example::for::intended::usage2</v>
      </c>
      <c r="E278" s="52"/>
      <c r="F278" s="52" t="str">
        <f>IFERROR(__xludf.DUMMYFUNCTION("""COMPUTED_VALUE"""),"problems::encounter::while:.depeloving::BP/feature")</f>
        <v>problems::encounter::while:.depeloving::BP/feature</v>
      </c>
      <c r="G278" s="52"/>
      <c r="H278" s="52"/>
      <c r="I278" s="52"/>
      <c r="J278" s="52"/>
      <c r="K278" s="52"/>
      <c r="L278" s="52"/>
      <c r="M278" s="52"/>
      <c r="N278" s="52"/>
      <c r="O278" s="52"/>
      <c r="P278" s="52" t="str">
        <f>IFERROR(__xludf.DUMMYFUNCTION("""COMPUTED_VALUE"""),"discussing::about::another::patches::another::project::(dependencies::status)")</f>
        <v>discussing::about::another::patches::another::project::(dependencies::status)</v>
      </c>
      <c r="Q278" s="52"/>
      <c r="R278" s="52"/>
      <c r="S278" s="52"/>
      <c r="T278" s="52"/>
      <c r="U278" s="52"/>
      <c r="V278" s="52"/>
      <c r="W278" s="52"/>
      <c r="X278" s="52"/>
      <c r="Y278" s="52"/>
      <c r="Z278" s="52"/>
    </row>
    <row r="279">
      <c r="A279" s="52"/>
      <c r="B279" s="52" t="str">
        <f>IFERROR(__xludf.DUMMYFUNCTION("""COMPUTED_VALUE"""),"Configuration issue, Database-related issue, Network issue, Program anomaly issue, Test code-related issue")</f>
        <v>Configuration issue, Database-related issue, Network issue, Program anomaly issue, Test code-related issue</v>
      </c>
      <c r="C279" s="52"/>
      <c r="D279" s="52" t="str">
        <f>IFERROR(__xludf.DUMMYFUNCTION("""COMPUTED_VALUE"""),"providing::reasons::not::supporting::feature")</f>
        <v>providing::reasons::not::supporting::feature</v>
      </c>
      <c r="E279" s="52"/>
      <c r="F279" s="52" t="str">
        <f>IFERROR(__xludf.DUMMYFUNCTION("""COMPUTED_VALUE"""),"proposal::to::discuss::topic::(related:.to::BP)::in::summit::(global::meeting)")</f>
        <v>proposal::to::discuss::topic::(related:.to::BP)::in::summit::(global::meeting)</v>
      </c>
      <c r="G279" s="52"/>
      <c r="H279" s="52"/>
      <c r="I279" s="52"/>
      <c r="J279" s="52"/>
      <c r="K279" s="52"/>
      <c r="L279" s="52"/>
      <c r="M279" s="52"/>
      <c r="N279" s="52"/>
      <c r="O279" s="52"/>
      <c r="P279" s="52" t="str">
        <f>IFERROR(__xludf.DUMMYFUNCTION("""COMPUTED_VALUE"""),"discussing::about::change")</f>
        <v>discussing::about::change</v>
      </c>
      <c r="Q279" s="52"/>
      <c r="R279" s="52"/>
      <c r="S279" s="52"/>
      <c r="T279" s="52"/>
      <c r="U279" s="52"/>
      <c r="V279" s="52"/>
      <c r="W279" s="52"/>
      <c r="X279" s="52"/>
      <c r="Y279" s="52"/>
      <c r="Z279" s="52"/>
    </row>
    <row r="280">
      <c r="A280" s="52"/>
      <c r="B280" s="52" t="str">
        <f>IFERROR(__xludf.DUMMYFUNCTION("""COMPUTED_VALUE"""),"Configuration issue, Database-related issue, Network issue, Security issue, Program anomaly issue")</f>
        <v>Configuration issue, Database-related issue, Network issue, Security issue, Program anomaly issue</v>
      </c>
      <c r="C280" s="52"/>
      <c r="D280" s="52" t="str">
        <f>IFERROR(__xludf.DUMMYFUNCTION("""COMPUTED_VALUE"""),"providing::reasons::of::the::issue")</f>
        <v>providing::reasons::of::the::issue</v>
      </c>
      <c r="E280" s="52"/>
      <c r="F280" s="52" t="str">
        <f>IFERROR(__xludf.DUMMYFUNCTION("""COMPUTED_VALUE"""),"proposed::alternative::design::solution::(with::code)")</f>
        <v>proposed::alternative::design::solution::(with::code)</v>
      </c>
      <c r="G280" s="52"/>
      <c r="H280" s="52"/>
      <c r="I280" s="52"/>
      <c r="J280" s="52"/>
      <c r="K280" s="52"/>
      <c r="L280" s="52"/>
      <c r="M280" s="52"/>
      <c r="N280" s="52"/>
      <c r="O280" s="52"/>
      <c r="P280" s="52" t="str">
        <f>IFERROR(__xludf.DUMMYFUNCTION("""COMPUTED_VALUE"""),"discussing::about::change::(backwards::compatibility)")</f>
        <v>discussing::about::change::(backwards::compatibility)</v>
      </c>
      <c r="Q280" s="52"/>
      <c r="R280" s="52"/>
      <c r="S280" s="52"/>
      <c r="T280" s="52"/>
      <c r="U280" s="52"/>
      <c r="V280" s="52"/>
      <c r="W280" s="52"/>
      <c r="X280" s="52"/>
      <c r="Y280" s="52"/>
      <c r="Z280" s="52"/>
    </row>
    <row r="281">
      <c r="A281" s="52"/>
      <c r="B281" s="52" t="str">
        <f>IFERROR(__xludf.DUMMYFUNCTION("""COMPUTED_VALUE"""),"Configuration issue, Database-related issue, Network issue, Security issue, Test code-related issue")</f>
        <v>Configuration issue, Database-related issue, Network issue, Security issue, Test code-related issue</v>
      </c>
      <c r="C281" s="52"/>
      <c r="D281" s="52" t="str">
        <f>IFERROR(__xludf.DUMMYFUNCTION("""COMPUTED_VALUE"""),"providing:.clarification::reason::of::the::bug")</f>
        <v>providing:.clarification::reason::of::the::bug</v>
      </c>
      <c r="E281" s="52"/>
      <c r="F281" s="52" t="str">
        <f>IFERROR(__xludf.DUMMYFUNCTION("""COMPUTED_VALUE"""),"proposing::a::solution::to::bug::due::to::new::functionality::that::was::enabled::thanks::to::the::BP")</f>
        <v>proposing::a::solution::to::bug::due::to::new::functionality::that::was::enabled::thanks::to::the::BP</v>
      </c>
      <c r="G281" s="52"/>
      <c r="H281" s="52"/>
      <c r="I281" s="52"/>
      <c r="J281" s="52"/>
      <c r="K281" s="52"/>
      <c r="L281" s="52"/>
      <c r="M281" s="52"/>
      <c r="N281" s="52"/>
      <c r="O281" s="52"/>
      <c r="P281" s="52" t="str">
        <f>IFERROR(__xludf.DUMMYFUNCTION("""COMPUTED_VALUE"""),"discussing::about::change::(blueprint::bp::needed)")</f>
        <v>discussing::about::change::(blueprint::bp::needed)</v>
      </c>
      <c r="Q281" s="52"/>
      <c r="R281" s="52"/>
      <c r="S281" s="52"/>
      <c r="T281" s="52"/>
      <c r="U281" s="52"/>
      <c r="V281" s="52"/>
      <c r="W281" s="52"/>
      <c r="X281" s="52"/>
      <c r="Y281" s="52"/>
      <c r="Z281" s="52"/>
    </row>
    <row r="282">
      <c r="A282" s="52"/>
      <c r="B282" s="52" t="str">
        <f>IFERROR(__xludf.DUMMYFUNCTION("""COMPUTED_VALUE"""),"Configuration issue, Database-related issue, Performance issue, Permission/deprecation issue, Program anomaly issue")</f>
        <v>Configuration issue, Database-related issue, Performance issue, Permission/deprecation issue, Program anomaly issue</v>
      </c>
      <c r="C282" s="52"/>
      <c r="D282" s="52" t="str">
        <f>IFERROR(__xludf.DUMMYFUNCTION("""COMPUTED_VALUE"""),"reason::for::abandoning::the::change::(no::longer::needed::already::being::adressed)::link::another::review")</f>
        <v>reason::for::abandoning::the::change::(no::longer::needed::already::being::adressed)::link::another::review</v>
      </c>
      <c r="E282" s="52"/>
      <c r="F282" s="52" t="str">
        <f>IFERROR(__xludf.DUMMYFUNCTION("""COMPUTED_VALUE"""),"proposing::ask::for::user::feedback::(regarding::usage::of::feature)")</f>
        <v>proposing::ask::for::user::feedback::(regarding::usage::of::feature)</v>
      </c>
      <c r="G282" s="52"/>
      <c r="H282" s="52"/>
      <c r="I282" s="52"/>
      <c r="J282" s="52"/>
      <c r="K282" s="52"/>
      <c r="L282" s="52"/>
      <c r="M282" s="52"/>
      <c r="N282" s="52"/>
      <c r="O282" s="52"/>
      <c r="P282" s="52" t="str">
        <f>IFERROR(__xludf.DUMMYFUNCTION("""COMPUTED_VALUE"""),"discussing::about::change::(issue::with::change)")</f>
        <v>discussing::about::change::(issue::with::change)</v>
      </c>
      <c r="Q282" s="52"/>
      <c r="R282" s="52"/>
      <c r="S282" s="52"/>
      <c r="T282" s="52"/>
      <c r="U282" s="52"/>
      <c r="V282" s="52"/>
      <c r="W282" s="52"/>
      <c r="X282" s="52"/>
      <c r="Y282" s="52"/>
      <c r="Z282" s="52"/>
    </row>
    <row r="283">
      <c r="A283" s="52"/>
      <c r="B283" s="52" t="str">
        <f>IFERROR(__xludf.DUMMYFUNCTION("""COMPUTED_VALUE"""),"Configuration issue, Database-related issue, Performance issue, Permission/deprecation issue, Security issue")</f>
        <v>Configuration issue, Database-related issue, Performance issue, Permission/deprecation issue, Security issue</v>
      </c>
      <c r="C283" s="52"/>
      <c r="D283" s="52" t="str">
        <f>IFERROR(__xludf.DUMMYFUNCTION("""COMPUTED_VALUE"""),"reason::for::abandoning::the::change::(replaced::by::change2)::link::another::review2")</f>
        <v>reason::for::abandoning::the::change::(replaced::by::change2)::link::another::review2</v>
      </c>
      <c r="E283" s="52"/>
      <c r="F283" s="52" t="str">
        <f>IFERROR(__xludf.DUMMYFUNCTION("""COMPUTED_VALUE"""),"proposing::bug::solution::(text)")</f>
        <v>proposing::bug::solution::(text)</v>
      </c>
      <c r="G283" s="52"/>
      <c r="H283" s="52"/>
      <c r="I283" s="52"/>
      <c r="J283" s="52"/>
      <c r="K283" s="52"/>
      <c r="L283" s="52"/>
      <c r="M283" s="52"/>
      <c r="N283" s="52"/>
      <c r="O283" s="52"/>
      <c r="P283" s="52" t="str">
        <f>IFERROR(__xludf.DUMMYFUNCTION("""COMPUTED_VALUE"""),"discussing::about::code::(no::need::of::code)")</f>
        <v>discussing::about::code::(no::need::of::code)</v>
      </c>
      <c r="Q283" s="52"/>
      <c r="R283" s="52"/>
      <c r="S283" s="52"/>
      <c r="T283" s="52"/>
      <c r="U283" s="52"/>
      <c r="V283" s="52"/>
      <c r="W283" s="52"/>
      <c r="X283" s="52"/>
      <c r="Y283" s="52"/>
      <c r="Z283" s="52"/>
    </row>
    <row r="284">
      <c r="A284" s="52"/>
      <c r="B284" s="52" t="str">
        <f>IFERROR(__xludf.DUMMYFUNCTION("""COMPUTED_VALUE"""),"Configuration issue, Database-related issue, Performance issue, Permission/deprecation issue, Test code-related issue")</f>
        <v>Configuration issue, Database-related issue, Performance issue, Permission/deprecation issue, Test code-related issue</v>
      </c>
      <c r="C284" s="52"/>
      <c r="D284" s="52" t="str">
        <f>IFERROR(__xludf.DUMMYFUNCTION("""COMPUTED_VALUE"""),"reason::for::abandoning::the::change2::(replaced::by::change4)::link::another::review4")</f>
        <v>reason::for::abandoning::the::change2::(replaced::by::change4)::link::another::review4</v>
      </c>
      <c r="E284" s="52"/>
      <c r="F284" s="52" t="str">
        <f>IFERROR(__xludf.DUMMYFUNCTION("""COMPUTED_VALUE"""),"proposing::development::project::(as::API)")</f>
        <v>proposing::development::project::(as::API)</v>
      </c>
      <c r="G284" s="52"/>
      <c r="H284" s="52"/>
      <c r="I284" s="52"/>
      <c r="J284" s="52"/>
      <c r="K284" s="52"/>
      <c r="L284" s="52"/>
      <c r="M284" s="52"/>
      <c r="N284" s="52"/>
      <c r="O284" s="52"/>
      <c r="P284" s="52" t="str">
        <f>IFERROR(__xludf.DUMMYFUNCTION("""COMPUTED_VALUE"""),"discussing::about::code::(performance)")</f>
        <v>discussing::about::code::(performance)</v>
      </c>
      <c r="Q284" s="52"/>
      <c r="R284" s="52"/>
      <c r="S284" s="52"/>
      <c r="T284" s="52"/>
      <c r="U284" s="52"/>
      <c r="V284" s="52"/>
      <c r="W284" s="52"/>
      <c r="X284" s="52"/>
      <c r="Y284" s="52"/>
      <c r="Z284" s="52"/>
    </row>
    <row r="285">
      <c r="A285" s="52"/>
      <c r="B285" s="52" t="str">
        <f>IFERROR(__xludf.DUMMYFUNCTION("""COMPUTED_VALUE"""),"Configuration issue, Database-related issue, Performance issue, Program anomaly issue, Test code-related issue")</f>
        <v>Configuration issue, Database-related issue, Performance issue, Program anomaly issue, Test code-related issue</v>
      </c>
      <c r="C285" s="52"/>
      <c r="D285" s="52" t="str">
        <f>IFERROR(__xludf.DUMMYFUNCTION("""COMPUTED_VALUE"""),"reason::of::the::bug")</f>
        <v>reason::of::the::bug</v>
      </c>
      <c r="E285" s="52"/>
      <c r="F285" s="52" t="str">
        <f>IFERROR(__xludf.DUMMYFUNCTION("""COMPUTED_VALUE"""),"proposing::keep::project::as::experimental::project")</f>
        <v>proposing::keep::project::as::experimental::project</v>
      </c>
      <c r="G285" s="52"/>
      <c r="H285" s="52"/>
      <c r="I285" s="52"/>
      <c r="J285" s="52"/>
      <c r="K285" s="52"/>
      <c r="L285" s="52"/>
      <c r="M285" s="52"/>
      <c r="N285" s="52"/>
      <c r="O285" s="52"/>
      <c r="P285" s="52" t="str">
        <f>IFERROR(__xludf.DUMMYFUNCTION("""COMPUTED_VALUE"""),"discussing::about::intended::solution::design")</f>
        <v>discussing::about::intended::solution::design</v>
      </c>
      <c r="Q285" s="52"/>
      <c r="R285" s="52"/>
      <c r="S285" s="52"/>
      <c r="T285" s="52"/>
      <c r="U285" s="52"/>
      <c r="V285" s="52"/>
      <c r="W285" s="52"/>
      <c r="X285" s="52"/>
      <c r="Y285" s="52"/>
      <c r="Z285" s="52"/>
    </row>
    <row r="286">
      <c r="A286" s="52"/>
      <c r="B286" s="52" t="str">
        <f>IFERROR(__xludf.DUMMYFUNCTION("""COMPUTED_VALUE"""),"Configuration issue, Database-related issue, Performance issue, Security issue, Program anomaly issue")</f>
        <v>Configuration issue, Database-related issue, Performance issue, Security issue, Program anomaly issue</v>
      </c>
      <c r="C286" s="52"/>
      <c r="D286" s="52" t="str">
        <f>IFERROR(__xludf.DUMMYFUNCTION("""COMPUTED_VALUE"""),"rebase::required")</f>
        <v>rebase::required</v>
      </c>
      <c r="E286" s="52"/>
      <c r="F286" s="52" t="str">
        <f>IFERROR(__xludf.DUMMYFUNCTION("""COMPUTED_VALUE"""),"proposing::not::allowing::the::BP/feature::FFE::instead::moving::the::changes::to::next::iteration")</f>
        <v>proposing::not::allowing::the::BP/feature::FFE::instead::moving::the::changes::to::next::iteration</v>
      </c>
      <c r="G286" s="52"/>
      <c r="H286" s="52"/>
      <c r="I286" s="52"/>
      <c r="J286" s="52"/>
      <c r="K286" s="52"/>
      <c r="L286" s="52"/>
      <c r="M286" s="52"/>
      <c r="N286" s="52"/>
      <c r="O286" s="52"/>
      <c r="P286" s="52" t="str">
        <f>IFERROR(__xludf.DUMMYFUNCTION("""COMPUTED_VALUE"""),"discussing::about::intended::solution::design::(without::prev::commits)")</f>
        <v>discussing::about::intended::solution::design::(without::prev::commits)</v>
      </c>
      <c r="Q286" s="52"/>
      <c r="R286" s="52"/>
      <c r="S286" s="52"/>
      <c r="T286" s="52"/>
      <c r="U286" s="52"/>
      <c r="V286" s="52"/>
      <c r="W286" s="52"/>
      <c r="X286" s="52"/>
      <c r="Y286" s="52"/>
      <c r="Z286" s="52"/>
    </row>
    <row r="287">
      <c r="A287" s="52"/>
      <c r="B287" s="52" t="str">
        <f>IFERROR(__xludf.DUMMYFUNCTION("""COMPUTED_VALUE"""),"Configuration issue, Database-related issue, Performance issue, Security issue, Test code-related issue")</f>
        <v>Configuration issue, Database-related issue, Performance issue, Security issue, Test code-related issue</v>
      </c>
      <c r="C287" s="52"/>
      <c r="D287" s="52" t="str">
        <f>IFERROR(__xludf.DUMMYFUNCTION("""COMPUTED_VALUE"""),"ref::code::link")</f>
        <v>ref::code::link</v>
      </c>
      <c r="E287" s="52"/>
      <c r="F287" s="52" t="str">
        <f>IFERROR(__xludf.DUMMYFUNCTION("""COMPUTED_VALUE"""),"proposing::reaching::out::users::about::the::usage::of::a::functionality")</f>
        <v>proposing::reaching::out::users::about::the::usage::of::a::functionality</v>
      </c>
      <c r="G287" s="52"/>
      <c r="H287" s="52"/>
      <c r="I287" s="52"/>
      <c r="J287" s="52"/>
      <c r="K287" s="52"/>
      <c r="L287" s="52"/>
      <c r="M287" s="52"/>
      <c r="N287" s="52"/>
      <c r="O287" s="52"/>
      <c r="P287" s="52" t="str">
        <f>IFERROR(__xludf.DUMMYFUNCTION("""COMPUTED_VALUE"""),"discussing::about::intended::test::design")</f>
        <v>discussing::about::intended::test::design</v>
      </c>
      <c r="Q287" s="52"/>
      <c r="R287" s="52"/>
      <c r="S287" s="52"/>
      <c r="T287" s="52"/>
      <c r="U287" s="52"/>
      <c r="V287" s="52"/>
      <c r="W287" s="52"/>
      <c r="X287" s="52"/>
      <c r="Y287" s="52"/>
      <c r="Z287" s="52"/>
    </row>
    <row r="288">
      <c r="A288" s="52"/>
      <c r="B288" s="52" t="str">
        <f>IFERROR(__xludf.DUMMYFUNCTION("""COMPUTED_VALUE"""),"Configuration issue, Database-related issue, Permission/deprecation issue, Program anomaly issue, Test code-related issue")</f>
        <v>Configuration issue, Database-related issue, Permission/deprecation issue, Program anomaly issue, Test code-related issue</v>
      </c>
      <c r="C288" s="52"/>
      <c r="D288" s="52" t="str">
        <f>IFERROR(__xludf.DUMMYFUNCTION("""COMPUTED_VALUE"""),"ref::code::link::(gist)")</f>
        <v>ref::code::link::(gist)</v>
      </c>
      <c r="E288" s="52"/>
      <c r="F288" s="52" t="str">
        <f>IFERROR(__xludf.DUMMYFUNCTION("""COMPUTED_VALUE"""),"proposing::temporary::fix")</f>
        <v>proposing::temporary::fix</v>
      </c>
      <c r="G288" s="52"/>
      <c r="H288" s="52"/>
      <c r="I288" s="52"/>
      <c r="J288" s="52"/>
      <c r="K288" s="52"/>
      <c r="L288" s="52"/>
      <c r="M288" s="52"/>
      <c r="N288" s="52"/>
      <c r="O288" s="52"/>
      <c r="P288" s="52" t="str">
        <f>IFERROR(__xludf.DUMMYFUNCTION("""COMPUTED_VALUE"""),"discussing::about::related::issue")</f>
        <v>discussing::about::related::issue</v>
      </c>
      <c r="Q288" s="52"/>
      <c r="R288" s="52"/>
      <c r="S288" s="52"/>
      <c r="T288" s="52"/>
      <c r="U288" s="52"/>
      <c r="V288" s="52"/>
      <c r="W288" s="52"/>
      <c r="X288" s="52"/>
      <c r="Y288" s="52"/>
      <c r="Z288" s="52"/>
    </row>
    <row r="289">
      <c r="A289" s="52"/>
      <c r="B289" s="52" t="str">
        <f>IFERROR(__xludf.DUMMYFUNCTION("""COMPUTED_VALUE"""),"Configuration issue, Database-related issue, Permission/deprecation issue, Security issue, Program anomaly issue")</f>
        <v>Configuration issue, Database-related issue, Permission/deprecation issue, Security issue, Program anomaly issue</v>
      </c>
      <c r="C289" s="52"/>
      <c r="D289" s="52" t="str">
        <f>IFERROR(__xludf.DUMMYFUNCTION("""COMPUTED_VALUE"""),"ref::CVE References")</f>
        <v>ref::CVE References</v>
      </c>
      <c r="E289" s="52"/>
      <c r="F289" s="52" t="str">
        <f>IFERROR(__xludf.DUMMYFUNCTION("""COMPUTED_VALUE"""),"propossing::design::for::interaction::of::different::projects::(nova::neutron)::due::to::change::introduced::by::the:BP")</f>
        <v>propossing::design::for::interaction::of::different::projects::(nova::neutron)::due::to::change::introduced::by::the:BP</v>
      </c>
      <c r="G289" s="52"/>
      <c r="H289" s="52"/>
      <c r="I289" s="52"/>
      <c r="J289" s="52"/>
      <c r="K289" s="52"/>
      <c r="L289" s="52"/>
      <c r="M289" s="52"/>
      <c r="N289" s="52"/>
      <c r="O289" s="52"/>
      <c r="P289" s="52" t="str">
        <f>IFERROR(__xludf.DUMMYFUNCTION("""COMPUTED_VALUE"""),"discussing::about::reverting::changes")</f>
        <v>discussing::about::reverting::changes</v>
      </c>
      <c r="Q289" s="52"/>
      <c r="R289" s="52"/>
      <c r="S289" s="52"/>
      <c r="T289" s="52"/>
      <c r="U289" s="52"/>
      <c r="V289" s="52"/>
      <c r="W289" s="52"/>
      <c r="X289" s="52"/>
      <c r="Y289" s="52"/>
      <c r="Z289" s="52"/>
    </row>
    <row r="290">
      <c r="A290" s="52"/>
      <c r="B290" s="52" t="str">
        <f>IFERROR(__xludf.DUMMYFUNCTION("""COMPUTED_VALUE"""),"Configuration issue, Database-related issue, Permission/deprecation issue, Security issue, Test code-related issue")</f>
        <v>Configuration issue, Database-related issue, Permission/deprecation issue, Security issue, Test code-related issue</v>
      </c>
      <c r="C290" s="52"/>
      <c r="D290" s="52" t="str">
        <f>IFERROR(__xludf.DUMMYFUNCTION("""COMPUTED_VALUE"""),"ref::external::references")</f>
        <v>ref::external::references</v>
      </c>
      <c r="E290" s="52"/>
      <c r="F290" s="52" t="str">
        <f>IFERROR(__xludf.DUMMYFUNCTION("""COMPUTED_VALUE"""),"pros::design::choice::to::keep::project::inside::nova::(user::importance)")</f>
        <v>pros::design::choice::to::keep::project::inside::nova::(user::importance)</v>
      </c>
      <c r="G290" s="52"/>
      <c r="H290" s="52"/>
      <c r="I290" s="52"/>
      <c r="J290" s="52"/>
      <c r="K290" s="52"/>
      <c r="L290" s="52"/>
      <c r="M290" s="52"/>
      <c r="N290" s="52"/>
      <c r="O290" s="52"/>
      <c r="P290" s="52" t="str">
        <f>IFERROR(__xludf.DUMMYFUNCTION("""COMPUTED_VALUE"""),"discussing::about::security")</f>
        <v>discussing::about::security</v>
      </c>
      <c r="Q290" s="52"/>
      <c r="R290" s="52"/>
      <c r="S290" s="52"/>
      <c r="T290" s="52"/>
      <c r="U290" s="52"/>
      <c r="V290" s="52"/>
      <c r="W290" s="52"/>
      <c r="X290" s="52"/>
      <c r="Y290" s="52"/>
      <c r="Z290" s="52"/>
    </row>
    <row r="291">
      <c r="A291" s="52"/>
      <c r="B291" s="52" t="str">
        <f>IFERROR(__xludf.DUMMYFUNCTION("""COMPUTED_VALUE"""),"Configuration issue, Database-related issue, Security issue, Program anomaly issue, Test code-related issue")</f>
        <v>Configuration issue, Database-related issue, Security issue, Program anomaly issue, Test code-related issue</v>
      </c>
      <c r="C291" s="52"/>
      <c r="D291" s="52" t="str">
        <f>IFERROR(__xludf.DUMMYFUNCTION("""COMPUTED_VALUE"""),"ref::external::references::(documentation)")</f>
        <v>ref::external::references::(documentation)</v>
      </c>
      <c r="E291" s="52"/>
      <c r="F291" s="52" t="str">
        <f>IFERROR(__xludf.DUMMYFUNCTION("""COMPUTED_VALUE"""),"providing::a::clarification::for::proposed::a::solution::to::bug::due::to::new::functionality::that::was::enabled::thanks::to::the::BP")</f>
        <v>providing::a::clarification::for::proposed::a::solution::to::bug::due::to::new::functionality::that::was::enabled::thanks::to::the::BP</v>
      </c>
      <c r="G291" s="52"/>
      <c r="H291" s="52"/>
      <c r="I291" s="52"/>
      <c r="J291" s="52"/>
      <c r="K291" s="52"/>
      <c r="L291" s="52"/>
      <c r="M291" s="52"/>
      <c r="N291" s="52"/>
      <c r="O291" s="52"/>
      <c r="P291" s="52" t="str">
        <f>IFERROR(__xludf.DUMMYFUNCTION("""COMPUTED_VALUE"""),"discussing::about::solution::design")</f>
        <v>discussing::about::solution::design</v>
      </c>
      <c r="Q291" s="52"/>
      <c r="R291" s="52"/>
      <c r="S291" s="52"/>
      <c r="T291" s="52"/>
      <c r="U291" s="52"/>
      <c r="V291" s="52"/>
      <c r="W291" s="52"/>
      <c r="X291" s="52"/>
      <c r="Y291" s="52"/>
      <c r="Z291" s="52"/>
    </row>
    <row r="292">
      <c r="A292" s="52"/>
      <c r="B292" s="52" t="str">
        <f>IFERROR(__xludf.DUMMYFUNCTION("""COMPUTED_VALUE"""),"Configuration issue, GUI-related issue, Network issue, Performance issue, Permission/deprecation issue")</f>
        <v>Configuration issue, GUI-related issue, Network issue, Performance issue, Permission/deprecation issue</v>
      </c>
      <c r="C292" s="52"/>
      <c r="D292" s="52" t="str">
        <f>IFERROR(__xludf.DUMMYFUNCTION("""COMPUTED_VALUE"""),"ref::external::references::(other::projects)")</f>
        <v>ref::external::references::(other::projects)</v>
      </c>
      <c r="E292" s="52"/>
      <c r="F292" s="52" t="str">
        <f>IFERROR(__xludf.DUMMYFUNCTION("""COMPUTED_VALUE"""),"providing::advice::(solution::design)")</f>
        <v>providing::advice::(solution::design)</v>
      </c>
      <c r="G292" s="52"/>
      <c r="H292" s="52"/>
      <c r="I292" s="52"/>
      <c r="J292" s="52"/>
      <c r="K292" s="52"/>
      <c r="L292" s="52"/>
      <c r="M292" s="52"/>
      <c r="N292" s="52"/>
      <c r="O292" s="52"/>
      <c r="P292" s="52" t="str">
        <f>IFERROR(__xludf.DUMMYFUNCTION("""COMPUTED_VALUE"""),"discussing::about::the::change::approach::discussed::previously::(email)")</f>
        <v>discussing::about::the::change::approach::discussed::previously::(email)</v>
      </c>
      <c r="Q292" s="52"/>
      <c r="R292" s="52"/>
      <c r="S292" s="52"/>
      <c r="T292" s="52"/>
      <c r="U292" s="52"/>
      <c r="V292" s="52"/>
      <c r="W292" s="52"/>
      <c r="X292" s="52"/>
      <c r="Y292" s="52"/>
      <c r="Z292" s="52"/>
    </row>
    <row r="293">
      <c r="A293" s="52"/>
      <c r="B293" s="52" t="str">
        <f>IFERROR(__xludf.DUMMYFUNCTION("""COMPUTED_VALUE"""),"Configuration issue, GUI-related issue, Network issue, Performance issue, Program anomaly issue")</f>
        <v>Configuration issue, GUI-related issue, Network issue, Performance issue, Program anomaly issue</v>
      </c>
      <c r="C293" s="52"/>
      <c r="D293" s="52" t="str">
        <f>IFERROR(__xludf.DUMMYFUNCTION("""COMPUTED_VALUE"""),"ref::external::references::(theory::book)")</f>
        <v>ref::external::references::(theory::book)</v>
      </c>
      <c r="E293" s="52"/>
      <c r="F293" s="52" t="str">
        <f>IFERROR(__xludf.DUMMYFUNCTION("""COMPUTED_VALUE"""),"providing::advice::development::process::(meetings)")</f>
        <v>providing::advice::development::process::(meetings)</v>
      </c>
      <c r="G293" s="52"/>
      <c r="H293" s="52"/>
      <c r="I293" s="52"/>
      <c r="J293" s="52"/>
      <c r="K293" s="52"/>
      <c r="L293" s="52"/>
      <c r="M293" s="52"/>
      <c r="N293" s="52"/>
      <c r="O293" s="52"/>
      <c r="P293" s="52" t="str">
        <f>IFERROR(__xludf.DUMMYFUNCTION("""COMPUTED_VALUE"""),"discussing::bad::practice")</f>
        <v>discussing::bad::practice</v>
      </c>
      <c r="Q293" s="52"/>
      <c r="R293" s="52"/>
      <c r="S293" s="52"/>
      <c r="T293" s="52"/>
      <c r="U293" s="52"/>
      <c r="V293" s="52"/>
      <c r="W293" s="52"/>
      <c r="X293" s="52"/>
      <c r="Y293" s="52"/>
      <c r="Z293" s="52"/>
    </row>
    <row r="294">
      <c r="A294" s="52"/>
      <c r="B294" s="52" t="str">
        <f>IFERROR(__xludf.DUMMYFUNCTION("""COMPUTED_VALUE"""),"Configuration issue, GUI-related issue, Network issue, Performance issue, Security issue")</f>
        <v>Configuration issue, GUI-related issue, Network issue, Performance issue, Security issue</v>
      </c>
      <c r="C294" s="52"/>
      <c r="D294" s="52" t="str">
        <f>IFERROR(__xludf.DUMMYFUNCTION("""COMPUTED_VALUE"""),"ref::mailing::list")</f>
        <v>ref::mailing::list</v>
      </c>
      <c r="E294" s="52"/>
      <c r="F294" s="52" t="str">
        <f>IFERROR(__xludf.DUMMYFUNCTION("""COMPUTED_VALUE"""),"providing::advice::development::process::(organizing::developers::groups)")</f>
        <v>providing::advice::development::process::(organizing::developers::groups)</v>
      </c>
      <c r="G294" s="52"/>
      <c r="H294" s="52"/>
      <c r="I294" s="52"/>
      <c r="J294" s="52"/>
      <c r="K294" s="52"/>
      <c r="L294" s="52"/>
      <c r="M294" s="52"/>
      <c r="N294" s="52"/>
      <c r="O294" s="52"/>
      <c r="P294" s="52" t="str">
        <f>IFERROR(__xludf.DUMMYFUNCTION("""COMPUTED_VALUE"""),"discussing::suggestion::refactoring::(change::input::parameter)")</f>
        <v>discussing::suggestion::refactoring::(change::input::parameter)</v>
      </c>
      <c r="Q294" s="52"/>
      <c r="R294" s="52"/>
      <c r="S294" s="52"/>
      <c r="T294" s="52"/>
      <c r="U294" s="52"/>
      <c r="V294" s="52"/>
      <c r="W294" s="52"/>
      <c r="X294" s="52"/>
      <c r="Y294" s="52"/>
      <c r="Z294" s="52"/>
    </row>
    <row r="295">
      <c r="A295" s="52"/>
      <c r="B295" s="52" t="str">
        <f>IFERROR(__xludf.DUMMYFUNCTION("""COMPUTED_VALUE"""),"Configuration issue, GUI-related issue, Network issue, Performance issue, Test code-related issue")</f>
        <v>Configuration issue, GUI-related issue, Network issue, Performance issue, Test code-related issue</v>
      </c>
      <c r="C295" s="52"/>
      <c r="D295" s="52" t="str">
        <f>IFERROR(__xludf.DUMMYFUNCTION("""COMPUTED_VALUE"""),"ref::references::(PR)")</f>
        <v>ref::references::(PR)</v>
      </c>
      <c r="E295" s="52"/>
      <c r="F295" s="52" t="str">
        <f>IFERROR(__xludf.DUMMYFUNCTION("""COMPUTED_VALUE"""),"providing::advice::development::process::(tags::vs::branches::vs::different::project)")</f>
        <v>providing::advice::development::process::(tags::vs::branches::vs::different::project)</v>
      </c>
      <c r="G295" s="52"/>
      <c r="H295" s="52"/>
      <c r="I295" s="52"/>
      <c r="J295" s="52"/>
      <c r="K295" s="52"/>
      <c r="L295" s="52"/>
      <c r="M295" s="52"/>
      <c r="N295" s="52"/>
      <c r="O295" s="52"/>
      <c r="P295" s="52" t="str">
        <f>IFERROR(__xludf.DUMMYFUNCTION("""COMPUTED_VALUE"""),"discussing::suggestion::refactoring::(change::type::function)")</f>
        <v>discussing::suggestion::refactoring::(change::type::function)</v>
      </c>
      <c r="Q295" s="52"/>
      <c r="R295" s="52"/>
      <c r="S295" s="52"/>
      <c r="T295" s="52"/>
      <c r="U295" s="52"/>
      <c r="V295" s="52"/>
      <c r="W295" s="52"/>
      <c r="X295" s="52"/>
      <c r="Y295" s="52"/>
      <c r="Z295" s="52"/>
    </row>
    <row r="296">
      <c r="A296" s="52"/>
      <c r="B296" s="52" t="str">
        <f>IFERROR(__xludf.DUMMYFUNCTION("""COMPUTED_VALUE"""),"Configuration issue, GUI-related issue, Network issue, Permission/deprecation issue, Program anomaly issue")</f>
        <v>Configuration issue, GUI-related issue, Network issue, Permission/deprecation issue, Program anomaly issue</v>
      </c>
      <c r="C296" s="52"/>
      <c r="D296" s="52" t="str">
        <f>IFERROR(__xludf.DUMMYFUNCTION("""COMPUTED_VALUE"""),"reference::previous::meeting::which::agreed::on::proposed::solution")</f>
        <v>reference::previous::meeting::which::agreed::on::proposed::solution</v>
      </c>
      <c r="E296" s="52"/>
      <c r="F296" s="52" t="str">
        <f>IFERROR(__xludf.DUMMYFUNCTION("""COMPUTED_VALUE"""),"providing::advice::development::process::(tests::move::them::out:nova)")</f>
        <v>providing::advice::development::process::(tests::move::them::out:nova)</v>
      </c>
      <c r="G296" s="52"/>
      <c r="H296" s="52"/>
      <c r="I296" s="52"/>
      <c r="J296" s="52"/>
      <c r="K296" s="52"/>
      <c r="L296" s="52"/>
      <c r="M296" s="52"/>
      <c r="N296" s="52"/>
      <c r="O296" s="52"/>
      <c r="P296" s="52" t="str">
        <f>IFERROR(__xludf.DUMMYFUNCTION("""COMPUTED_VALUE"""),"disputing::request::for::assistance::(unrelated)")</f>
        <v>disputing::request::for::assistance::(unrelated)</v>
      </c>
      <c r="Q296" s="52"/>
      <c r="R296" s="52"/>
      <c r="S296" s="52"/>
      <c r="T296" s="52"/>
      <c r="U296" s="52"/>
      <c r="V296" s="52"/>
      <c r="W296" s="52"/>
      <c r="X296" s="52"/>
      <c r="Y296" s="52"/>
      <c r="Z296" s="52"/>
    </row>
    <row r="297">
      <c r="A297" s="52"/>
      <c r="B297" s="52" t="str">
        <f>IFERROR(__xludf.DUMMYFUNCTION("""COMPUTED_VALUE"""),"Configuration issue, GUI-related issue, Network issue, Permission/deprecation issue, Security issue")</f>
        <v>Configuration issue, GUI-related issue, Network issue, Permission/deprecation issue, Security issue</v>
      </c>
      <c r="C297" s="52"/>
      <c r="D297" s="52" t="str">
        <f>IFERROR(__xludf.DUMMYFUNCTION("""COMPUTED_VALUE"""),"reference::previous::message")</f>
        <v>reference::previous::message</v>
      </c>
      <c r="E297" s="52"/>
      <c r="F297" s="52" t="str">
        <f>IFERROR(__xludf.DUMMYFUNCTION("""COMPUTED_VALUE"""),"providing::advice::development::process::(tests::process)")</f>
        <v>providing::advice::development::process::(tests::process)</v>
      </c>
      <c r="G297" s="52"/>
      <c r="H297" s="52"/>
      <c r="I297" s="52"/>
      <c r="J297" s="52"/>
      <c r="K297" s="52"/>
      <c r="L297" s="52"/>
      <c r="M297" s="52"/>
      <c r="N297" s="52"/>
      <c r="O297" s="52"/>
      <c r="P297" s="52" t="str">
        <f>IFERROR(__xludf.DUMMYFUNCTION("""COMPUTED_VALUE"""),"doc::impact::mentioned")</f>
        <v>doc::impact::mentioned</v>
      </c>
      <c r="Q297" s="52"/>
      <c r="R297" s="52"/>
      <c r="S297" s="52"/>
      <c r="T297" s="52"/>
      <c r="U297" s="52"/>
      <c r="V297" s="52"/>
      <c r="W297" s="52"/>
      <c r="X297" s="52"/>
      <c r="Y297" s="52"/>
      <c r="Z297" s="52"/>
    </row>
    <row r="298">
      <c r="A298" s="52"/>
      <c r="B298" s="52" t="str">
        <f>IFERROR(__xludf.DUMMYFUNCTION("""COMPUTED_VALUE"""),"Configuration issue, GUI-related issue, Network issue, Permission/deprecation issue, Test code-related issue")</f>
        <v>Configuration issue, GUI-related issue, Network issue, Permission/deprecation issue, Test code-related issue</v>
      </c>
      <c r="C298" s="52"/>
      <c r="D298" s="52" t="str">
        <f>IFERROR(__xludf.DUMMYFUNCTION("""COMPUTED_VALUE"""),"referer::to::related::bug")</f>
        <v>referer::to::related::bug</v>
      </c>
      <c r="E298" s="52"/>
      <c r="F298" s="52" t="str">
        <f>IFERROR(__xludf.DUMMYFUNCTION("""COMPUTED_VALUE"""),"providing::advice::development::process::(topcs/tags)")</f>
        <v>providing::advice::development::process::(topcs/tags)</v>
      </c>
      <c r="G298" s="52"/>
      <c r="H298" s="52"/>
      <c r="I298" s="52"/>
      <c r="J298" s="52"/>
      <c r="K298" s="52"/>
      <c r="L298" s="52"/>
      <c r="M298" s="52"/>
      <c r="N298" s="52"/>
      <c r="O298" s="52"/>
      <c r="P298" s="52" t="str">
        <f>IFERROR(__xludf.DUMMYFUNCTION("""COMPUTED_VALUE"""),"done::/::will::do")</f>
        <v>done::/::will::do</v>
      </c>
      <c r="Q298" s="52"/>
      <c r="R298" s="52"/>
      <c r="S298" s="52"/>
      <c r="T298" s="52"/>
      <c r="U298" s="52"/>
      <c r="V298" s="52"/>
      <c r="W298" s="52"/>
      <c r="X298" s="52"/>
      <c r="Y298" s="52"/>
      <c r="Z298" s="52"/>
    </row>
    <row r="299">
      <c r="A299" s="52"/>
      <c r="B299" s="52" t="str">
        <f>IFERROR(__xludf.DUMMYFUNCTION("""COMPUTED_VALUE"""),"Configuration issue, GUI-related issue, Network issue, Program anomaly issue, Test code-related issue")</f>
        <v>Configuration issue, GUI-related issue, Network issue, Program anomaly issue, Test code-related issue</v>
      </c>
      <c r="C299" s="52"/>
      <c r="D299" s="52" t="str">
        <f>IFERROR(__xludf.DUMMYFUNCTION("""COMPUTED_VALUE"""),"referer::to::related::bug1")</f>
        <v>referer::to::related::bug1</v>
      </c>
      <c r="E299" s="52"/>
      <c r="F299" s="52" t="str">
        <f>IFERROR(__xludf.DUMMYFUNCTION("""COMPUTED_VALUE"""),"providing::clarification::about::conditions::to::change::status::of::project::(removing:.label::experimental)::which::holds::the::BP")</f>
        <v>providing::clarification::about::conditions::to::change::status::of::project::(removing:.label::experimental)::which::holds::the::BP</v>
      </c>
      <c r="G299" s="52"/>
      <c r="H299" s="52"/>
      <c r="I299" s="52"/>
      <c r="J299" s="52"/>
      <c r="K299" s="52"/>
      <c r="L299" s="52"/>
      <c r="M299" s="52"/>
      <c r="N299" s="52"/>
      <c r="O299" s="52"/>
      <c r="P299" s="52" t="str">
        <f>IFERROR(__xludf.DUMMYFUNCTION("""COMPUTED_VALUE"""),"faild::build")</f>
        <v>faild::build</v>
      </c>
      <c r="Q299" s="52"/>
      <c r="R299" s="52"/>
      <c r="S299" s="52"/>
      <c r="T299" s="52"/>
      <c r="U299" s="52"/>
      <c r="V299" s="52"/>
      <c r="W299" s="52"/>
      <c r="X299" s="52"/>
      <c r="Y299" s="52"/>
      <c r="Z299" s="52"/>
    </row>
    <row r="300">
      <c r="A300" s="52"/>
      <c r="B300" s="52" t="str">
        <f>IFERROR(__xludf.DUMMYFUNCTION("""COMPUTED_VALUE"""),"Configuration issue, GUI-related issue, Network issue, Security issue, Program anomaly issue")</f>
        <v>Configuration issue, GUI-related issue, Network issue, Security issue, Program anomaly issue</v>
      </c>
      <c r="C300" s="52"/>
      <c r="D300" s="52" t="str">
        <f>IFERROR(__xludf.DUMMYFUNCTION("""COMPUTED_VALUE"""),"referer::to::related::issue")</f>
        <v>referer::to::related::issue</v>
      </c>
      <c r="E300" s="52"/>
      <c r="F300" s="52" t="str">
        <f>IFERROR(__xludf.DUMMYFUNCTION("""COMPUTED_VALUE"""),"providing::clarification::about::cons::design::choice::(hybrid::compute::nodes)")</f>
        <v>providing::clarification::about::cons::design::choice::(hybrid::compute::nodes)</v>
      </c>
      <c r="G300" s="52"/>
      <c r="H300" s="52"/>
      <c r="I300" s="52"/>
      <c r="J300" s="52"/>
      <c r="K300" s="52"/>
      <c r="L300" s="52"/>
      <c r="M300" s="52"/>
      <c r="N300" s="52"/>
      <c r="O300" s="52"/>
      <c r="P300" s="52" t="str">
        <f>IFERROR(__xludf.DUMMYFUNCTION("""COMPUTED_VALUE"""),"failed::tests")</f>
        <v>failed::tests</v>
      </c>
      <c r="Q300" s="52"/>
      <c r="R300" s="52"/>
      <c r="S300" s="52"/>
      <c r="T300" s="52"/>
      <c r="U300" s="52"/>
      <c r="V300" s="52"/>
      <c r="W300" s="52"/>
      <c r="X300" s="52"/>
      <c r="Y300" s="52"/>
      <c r="Z300" s="52"/>
    </row>
    <row r="301">
      <c r="A301" s="52"/>
      <c r="B301" s="52" t="str">
        <f>IFERROR(__xludf.DUMMYFUNCTION("""COMPUTED_VALUE"""),"Configuration issue, GUI-related issue, Network issue, Security issue, Test code-related issue")</f>
        <v>Configuration issue, GUI-related issue, Network issue, Security issue, Test code-related issue</v>
      </c>
      <c r="C301" s="52"/>
      <c r="D301" s="52" t="str">
        <f>IFERROR(__xludf.DUMMYFUNCTION("""COMPUTED_VALUE"""),"referer::to::related::review")</f>
        <v>referer::to::related::review</v>
      </c>
      <c r="E301" s="52"/>
      <c r="F301" s="52" t="str">
        <f>IFERROR(__xludf.DUMMYFUNCTION("""COMPUTED_VALUE"""),"providing::clarification::about::design::proposal::for::each::project")</f>
        <v>providing::clarification::about::design::proposal::for::each::project</v>
      </c>
      <c r="G301" s="52"/>
      <c r="H301" s="52"/>
      <c r="I301" s="52"/>
      <c r="J301" s="52"/>
      <c r="K301" s="52"/>
      <c r="L301" s="52"/>
      <c r="M301" s="52"/>
      <c r="N301" s="52"/>
      <c r="O301" s="52"/>
      <c r="P301" s="52" t="str">
        <f>IFERROR(__xludf.DUMMYFUNCTION("""COMPUTED_VALUE"""),"failed::tests::(jenkins)")</f>
        <v>failed::tests::(jenkins)</v>
      </c>
      <c r="Q301" s="52"/>
      <c r="R301" s="52"/>
      <c r="S301" s="52"/>
      <c r="T301" s="52"/>
      <c r="U301" s="52"/>
      <c r="V301" s="52"/>
      <c r="W301" s="52"/>
      <c r="X301" s="52"/>
      <c r="Y301" s="52"/>
      <c r="Z301" s="52"/>
    </row>
    <row r="302">
      <c r="A302" s="52"/>
      <c r="B302" s="52" t="str">
        <f>IFERROR(__xludf.DUMMYFUNCTION("""COMPUTED_VALUE"""),"Configuration issue, GUI-related issue, Performance issue, Permission/deprecation issue, Program anomaly issue")</f>
        <v>Configuration issue, GUI-related issue, Performance issue, Permission/deprecation issue, Program anomaly issue</v>
      </c>
      <c r="C302" s="52"/>
      <c r="D302" s="52" t="str">
        <f>IFERROR(__xludf.DUMMYFUNCTION("""COMPUTED_VALUE"""),"referes::to::another::(BP)")</f>
        <v>referes::to::another::(BP)</v>
      </c>
      <c r="E302" s="52"/>
      <c r="F302" s="52" t="str">
        <f>IFERROR(__xludf.DUMMYFUNCTION("""COMPUTED_VALUE"""),"providing::clarification::about::functionallity::(current::code)")</f>
        <v>providing::clarification::about::functionallity::(current::code)</v>
      </c>
      <c r="G302" s="52"/>
      <c r="H302" s="52"/>
      <c r="I302" s="52"/>
      <c r="J302" s="52"/>
      <c r="K302" s="52"/>
      <c r="L302" s="52"/>
      <c r="M302" s="52"/>
      <c r="N302" s="52"/>
      <c r="O302" s="52"/>
      <c r="P302" s="52" t="str">
        <f>IFERROR(__xludf.DUMMYFUNCTION("""COMPUTED_VALUE"""),"failed::tests::(temptest)")</f>
        <v>failed::tests::(temptest)</v>
      </c>
      <c r="Q302" s="52"/>
      <c r="R302" s="52"/>
      <c r="S302" s="52"/>
      <c r="T302" s="52"/>
      <c r="U302" s="52"/>
      <c r="V302" s="52"/>
      <c r="W302" s="52"/>
      <c r="X302" s="52"/>
      <c r="Y302" s="52"/>
      <c r="Z302" s="52"/>
    </row>
    <row r="303">
      <c r="A303" s="52"/>
      <c r="B303" s="52" t="str">
        <f>IFERROR(__xludf.DUMMYFUNCTION("""COMPUTED_VALUE"""),"Configuration issue, GUI-related issue, Performance issue, Permission/deprecation issue, Security issue")</f>
        <v>Configuration issue, GUI-related issue, Performance issue, Permission/deprecation issue, Security issue</v>
      </c>
      <c r="C303" s="52"/>
      <c r="D303" s="52" t="str">
        <f>IFERROR(__xludf.DUMMYFUNCTION("""COMPUTED_VALUE"""),"referes::to::spec")</f>
        <v>referes::to::spec</v>
      </c>
      <c r="E303" s="52"/>
      <c r="F303" s="52" t="str">
        <f>IFERROR(__xludf.DUMMYFUNCTION("""COMPUTED_VALUE"""),"providing::clarification::about::functionallity::(how::to::enable::in::the::future)")</f>
        <v>providing::clarification::about::functionallity::(how::to::enable::in::the::future)</v>
      </c>
      <c r="G303" s="52"/>
      <c r="H303" s="52"/>
      <c r="I303" s="52"/>
      <c r="J303" s="52"/>
      <c r="K303" s="52"/>
      <c r="L303" s="52"/>
      <c r="M303" s="52"/>
      <c r="N303" s="52"/>
      <c r="O303" s="52"/>
      <c r="P303" s="52" t="str">
        <f>IFERROR(__xludf.DUMMYFUNCTION("""COMPUTED_VALUE"""),"failed::tests::(xenserver)")</f>
        <v>failed::tests::(xenserver)</v>
      </c>
      <c r="Q303" s="52"/>
      <c r="R303" s="52"/>
      <c r="S303" s="52"/>
      <c r="T303" s="52"/>
      <c r="U303" s="52"/>
      <c r="V303" s="52"/>
      <c r="W303" s="52"/>
      <c r="X303" s="52"/>
      <c r="Y303" s="52"/>
      <c r="Z303" s="52"/>
    </row>
    <row r="304">
      <c r="A304" s="52"/>
      <c r="B304" s="52" t="str">
        <f>IFERROR(__xludf.DUMMYFUNCTION("""COMPUTED_VALUE"""),"Configuration issue, GUI-related issue, Performance issue, Permission/deprecation issue, Test code-related issue")</f>
        <v>Configuration issue, GUI-related issue, Performance issue, Permission/deprecation issue, Test code-related issue</v>
      </c>
      <c r="C304" s="52"/>
      <c r="D304" s="52" t="str">
        <f>IFERROR(__xludf.DUMMYFUNCTION("""COMPUTED_VALUE"""),"referes::to::spec::(link::etherpad)")</f>
        <v>referes::to::spec::(link::etherpad)</v>
      </c>
      <c r="E304" s="52"/>
      <c r="F304" s="52" t="str">
        <f>IFERROR(__xludf.DUMMYFUNCTION("""COMPUTED_VALUE"""),"providing::clarification::about::functionallity::(how::to::enable::in::the::future)::design")</f>
        <v>providing::clarification::about::functionallity::(how::to::enable::in::the::future)::design</v>
      </c>
      <c r="G304" s="52"/>
      <c r="H304" s="52"/>
      <c r="I304" s="52"/>
      <c r="J304" s="52"/>
      <c r="K304" s="52"/>
      <c r="L304" s="52"/>
      <c r="M304" s="52"/>
      <c r="N304" s="52"/>
      <c r="O304" s="52"/>
      <c r="P304" s="52" t="str">
        <f>IFERROR(__xludf.DUMMYFUNCTION("""COMPUTED_VALUE"""),"FFE::(feature::freeze::exception)::approved")</f>
        <v>FFE::(feature::freeze::exception)::approved</v>
      </c>
      <c r="Q304" s="52"/>
      <c r="R304" s="52"/>
      <c r="S304" s="52"/>
      <c r="T304" s="52"/>
      <c r="U304" s="52"/>
      <c r="V304" s="52"/>
      <c r="W304" s="52"/>
      <c r="X304" s="52"/>
      <c r="Y304" s="52"/>
      <c r="Z304" s="52"/>
    </row>
    <row r="305">
      <c r="A305" s="52"/>
      <c r="B305" s="52" t="str">
        <f>IFERROR(__xludf.DUMMYFUNCTION("""COMPUTED_VALUE"""),"Configuration issue, GUI-related issue, Performance issue, Program anomaly issue, Test code-related issue")</f>
        <v>Configuration issue, GUI-related issue, Performance issue, Program anomaly issue, Test code-related issue</v>
      </c>
      <c r="C305" s="52"/>
      <c r="D305" s="52" t="str">
        <f>IFERROR(__xludf.DUMMYFUNCTION("""COMPUTED_VALUE"""),"referes::to::spec::(link::review)")</f>
        <v>referes::to::spec::(link::review)</v>
      </c>
      <c r="E305" s="52"/>
      <c r="F305" s="52" t="str">
        <f>IFERROR(__xludf.DUMMYFUNCTION("""COMPUTED_VALUE"""),"providing::clarification::about::intended::development::process")</f>
        <v>providing::clarification::about::intended::development::process</v>
      </c>
      <c r="G305" s="52"/>
      <c r="H305" s="52"/>
      <c r="I305" s="52"/>
      <c r="J305" s="52"/>
      <c r="K305" s="52"/>
      <c r="L305" s="52"/>
      <c r="M305" s="52"/>
      <c r="N305" s="52"/>
      <c r="O305" s="52"/>
      <c r="P305" s="52" t="str">
        <f>IFERROR(__xludf.DUMMYFUNCTION("""COMPUTED_VALUE"""),"FFE::(feature::freeze::exception)::missed::deadline")</f>
        <v>FFE::(feature::freeze::exception)::missed::deadline</v>
      </c>
      <c r="Q305" s="52"/>
      <c r="R305" s="52"/>
      <c r="S305" s="52"/>
      <c r="T305" s="52"/>
      <c r="U305" s="52"/>
      <c r="V305" s="52"/>
      <c r="W305" s="52"/>
      <c r="X305" s="52"/>
      <c r="Y305" s="52"/>
      <c r="Z305" s="52"/>
    </row>
    <row r="306">
      <c r="A306" s="52"/>
      <c r="B306" s="52" t="str">
        <f>IFERROR(__xludf.DUMMYFUNCTION("""COMPUTED_VALUE"""),"Configuration issue, GUI-related issue, Performance issue, Security issue, Program anomaly issue")</f>
        <v>Configuration issue, GUI-related issue, Performance issue, Security issue, Program anomaly issue</v>
      </c>
      <c r="C306" s="52"/>
      <c r="D306" s="52" t="str">
        <f>IFERROR(__xludf.DUMMYFUNCTION("""COMPUTED_VALUE"""),"relation::with::other::BP::work")</f>
        <v>relation::with::other::BP::work</v>
      </c>
      <c r="E306" s="52"/>
      <c r="F306" s="52" t="str">
        <f>IFERROR(__xludf.DUMMYFUNCTION("""COMPUTED_VALUE"""),"providing::clarification::about::intended::solution::design")</f>
        <v>providing::clarification::about::intended::solution::design</v>
      </c>
      <c r="G306" s="52"/>
      <c r="H306" s="52"/>
      <c r="I306" s="52"/>
      <c r="J306" s="52"/>
      <c r="K306" s="52"/>
      <c r="L306" s="52"/>
      <c r="M306" s="52"/>
      <c r="N306" s="52"/>
      <c r="O306" s="52"/>
      <c r="P306" s="52" t="str">
        <f>IFERROR(__xludf.DUMMYFUNCTION("""COMPUTED_VALUE"""),"FFE::(feature::freeze::exception)::request")</f>
        <v>FFE::(feature::freeze::exception)::request</v>
      </c>
      <c r="Q306" s="52"/>
      <c r="R306" s="52"/>
      <c r="S306" s="52"/>
      <c r="T306" s="52"/>
      <c r="U306" s="52"/>
      <c r="V306" s="52"/>
      <c r="W306" s="52"/>
      <c r="X306" s="52"/>
      <c r="Y306" s="52"/>
      <c r="Z306" s="52"/>
    </row>
    <row r="307">
      <c r="A307" s="52"/>
      <c r="B307" s="52" t="str">
        <f>IFERROR(__xludf.DUMMYFUNCTION("""COMPUTED_VALUE"""),"Configuration issue, GUI-related issue, Performance issue, Security issue, Test code-related issue")</f>
        <v>Configuration issue, GUI-related issue, Performance issue, Security issue, Test code-related issue</v>
      </c>
      <c r="C307" s="52"/>
      <c r="D307" s="52" t="str">
        <f>IFERROR(__xludf.DUMMYFUNCTION("""COMPUTED_VALUE"""),"relation::with::other::bug::(no::link)")</f>
        <v>relation::with::other::bug::(no::link)</v>
      </c>
      <c r="E307" s="52"/>
      <c r="F307" s="52" t="str">
        <f>IFERROR(__xludf.DUMMYFUNCTION("""COMPUTED_VALUE"""),"providing::clarification::about::intended::test::setup")</f>
        <v>providing::clarification::about::intended::test::setup</v>
      </c>
      <c r="G307" s="52"/>
      <c r="H307" s="52"/>
      <c r="I307" s="52"/>
      <c r="J307" s="52"/>
      <c r="K307" s="52"/>
      <c r="L307" s="52"/>
      <c r="M307" s="52"/>
      <c r="N307" s="52"/>
      <c r="O307" s="52"/>
      <c r="P307" s="52" t="str">
        <f>IFERROR(__xludf.DUMMYFUNCTION("""COMPUTED_VALUE"""),"FFE::(feature::freeze::exception)::sponsorship")</f>
        <v>FFE::(feature::freeze::exception)::sponsorship</v>
      </c>
      <c r="Q307" s="52"/>
      <c r="R307" s="52"/>
      <c r="S307" s="52"/>
      <c r="T307" s="52"/>
      <c r="U307" s="52"/>
      <c r="V307" s="52"/>
      <c r="W307" s="52"/>
      <c r="X307" s="52"/>
      <c r="Y307" s="52"/>
      <c r="Z307" s="52"/>
    </row>
    <row r="308">
      <c r="A308" s="52"/>
      <c r="B308" s="52" t="str">
        <f>IFERROR(__xludf.DUMMYFUNCTION("""COMPUTED_VALUE"""),"Configuration issue, GUI-related issue, Permission/deprecation issue, Program anomaly issue, Test code-related issue")</f>
        <v>Configuration issue, GUI-related issue, Permission/deprecation issue, Program anomaly issue, Test code-related issue</v>
      </c>
      <c r="C308" s="52"/>
      <c r="D308" s="52" t="str">
        <f>IFERROR(__xludf.DUMMYFUNCTION("""COMPUTED_VALUE"""),"requesting::add::desciption::requirements::(testing::purposes)")</f>
        <v>requesting::add::desciption::requirements::(testing::purposes)</v>
      </c>
      <c r="E308" s="52"/>
      <c r="F308" s="52" t="str">
        <f>IFERROR(__xludf.DUMMYFUNCTION("""COMPUTED_VALUE"""),"providing::clarification::about::more::details::of::the::design::choice::(flow)")</f>
        <v>providing::clarification::about::more::details::of::the::design::choice::(flow)</v>
      </c>
      <c r="G308" s="52"/>
      <c r="H308" s="52"/>
      <c r="I308" s="52"/>
      <c r="J308" s="52"/>
      <c r="K308" s="52"/>
      <c r="L308" s="52"/>
      <c r="M308" s="52"/>
      <c r="N308" s="52"/>
      <c r="O308" s="52"/>
      <c r="P308" s="52" t="str">
        <f>IFERROR(__xludf.DUMMYFUNCTION("""COMPUTED_VALUE"""),"goal::of::blueprint::(improvement)")</f>
        <v>goal::of::blueprint::(improvement)</v>
      </c>
      <c r="Q308" s="52"/>
      <c r="R308" s="52"/>
      <c r="S308" s="52"/>
      <c r="T308" s="52"/>
      <c r="U308" s="52"/>
      <c r="V308" s="52"/>
      <c r="W308" s="52"/>
      <c r="X308" s="52"/>
      <c r="Y308" s="52"/>
      <c r="Z308" s="52"/>
    </row>
    <row r="309">
      <c r="A309" s="52"/>
      <c r="B309" s="52" t="str">
        <f>IFERROR(__xludf.DUMMYFUNCTION("""COMPUTED_VALUE"""),"Configuration issue, GUI-related issue, Permission/deprecation issue, Security issue, Program anomaly issue")</f>
        <v>Configuration issue, GUI-related issue, Permission/deprecation issue, Security issue, Program anomaly issue</v>
      </c>
      <c r="C309" s="52"/>
      <c r="D309" s="52" t="str">
        <f>IFERROR(__xludf.DUMMYFUNCTION("""COMPUTED_VALUE"""),"requesting::add::details::(description)")</f>
        <v>requesting::add::details::(description)</v>
      </c>
      <c r="E309" s="52"/>
      <c r="F309" s="52" t="str">
        <f>IFERROR(__xludf.DUMMYFUNCTION("""COMPUTED_VALUE"""),"providing::clarification::about::responsibilities")</f>
        <v>providing::clarification::about::responsibilities</v>
      </c>
      <c r="G309" s="52"/>
      <c r="H309" s="52"/>
      <c r="I309" s="52"/>
      <c r="J309" s="52"/>
      <c r="K309" s="52"/>
      <c r="L309" s="52"/>
      <c r="M309" s="52"/>
      <c r="N309" s="52"/>
      <c r="O309" s="52"/>
      <c r="P309" s="52" t="str">
        <f>IFERROR(__xludf.DUMMYFUNCTION("""COMPUTED_VALUE"""),"highlights::importance::(for::specific::modules)")</f>
        <v>highlights::importance::(for::specific::modules)</v>
      </c>
      <c r="Q309" s="52"/>
      <c r="R309" s="52"/>
      <c r="S309" s="52"/>
      <c r="T309" s="52"/>
      <c r="U309" s="52"/>
      <c r="V309" s="52"/>
      <c r="W309" s="52"/>
      <c r="X309" s="52"/>
      <c r="Y309" s="52"/>
      <c r="Z309" s="52"/>
    </row>
    <row r="310">
      <c r="A310" s="52"/>
      <c r="B310" s="52" t="str">
        <f>IFERROR(__xludf.DUMMYFUNCTION("""COMPUTED_VALUE"""),"Configuration issue, GUI-related issue, Permission/deprecation issue, Security issue, Test code-related issue")</f>
        <v>Configuration issue, GUI-related issue, Permission/deprecation issue, Security issue, Test code-related issue</v>
      </c>
      <c r="C310" s="52"/>
      <c r="D310" s="52" t="str">
        <f>IFERROR(__xludf.DUMMYFUNCTION("""COMPUTED_VALUE"""),"requesting:developing::process::(review::patches)")</f>
        <v>requesting:developing::process::(review::patches)</v>
      </c>
      <c r="E310" s="52"/>
      <c r="F310" s="52" t="str">
        <f>IFERROR(__xludf.DUMMYFUNCTION("""COMPUTED_VALUE"""),"providing::clarification::about::solution::design")</f>
        <v>providing::clarification::about::solution::design</v>
      </c>
      <c r="G310" s="52"/>
      <c r="H310" s="52"/>
      <c r="I310" s="52"/>
      <c r="J310" s="52"/>
      <c r="K310" s="52"/>
      <c r="L310" s="52"/>
      <c r="M310" s="52"/>
      <c r="N310" s="52"/>
      <c r="O310" s="52"/>
      <c r="P310" s="52" t="str">
        <f>IFERROR(__xludf.DUMMYFUNCTION("""COMPUTED_VALUE"""),"highlights::importance::(of::solution)")</f>
        <v>highlights::importance::(of::solution)</v>
      </c>
      <c r="Q310" s="52"/>
      <c r="R310" s="52"/>
      <c r="S310" s="52"/>
      <c r="T310" s="52"/>
      <c r="U310" s="52"/>
      <c r="V310" s="52"/>
      <c r="W310" s="52"/>
      <c r="X310" s="52"/>
      <c r="Y310" s="52"/>
      <c r="Z310" s="52"/>
    </row>
    <row r="311">
      <c r="A311" s="52"/>
      <c r="B311" s="52" t="str">
        <f>IFERROR(__xludf.DUMMYFUNCTION("""COMPUTED_VALUE"""),"Configuration issue, GUI-related issue, Security issue, Program anomaly issue, Test code-related issue")</f>
        <v>Configuration issue, GUI-related issue, Security issue, Program anomaly issue, Test code-related issue</v>
      </c>
      <c r="C311" s="52"/>
      <c r="D311" s="52" t="str">
        <f>IFERROR(__xludf.DUMMYFUNCTION("""COMPUTED_VALUE"""),"requesting:developing::process::(tidy::up::patches)")</f>
        <v>requesting:developing::process::(tidy::up::patches)</v>
      </c>
      <c r="E311" s="52"/>
      <c r="F311" s="52" t="str">
        <f>IFERROR(__xludf.DUMMYFUNCTION("""COMPUTED_VALUE"""),"providing::clarification::about::solution::design::(components::of::the::solution)")</f>
        <v>providing::clarification::about::solution::design::(components::of::the::solution)</v>
      </c>
      <c r="G311" s="52"/>
      <c r="H311" s="52"/>
      <c r="I311" s="52"/>
      <c r="J311" s="52"/>
      <c r="K311" s="52"/>
      <c r="L311" s="52"/>
      <c r="M311" s="52"/>
      <c r="N311" s="52"/>
      <c r="O311" s="52"/>
      <c r="P311" s="52" t="str">
        <f>IFERROR(__xludf.DUMMYFUNCTION("""COMPUTED_VALUE"""),"highlights::missunderstanding")</f>
        <v>highlights::missunderstanding</v>
      </c>
      <c r="Q311" s="52"/>
      <c r="R311" s="52"/>
      <c r="S311" s="52"/>
      <c r="T311" s="52"/>
      <c r="U311" s="52"/>
      <c r="V311" s="52"/>
      <c r="W311" s="52"/>
      <c r="X311" s="52"/>
      <c r="Y311" s="52"/>
      <c r="Z311" s="52"/>
    </row>
    <row r="312">
      <c r="A312" s="52"/>
      <c r="B312" s="52" t="str">
        <f>IFERROR(__xludf.DUMMYFUNCTION("""COMPUTED_VALUE"""),"Configuration issue, Network issue, Performance issue, Permission/deprecation issue, Program anomaly issue")</f>
        <v>Configuration issue, Network issue, Performance issue, Permission/deprecation issue, Program anomaly issue</v>
      </c>
      <c r="C312" s="52"/>
      <c r="D312" s="52" t="str">
        <f>IFERROR(__xludf.DUMMYFUNCTION("""COMPUTED_VALUE"""),"reviews::addressing::bug")</f>
        <v>reviews::addressing::bug</v>
      </c>
      <c r="E312" s="52"/>
      <c r="F312" s="52" t="str">
        <f>IFERROR(__xludf.DUMMYFUNCTION("""COMPUTED_VALUE"""),"providing::clarification::about::status::of::project::(removing:.label::experimental)::which::holds::the::BP")</f>
        <v>providing::clarification::about::status::of::project::(removing:.label::experimental)::which::holds::the::BP</v>
      </c>
      <c r="G312" s="52"/>
      <c r="H312" s="52"/>
      <c r="I312" s="52"/>
      <c r="J312" s="52"/>
      <c r="K312" s="52"/>
      <c r="L312" s="52"/>
      <c r="M312" s="52"/>
      <c r="N312" s="52"/>
      <c r="O312" s="52"/>
      <c r="P312" s="52" t="str">
        <f>IFERROR(__xludf.DUMMYFUNCTION("""COMPUTED_VALUE"""),"ignoring::noticing::code::duplication")</f>
        <v>ignoring::noticing::code::duplication</v>
      </c>
      <c r="Q312" s="52"/>
      <c r="R312" s="52"/>
      <c r="S312" s="52"/>
      <c r="T312" s="52"/>
      <c r="U312" s="52"/>
      <c r="V312" s="52"/>
      <c r="W312" s="52"/>
      <c r="X312" s="52"/>
      <c r="Y312" s="52"/>
      <c r="Z312" s="52"/>
    </row>
    <row r="313">
      <c r="A313" s="52"/>
      <c r="B313" s="52" t="str">
        <f>IFERROR(__xludf.DUMMYFUNCTION("""COMPUTED_VALUE"""),"Configuration issue, Network issue, Performance issue, Permission/deprecation issue, Security issue")</f>
        <v>Configuration issue, Network issue, Performance issue, Permission/deprecation issue, Security issue</v>
      </c>
      <c r="C313" s="52"/>
      <c r="D313" s="52" t="str">
        <f>IFERROR(__xludf.DUMMYFUNCTION("""COMPUTED_VALUE"""),"reviews::addressing::bug::(status)")</f>
        <v>reviews::addressing::bug::(status)</v>
      </c>
      <c r="E313" s="52"/>
      <c r="F313" s="52" t="str">
        <f>IFERROR(__xludf.DUMMYFUNCTION("""COMPUTED_VALUE"""),"providing::clarification::current::design")</f>
        <v>providing::clarification::current::design</v>
      </c>
      <c r="G313" s="52"/>
      <c r="H313" s="52"/>
      <c r="I313" s="52"/>
      <c r="J313" s="52"/>
      <c r="K313" s="52"/>
      <c r="L313" s="52"/>
      <c r="M313" s="52"/>
      <c r="N313" s="52"/>
      <c r="O313" s="52"/>
      <c r="P313" s="52" t="str">
        <f>IFERROR(__xludf.DUMMYFUNCTION("""COMPUTED_VALUE"""),"informing::added::new::PR")</f>
        <v>informing::added::new::PR</v>
      </c>
      <c r="Q313" s="52"/>
      <c r="R313" s="52"/>
      <c r="S313" s="52"/>
      <c r="T313" s="52"/>
      <c r="U313" s="52"/>
      <c r="V313" s="52"/>
      <c r="W313" s="52"/>
      <c r="X313" s="52"/>
      <c r="Y313" s="52"/>
      <c r="Z313" s="52"/>
    </row>
    <row r="314">
      <c r="A314" s="52"/>
      <c r="B314" s="52" t="str">
        <f>IFERROR(__xludf.DUMMYFUNCTION("""COMPUTED_VALUE"""),"Configuration issue, Network issue, Performance issue, Permission/deprecation issue, Test code-related issue")</f>
        <v>Configuration issue, Network issue, Performance issue, Permission/deprecation issue, Test code-related issue</v>
      </c>
      <c r="C314" s="52"/>
      <c r="D314" s="52" t="str">
        <f>IFERROR(__xludf.DUMMYFUNCTION("""COMPUTED_VALUE"""),"reviews::addressing::feature")</f>
        <v>reviews::addressing::feature</v>
      </c>
      <c r="E314" s="52"/>
      <c r="F314" s="52" t="str">
        <f>IFERROR(__xludf.DUMMYFUNCTION("""COMPUTED_VALUE"""),"providing::clarification::interaction::of::different::projects::(nova::neutron)::with::the::change::introduced::by::the:BP")</f>
        <v>providing::clarification::interaction::of::different::projects::(nova::neutron)::with::the::change::introduced::by::the:BP</v>
      </c>
      <c r="G314" s="52"/>
      <c r="H314" s="52"/>
      <c r="I314" s="52"/>
      <c r="J314" s="52"/>
      <c r="K314" s="52"/>
      <c r="L314" s="52"/>
      <c r="M314" s="52"/>
      <c r="N314" s="52"/>
      <c r="O314" s="52"/>
      <c r="P314" s="52" t="str">
        <f>IFERROR(__xludf.DUMMYFUNCTION("""COMPUTED_VALUE"""),"informing::adding::label")</f>
        <v>informing::adding::label</v>
      </c>
      <c r="Q314" s="52"/>
      <c r="R314" s="52"/>
      <c r="S314" s="52"/>
      <c r="T314" s="52"/>
      <c r="U314" s="52"/>
      <c r="V314" s="52"/>
      <c r="W314" s="52"/>
      <c r="X314" s="52"/>
      <c r="Y314" s="52"/>
      <c r="Z314" s="52"/>
    </row>
    <row r="315">
      <c r="A315" s="52"/>
      <c r="B315" s="52" t="str">
        <f>IFERROR(__xludf.DUMMYFUNCTION("""COMPUTED_VALUE"""),"Configuration issue, Network issue, Performance issue, Program anomaly issue, Test code-related issue")</f>
        <v>Configuration issue, Network issue, Performance issue, Program anomaly issue, Test code-related issue</v>
      </c>
      <c r="C315" s="52"/>
      <c r="D315" s="52" t="str">
        <f>IFERROR(__xludf.DUMMYFUNCTION("""COMPUTED_VALUE"""),"security::enhancements")</f>
        <v>security::enhancements</v>
      </c>
      <c r="E315" s="52"/>
      <c r="F315" s="52" t="str">
        <f>IFERROR(__xludf.DUMMYFUNCTION("""COMPUTED_VALUE"""),"providing::clarification::of::backporting::other::features::of::the::same::release::of::BP::(oportunistic::approach)")</f>
        <v>providing::clarification::of::backporting::other::features::of::the::same::release::of::BP::(oportunistic::approach)</v>
      </c>
      <c r="G315" s="52"/>
      <c r="H315" s="52"/>
      <c r="I315" s="52"/>
      <c r="J315" s="52"/>
      <c r="K315" s="52"/>
      <c r="L315" s="52"/>
      <c r="M315" s="52"/>
      <c r="N315" s="52"/>
      <c r="O315" s="52"/>
      <c r="P315" s="52" t="str">
        <f>IFERROR(__xludf.DUMMYFUNCTION("""COMPUTED_VALUE"""),"informing::backwards::compatebility::broken")</f>
        <v>informing::backwards::compatebility::broken</v>
      </c>
      <c r="Q315" s="52"/>
      <c r="R315" s="52"/>
      <c r="S315" s="52"/>
      <c r="T315" s="52"/>
      <c r="U315" s="52"/>
      <c r="V315" s="52"/>
      <c r="W315" s="52"/>
      <c r="X315" s="52"/>
      <c r="Y315" s="52"/>
      <c r="Z315" s="52"/>
    </row>
    <row r="316">
      <c r="A316" s="52"/>
      <c r="B316" s="52" t="str">
        <f>IFERROR(__xludf.DUMMYFUNCTION("""COMPUTED_VALUE"""),"Configuration issue, Network issue, Performance issue, Security issue, Program anomaly issue")</f>
        <v>Configuration issue, Network issue, Performance issue, Security issue, Program anomaly issue</v>
      </c>
      <c r="C316" s="52"/>
      <c r="D316" s="52" t="str">
        <f>IFERROR(__xludf.DUMMYFUNCTION("""COMPUTED_VALUE"""),"situation::where::bug::appears")</f>
        <v>situation::where::bug::appears</v>
      </c>
      <c r="E316" s="52"/>
      <c r="F316" s="52" t="str">
        <f>IFERROR(__xludf.DUMMYFUNCTION("""COMPUTED_VALUE"""),"providing::clarifications::about::bug::trace::implications")</f>
        <v>providing::clarifications::about::bug::trace::implications</v>
      </c>
      <c r="G316" s="52"/>
      <c r="H316" s="52"/>
      <c r="I316" s="52"/>
      <c r="J316" s="52"/>
      <c r="K316" s="52"/>
      <c r="L316" s="52"/>
      <c r="M316" s="52"/>
      <c r="N316" s="52"/>
      <c r="O316" s="52"/>
      <c r="P316" s="52" t="str">
        <f>IFERROR(__xludf.DUMMYFUNCTION("""COMPUTED_VALUE"""),"informing::bad::practice")</f>
        <v>informing::bad::practice</v>
      </c>
      <c r="Q316" s="52"/>
      <c r="R316" s="52"/>
      <c r="S316" s="52"/>
      <c r="T316" s="52"/>
      <c r="U316" s="52"/>
      <c r="V316" s="52"/>
      <c r="W316" s="52"/>
      <c r="X316" s="52"/>
      <c r="Y316" s="52"/>
      <c r="Z316" s="52"/>
    </row>
    <row r="317">
      <c r="A317" s="52"/>
      <c r="B317" s="52" t="str">
        <f>IFERROR(__xludf.DUMMYFUNCTION("""COMPUTED_VALUE"""),"Configuration issue, Network issue, Performance issue, Security issue, Test code-related issue")</f>
        <v>Configuration issue, Network issue, Performance issue, Security issue, Test code-related issue</v>
      </c>
      <c r="C317" s="52"/>
      <c r="D317" s="52" t="str">
        <f>IFERROR(__xludf.DUMMYFUNCTION("""COMPUTED_VALUE"""),"source::of::the::bug::(code::link)")</f>
        <v>source::of::the::bug::(code::link)</v>
      </c>
      <c r="E317" s="52"/>
      <c r="F317" s="52" t="str">
        <f>IFERROR(__xludf.DUMMYFUNCTION("""COMPUTED_VALUE"""),"providing::clarifications::about::development::process::(tests::process)")</f>
        <v>providing::clarifications::about::development::process::(tests::process)</v>
      </c>
      <c r="G317" s="52"/>
      <c r="H317" s="52"/>
      <c r="I317" s="52"/>
      <c r="J317" s="52"/>
      <c r="K317" s="52"/>
      <c r="L317" s="52"/>
      <c r="M317" s="52"/>
      <c r="N317" s="52"/>
      <c r="O317" s="52"/>
      <c r="P317" s="52" t="str">
        <f>IFERROR(__xludf.DUMMYFUNCTION("""COMPUTED_VALUE"""),"informing::blocking::change::(vote::codereview-2)::(core::reviewer)")</f>
        <v>informing::blocking::change::(vote::codereview-2)::(core::reviewer)</v>
      </c>
      <c r="Q317" s="52"/>
      <c r="R317" s="52"/>
      <c r="S317" s="52"/>
      <c r="T317" s="52"/>
      <c r="U317" s="52"/>
      <c r="V317" s="52"/>
      <c r="W317" s="52"/>
      <c r="X317" s="52"/>
      <c r="Y317" s="52"/>
      <c r="Z317" s="52"/>
    </row>
    <row r="318">
      <c r="A318" s="52"/>
      <c r="B318" s="52" t="str">
        <f>IFERROR(__xludf.DUMMYFUNCTION("""COMPUTED_VALUE"""),"Configuration issue, Network issue, Permission/deprecation issue, Program anomaly issue, Test code-related issue")</f>
        <v>Configuration issue, Network issue, Permission/deprecation issue, Program anomaly issue, Test code-related issue</v>
      </c>
      <c r="C318" s="52"/>
      <c r="D318" s="52" t="str">
        <f>IFERROR(__xludf.DUMMYFUNCTION("""COMPUTED_VALUE"""),"source::of::the::bug::(hash::commit)")</f>
        <v>source::of::the::bug::(hash::commit)</v>
      </c>
      <c r="E318" s="52"/>
      <c r="F318" s="52" t="str">
        <f>IFERROR(__xludf.DUMMYFUNCTION("""COMPUTED_VALUE"""),"providing::clarifications::about::plan::development::process")</f>
        <v>providing::clarifications::about::plan::development::process</v>
      </c>
      <c r="G318" s="52"/>
      <c r="H318" s="52"/>
      <c r="I318" s="52"/>
      <c r="J318" s="52"/>
      <c r="K318" s="52"/>
      <c r="L318" s="52"/>
      <c r="M318" s="52"/>
      <c r="N318" s="52"/>
      <c r="O318" s="52"/>
      <c r="P318" s="52" t="str">
        <f>IFERROR(__xludf.DUMMYFUNCTION("""COMPUTED_VALUE"""),"informing::BP::approved")</f>
        <v>informing::BP::approved</v>
      </c>
      <c r="Q318" s="52"/>
      <c r="R318" s="52"/>
      <c r="S318" s="52"/>
      <c r="T318" s="52"/>
      <c r="U318" s="52"/>
      <c r="V318" s="52"/>
      <c r="W318" s="52"/>
      <c r="X318" s="52"/>
      <c r="Y318" s="52"/>
      <c r="Z318" s="52"/>
    </row>
    <row r="319">
      <c r="A319" s="52"/>
      <c r="B319" s="52" t="str">
        <f>IFERROR(__xludf.DUMMYFUNCTION("""COMPUTED_VALUE"""),"Configuration issue, Network issue, Permission/deprecation issue, Security issue, Program anomaly issue")</f>
        <v>Configuration issue, Network issue, Permission/deprecation issue, Security issue, Program anomaly issue</v>
      </c>
      <c r="C319" s="52"/>
      <c r="D319" s="52" t="str">
        <f>IFERROR(__xludf.DUMMYFUNCTION("""COMPUTED_VALUE"""),"source::of::the::bug::(issue::link)")</f>
        <v>source::of::the::bug::(issue::link)</v>
      </c>
      <c r="E319" s="52"/>
      <c r="F319" s="52" t="str">
        <f>IFERROR(__xludf.DUMMYFUNCTION("""COMPUTED_VALUE"""),"providing::example::(use::case)")</f>
        <v>providing::example::(use::case)</v>
      </c>
      <c r="G319" s="52"/>
      <c r="H319" s="52"/>
      <c r="I319" s="52"/>
      <c r="J319" s="52"/>
      <c r="K319" s="52"/>
      <c r="L319" s="52"/>
      <c r="M319" s="52"/>
      <c r="N319" s="52"/>
      <c r="O319" s="52"/>
      <c r="P319" s="52" t="str">
        <f>IFERROR(__xludf.DUMMYFUNCTION("""COMPUTED_VALUE"""),"informing::BP::status")</f>
        <v>informing::BP::status</v>
      </c>
      <c r="Q319" s="52"/>
      <c r="R319" s="52"/>
      <c r="S319" s="52"/>
      <c r="T319" s="52"/>
      <c r="U319" s="52"/>
      <c r="V319" s="52"/>
      <c r="W319" s="52"/>
      <c r="X319" s="52"/>
      <c r="Y319" s="52"/>
      <c r="Z319" s="52"/>
    </row>
    <row r="320">
      <c r="A320" s="52"/>
      <c r="B320" s="52" t="str">
        <f>IFERROR(__xludf.DUMMYFUNCTION("""COMPUTED_VALUE"""),"Configuration issue, Network issue, Permission/deprecation issue, Security issue, Test code-related issue")</f>
        <v>Configuration issue, Network issue, Permission/deprecation issue, Security issue, Test code-related issue</v>
      </c>
      <c r="C320" s="52"/>
      <c r="D320" s="52" t="str">
        <f>IFERROR(__xludf.DUMMYFUNCTION("""COMPUTED_VALUE"""),"status::of::feature")</f>
        <v>status::of::feature</v>
      </c>
      <c r="E320" s="52"/>
      <c r="F320" s="52" t="str">
        <f>IFERROR(__xludf.DUMMYFUNCTION("""COMPUTED_VALUE"""),"proving::aswer::about::dependencies::of::BP::with::NOVA")</f>
        <v>proving::aswer::about::dependencies::of::BP::with::NOVA</v>
      </c>
      <c r="G320" s="52"/>
      <c r="H320" s="52"/>
      <c r="I320" s="52"/>
      <c r="J320" s="52"/>
      <c r="K320" s="52"/>
      <c r="L320" s="52"/>
      <c r="M320" s="52"/>
      <c r="N320" s="52"/>
      <c r="O320" s="52"/>
      <c r="P320" s="52" t="str">
        <f>IFERROR(__xludf.DUMMYFUNCTION("""COMPUTED_VALUE"""),"informing::broken::functionallity::after::submitting::changes")</f>
        <v>informing::broken::functionallity::after::submitting::changes</v>
      </c>
      <c r="Q320" s="52"/>
      <c r="R320" s="52"/>
      <c r="S320" s="52"/>
      <c r="T320" s="52"/>
      <c r="U320" s="52"/>
      <c r="V320" s="52"/>
      <c r="W320" s="52"/>
      <c r="X320" s="52"/>
      <c r="Y320" s="52"/>
      <c r="Z320" s="52"/>
    </row>
    <row r="321">
      <c r="A321" s="52"/>
      <c r="B321" s="52" t="str">
        <f>IFERROR(__xludf.DUMMYFUNCTION("""COMPUTED_VALUE"""),"Configuration issue, Network issue, Security issue, Program anomaly issue, Test code-related issue")</f>
        <v>Configuration issue, Network issue, Security issue, Program anomaly issue, Test code-related issue</v>
      </c>
      <c r="C321" s="52"/>
      <c r="D321" s="52" t="str">
        <f>IFERROR(__xludf.DUMMYFUNCTION("""COMPUTED_VALUE"""),"status::of::patches")</f>
        <v>status::of::patches</v>
      </c>
      <c r="E321" s="52"/>
      <c r="F321" s="52" t="str">
        <f>IFERROR(__xludf.DUMMYFUNCTION("""COMPUTED_VALUE"""),"purpose/attempting::of::implementing::the::BP/feature")</f>
        <v>purpose/attempting::of::implementing::the::BP/feature</v>
      </c>
      <c r="G321" s="52"/>
      <c r="H321" s="52"/>
      <c r="I321" s="52"/>
      <c r="J321" s="52"/>
      <c r="K321" s="52"/>
      <c r="L321" s="52"/>
      <c r="M321" s="52"/>
      <c r="N321" s="52"/>
      <c r="O321" s="52"/>
      <c r="P321" s="52" t="str">
        <f>IFERROR(__xludf.DUMMYFUNCTION("""COMPUTED_VALUE"""),"informing::bug::found")</f>
        <v>informing::bug::found</v>
      </c>
      <c r="Q321" s="52"/>
      <c r="R321" s="52"/>
      <c r="S321" s="52"/>
      <c r="T321" s="52"/>
      <c r="U321" s="52"/>
      <c r="V321" s="52"/>
      <c r="W321" s="52"/>
      <c r="X321" s="52"/>
      <c r="Y321" s="52"/>
      <c r="Z321" s="52"/>
    </row>
    <row r="322">
      <c r="A322" s="52"/>
      <c r="B322" s="52" t="str">
        <f>IFERROR(__xludf.DUMMYFUNCTION("""COMPUTED_VALUE"""),"Configuration issue, Performance issue, Permission/deprecation issue, Program anomaly issue, Test code-related issue")</f>
        <v>Configuration issue, Performance issue, Permission/deprecation issue, Program anomaly issue, Test code-related issue</v>
      </c>
      <c r="C322" s="52"/>
      <c r="D322" s="52" t="str">
        <f>IFERROR(__xludf.DUMMYFUNCTION("""COMPUTED_VALUE"""),"steps::replicate::bug")</f>
        <v>steps::replicate::bug</v>
      </c>
      <c r="E322" s="52"/>
      <c r="F322" s="52" t="str">
        <f>IFERROR(__xludf.DUMMYFUNCTION("""COMPUTED_VALUE"""),"question::about::dependencies::of::BP::with::NOVA")</f>
        <v>question::about::dependencies::of::BP::with::NOVA</v>
      </c>
      <c r="G322" s="52"/>
      <c r="H322" s="52"/>
      <c r="I322" s="52"/>
      <c r="J322" s="52"/>
      <c r="K322" s="52"/>
      <c r="L322" s="52"/>
      <c r="M322" s="52"/>
      <c r="N322" s="52"/>
      <c r="O322" s="52"/>
      <c r="P322" s="52" t="str">
        <f>IFERROR(__xludf.DUMMYFUNCTION("""COMPUTED_VALUE"""),"informing::cannot::provide::assistance::(more::tests)")</f>
        <v>informing::cannot::provide::assistance::(more::tests)</v>
      </c>
      <c r="Q322" s="52"/>
      <c r="R322" s="52"/>
      <c r="S322" s="52"/>
      <c r="T322" s="52"/>
      <c r="U322" s="52"/>
      <c r="V322" s="52"/>
      <c r="W322" s="52"/>
      <c r="X322" s="52"/>
      <c r="Y322" s="52"/>
      <c r="Z322" s="52"/>
    </row>
    <row r="323">
      <c r="A323" s="52"/>
      <c r="B323" s="52" t="str">
        <f>IFERROR(__xludf.DUMMYFUNCTION("""COMPUTED_VALUE"""),"Configuration issue, Performance issue, Permission/deprecation issue, Security issue, Program anomaly issue")</f>
        <v>Configuration issue, Performance issue, Permission/deprecation issue, Security issue, Program anomaly issue</v>
      </c>
      <c r="C323" s="52"/>
      <c r="D323" s="52" t="str">
        <f>IFERROR(__xludf.DUMMYFUNCTION("""COMPUTED_VALUE"""),"steps::required::for::backwards::compatibility")</f>
        <v>steps::required::for::backwards::compatibility</v>
      </c>
      <c r="E323" s="52"/>
      <c r="F323" s="52" t="str">
        <f>IFERROR(__xludf.DUMMYFUNCTION("""COMPUTED_VALUE"""),"question::about::details::in::implementation")</f>
        <v>question::about::details::in::implementation</v>
      </c>
      <c r="G323" s="52"/>
      <c r="H323" s="52"/>
      <c r="I323" s="52"/>
      <c r="J323" s="52"/>
      <c r="K323" s="52"/>
      <c r="L323" s="52"/>
      <c r="M323" s="52"/>
      <c r="N323" s="52"/>
      <c r="O323" s="52"/>
      <c r="P323" s="52" t="str">
        <f>IFERROR(__xludf.DUMMYFUNCTION("""COMPUTED_VALUE"""),"informing::change::commit")</f>
        <v>informing::change::commit</v>
      </c>
      <c r="Q323" s="52"/>
      <c r="R323" s="52"/>
      <c r="S323" s="52"/>
      <c r="T323" s="52"/>
      <c r="U323" s="52"/>
      <c r="V323" s="52"/>
      <c r="W323" s="52"/>
      <c r="X323" s="52"/>
      <c r="Y323" s="52"/>
      <c r="Z323" s="52"/>
    </row>
    <row r="324">
      <c r="A324" s="52"/>
      <c r="B324" s="52" t="str">
        <f>IFERROR(__xludf.DUMMYFUNCTION("""COMPUTED_VALUE"""),"Configuration issue, Performance issue, Permission/deprecation issue, Security issue, Test code-related issue")</f>
        <v>Configuration issue, Performance issue, Permission/deprecation issue, Security issue, Test code-related issue</v>
      </c>
      <c r="C324" s="52"/>
      <c r="D324" s="52" t="str">
        <f>IFERROR(__xludf.DUMMYFUNCTION("""COMPUTED_VALUE"""),"steps::to::replicate::the::bug")</f>
        <v>steps::to::replicate::the::bug</v>
      </c>
      <c r="E324" s="52"/>
      <c r="F324" s="52" t="str">
        <f>IFERROR(__xludf.DUMMYFUNCTION("""COMPUTED_VALUE"""),"question::about::if::it::is::right::place::to::ask::about::bp/feature")</f>
        <v>question::about::if::it::is::right::place::to::ask::about::bp/feature</v>
      </c>
      <c r="G324" s="52"/>
      <c r="H324" s="52"/>
      <c r="I324" s="52"/>
      <c r="J324" s="52"/>
      <c r="K324" s="52"/>
      <c r="L324" s="52"/>
      <c r="M324" s="52"/>
      <c r="N324" s="52"/>
      <c r="O324" s="52"/>
      <c r="P324" s="52" t="str">
        <f>IFERROR(__xludf.DUMMYFUNCTION("""COMPUTED_VALUE"""),"informing::change::implemented")</f>
        <v>informing::change::implemented</v>
      </c>
      <c r="Q324" s="52"/>
      <c r="R324" s="52"/>
      <c r="S324" s="52"/>
      <c r="T324" s="52"/>
      <c r="U324" s="52"/>
      <c r="V324" s="52"/>
      <c r="W324" s="52"/>
      <c r="X324" s="52"/>
      <c r="Y324" s="52"/>
      <c r="Z324" s="52"/>
    </row>
    <row r="325">
      <c r="A325" s="52"/>
      <c r="B325" s="52" t="str">
        <f>IFERROR(__xludf.DUMMYFUNCTION("""COMPUTED_VALUE"""),"Configuration issue, Performance issue, Security issue, Program anomaly issue, Test code-related issue")</f>
        <v>Configuration issue, Performance issue, Security issue, Program anomaly issue, Test code-related issue</v>
      </c>
      <c r="C325" s="52"/>
      <c r="D325" s="52" t="str">
        <f>IFERROR(__xludf.DUMMYFUNCTION("""COMPUTED_VALUE"""),"suggest::moving::to::next::release")</f>
        <v>suggest::moving::to::next::release</v>
      </c>
      <c r="E325" s="52"/>
      <c r="F325" s="52" t="str">
        <f>IFERROR(__xludf.DUMMYFUNCTION("""COMPUTED_VALUE"""),"reason::of::bug")</f>
        <v>reason::of::bug</v>
      </c>
      <c r="G325" s="52"/>
      <c r="H325" s="52"/>
      <c r="I325" s="52"/>
      <c r="J325" s="52"/>
      <c r="K325" s="52"/>
      <c r="L325" s="52"/>
      <c r="M325" s="52"/>
      <c r="N325" s="52"/>
      <c r="O325" s="52"/>
      <c r="P325" s="52" t="str">
        <f>IFERROR(__xludf.DUMMYFUNCTION("""COMPUTED_VALUE"""),"informing::change::implemented::(no::inline::message)")</f>
        <v>informing::change::implemented::(no::inline::message)</v>
      </c>
      <c r="Q325" s="52"/>
      <c r="R325" s="52"/>
      <c r="S325" s="52"/>
      <c r="T325" s="52"/>
      <c r="U325" s="52"/>
      <c r="V325" s="52"/>
      <c r="W325" s="52"/>
      <c r="X325" s="52"/>
      <c r="Y325" s="52"/>
      <c r="Z325" s="52"/>
    </row>
    <row r="326">
      <c r="A326" s="52"/>
      <c r="B326" s="52" t="str">
        <f>IFERROR(__xludf.DUMMYFUNCTION("""COMPUTED_VALUE"""),"Configuration issue, Permission/deprecation issue, Security issue, Program anomaly issue, Test code-related issue")</f>
        <v>Configuration issue, Permission/deprecation issue, Security issue, Program anomaly issue, Test code-related issue</v>
      </c>
      <c r="C326" s="52"/>
      <c r="D326" s="52" t="str">
        <f>IFERROR(__xludf.DUMMYFUNCTION("""COMPUTED_VALUE"""),"suggestion::rename::variables")</f>
        <v>suggestion::rename::variables</v>
      </c>
      <c r="E326" s="52"/>
      <c r="F326" s="52" t="str">
        <f>IFERROR(__xludf.DUMMYFUNCTION("""COMPUTED_VALUE"""),"reasons::for::deprecation")</f>
        <v>reasons::for::deprecation</v>
      </c>
      <c r="G326" s="52"/>
      <c r="H326" s="52"/>
      <c r="I326" s="52"/>
      <c r="J326" s="52"/>
      <c r="K326" s="52"/>
      <c r="L326" s="52"/>
      <c r="M326" s="52"/>
      <c r="N326" s="52"/>
      <c r="O326" s="52"/>
      <c r="P326" s="52" t="str">
        <f>IFERROR(__xludf.DUMMYFUNCTION("""COMPUTED_VALUE"""),"informing::changes::commit::message")</f>
        <v>informing::changes::commit::message</v>
      </c>
      <c r="Q326" s="52"/>
      <c r="R326" s="52"/>
      <c r="S326" s="52"/>
      <c r="T326" s="52"/>
      <c r="U326" s="52"/>
      <c r="V326" s="52"/>
      <c r="W326" s="52"/>
      <c r="X326" s="52"/>
      <c r="Y326" s="52"/>
      <c r="Z326" s="52"/>
    </row>
    <row r="327">
      <c r="A327" s="52"/>
      <c r="B327" s="52" t="str">
        <f>IFERROR(__xludf.DUMMYFUNCTION("""COMPUTED_VALUE"""),"Database-related issue, GUI-related issue, Network issue, Performance issue, Permission/deprecation issue")</f>
        <v>Database-related issue, GUI-related issue, Network issue, Performance issue, Permission/deprecation issue</v>
      </c>
      <c r="C327" s="52"/>
      <c r="D327" s="52" t="str">
        <f>IFERROR(__xludf.DUMMYFUNCTION("""COMPUTED_VALUE"""),"summary::of::the::problem")</f>
        <v>summary::of::the::problem</v>
      </c>
      <c r="E327" s="52"/>
      <c r="F327" s="52" t="str">
        <f>IFERROR(__xludf.DUMMYFUNCTION("""COMPUTED_VALUE"""),"reasons::for::not::meeting::the::initial::development::deadline")</f>
        <v>reasons::for::not::meeting::the::initial::development::deadline</v>
      </c>
      <c r="G327" s="52"/>
      <c r="H327" s="52"/>
      <c r="I327" s="52"/>
      <c r="J327" s="52"/>
      <c r="K327" s="52"/>
      <c r="L327" s="52"/>
      <c r="M327" s="52"/>
      <c r="N327" s="52"/>
      <c r="O327" s="52"/>
      <c r="P327" s="52" t="str">
        <f>IFERROR(__xludf.DUMMYFUNCTION("""COMPUTED_VALUE"""),"informing::code::pushed")</f>
        <v>informing::code::pushed</v>
      </c>
      <c r="Q327" s="52"/>
      <c r="R327" s="52"/>
      <c r="S327" s="52"/>
      <c r="T327" s="52"/>
      <c r="U327" s="52"/>
      <c r="V327" s="52"/>
      <c r="W327" s="52"/>
      <c r="X327" s="52"/>
      <c r="Y327" s="52"/>
      <c r="Z327" s="52"/>
    </row>
    <row r="328">
      <c r="A328" s="52"/>
      <c r="B328" s="52" t="str">
        <f>IFERROR(__xludf.DUMMYFUNCTION("""COMPUTED_VALUE"""),"Database-related issue, GUI-related issue, Network issue, Performance issue, Program anomaly issue")</f>
        <v>Database-related issue, GUI-related issue, Network issue, Performance issue, Program anomaly issue</v>
      </c>
      <c r="C328" s="52"/>
      <c r="D328" s="52" t="str">
        <f>IFERROR(__xludf.DUMMYFUNCTION("""COMPUTED_VALUE"""),"summary::of::the::purpose")</f>
        <v>summary::of::the::purpose</v>
      </c>
      <c r="E328" s="52"/>
      <c r="F328" s="52" t="str">
        <f>IFERROR(__xludf.DUMMYFUNCTION("""COMPUTED_VALUE"""),"reasons::why::not::accept::the::FFE")</f>
        <v>reasons::why::not::accept::the::FFE</v>
      </c>
      <c r="G328" s="52"/>
      <c r="H328" s="52"/>
      <c r="I328" s="52"/>
      <c r="J328" s="52"/>
      <c r="K328" s="52"/>
      <c r="L328" s="52"/>
      <c r="M328" s="52"/>
      <c r="N328" s="52"/>
      <c r="O328" s="52"/>
      <c r="P328" s="52" t="str">
        <f>IFERROR(__xludf.DUMMYFUNCTION("""COMPUTED_VALUE"""),"informing::comment::given::outside::PR")</f>
        <v>informing::comment::given::outside::PR</v>
      </c>
      <c r="Q328" s="52"/>
      <c r="R328" s="52"/>
      <c r="S328" s="52"/>
      <c r="T328" s="52"/>
      <c r="U328" s="52"/>
      <c r="V328" s="52"/>
      <c r="W328" s="52"/>
      <c r="X328" s="52"/>
      <c r="Y328" s="52"/>
      <c r="Z328" s="52"/>
    </row>
    <row r="329">
      <c r="A329" s="52"/>
      <c r="B329" s="52" t="str">
        <f>IFERROR(__xludf.DUMMYFUNCTION("""COMPUTED_VALUE"""),"Database-related issue, GUI-related issue, Network issue, Performance issue, Security issue")</f>
        <v>Database-related issue, GUI-related issue, Network issue, Performance issue, Security issue</v>
      </c>
      <c r="C329" s="52"/>
      <c r="D329" s="52" t="str">
        <f>IFERROR(__xludf.DUMMYFUNCTION("""COMPUTED_VALUE"""),"testing::status")</f>
        <v>testing::status</v>
      </c>
      <c r="E329" s="52"/>
      <c r="F329" s="52" t="str">
        <f>IFERROR(__xludf.DUMMYFUNCTION("""COMPUTED_VALUE"""),"reasons::why::not::accept::the::FFE::(number:.of::lines:.changed)")</f>
        <v>reasons::why::not::accept::the::FFE::(number:.of::lines:.changed)</v>
      </c>
      <c r="G329" s="52"/>
      <c r="H329" s="52"/>
      <c r="I329" s="52"/>
      <c r="J329" s="52"/>
      <c r="K329" s="52"/>
      <c r="L329" s="52"/>
      <c r="M329" s="52"/>
      <c r="N329" s="52"/>
      <c r="O329" s="52"/>
      <c r="P329" s="52" t="str">
        <f>IFERROR(__xludf.DUMMYFUNCTION("""COMPUTED_VALUE"""),"informing::comments::added")</f>
        <v>informing::comments::added</v>
      </c>
      <c r="Q329" s="52"/>
      <c r="R329" s="52"/>
      <c r="S329" s="52"/>
      <c r="T329" s="52"/>
      <c r="U329" s="52"/>
      <c r="V329" s="52"/>
      <c r="W329" s="52"/>
      <c r="X329" s="52"/>
      <c r="Y329" s="52"/>
      <c r="Z329" s="52"/>
    </row>
    <row r="330">
      <c r="A330" s="52"/>
      <c r="B330" s="52" t="str">
        <f>IFERROR(__xludf.DUMMYFUNCTION("""COMPUTED_VALUE"""),"Database-related issue, GUI-related issue, Network issue, Performance issue, Test code-related issue")</f>
        <v>Database-related issue, GUI-related issue, Network issue, Performance issue, Test code-related issue</v>
      </c>
      <c r="C330" s="52"/>
      <c r="D330" s="52" t="str">
        <f>IFERROR(__xludf.DUMMYFUNCTION("""COMPUTED_VALUE"""),"topic::that::group::all::changes::related::to::BP/feature")</f>
        <v>topic::that::group::all::changes::related::to::BP/feature</v>
      </c>
      <c r="E330" s="52"/>
      <c r="F330" s="52" t="str">
        <f>IFERROR(__xludf.DUMMYFUNCTION("""COMPUTED_VALUE"""),"reasons::why::the::FEE::should::be::given")</f>
        <v>reasons::why::the::FEE::should::be::given</v>
      </c>
      <c r="G330" s="52"/>
      <c r="H330" s="52"/>
      <c r="I330" s="52"/>
      <c r="J330" s="52"/>
      <c r="K330" s="52"/>
      <c r="L330" s="52"/>
      <c r="M330" s="52"/>
      <c r="N330" s="52"/>
      <c r="O330" s="52"/>
      <c r="P330" s="52" t="str">
        <f>IFERROR(__xludf.DUMMYFUNCTION("""COMPUTED_VALUE"""),"informing::comments::addressed")</f>
        <v>informing::comments::addressed</v>
      </c>
      <c r="Q330" s="52"/>
      <c r="R330" s="52"/>
      <c r="S330" s="52"/>
      <c r="T330" s="52"/>
      <c r="U330" s="52"/>
      <c r="V330" s="52"/>
      <c r="W330" s="52"/>
      <c r="X330" s="52"/>
      <c r="Y330" s="52"/>
      <c r="Z330" s="52"/>
    </row>
    <row r="331">
      <c r="A331" s="52"/>
      <c r="B331" s="52" t="str">
        <f>IFERROR(__xludf.DUMMYFUNCTION("""COMPUTED_VALUE"""),"Database-related issue, GUI-related issue, Network issue, Permission/deprecation issue, Program anomaly issue")</f>
        <v>Database-related issue, GUI-related issue, Network issue, Permission/deprecation issue, Program anomaly issue</v>
      </c>
      <c r="C331" s="52"/>
      <c r="D331" s="52" t="str">
        <f>IFERROR(__xludf.DUMMYFUNCTION("""COMPUTED_VALUE"""),"topic10::that::group::all::changes::related::to::BP/feature")</f>
        <v>topic10::that::group::all::changes::related::to::BP/feature</v>
      </c>
      <c r="E331" s="52"/>
      <c r="F331" s="52" t="str">
        <f>IFERROR(__xludf.DUMMYFUNCTION("""COMPUTED_VALUE"""),"reasons::why::the::FFE::could::be::rejected::(not::complete::test::suit)")</f>
        <v>reasons::why::the::FFE::could::be::rejected::(not::complete::test::suit)</v>
      </c>
      <c r="G331" s="52"/>
      <c r="H331" s="52"/>
      <c r="I331" s="52"/>
      <c r="J331" s="52"/>
      <c r="K331" s="52"/>
      <c r="L331" s="52"/>
      <c r="M331" s="52"/>
      <c r="N331" s="52"/>
      <c r="O331" s="52"/>
      <c r="P331" s="52" t="str">
        <f>IFERROR(__xludf.DUMMYFUNCTION("""COMPUTED_VALUE"""),"informing::comments::not::fully::addressed")</f>
        <v>informing::comments::not::fully::addressed</v>
      </c>
      <c r="Q331" s="52"/>
      <c r="R331" s="52"/>
      <c r="S331" s="52"/>
      <c r="T331" s="52"/>
      <c r="U331" s="52"/>
      <c r="V331" s="52"/>
      <c r="W331" s="52"/>
      <c r="X331" s="52"/>
      <c r="Y331" s="52"/>
      <c r="Z331" s="52"/>
    </row>
    <row r="332">
      <c r="A332" s="52"/>
      <c r="B332" s="52" t="str">
        <f>IFERROR(__xludf.DUMMYFUNCTION("""COMPUTED_VALUE"""),"Database-related issue, GUI-related issue, Network issue, Permission/deprecation issue, Security issue")</f>
        <v>Database-related issue, GUI-related issue, Network issue, Permission/deprecation issue, Security issue</v>
      </c>
      <c r="C332" s="52"/>
      <c r="D332" s="52" t="str">
        <f>IFERROR(__xludf.DUMMYFUNCTION("""COMPUTED_VALUE"""),"topic11::that::group::all::changes::related::to::BP/feature")</f>
        <v>topic11::that::group::all::changes::related::to::BP/feature</v>
      </c>
      <c r="E332" s="52"/>
      <c r="F332" s="52" t="str">
        <f>IFERROR(__xludf.DUMMYFUNCTION("""COMPUTED_VALUE"""),"reasons::why::the::FFE::was::rejected::(refactoring::structure::,::data::format)")</f>
        <v>reasons::why::the::FFE::was::rejected::(refactoring::structure::,::data::format)</v>
      </c>
      <c r="G332" s="52"/>
      <c r="H332" s="52"/>
      <c r="I332" s="52"/>
      <c r="J332" s="52"/>
      <c r="K332" s="52"/>
      <c r="L332" s="52"/>
      <c r="M332" s="52"/>
      <c r="N332" s="52"/>
      <c r="O332" s="52"/>
      <c r="P332" s="52" t="str">
        <f>IFERROR(__xludf.DUMMYFUNCTION("""COMPUTED_VALUE"""),"informing::comments::not::fully::addressed::(reasons)")</f>
        <v>informing::comments::not::fully::addressed::(reasons)</v>
      </c>
      <c r="Q332" s="52"/>
      <c r="R332" s="52"/>
      <c r="S332" s="52"/>
      <c r="T332" s="52"/>
      <c r="U332" s="52"/>
      <c r="V332" s="52"/>
      <c r="W332" s="52"/>
      <c r="X332" s="52"/>
      <c r="Y332" s="52"/>
      <c r="Z332" s="52"/>
    </row>
    <row r="333">
      <c r="A333" s="52"/>
      <c r="B333" s="52" t="str">
        <f>IFERROR(__xludf.DUMMYFUNCTION("""COMPUTED_VALUE"""),"Database-related issue, GUI-related issue, Network issue, Permission/deprecation issue, Test code-related issue")</f>
        <v>Database-related issue, GUI-related issue, Network issue, Permission/deprecation issue, Test code-related issue</v>
      </c>
      <c r="C333" s="52"/>
      <c r="D333" s="52" t="str">
        <f>IFERROR(__xludf.DUMMYFUNCTION("""COMPUTED_VALUE"""),"topic12::that::group::all::changes::related::to::BP/feature")</f>
        <v>topic12::that::group::all::changes::related::to::BP/feature</v>
      </c>
      <c r="E333" s="52"/>
      <c r="F333" s="52" t="str">
        <f>IFERROR(__xludf.DUMMYFUNCTION("""COMPUTED_VALUE"""),"reference::another::email::thread")</f>
        <v>reference::another::email::thread</v>
      </c>
      <c r="G333" s="52"/>
      <c r="H333" s="52"/>
      <c r="I333" s="52"/>
      <c r="J333" s="52"/>
      <c r="K333" s="52"/>
      <c r="L333" s="52"/>
      <c r="M333" s="52"/>
      <c r="N333" s="52"/>
      <c r="O333" s="52"/>
      <c r="P333" s="52" t="str">
        <f>IFERROR(__xludf.DUMMYFUNCTION("""COMPUTED_VALUE"""),"informing::conflicts::with::existing::dependency::(another::project)::of::the::change::(egg::and::chicken)")</f>
        <v>informing::conflicts::with::existing::dependency::(another::project)::of::the::change::(egg::and::chicken)</v>
      </c>
      <c r="Q333" s="52"/>
      <c r="R333" s="52"/>
      <c r="S333" s="52"/>
      <c r="T333" s="52"/>
      <c r="U333" s="52"/>
      <c r="V333" s="52"/>
      <c r="W333" s="52"/>
      <c r="X333" s="52"/>
      <c r="Y333" s="52"/>
      <c r="Z333" s="52"/>
    </row>
    <row r="334">
      <c r="A334" s="52"/>
      <c r="B334" s="52" t="str">
        <f>IFERROR(__xludf.DUMMYFUNCTION("""COMPUTED_VALUE"""),"Database-related issue, GUI-related issue, Network issue, Program anomaly issue, Test code-related issue")</f>
        <v>Database-related issue, GUI-related issue, Network issue, Program anomaly issue, Test code-related issue</v>
      </c>
      <c r="C334" s="52"/>
      <c r="D334" s="52" t="str">
        <f>IFERROR(__xludf.DUMMYFUNCTION("""COMPUTED_VALUE"""),"topic13::that::group::all::changes::related::to::BP/feature")</f>
        <v>topic13::that::group::all::changes::related::to::BP/feature</v>
      </c>
      <c r="E334" s="52"/>
      <c r="F334" s="52" t="str">
        <f>IFERROR(__xludf.DUMMYFUNCTION("""COMPUTED_VALUE"""),"reference::BP")</f>
        <v>reference::BP</v>
      </c>
      <c r="G334" s="52"/>
      <c r="H334" s="52"/>
      <c r="I334" s="52"/>
      <c r="J334" s="52"/>
      <c r="K334" s="52"/>
      <c r="L334" s="52"/>
      <c r="M334" s="52"/>
      <c r="N334" s="52"/>
      <c r="O334" s="52"/>
      <c r="P334" s="52" t="str">
        <f>IFERROR(__xludf.DUMMYFUNCTION("""COMPUTED_VALUE"""),"informing::dependency::(installed::package)")</f>
        <v>informing::dependency::(installed::package)</v>
      </c>
      <c r="Q334" s="52"/>
      <c r="R334" s="52"/>
      <c r="S334" s="52"/>
      <c r="T334" s="52"/>
      <c r="U334" s="52"/>
      <c r="V334" s="52"/>
      <c r="W334" s="52"/>
      <c r="X334" s="52"/>
      <c r="Y334" s="52"/>
      <c r="Z334" s="52"/>
    </row>
    <row r="335">
      <c r="A335" s="52"/>
      <c r="B335" s="52" t="str">
        <f>IFERROR(__xludf.DUMMYFUNCTION("""COMPUTED_VALUE"""),"Database-related issue, GUI-related issue, Network issue, Security issue, Program anomaly issue")</f>
        <v>Database-related issue, GUI-related issue, Network issue, Security issue, Program anomaly issue</v>
      </c>
      <c r="C335" s="52"/>
      <c r="D335" s="52" t="str">
        <f>IFERROR(__xludf.DUMMYFUNCTION("""COMPUTED_VALUE"""),"topic2::that::group::all::changes::related::to::BP/feature")</f>
        <v>topic2::that::group::all::changes::related::to::BP/feature</v>
      </c>
      <c r="E335" s="52"/>
      <c r="F335" s="52" t="str">
        <f>IFERROR(__xludf.DUMMYFUNCTION("""COMPUTED_VALUE"""),"reference::BP::related")</f>
        <v>reference::BP::related</v>
      </c>
      <c r="G335" s="52"/>
      <c r="H335" s="52"/>
      <c r="I335" s="52"/>
      <c r="J335" s="52"/>
      <c r="K335" s="52"/>
      <c r="L335" s="52"/>
      <c r="M335" s="52"/>
      <c r="N335" s="52"/>
      <c r="O335" s="52"/>
      <c r="P335" s="52" t="str">
        <f>IFERROR(__xludf.DUMMYFUNCTION("""COMPUTED_VALUE"""),"informing::dependency::(requirement)")</f>
        <v>informing::dependency::(requirement)</v>
      </c>
      <c r="Q335" s="52"/>
      <c r="R335" s="52"/>
      <c r="S335" s="52"/>
      <c r="T335" s="52"/>
      <c r="U335" s="52"/>
      <c r="V335" s="52"/>
      <c r="W335" s="52"/>
      <c r="X335" s="52"/>
      <c r="Y335" s="52"/>
      <c r="Z335" s="52"/>
    </row>
    <row r="336">
      <c r="A336" s="52"/>
      <c r="B336" s="52" t="str">
        <f>IFERROR(__xludf.DUMMYFUNCTION("""COMPUTED_VALUE"""),"Database-related issue, GUI-related issue, Network issue, Security issue, Test code-related issue")</f>
        <v>Database-related issue, GUI-related issue, Network issue, Security issue, Test code-related issue</v>
      </c>
      <c r="C336" s="52"/>
      <c r="D336" s="52" t="str">
        <f>IFERROR(__xludf.DUMMYFUNCTION("""COMPUTED_VALUE"""),"topic3::that::group::all::changes::related::to::BP/feature")</f>
        <v>topic3::that::group::all::changes::related::to::BP/feature</v>
      </c>
      <c r="E336" s="52"/>
      <c r="F336" s="52" t="str">
        <f>IFERROR(__xludf.DUMMYFUNCTION("""COMPUTED_VALUE"""),"reference::development::guides")</f>
        <v>reference::development::guides</v>
      </c>
      <c r="G336" s="52"/>
      <c r="H336" s="52"/>
      <c r="I336" s="52"/>
      <c r="J336" s="52"/>
      <c r="K336" s="52"/>
      <c r="L336" s="52"/>
      <c r="M336" s="52"/>
      <c r="N336" s="52"/>
      <c r="O336" s="52"/>
      <c r="P336" s="52" t="str">
        <f>IFERROR(__xludf.DUMMYFUNCTION("""COMPUTED_VALUE"""),"informing::developing::status::(of::patches)")</f>
        <v>informing::developing::status::(of::patches)</v>
      </c>
      <c r="Q336" s="52"/>
      <c r="R336" s="52"/>
      <c r="S336" s="52"/>
      <c r="T336" s="52"/>
      <c r="U336" s="52"/>
      <c r="V336" s="52"/>
      <c r="W336" s="52"/>
      <c r="X336" s="52"/>
      <c r="Y336" s="52"/>
      <c r="Z336" s="52"/>
    </row>
    <row r="337">
      <c r="A337" s="52"/>
      <c r="B337" s="52" t="str">
        <f>IFERROR(__xludf.DUMMYFUNCTION("""COMPUTED_VALUE"""),"Database-related issue, GUI-related issue, Performance issue, Permission/deprecation issue, Program anomaly issue")</f>
        <v>Database-related issue, GUI-related issue, Performance issue, Permission/deprecation issue, Program anomaly issue</v>
      </c>
      <c r="C337" s="52"/>
      <c r="D337" s="52" t="str">
        <f>IFERROR(__xludf.DUMMYFUNCTION("""COMPUTED_VALUE"""),"topic4::that::group::all::changes::related::to::BP/feature")</f>
        <v>topic4::that::group::all::changes::related::to::BP/feature</v>
      </c>
      <c r="E337" s="52"/>
      <c r="F337" s="52" t="str">
        <f>IFERROR(__xludf.DUMMYFUNCTION("""COMPUTED_VALUE"""),"reference::etherpad")</f>
        <v>reference::etherpad</v>
      </c>
      <c r="G337" s="52"/>
      <c r="H337" s="52"/>
      <c r="I337" s="52"/>
      <c r="J337" s="52"/>
      <c r="K337" s="52"/>
      <c r="L337" s="52"/>
      <c r="M337" s="52"/>
      <c r="N337" s="52"/>
      <c r="O337" s="52"/>
      <c r="P337" s="52" t="str">
        <f>IFERROR(__xludf.DUMMYFUNCTION("""COMPUTED_VALUE"""),"informing::developing::status::(of::suggested::changes)")</f>
        <v>informing::developing::status::(of::suggested::changes)</v>
      </c>
      <c r="Q337" s="52"/>
      <c r="R337" s="52"/>
      <c r="S337" s="52"/>
      <c r="T337" s="52"/>
      <c r="U337" s="52"/>
      <c r="V337" s="52"/>
      <c r="W337" s="52"/>
      <c r="X337" s="52"/>
      <c r="Y337" s="52"/>
      <c r="Z337" s="52"/>
    </row>
    <row r="338">
      <c r="A338" s="52"/>
      <c r="B338" s="52" t="str">
        <f>IFERROR(__xludf.DUMMYFUNCTION("""COMPUTED_VALUE"""),"Database-related issue, GUI-related issue, Performance issue, Permission/deprecation issue, Security issue")</f>
        <v>Database-related issue, GUI-related issue, Performance issue, Permission/deprecation issue, Security issue</v>
      </c>
      <c r="C338" s="52"/>
      <c r="D338" s="52" t="str">
        <f>IFERROR(__xludf.DUMMYFUNCTION("""COMPUTED_VALUE"""),"topic5::that::group::all::changes::related::to::BP/feature")</f>
        <v>topic5::that::group::all::changes::related::to::BP/feature</v>
      </c>
      <c r="E338" s="52"/>
      <c r="F338" s="52" t="str">
        <f>IFERROR(__xludf.DUMMYFUNCTION("""COMPUTED_VALUE"""),"reference::meeting")</f>
        <v>reference::meeting</v>
      </c>
      <c r="G338" s="52"/>
      <c r="H338" s="52"/>
      <c r="I338" s="52"/>
      <c r="J338" s="52"/>
      <c r="K338" s="52"/>
      <c r="L338" s="52"/>
      <c r="M338" s="52"/>
      <c r="N338" s="52"/>
      <c r="O338" s="52"/>
      <c r="P338" s="52" t="str">
        <f>IFERROR(__xludf.DUMMYFUNCTION("""COMPUTED_VALUE"""),"informing::error::in::CI::system")</f>
        <v>informing::error::in::CI::system</v>
      </c>
      <c r="Q338" s="52"/>
      <c r="R338" s="52"/>
      <c r="S338" s="52"/>
      <c r="T338" s="52"/>
      <c r="U338" s="52"/>
      <c r="V338" s="52"/>
      <c r="W338" s="52"/>
      <c r="X338" s="52"/>
      <c r="Y338" s="52"/>
      <c r="Z338" s="52"/>
    </row>
    <row r="339">
      <c r="A339" s="52"/>
      <c r="B339" s="52" t="str">
        <f>IFERROR(__xludf.DUMMYFUNCTION("""COMPUTED_VALUE"""),"Database-related issue, GUI-related issue, Performance issue, Permission/deprecation issue, Test code-related issue")</f>
        <v>Database-related issue, GUI-related issue, Performance issue, Permission/deprecation issue, Test code-related issue</v>
      </c>
      <c r="C339" s="52"/>
      <c r="D339" s="52" t="str">
        <f>IFERROR(__xludf.DUMMYFUNCTION("""COMPUTED_VALUE"""),"topic6::that::group::all::changes::related::to::BP/feature")</f>
        <v>topic6::that::group::all::changes::related::to::BP/feature</v>
      </c>
      <c r="E339" s="52"/>
      <c r="F339" s="52" t="str">
        <f>IFERROR(__xludf.DUMMYFUNCTION("""COMPUTED_VALUE"""),"reference::repository")</f>
        <v>reference::repository</v>
      </c>
      <c r="G339" s="52"/>
      <c r="H339" s="52"/>
      <c r="I339" s="52"/>
      <c r="J339" s="52"/>
      <c r="K339" s="52"/>
      <c r="L339" s="52"/>
      <c r="M339" s="52"/>
      <c r="N339" s="52"/>
      <c r="O339" s="52"/>
      <c r="P339" s="52" t="str">
        <f>IFERROR(__xludf.DUMMYFUNCTION("""COMPUTED_VALUE"""),"informing::error::in::code")</f>
        <v>informing::error::in::code</v>
      </c>
      <c r="Q339" s="52"/>
      <c r="R339" s="52"/>
      <c r="S339" s="52"/>
      <c r="T339" s="52"/>
      <c r="U339" s="52"/>
      <c r="V339" s="52"/>
      <c r="W339" s="52"/>
      <c r="X339" s="52"/>
      <c r="Y339" s="52"/>
      <c r="Z339" s="52"/>
    </row>
    <row r="340">
      <c r="A340" s="52"/>
      <c r="B340" s="52" t="str">
        <f>IFERROR(__xludf.DUMMYFUNCTION("""COMPUTED_VALUE"""),"Database-related issue, GUI-related issue, Performance issue, Program anomaly issue, Test code-related issue")</f>
        <v>Database-related issue, GUI-related issue, Performance issue, Program anomaly issue, Test code-related issue</v>
      </c>
      <c r="C340" s="52"/>
      <c r="D340" s="52" t="str">
        <f>IFERROR(__xludf.DUMMYFUNCTION("""COMPUTED_VALUE"""),"topic7::that::group::all::changes::related::to::BP/feature")</f>
        <v>topic7::that::group::all::changes::related::to::BP/feature</v>
      </c>
      <c r="E340" s="52"/>
      <c r="F340" s="52" t="str">
        <f>IFERROR(__xludf.DUMMYFUNCTION("""COMPUTED_VALUE"""),"reference::review")</f>
        <v>reference::review</v>
      </c>
      <c r="G340" s="52"/>
      <c r="H340" s="52"/>
      <c r="I340" s="52"/>
      <c r="J340" s="52"/>
      <c r="K340" s="52"/>
      <c r="L340" s="52"/>
      <c r="M340" s="52"/>
      <c r="N340" s="52"/>
      <c r="O340" s="52"/>
      <c r="P340" s="52" t="str">
        <f>IFERROR(__xludf.DUMMYFUNCTION("""COMPUTED_VALUE"""),"informing::error::unit::test")</f>
        <v>informing::error::unit::test</v>
      </c>
      <c r="Q340" s="52"/>
      <c r="R340" s="52"/>
      <c r="S340" s="52"/>
      <c r="T340" s="52"/>
      <c r="U340" s="52"/>
      <c r="V340" s="52"/>
      <c r="W340" s="52"/>
      <c r="X340" s="52"/>
      <c r="Y340" s="52"/>
      <c r="Z340" s="52"/>
    </row>
    <row r="341">
      <c r="A341" s="52"/>
      <c r="B341" s="52" t="str">
        <f>IFERROR(__xludf.DUMMYFUNCTION("""COMPUTED_VALUE"""),"Database-related issue, GUI-related issue, Performance issue, Security issue, Program anomaly issue")</f>
        <v>Database-related issue, GUI-related issue, Performance issue, Security issue, Program anomaly issue</v>
      </c>
      <c r="C341" s="52"/>
      <c r="D341" s="52" t="str">
        <f>IFERROR(__xludf.DUMMYFUNCTION("""COMPUTED_VALUE"""),"topic8::that::group::all::changes::related::to::BP/feature")</f>
        <v>topic8::that::group::all::changes::related::to::BP/feature</v>
      </c>
      <c r="E341" s="52"/>
      <c r="F341" s="52" t="str">
        <f>IFERROR(__xludf.DUMMYFUNCTION("""COMPUTED_VALUE"""),"reference::review::(related)")</f>
        <v>reference::review::(related)</v>
      </c>
      <c r="G341" s="52"/>
      <c r="H341" s="52"/>
      <c r="I341" s="52"/>
      <c r="J341" s="52"/>
      <c r="K341" s="52"/>
      <c r="L341" s="52"/>
      <c r="M341" s="52"/>
      <c r="N341" s="52"/>
      <c r="O341" s="52"/>
      <c r="P341" s="52" t="str">
        <f>IFERROR(__xludf.DUMMYFUNCTION("""COMPUTED_VALUE"""),"informing::error::unit::test::(where:.and::when)")</f>
        <v>informing::error::unit::test::(where:.and::when)</v>
      </c>
      <c r="Q341" s="52"/>
      <c r="R341" s="52"/>
      <c r="S341" s="52"/>
      <c r="T341" s="52"/>
      <c r="U341" s="52"/>
      <c r="V341" s="52"/>
      <c r="W341" s="52"/>
      <c r="X341" s="52"/>
      <c r="Y341" s="52"/>
      <c r="Z341" s="52"/>
    </row>
    <row r="342">
      <c r="A342" s="52"/>
      <c r="B342" s="52" t="str">
        <f>IFERROR(__xludf.DUMMYFUNCTION("""COMPUTED_VALUE"""),"Database-related issue, GUI-related issue, Performance issue, Security issue, Test code-related issue")</f>
        <v>Database-related issue, GUI-related issue, Performance issue, Security issue, Test code-related issue</v>
      </c>
      <c r="C342" s="52"/>
      <c r="D342" s="52" t="str">
        <f>IFERROR(__xludf.DUMMYFUNCTION("""COMPUTED_VALUE"""),"topic9::that::group::all::changes::related::to::BP/feature")</f>
        <v>topic9::that::group::all::changes::related::to::BP/feature</v>
      </c>
      <c r="E342" s="52"/>
      <c r="F342" s="52" t="str">
        <f>IFERROR(__xludf.DUMMYFUNCTION("""COMPUTED_VALUE"""),"reference::specification")</f>
        <v>reference::specification</v>
      </c>
      <c r="G342" s="52"/>
      <c r="H342" s="52"/>
      <c r="I342" s="52"/>
      <c r="J342" s="52"/>
      <c r="K342" s="52"/>
      <c r="L342" s="52"/>
      <c r="M342" s="52"/>
      <c r="N342" s="52"/>
      <c r="O342" s="52"/>
      <c r="P342" s="52" t="str">
        <f>IFERROR(__xludf.DUMMYFUNCTION("""COMPUTED_VALUE"""),"informing::existing::dependencies::(commit::message)")</f>
        <v>informing::existing::dependencies::(commit::message)</v>
      </c>
      <c r="Q342" s="52"/>
      <c r="R342" s="52"/>
      <c r="S342" s="52"/>
      <c r="T342" s="52"/>
      <c r="U342" s="52"/>
      <c r="V342" s="52"/>
      <c r="W342" s="52"/>
      <c r="X342" s="52"/>
      <c r="Y342" s="52"/>
      <c r="Z342" s="52"/>
    </row>
    <row r="343">
      <c r="A343" s="52"/>
      <c r="B343" s="52" t="str">
        <f>IFERROR(__xludf.DUMMYFUNCTION("""COMPUTED_VALUE"""),"Database-related issue, GUI-related issue, Permission/deprecation issue, Program anomaly issue, Test code-related issue")</f>
        <v>Database-related issue, GUI-related issue, Permission/deprecation issue, Program anomaly issue, Test code-related issue</v>
      </c>
      <c r="C343" s="52"/>
      <c r="D343" s="52" t="str">
        <f>IFERROR(__xludf.DUMMYFUNCTION("""COMPUTED_VALUE"""),"unapproved::specification::of::BP")</f>
        <v>unapproved::specification::of::BP</v>
      </c>
      <c r="E343" s="52"/>
      <c r="F343" s="52" t="str">
        <f>IFERROR(__xludf.DUMMYFUNCTION("""COMPUTED_VALUE"""),"reference::tag")</f>
        <v>reference::tag</v>
      </c>
      <c r="G343" s="52"/>
      <c r="H343" s="52"/>
      <c r="I343" s="52"/>
      <c r="J343" s="52"/>
      <c r="K343" s="52"/>
      <c r="L343" s="52"/>
      <c r="M343" s="52"/>
      <c r="N343" s="52"/>
      <c r="O343" s="52"/>
      <c r="P343" s="52" t="str">
        <f>IFERROR(__xludf.DUMMYFUNCTION("""COMPUTED_VALUE"""),"informing::existing::dependency::(another::project)::of::the::change")</f>
        <v>informing::existing::dependency::(another::project)::of::the::change</v>
      </c>
      <c r="Q343" s="52"/>
      <c r="R343" s="52"/>
      <c r="S343" s="52"/>
      <c r="T343" s="52"/>
      <c r="U343" s="52"/>
      <c r="V343" s="52"/>
      <c r="W343" s="52"/>
      <c r="X343" s="52"/>
      <c r="Y343" s="52"/>
      <c r="Z343" s="52"/>
    </row>
    <row r="344">
      <c r="A344" s="52"/>
      <c r="B344" s="52" t="str">
        <f>IFERROR(__xludf.DUMMYFUNCTION("""COMPUTED_VALUE"""),"Database-related issue, GUI-related issue, Permission/deprecation issue, Security issue, Program anomaly issue")</f>
        <v>Database-related issue, GUI-related issue, Permission/deprecation issue, Security issue, Program anomaly issue</v>
      </c>
      <c r="C344" s="52"/>
      <c r="D344" s="52" t="str">
        <f>IFERROR(__xludf.DUMMYFUNCTION("""COMPUTED_VALUE"""),"undesired::behaviour")</f>
        <v>undesired::behaviour</v>
      </c>
      <c r="E344" s="52"/>
      <c r="F344" s="52" t="str">
        <f>IFERROR(__xludf.DUMMYFUNCTION("""COMPUTED_VALUE"""),"reference::topic")</f>
        <v>reference::topic</v>
      </c>
      <c r="G344" s="52"/>
      <c r="H344" s="52"/>
      <c r="I344" s="52"/>
      <c r="J344" s="52"/>
      <c r="K344" s="52"/>
      <c r="L344" s="52"/>
      <c r="M344" s="52"/>
      <c r="N344" s="52"/>
      <c r="O344" s="52"/>
      <c r="P344" s="52" t="str">
        <f>IFERROR(__xludf.DUMMYFUNCTION("""COMPUTED_VALUE"""),"informing::existing::dependency::(another::project)::of::the::change::are::ready")</f>
        <v>informing::existing::dependency::(another::project)::of::the::change::are::ready</v>
      </c>
      <c r="Q344" s="52"/>
      <c r="R344" s="52"/>
      <c r="S344" s="52"/>
      <c r="T344" s="52"/>
      <c r="U344" s="52"/>
      <c r="V344" s="52"/>
      <c r="W344" s="52"/>
      <c r="X344" s="52"/>
      <c r="Y344" s="52"/>
      <c r="Z344" s="52"/>
    </row>
    <row r="345">
      <c r="A345" s="52"/>
      <c r="B345" s="52" t="str">
        <f>IFERROR(__xludf.DUMMYFUNCTION("""COMPUTED_VALUE"""),"Database-related issue, GUI-related issue, Permission/deprecation issue, Security issue, Test code-related issue")</f>
        <v>Database-related issue, GUI-related issue, Permission/deprecation issue, Security issue, Test code-related issue</v>
      </c>
      <c r="C345" s="52"/>
      <c r="D345" s="52" t="str">
        <f>IFERROR(__xludf.DUMMYFUNCTION("""COMPUTED_VALUE"""),"units::of::work::(link::to::reviews)")</f>
        <v>units::of::work::(link::to::reviews)</v>
      </c>
      <c r="E345" s="52"/>
      <c r="F345" s="52" t="str">
        <f>IFERROR(__xludf.DUMMYFUNCTION("""COMPUTED_VALUE"""),"reference::wiki")</f>
        <v>reference::wiki</v>
      </c>
      <c r="G345" s="52"/>
      <c r="H345" s="52"/>
      <c r="I345" s="52"/>
      <c r="J345" s="52"/>
      <c r="K345" s="52"/>
      <c r="L345" s="52"/>
      <c r="M345" s="52"/>
      <c r="N345" s="52"/>
      <c r="O345" s="52"/>
      <c r="P345" s="52" t="str">
        <f>IFERROR(__xludf.DUMMYFUNCTION("""COMPUTED_VALUE"""),"informing::existing::dependency::(another::review)")</f>
        <v>informing::existing::dependency::(another::review)</v>
      </c>
      <c r="Q345" s="52"/>
      <c r="R345" s="52"/>
      <c r="S345" s="52"/>
      <c r="T345" s="52"/>
      <c r="U345" s="52"/>
      <c r="V345" s="52"/>
      <c r="W345" s="52"/>
      <c r="X345" s="52"/>
      <c r="Y345" s="52"/>
      <c r="Z345" s="52"/>
    </row>
    <row r="346">
      <c r="A346" s="52"/>
      <c r="B346" s="52" t="str">
        <f>IFERROR(__xludf.DUMMYFUNCTION("""COMPUTED_VALUE"""),"Database-related issue, GUI-related issue, Security issue, Program anomaly issue, Test code-related issue")</f>
        <v>Database-related issue, GUI-related issue, Security issue, Program anomaly issue, Test code-related issue</v>
      </c>
      <c r="C346" s="52"/>
      <c r="D346" s="52" t="str">
        <f>IFERROR(__xludf.DUMMYFUNCTION("""COMPUTED_VALUE"""),"what::is::the::bug::causing")</f>
        <v>what::is::the::bug::causing</v>
      </c>
      <c r="E346" s="52"/>
      <c r="F346" s="52" t="str">
        <f>IFERROR(__xludf.DUMMYFUNCTION("""COMPUTED_VALUE"""),"reference::wiki::(meetings::agenda)")</f>
        <v>reference::wiki::(meetings::agenda)</v>
      </c>
      <c r="G346" s="52"/>
      <c r="H346" s="52"/>
      <c r="I346" s="52"/>
      <c r="J346" s="52"/>
      <c r="K346" s="52"/>
      <c r="L346" s="52"/>
      <c r="M346" s="52"/>
      <c r="N346" s="52"/>
      <c r="O346" s="52"/>
      <c r="P346" s="52" t="str">
        <f>IFERROR(__xludf.DUMMYFUNCTION("""COMPUTED_VALUE"""),"informing::existing::dependency::(another::review)::of::the::change")</f>
        <v>informing::existing::dependency::(another::review)::of::the::change</v>
      </c>
      <c r="Q346" s="52"/>
      <c r="R346" s="52"/>
      <c r="S346" s="52"/>
      <c r="T346" s="52"/>
      <c r="U346" s="52"/>
      <c r="V346" s="52"/>
      <c r="W346" s="52"/>
      <c r="X346" s="52"/>
      <c r="Y346" s="52"/>
      <c r="Z346" s="52"/>
    </row>
    <row r="347">
      <c r="A347" s="52"/>
      <c r="B347" s="52" t="str">
        <f>IFERROR(__xludf.DUMMYFUNCTION("""COMPUTED_VALUE"""),"Database-related issue, Network issue, Performance issue, Permission/deprecation issue, Program anomaly issue")</f>
        <v>Database-related issue, Network issue, Performance issue, Permission/deprecation issue, Program anomaly issue</v>
      </c>
      <c r="C347" s="52"/>
      <c r="D347" s="52" t="str">
        <f>IFERROR(__xludf.DUMMYFUNCTION("""COMPUTED_VALUE"""),"when::is::the::bug::present")</f>
        <v>when::is::the::bug::present</v>
      </c>
      <c r="E347" s="52"/>
      <c r="F347" s="52" t="str">
        <f>IFERROR(__xludf.DUMMYFUNCTION("""COMPUTED_VALUE"""),"reference::wiki::(meetings)")</f>
        <v>reference::wiki::(meetings)</v>
      </c>
      <c r="G347" s="52"/>
      <c r="H347" s="52"/>
      <c r="I347" s="52"/>
      <c r="J347" s="52"/>
      <c r="K347" s="52"/>
      <c r="L347" s="52"/>
      <c r="M347" s="52"/>
      <c r="N347" s="52"/>
      <c r="O347" s="52"/>
      <c r="P347" s="52" t="str">
        <f>IFERROR(__xludf.DUMMYFUNCTION("""COMPUTED_VALUE"""),"informing::FFE::(feature::freeze::exception)::lifted")</f>
        <v>informing::FFE::(feature::freeze::exception)::lifted</v>
      </c>
      <c r="Q347" s="52"/>
      <c r="R347" s="52"/>
      <c r="S347" s="52"/>
      <c r="T347" s="52"/>
      <c r="U347" s="52"/>
      <c r="V347" s="52"/>
      <c r="W347" s="52"/>
      <c r="X347" s="52"/>
      <c r="Y347" s="52"/>
      <c r="Z347" s="52"/>
    </row>
    <row r="348">
      <c r="A348" s="52"/>
      <c r="B348" s="52" t="str">
        <f>IFERROR(__xludf.DUMMYFUNCTION("""COMPUTED_VALUE"""),"Database-related issue, Network issue, Performance issue, Permission/deprecation issue, Security issue")</f>
        <v>Database-related issue, Network issue, Performance issue, Permission/deprecation issue, Security issue</v>
      </c>
      <c r="C348" s="52"/>
      <c r="D348" s="52" t="str">
        <f>IFERROR(__xludf.DUMMYFUNCTION("""COMPUTED_VALUE"""),"when::is::the::bug::present::(specific::elasticsearch::version)")</f>
        <v>when::is::the::bug::present::(specific::elasticsearch::version)</v>
      </c>
      <c r="E348" s="52"/>
      <c r="F348" s="52" t="str">
        <f>IFERROR(__xludf.DUMMYFUNCTION("""COMPUTED_VALUE"""),"reminder::to::review::high-priority::reviews::(including::BP)")</f>
        <v>reminder::to::review::high-priority::reviews::(including::BP)</v>
      </c>
      <c r="G348" s="52"/>
      <c r="H348" s="52"/>
      <c r="I348" s="52"/>
      <c r="J348" s="52"/>
      <c r="K348" s="52"/>
      <c r="L348" s="52"/>
      <c r="M348" s="52"/>
      <c r="N348" s="52"/>
      <c r="O348" s="52"/>
      <c r="P348" s="52" t="str">
        <f>IFERROR(__xludf.DUMMYFUNCTION("""COMPUTED_VALUE"""),"informing::frustration::about::waiting::for::next::release")</f>
        <v>informing::frustration::about::waiting::for::next::release</v>
      </c>
      <c r="Q348" s="52"/>
      <c r="R348" s="52"/>
      <c r="S348" s="52"/>
      <c r="T348" s="52"/>
      <c r="U348" s="52"/>
      <c r="V348" s="52"/>
      <c r="W348" s="52"/>
      <c r="X348" s="52"/>
      <c r="Y348" s="52"/>
      <c r="Z348" s="52"/>
    </row>
    <row r="349">
      <c r="A349" s="52"/>
      <c r="B349" s="52" t="str">
        <f>IFERROR(__xludf.DUMMYFUNCTION("""COMPUTED_VALUE"""),"Database-related issue, Network issue, Performance issue, Permission/deprecation issue, Test code-related issue")</f>
        <v>Database-related issue, Network issue, Performance issue, Permission/deprecation issue, Test code-related issue</v>
      </c>
      <c r="C349" s="52"/>
      <c r="D349" s="52" t="str">
        <f>IFERROR(__xludf.DUMMYFUNCTION("""COMPUTED_VALUE"""),"when::is::the::bug::present::(specific::java::version)")</f>
        <v>when::is::the::bug::present::(specific::java::version)</v>
      </c>
      <c r="E349" s="52"/>
      <c r="F349" s="52" t="str">
        <f>IFERROR(__xludf.DUMMYFUNCTION("""COMPUTED_VALUE"""),"requesting::a::meeeting::(IRC)")</f>
        <v>requesting::a::meeeting::(IRC)</v>
      </c>
      <c r="G349" s="52"/>
      <c r="H349" s="52"/>
      <c r="I349" s="52"/>
      <c r="J349" s="52"/>
      <c r="K349" s="52"/>
      <c r="L349" s="52"/>
      <c r="M349" s="52"/>
      <c r="N349" s="52"/>
      <c r="O349" s="52"/>
      <c r="P349" s="52" t="str">
        <f>IFERROR(__xludf.DUMMYFUNCTION("""COMPUTED_VALUE"""),"informing::inconsistencies::found:.(format)")</f>
        <v>informing::inconsistencies::found:.(format)</v>
      </c>
      <c r="Q349" s="52"/>
      <c r="R349" s="52"/>
      <c r="S349" s="52"/>
      <c r="T349" s="52"/>
      <c r="U349" s="52"/>
      <c r="V349" s="52"/>
      <c r="W349" s="52"/>
      <c r="X349" s="52"/>
      <c r="Y349" s="52"/>
      <c r="Z349" s="52"/>
    </row>
    <row r="350">
      <c r="A350" s="52"/>
      <c r="B350" s="52" t="str">
        <f>IFERROR(__xludf.DUMMYFUNCTION("""COMPUTED_VALUE"""),"Database-related issue, Network issue, Performance issue, Program anomaly issue, Test code-related issue")</f>
        <v>Database-related issue, Network issue, Performance issue, Program anomaly issue, Test code-related issue</v>
      </c>
      <c r="C350" s="52"/>
      <c r="D350" s="52" t="str">
        <f>IFERROR(__xludf.DUMMYFUNCTION("""COMPUTED_VALUE"""),"when::is::the::bug::present::(specific::python::version)")</f>
        <v>when::is::the::bug::present::(specific::python::version)</v>
      </c>
      <c r="E350" s="52"/>
      <c r="F350" s="52" t="str">
        <f>IFERROR(__xludf.DUMMYFUNCTION("""COMPUTED_VALUE"""),"requesting::feature::freeze::exception::for::BP/feature")</f>
        <v>requesting::feature::freeze::exception::for::BP/feature</v>
      </c>
      <c r="G350" s="52"/>
      <c r="H350" s="52"/>
      <c r="I350" s="52"/>
      <c r="J350" s="52"/>
      <c r="K350" s="52"/>
      <c r="L350" s="52"/>
      <c r="M350" s="52"/>
      <c r="N350" s="52"/>
      <c r="O350" s="52"/>
      <c r="P350" s="52" t="str">
        <f>IFERROR(__xludf.DUMMYFUNCTION("""COMPUTED_VALUE"""),"informing::integration::testing::(results)")</f>
        <v>informing::integration::testing::(results)</v>
      </c>
      <c r="Q350" s="52"/>
      <c r="R350" s="52"/>
      <c r="S350" s="52"/>
      <c r="T350" s="52"/>
      <c r="U350" s="52"/>
      <c r="V350" s="52"/>
      <c r="W350" s="52"/>
      <c r="X350" s="52"/>
      <c r="Y350" s="52"/>
      <c r="Z350" s="52"/>
    </row>
    <row r="351">
      <c r="A351" s="52"/>
      <c r="B351" s="52" t="str">
        <f>IFERROR(__xludf.DUMMYFUNCTION("""COMPUTED_VALUE"""),"Database-related issue, Network issue, Performance issue, Security issue, Program anomaly issue")</f>
        <v>Database-related issue, Network issue, Performance issue, Security issue, Program anomaly issue</v>
      </c>
      <c r="C351" s="52"/>
      <c r="D351" s="52" t="str">
        <f>IFERROR(__xludf.DUMMYFUNCTION("""COMPUTED_VALUE"""),"where::is::the::bug")</f>
        <v>where::is::the::bug</v>
      </c>
      <c r="E351" s="52"/>
      <c r="F351" s="52" t="str">
        <f>IFERROR(__xludf.DUMMYFUNCTION("""COMPUTED_VALUE"""),"requesting::feature::freeze::exception::for::BP/feature::include::bug")</f>
        <v>requesting::feature::freeze::exception::for::BP/feature::include::bug</v>
      </c>
      <c r="G351" s="52"/>
      <c r="H351" s="52"/>
      <c r="I351" s="52"/>
      <c r="J351" s="52"/>
      <c r="K351" s="52"/>
      <c r="L351" s="52"/>
      <c r="M351" s="52"/>
      <c r="N351" s="52"/>
      <c r="O351" s="52"/>
      <c r="P351" s="52" t="str">
        <f>IFERROR(__xludf.DUMMYFUNCTION("""COMPUTED_VALUE"""),"informing::integration::testing::(to::be::executed)")</f>
        <v>informing::integration::testing::(to::be::executed)</v>
      </c>
      <c r="Q351" s="52"/>
      <c r="R351" s="52"/>
      <c r="S351" s="52"/>
      <c r="T351" s="52"/>
      <c r="U351" s="52"/>
      <c r="V351" s="52"/>
      <c r="W351" s="52"/>
      <c r="X351" s="52"/>
      <c r="Y351" s="52"/>
      <c r="Z351" s="52"/>
    </row>
    <row r="352">
      <c r="A352" s="52"/>
      <c r="B352" s="52" t="str">
        <f>IFERROR(__xludf.DUMMYFUNCTION("""COMPUTED_VALUE"""),"Database-related issue, Network issue, Performance issue, Security issue, Test code-related issue")</f>
        <v>Database-related issue, Network issue, Performance issue, Security issue, Test code-related issue</v>
      </c>
      <c r="C352" s="52"/>
      <c r="D352" s="52" t="str">
        <f>IFERROR(__xludf.DUMMYFUNCTION("""COMPUTED_VALUE"""),"where::was::merged::the::units::of::work")</f>
        <v>where::was::merged::the::units::of::work</v>
      </c>
      <c r="E352" s="52"/>
      <c r="F352" s="52" t="str">
        <f>IFERROR(__xludf.DUMMYFUNCTION("""COMPUTED_VALUE"""),"requesting::feature::freeze::exception::for::BP/feature::include::patch")</f>
        <v>requesting::feature::freeze::exception::for::BP/feature::include::patch</v>
      </c>
      <c r="G352" s="52"/>
      <c r="H352" s="52"/>
      <c r="I352" s="52"/>
      <c r="J352" s="52"/>
      <c r="K352" s="52"/>
      <c r="L352" s="52"/>
      <c r="M352" s="52"/>
      <c r="N352" s="52"/>
      <c r="O352" s="52"/>
      <c r="P352" s="52" t="str">
        <f>IFERROR(__xludf.DUMMYFUNCTION("""COMPUTED_VALUE"""),"informing::issue::approved::(BP)")</f>
        <v>informing::issue::approved::(BP)</v>
      </c>
      <c r="Q352" s="52"/>
      <c r="R352" s="52"/>
      <c r="S352" s="52"/>
      <c r="T352" s="52"/>
      <c r="U352" s="52"/>
      <c r="V352" s="52"/>
      <c r="W352" s="52"/>
      <c r="X352" s="52"/>
      <c r="Y352" s="52"/>
      <c r="Z352" s="52"/>
    </row>
    <row r="353">
      <c r="A353" s="52"/>
      <c r="B353" s="52" t="str">
        <f>IFERROR(__xludf.DUMMYFUNCTION("""COMPUTED_VALUE"""),"Database-related issue, Network issue, Permission/deprecation issue, Program anomaly issue, Test code-related issue")</f>
        <v>Database-related issue, Network issue, Permission/deprecation issue, Program anomaly issue, Test code-related issue</v>
      </c>
      <c r="C353" s="52"/>
      <c r="D353" s="52" t="str">
        <f>IFERROR(__xludf.DUMMYFUNCTION("""COMPUTED_VALUE"""),"why::BP/feature::is::required")</f>
        <v>why::BP/feature::is::required</v>
      </c>
      <c r="E353" s="52"/>
      <c r="F353" s="52" t="str">
        <f>IFERROR(__xludf.DUMMYFUNCTION("""COMPUTED_VALUE"""),"requesting::feature::freeze::exception::for::BP/feature/patch::include::bug")</f>
        <v>requesting::feature::freeze::exception::for::BP/feature/patch::include::bug</v>
      </c>
      <c r="G353" s="52"/>
      <c r="H353" s="52"/>
      <c r="I353" s="52"/>
      <c r="J353" s="52"/>
      <c r="K353" s="52"/>
      <c r="L353" s="52"/>
      <c r="M353" s="52"/>
      <c r="N353" s="52"/>
      <c r="O353" s="52"/>
      <c r="P353" s="52" t="str">
        <f>IFERROR(__xludf.DUMMYFUNCTION("""COMPUTED_VALUE"""),"informing::left::comments")</f>
        <v>informing::left::comments</v>
      </c>
      <c r="Q353" s="52"/>
      <c r="R353" s="52"/>
      <c r="S353" s="52"/>
      <c r="T353" s="52"/>
      <c r="U353" s="52"/>
      <c r="V353" s="52"/>
      <c r="W353" s="52"/>
      <c r="X353" s="52"/>
      <c r="Y353" s="52"/>
      <c r="Z353" s="52"/>
    </row>
    <row r="354">
      <c r="A354" s="52"/>
      <c r="B354" s="52" t="str">
        <f>IFERROR(__xludf.DUMMYFUNCTION("""COMPUTED_VALUE"""),"Database-related issue, Network issue, Permission/deprecation issue, Security issue, Program anomaly issue")</f>
        <v>Database-related issue, Network issue, Permission/deprecation issue, Security issue, Program anomaly issue</v>
      </c>
      <c r="C354" s="52"/>
      <c r="D354" s="52" t="str">
        <f>IFERROR(__xludf.DUMMYFUNCTION("""COMPUTED_VALUE"""),"why::change::is::required")</f>
        <v>why::change::is::required</v>
      </c>
      <c r="E354" s="52"/>
      <c r="F354" s="52" t="str">
        <f>IFERROR(__xludf.DUMMYFUNCTION("""COMPUTED_VALUE"""),"requesting::feature::freeze::exception::for::revire::to::include::BP/feature")</f>
        <v>requesting::feature::freeze::exception::for::revire::to::include::BP/feature</v>
      </c>
      <c r="G354" s="52"/>
      <c r="H354" s="52"/>
      <c r="I354" s="52"/>
      <c r="J354" s="52"/>
      <c r="K354" s="52"/>
      <c r="L354" s="52"/>
      <c r="M354" s="52"/>
      <c r="N354" s="52"/>
      <c r="O354" s="52"/>
      <c r="P354" s="52" t="str">
        <f>IFERROR(__xludf.DUMMYFUNCTION("""COMPUTED_VALUE"""),"informing::left::inline::comments")</f>
        <v>informing::left::inline::comments</v>
      </c>
      <c r="Q354" s="52"/>
      <c r="R354" s="52"/>
      <c r="S354" s="52"/>
      <c r="T354" s="52"/>
      <c r="U354" s="52"/>
      <c r="V354" s="52"/>
      <c r="W354" s="52"/>
      <c r="X354" s="52"/>
      <c r="Y354" s="52"/>
      <c r="Z354" s="52"/>
    </row>
    <row r="355">
      <c r="A355" s="52"/>
      <c r="B355" s="52" t="str">
        <f>IFERROR(__xludf.DUMMYFUNCTION("""COMPUTED_VALUE"""),"Database-related issue, Network issue, Permission/deprecation issue, Security issue, Test code-related issue")</f>
        <v>Database-related issue, Network issue, Permission/deprecation issue, Security issue, Test code-related issue</v>
      </c>
      <c r="C355" s="52"/>
      <c r="D355" s="52" t="str">
        <f>IFERROR(__xludf.DUMMYFUNCTION("""COMPUTED_VALUE"""),"why::feature::is::required")</f>
        <v>why::feature::is::required</v>
      </c>
      <c r="E355" s="52"/>
      <c r="F355" s="52" t="str">
        <f>IFERROR(__xludf.DUMMYFUNCTION("""COMPUTED_VALUE"""),"requesting::information::(development::progress)")</f>
        <v>requesting::information::(development::progress)</v>
      </c>
      <c r="G355" s="52"/>
      <c r="H355" s="52"/>
      <c r="I355" s="52"/>
      <c r="J355" s="52"/>
      <c r="K355" s="52"/>
      <c r="L355" s="52"/>
      <c r="M355" s="52"/>
      <c r="N355" s="52"/>
      <c r="O355" s="52"/>
      <c r="P355" s="52" t="str">
        <f>IFERROR(__xludf.DUMMYFUNCTION("""COMPUTED_VALUE"""),"informing::lgtm")</f>
        <v>informing::lgtm</v>
      </c>
      <c r="Q355" s="52"/>
      <c r="R355" s="52"/>
      <c r="S355" s="52"/>
      <c r="T355" s="52"/>
      <c r="U355" s="52"/>
      <c r="V355" s="52"/>
      <c r="W355" s="52"/>
      <c r="X355" s="52"/>
      <c r="Y355" s="52"/>
      <c r="Z355" s="52"/>
    </row>
    <row r="356">
      <c r="A356" s="52"/>
      <c r="B356" s="52" t="str">
        <f>IFERROR(__xludf.DUMMYFUNCTION("""COMPUTED_VALUE"""),"Database-related issue, Network issue, Security issue, Program anomaly issue, Test code-related issue")</f>
        <v>Database-related issue, Network issue, Security issue, Program anomaly issue, Test code-related issue</v>
      </c>
      <c r="C356" s="52"/>
      <c r="D356" s="52" t="str">
        <f>IFERROR(__xludf.DUMMYFUNCTION("""COMPUTED_VALUE"""),"wrong::linking::between::review::commit2::and::bug")</f>
        <v>wrong::linking::between::review::commit2::and::bug</v>
      </c>
      <c r="E356" s="52"/>
      <c r="F356" s="52" t="str">
        <f>IFERROR(__xludf.DUMMYFUNCTION("""COMPUTED_VALUE"""),"requesting::investigation::(specific::failures)")</f>
        <v>requesting::investigation::(specific::failures)</v>
      </c>
      <c r="G356" s="52"/>
      <c r="H356" s="52"/>
      <c r="I356" s="52"/>
      <c r="J356" s="52"/>
      <c r="K356" s="52"/>
      <c r="L356" s="52"/>
      <c r="M356" s="52"/>
      <c r="N356" s="52"/>
      <c r="O356" s="52"/>
      <c r="P356" s="52" t="str">
        <f>IFERROR(__xludf.DUMMYFUNCTION("""COMPUTED_VALUE"""),"informing::lgtm::(+1)")</f>
        <v>informing::lgtm::(+1)</v>
      </c>
      <c r="Q356" s="52"/>
      <c r="R356" s="52"/>
      <c r="S356" s="52"/>
      <c r="T356" s="52"/>
      <c r="U356" s="52"/>
      <c r="V356" s="52"/>
      <c r="W356" s="52"/>
      <c r="X356" s="52"/>
      <c r="Y356" s="52"/>
      <c r="Z356" s="52"/>
    </row>
    <row r="357">
      <c r="A357" s="52"/>
      <c r="B357" s="52" t="str">
        <f>IFERROR(__xludf.DUMMYFUNCTION("""COMPUTED_VALUE"""),"Database-related issue, Performance issue, Permission/deprecation issue, Program anomaly issue, Test code-related issue")</f>
        <v>Database-related issue, Performance issue, Permission/deprecation issue, Program anomaly issue, Test code-related issue</v>
      </c>
      <c r="C357" s="52"/>
      <c r="D357" s="52" t="str">
        <f>IFERROR(__xludf.DUMMYFUNCTION("""COMPUTED_VALUE"""),"x")</f>
        <v>x</v>
      </c>
      <c r="E357" s="52"/>
      <c r="F357" s="52" t="str">
        <f>IFERROR(__xludf.DUMMYFUNCTION("""COMPUTED_VALUE"""),"requesting::removing::negative::votes::in::bugs")</f>
        <v>requesting::removing::negative::votes::in::bugs</v>
      </c>
      <c r="G357" s="52"/>
      <c r="H357" s="52"/>
      <c r="I357" s="52"/>
      <c r="J357" s="52"/>
      <c r="K357" s="52"/>
      <c r="L357" s="52"/>
      <c r="M357" s="52"/>
      <c r="N357" s="52"/>
      <c r="O357" s="52"/>
      <c r="P357" s="52" t="str">
        <f>IFERROR(__xludf.DUMMYFUNCTION("""COMPUTED_VALUE"""),"informing::lost::in::squash")</f>
        <v>informing::lost::in::squash</v>
      </c>
      <c r="Q357" s="52"/>
      <c r="R357" s="52"/>
      <c r="S357" s="52"/>
      <c r="T357" s="52"/>
      <c r="U357" s="52"/>
      <c r="V357" s="52"/>
      <c r="W357" s="52"/>
      <c r="X357" s="52"/>
      <c r="Y357" s="52"/>
      <c r="Z357" s="52"/>
    </row>
    <row r="358">
      <c r="A358" s="52"/>
      <c r="B358" s="52" t="str">
        <f>IFERROR(__xludf.DUMMYFUNCTION("""COMPUTED_VALUE"""),"Database-related issue, Performance issue, Permission/deprecation issue, Security issue, Program anomaly issue")</f>
        <v>Database-related issue, Performance issue, Permission/deprecation issue, Security issue, Program anomaly issue</v>
      </c>
      <c r="C358" s="52"/>
      <c r="D358" s="52"/>
      <c r="E358" s="52"/>
      <c r="F358" s="52" t="str">
        <f>IFERROR(__xludf.DUMMYFUNCTION("""COMPUTED_VALUE"""),"requesting::review")</f>
        <v>requesting::review</v>
      </c>
      <c r="G358" s="52"/>
      <c r="H358" s="52"/>
      <c r="I358" s="52"/>
      <c r="J358" s="52"/>
      <c r="K358" s="52"/>
      <c r="L358" s="52"/>
      <c r="M358" s="52"/>
      <c r="N358" s="52"/>
      <c r="O358" s="52"/>
      <c r="P358" s="52" t="str">
        <f>IFERROR(__xludf.DUMMYFUNCTION("""COMPUTED_VALUE"""),"informing::lost::progress::(code::gone)")</f>
        <v>informing::lost::progress::(code::gone)</v>
      </c>
      <c r="Q358" s="52"/>
      <c r="R358" s="52"/>
      <c r="S358" s="52"/>
      <c r="T358" s="52"/>
      <c r="U358" s="52"/>
      <c r="V358" s="52"/>
      <c r="W358" s="52"/>
      <c r="X358" s="52"/>
      <c r="Y358" s="52"/>
      <c r="Z358" s="52"/>
    </row>
    <row r="359">
      <c r="A359" s="52"/>
      <c r="B359" s="52" t="str">
        <f>IFERROR(__xludf.DUMMYFUNCTION("""COMPUTED_VALUE"""),"Database-related issue, Performance issue, Permission/deprecation issue, Security issue, Test code-related issue")</f>
        <v>Database-related issue, Performance issue, Permission/deprecation issue, Security issue, Test code-related issue</v>
      </c>
      <c r="C359" s="52"/>
      <c r="D359" s="52"/>
      <c r="E359" s="52"/>
      <c r="F359" s="52" t="str">
        <f>IFERROR(__xludf.DUMMYFUNCTION("""COMPUTED_VALUE"""),"requesting::temporary::fix")</f>
        <v>requesting::temporary::fix</v>
      </c>
      <c r="G359" s="52"/>
      <c r="H359" s="52"/>
      <c r="I359" s="52"/>
      <c r="J359" s="52"/>
      <c r="K359" s="52"/>
      <c r="L359" s="52"/>
      <c r="M359" s="52"/>
      <c r="N359" s="52"/>
      <c r="O359" s="52"/>
      <c r="P359" s="52" t="str">
        <f>IFERROR(__xludf.DUMMYFUNCTION("""COMPUTED_VALUE"""),"informing::migration::clash")</f>
        <v>informing::migration::clash</v>
      </c>
      <c r="Q359" s="52"/>
      <c r="R359" s="52"/>
      <c r="S359" s="52"/>
      <c r="T359" s="52"/>
      <c r="U359" s="52"/>
      <c r="V359" s="52"/>
      <c r="W359" s="52"/>
      <c r="X359" s="52"/>
      <c r="Y359" s="52"/>
      <c r="Z359" s="52"/>
    </row>
    <row r="360">
      <c r="A360" s="52"/>
      <c r="B360" s="52" t="str">
        <f>IFERROR(__xludf.DUMMYFUNCTION("""COMPUTED_VALUE"""),"Database-related issue, Performance issue, Security issue, Program anomaly issue, Test code-related issue")</f>
        <v>Database-related issue, Performance issue, Security issue, Program anomaly issue, Test code-related issue</v>
      </c>
      <c r="C360" s="52"/>
      <c r="D360" s="52"/>
      <c r="E360" s="52"/>
      <c r="F360" s="52" t="str">
        <f>IFERROR(__xludf.DUMMYFUNCTION("""COMPUTED_VALUE"""),"requesting::update::develpment::process::(agenda::meeting)::if::needed")</f>
        <v>requesting::update::develpment::process::(agenda::meeting)::if::needed</v>
      </c>
      <c r="G360" s="52"/>
      <c r="H360" s="52"/>
      <c r="I360" s="52"/>
      <c r="J360" s="52"/>
      <c r="K360" s="52"/>
      <c r="L360" s="52"/>
      <c r="M360" s="52"/>
      <c r="N360" s="52"/>
      <c r="O360" s="52"/>
      <c r="P360" s="52" t="str">
        <f>IFERROR(__xludf.DUMMYFUNCTION("""COMPUTED_VALUE"""),"informing::multiple:.times::that::there::are::no::bugs::after::build::failures")</f>
        <v>informing::multiple:.times::that::there::are::no::bugs::after::build::failures</v>
      </c>
      <c r="Q360" s="52"/>
      <c r="R360" s="52"/>
      <c r="S360" s="52"/>
      <c r="T360" s="52"/>
      <c r="U360" s="52"/>
      <c r="V360" s="52"/>
      <c r="W360" s="52"/>
      <c r="X360" s="52"/>
      <c r="Y360" s="52"/>
      <c r="Z360" s="52"/>
    </row>
    <row r="361">
      <c r="A361" s="52"/>
      <c r="B361" s="52" t="str">
        <f>IFERROR(__xludf.DUMMYFUNCTION("""COMPUTED_VALUE"""),"Database-related issue, Permission/deprecation issue, Security issue, Program anomaly issue, Test code-related issue")</f>
        <v>Database-related issue, Permission/deprecation issue, Security issue, Program anomaly issue, Test code-related issue</v>
      </c>
      <c r="C361" s="52"/>
      <c r="D361" s="52"/>
      <c r="E361" s="52"/>
      <c r="F361" s="52" t="str">
        <f>IFERROR(__xludf.DUMMYFUNCTION("""COMPUTED_VALUE"""),"requesting::update::develpment::process::(BP)::if::needed")</f>
        <v>requesting::update::develpment::process::(BP)::if::needed</v>
      </c>
      <c r="G361" s="52"/>
      <c r="H361" s="52"/>
      <c r="I361" s="52"/>
      <c r="J361" s="52"/>
      <c r="K361" s="52"/>
      <c r="L361" s="52"/>
      <c r="M361" s="52"/>
      <c r="N361" s="52"/>
      <c r="O361" s="52"/>
      <c r="P361" s="52" t="str">
        <f>IFERROR(__xludf.DUMMYFUNCTION("""COMPUTED_VALUE"""),"informing::new::PR::with::different::target::branch")</f>
        <v>informing::new::PR::with::different::target::branch</v>
      </c>
      <c r="Q361" s="52"/>
      <c r="R361" s="52"/>
      <c r="S361" s="52"/>
      <c r="T361" s="52"/>
      <c r="U361" s="52"/>
      <c r="V361" s="52"/>
      <c r="W361" s="52"/>
      <c r="X361" s="52"/>
      <c r="Y361" s="52"/>
      <c r="Z361" s="52"/>
    </row>
    <row r="362">
      <c r="A362" s="52"/>
      <c r="B362" s="52" t="str">
        <f>IFERROR(__xludf.DUMMYFUNCTION("""COMPUTED_VALUE"""),"GUI-related issue, Network issue, Performance issue, Permission/deprecation issue, Program anomaly issue")</f>
        <v>GUI-related issue, Network issue, Performance issue, Permission/deprecation issue, Program anomaly issue</v>
      </c>
      <c r="C362" s="52"/>
      <c r="D362" s="52"/>
      <c r="E362" s="52"/>
      <c r="F362" s="52" t="str">
        <f>IFERROR(__xludf.DUMMYFUNCTION("""COMPUTED_VALUE"""),"results::of::a::previous::meeting::BP/feature")</f>
        <v>results::of::a::previous::meeting::BP/feature</v>
      </c>
      <c r="G362" s="52"/>
      <c r="H362" s="52"/>
      <c r="I362" s="52"/>
      <c r="J362" s="52"/>
      <c r="K362" s="52"/>
      <c r="L362" s="52"/>
      <c r="M362" s="52"/>
      <c r="N362" s="52"/>
      <c r="O362" s="52"/>
      <c r="P362" s="52" t="str">
        <f>IFERROR(__xludf.DUMMYFUNCTION("""COMPUTED_VALUE"""),"informing::passed::error::unit::test")</f>
        <v>informing::passed::error::unit::test</v>
      </c>
      <c r="Q362" s="52"/>
      <c r="R362" s="52"/>
      <c r="S362" s="52"/>
      <c r="T362" s="52"/>
      <c r="U362" s="52"/>
      <c r="V362" s="52"/>
      <c r="W362" s="52"/>
      <c r="X362" s="52"/>
      <c r="Y362" s="52"/>
      <c r="Z362" s="52"/>
    </row>
    <row r="363">
      <c r="A363" s="52"/>
      <c r="B363" s="52" t="str">
        <f>IFERROR(__xludf.DUMMYFUNCTION("""COMPUTED_VALUE"""),"GUI-related issue, Network issue, Performance issue, Permission/deprecation issue, Security issue")</f>
        <v>GUI-related issue, Network issue, Performance issue, Permission/deprecation issue, Security issue</v>
      </c>
      <c r="C363" s="52"/>
      <c r="D363" s="52"/>
      <c r="E363" s="52"/>
      <c r="F363" s="52" t="str">
        <f>IFERROR(__xludf.DUMMYFUNCTION("""COMPUTED_VALUE"""),"results::of::a::previous::meeting::other")</f>
        <v>results::of::a::previous::meeting::other</v>
      </c>
      <c r="G363" s="52"/>
      <c r="H363" s="52"/>
      <c r="I363" s="52"/>
      <c r="J363" s="52"/>
      <c r="K363" s="52"/>
      <c r="L363" s="52"/>
      <c r="M363" s="52"/>
      <c r="N363" s="52"/>
      <c r="O363" s="52"/>
      <c r="P363" s="52" t="str">
        <f>IFERROR(__xludf.DUMMYFUNCTION("""COMPUTED_VALUE"""),"informing::possible::bug")</f>
        <v>informing::possible::bug</v>
      </c>
      <c r="Q363" s="52"/>
      <c r="R363" s="52"/>
      <c r="S363" s="52"/>
      <c r="T363" s="52"/>
      <c r="U363" s="52"/>
      <c r="V363" s="52"/>
      <c r="W363" s="52"/>
      <c r="X363" s="52"/>
      <c r="Y363" s="52"/>
      <c r="Z363" s="52"/>
    </row>
    <row r="364">
      <c r="A364" s="52"/>
      <c r="B364" s="52" t="str">
        <f>IFERROR(__xludf.DUMMYFUNCTION("""COMPUTED_VALUE"""),"GUI-related issue, Network issue, Performance issue, Permission/deprecation issue, Test code-related issue")</f>
        <v>GUI-related issue, Network issue, Performance issue, Permission/deprecation issue, Test code-related issue</v>
      </c>
      <c r="C364" s="52"/>
      <c r="D364" s="52"/>
      <c r="E364" s="52"/>
      <c r="F364" s="52" t="str">
        <f>IFERROR(__xludf.DUMMYFUNCTION("""COMPUTED_VALUE"""),"security::issues")</f>
        <v>security::issues</v>
      </c>
      <c r="G364" s="52"/>
      <c r="H364" s="52"/>
      <c r="I364" s="52"/>
      <c r="J364" s="52"/>
      <c r="K364" s="52"/>
      <c r="L364" s="52"/>
      <c r="M364" s="52"/>
      <c r="N364" s="52"/>
      <c r="O364" s="52"/>
      <c r="P364" s="52" t="str">
        <f>IFERROR(__xludf.DUMMYFUNCTION("""COMPUTED_VALUE"""),"informing::preference::(changes::in::own/new::patch)")</f>
        <v>informing::preference::(changes::in::own/new::patch)</v>
      </c>
      <c r="Q364" s="52"/>
      <c r="R364" s="52"/>
      <c r="S364" s="52"/>
      <c r="T364" s="52"/>
      <c r="U364" s="52"/>
      <c r="V364" s="52"/>
      <c r="W364" s="52"/>
      <c r="X364" s="52"/>
      <c r="Y364" s="52"/>
      <c r="Z364" s="52"/>
    </row>
    <row r="365">
      <c r="A365" s="52"/>
      <c r="B365" s="52" t="str">
        <f>IFERROR(__xludf.DUMMYFUNCTION("""COMPUTED_VALUE"""),"GUI-related issue, Network issue, Performance issue, Program anomaly issue, Test code-related issue")</f>
        <v>GUI-related issue, Network issue, Performance issue, Program anomaly issue, Test code-related issue</v>
      </c>
      <c r="C365" s="52"/>
      <c r="D365" s="52"/>
      <c r="E365" s="52"/>
      <c r="F365" s="52" t="str">
        <f>IFERROR(__xludf.DUMMYFUNCTION("""COMPUTED_VALUE"""),"setting::deadline::to::approve::a::review")</f>
        <v>setting::deadline::to::approve::a::review</v>
      </c>
      <c r="G365" s="52"/>
      <c r="H365" s="52"/>
      <c r="I365" s="52"/>
      <c r="J365" s="52"/>
      <c r="K365" s="52"/>
      <c r="L365" s="52"/>
      <c r="M365" s="52"/>
      <c r="N365" s="52"/>
      <c r="O365" s="52"/>
      <c r="P365" s="52" t="str">
        <f>IFERROR(__xludf.DUMMYFUNCTION("""COMPUTED_VALUE"""),"informing::ready::for::review")</f>
        <v>informing::ready::for::review</v>
      </c>
      <c r="Q365" s="52"/>
      <c r="R365" s="52"/>
      <c r="S365" s="52"/>
      <c r="T365" s="52"/>
      <c r="U365" s="52"/>
      <c r="V365" s="52"/>
      <c r="W365" s="52"/>
      <c r="X365" s="52"/>
      <c r="Y365" s="52"/>
      <c r="Z365" s="52"/>
    </row>
    <row r="366">
      <c r="A366" s="52"/>
      <c r="B366" s="52" t="str">
        <f>IFERROR(__xludf.DUMMYFUNCTION("""COMPUTED_VALUE"""),"GUI-related issue, Network issue, Performance issue, Security issue, Program anomaly issue")</f>
        <v>GUI-related issue, Network issue, Performance issue, Security issue, Program anomaly issue</v>
      </c>
      <c r="C366" s="52"/>
      <c r="D366" s="52"/>
      <c r="E366" s="52"/>
      <c r="F366" s="52" t="str">
        <f>IFERROR(__xludf.DUMMYFUNCTION("""COMPUTED_VALUE"""),"sharing::ideas::for::implementation")</f>
        <v>sharing::ideas::for::implementation</v>
      </c>
      <c r="G366" s="52"/>
      <c r="H366" s="52"/>
      <c r="I366" s="52"/>
      <c r="J366" s="52"/>
      <c r="K366" s="52"/>
      <c r="L366" s="52"/>
      <c r="M366" s="52"/>
      <c r="N366" s="52"/>
      <c r="O366" s="52"/>
      <c r="P366" s="52" t="str">
        <f>IFERROR(__xludf.DUMMYFUNCTION("""COMPUTED_VALUE"""),"informing::reason::error::unit::test")</f>
        <v>informing::reason::error::unit::test</v>
      </c>
      <c r="Q366" s="52"/>
      <c r="R366" s="52"/>
      <c r="S366" s="52"/>
      <c r="T366" s="52"/>
      <c r="U366" s="52"/>
      <c r="V366" s="52"/>
      <c r="W366" s="52"/>
      <c r="X366" s="52"/>
      <c r="Y366" s="52"/>
      <c r="Z366" s="52"/>
    </row>
    <row r="367">
      <c r="A367" s="52"/>
      <c r="B367" s="52" t="str">
        <f>IFERROR(__xludf.DUMMYFUNCTION("""COMPUTED_VALUE"""),"GUI-related issue, Network issue, Performance issue, Security issue, Test code-related issue")</f>
        <v>GUI-related issue, Network issue, Performance issue, Security issue, Test code-related issue</v>
      </c>
      <c r="C367" s="52"/>
      <c r="D367" s="52"/>
      <c r="E367" s="52"/>
      <c r="F367" s="52" t="str">
        <f>IFERROR(__xludf.DUMMYFUNCTION("""COMPUTED_VALUE"""),"solution::for::the::responsabilities::left::of::by::other::developers::(bug/BP/feature::related)")</f>
        <v>solution::for::the::responsabilities::left::of::by::other::developers::(bug/BP/feature::related)</v>
      </c>
      <c r="G367" s="52"/>
      <c r="H367" s="52"/>
      <c r="I367" s="52"/>
      <c r="J367" s="52"/>
      <c r="K367" s="52"/>
      <c r="L367" s="52"/>
      <c r="M367" s="52"/>
      <c r="N367" s="52"/>
      <c r="O367" s="52"/>
      <c r="P367" s="52" t="str">
        <f>IFERROR(__xludf.DUMMYFUNCTION("""COMPUTED_VALUE"""),"informing::reason::failure")</f>
        <v>informing::reason::failure</v>
      </c>
      <c r="Q367" s="52"/>
      <c r="R367" s="52"/>
      <c r="S367" s="52"/>
      <c r="T367" s="52"/>
      <c r="U367" s="52"/>
      <c r="V367" s="52"/>
      <c r="W367" s="52"/>
      <c r="X367" s="52"/>
      <c r="Y367" s="52"/>
      <c r="Z367" s="52"/>
    </row>
    <row r="368">
      <c r="A368" s="52"/>
      <c r="B368" s="52" t="str">
        <f>IFERROR(__xludf.DUMMYFUNCTION("""COMPUTED_VALUE"""),"GUI-related issue, Network issue, Permission/deprecation issue, Program anomaly issue, Test code-related issue")</f>
        <v>GUI-related issue, Network issue, Permission/deprecation issue, Program anomaly issue, Test code-related issue</v>
      </c>
      <c r="C368" s="52"/>
      <c r="D368" s="52"/>
      <c r="E368" s="52"/>
      <c r="F368" s="52" t="str">
        <f>IFERROR(__xludf.DUMMYFUNCTION("""COMPUTED_VALUE"""),"specification::of::the::build::system::used::for::doing::the::BP")</f>
        <v>specification::of::the::build::system::used::for::doing::the::BP</v>
      </c>
      <c r="G368" s="52"/>
      <c r="H368" s="52"/>
      <c r="I368" s="52"/>
      <c r="J368" s="52"/>
      <c r="K368" s="52"/>
      <c r="L368" s="52"/>
      <c r="M368" s="52"/>
      <c r="N368" s="52"/>
      <c r="O368" s="52"/>
      <c r="P368" s="52" t="str">
        <f>IFERROR(__xludf.DUMMYFUNCTION("""COMPUTED_VALUE"""),"informing::reason::failure::(context:.related::(where::it::runs)::)")</f>
        <v>informing::reason::failure::(context:.related::(where::it::runs)::)</v>
      </c>
      <c r="Q368" s="52"/>
      <c r="R368" s="52"/>
      <c r="S368" s="52"/>
      <c r="T368" s="52"/>
      <c r="U368" s="52"/>
      <c r="V368" s="52"/>
      <c r="W368" s="52"/>
      <c r="X368" s="52"/>
      <c r="Y368" s="52"/>
      <c r="Z368" s="52"/>
    </row>
    <row r="369">
      <c r="A369" s="52"/>
      <c r="B369" s="52" t="str">
        <f>IFERROR(__xludf.DUMMYFUNCTION("""COMPUTED_VALUE"""),"GUI-related issue, Network issue, Permission/deprecation issue, Security issue, Program anomaly issue")</f>
        <v>GUI-related issue, Network issue, Permission/deprecation issue, Security issue, Program anomaly issue</v>
      </c>
      <c r="C369" s="52"/>
      <c r="D369" s="52"/>
      <c r="E369" s="52"/>
      <c r="F369" s="52" t="str">
        <f>IFERROR(__xludf.DUMMYFUNCTION("""COMPUTED_VALUE"""),"splitting::the::changes::into::specific::BP::(The::current::bp::related)")</f>
        <v>splitting::the::changes::into::specific::BP::(The::current::bp::related)</v>
      </c>
      <c r="G369" s="52"/>
      <c r="H369" s="52"/>
      <c r="I369" s="52"/>
      <c r="J369" s="52"/>
      <c r="K369" s="52"/>
      <c r="L369" s="52"/>
      <c r="M369" s="52"/>
      <c r="N369" s="52"/>
      <c r="O369" s="52"/>
      <c r="P369" s="52" t="str">
        <f>IFERROR(__xludf.DUMMYFUNCTION("""COMPUTED_VALUE"""),"informing::rebase")</f>
        <v>informing::rebase</v>
      </c>
      <c r="Q369" s="52"/>
      <c r="R369" s="52"/>
      <c r="S369" s="52"/>
      <c r="T369" s="52"/>
      <c r="U369" s="52"/>
      <c r="V369" s="52"/>
      <c r="W369" s="52"/>
      <c r="X369" s="52"/>
      <c r="Y369" s="52"/>
      <c r="Z369" s="52"/>
    </row>
    <row r="370">
      <c r="A370" s="52"/>
      <c r="B370" s="52" t="str">
        <f>IFERROR(__xludf.DUMMYFUNCTION("""COMPUTED_VALUE"""),"GUI-related issue, Network issue, Permission/deprecation issue, Security issue, Test code-related issue")</f>
        <v>GUI-related issue, Network issue, Permission/deprecation issue, Security issue, Test code-related issue</v>
      </c>
      <c r="C370" s="52"/>
      <c r="D370" s="52"/>
      <c r="E370" s="52"/>
      <c r="F370" s="52" t="str">
        <f>IFERROR(__xludf.DUMMYFUNCTION("""COMPUTED_VALUE"""),"steps::needed::before::executing::the::level::up::of::feature")</f>
        <v>steps::needed::before::executing::the::level::up::of::feature</v>
      </c>
      <c r="G370" s="52"/>
      <c r="H370" s="52"/>
      <c r="I370" s="52"/>
      <c r="J370" s="52"/>
      <c r="K370" s="52"/>
      <c r="L370" s="52"/>
      <c r="M370" s="52"/>
      <c r="N370" s="52"/>
      <c r="O370" s="52"/>
      <c r="P370" s="52" t="str">
        <f>IFERROR(__xludf.DUMMYFUNCTION("""COMPUTED_VALUE"""),"informing::rebase2")</f>
        <v>informing::rebase2</v>
      </c>
      <c r="Q370" s="52"/>
      <c r="R370" s="52"/>
      <c r="S370" s="52"/>
      <c r="T370" s="52"/>
      <c r="U370" s="52"/>
      <c r="V370" s="52"/>
      <c r="W370" s="52"/>
      <c r="X370" s="52"/>
      <c r="Y370" s="52"/>
      <c r="Z370" s="52"/>
    </row>
    <row r="371">
      <c r="A371" s="52"/>
      <c r="B371" s="52" t="str">
        <f>IFERROR(__xludf.DUMMYFUNCTION("""COMPUTED_VALUE"""),"GUI-related issue, Network issue, Security issue, Program anomaly issue, Test code-related issue")</f>
        <v>GUI-related issue, Network issue, Security issue, Program anomaly issue, Test code-related issue</v>
      </c>
      <c r="C371" s="52"/>
      <c r="D371" s="52"/>
      <c r="E371" s="52"/>
      <c r="F371" s="52" t="str">
        <f>IFERROR(__xludf.DUMMYFUNCTION("""COMPUTED_VALUE"""),"suggesting::development::process::(split::changes::into::smaller::pieces)::for::summit")</f>
        <v>suggesting::development::process::(split::changes::into::smaller::pieces)::for::summit</v>
      </c>
      <c r="G371" s="52"/>
      <c r="H371" s="52"/>
      <c r="I371" s="52"/>
      <c r="J371" s="52"/>
      <c r="K371" s="52"/>
      <c r="L371" s="52"/>
      <c r="M371" s="52"/>
      <c r="N371" s="52"/>
      <c r="O371" s="52"/>
      <c r="P371" s="52" t="str">
        <f>IFERROR(__xludf.DUMMYFUNCTION("""COMPUTED_VALUE"""),"informing::rebase3")</f>
        <v>informing::rebase3</v>
      </c>
      <c r="Q371" s="52"/>
      <c r="R371" s="52"/>
      <c r="S371" s="52"/>
      <c r="T371" s="52"/>
      <c r="U371" s="52"/>
      <c r="V371" s="52"/>
      <c r="W371" s="52"/>
      <c r="X371" s="52"/>
      <c r="Y371" s="52"/>
      <c r="Z371" s="52"/>
    </row>
    <row r="372">
      <c r="A372" s="52"/>
      <c r="B372" s="52" t="str">
        <f>IFERROR(__xludf.DUMMYFUNCTION("""COMPUTED_VALUE"""),"GUI-related issue, Performance issue, Permission/deprecation issue, Program anomaly issue, Test code-related issue")</f>
        <v>GUI-related issue, Performance issue, Permission/deprecation issue, Program anomaly issue, Test code-related issue</v>
      </c>
      <c r="C372" s="52"/>
      <c r="D372" s="52"/>
      <c r="E372" s="52"/>
      <c r="F372" s="52" t="str">
        <f>IFERROR(__xludf.DUMMYFUNCTION("""COMPUTED_VALUE"""),"suggesting::discussing::topic::in::meeting")</f>
        <v>suggesting::discussing::topic::in::meeting</v>
      </c>
      <c r="G372" s="52"/>
      <c r="H372" s="52"/>
      <c r="I372" s="52"/>
      <c r="J372" s="52"/>
      <c r="K372" s="52"/>
      <c r="L372" s="52"/>
      <c r="M372" s="52"/>
      <c r="N372" s="52"/>
      <c r="O372" s="52"/>
      <c r="P372" s="52" t="str">
        <f>IFERROR(__xludf.DUMMYFUNCTION("""COMPUTED_VALUE"""),"informing::rebase4")</f>
        <v>informing::rebase4</v>
      </c>
      <c r="Q372" s="52"/>
      <c r="R372" s="52"/>
      <c r="S372" s="52"/>
      <c r="T372" s="52"/>
      <c r="U372" s="52"/>
      <c r="V372" s="52"/>
      <c r="W372" s="52"/>
      <c r="X372" s="52"/>
      <c r="Y372" s="52"/>
      <c r="Z372" s="52"/>
    </row>
    <row r="373">
      <c r="A373" s="52"/>
      <c r="B373" s="52" t="str">
        <f>IFERROR(__xludf.DUMMYFUNCTION("""COMPUTED_VALUE"""),"GUI-related issue, Performance issue, Permission/deprecation issue, Security issue, Program anomaly issue")</f>
        <v>GUI-related issue, Performance issue, Permission/deprecation issue, Security issue, Program anomaly issue</v>
      </c>
      <c r="C373" s="52"/>
      <c r="D373" s="52"/>
      <c r="E373" s="52"/>
      <c r="F373" s="52" t="str">
        <f>IFERROR(__xludf.DUMMYFUNCTION("""COMPUTED_VALUE"""),"suggesting::discussing::topic::online")</f>
        <v>suggesting::discussing::topic::online</v>
      </c>
      <c r="G373" s="52"/>
      <c r="H373" s="52"/>
      <c r="I373" s="52"/>
      <c r="J373" s="52"/>
      <c r="K373" s="52"/>
      <c r="L373" s="52"/>
      <c r="M373" s="52"/>
      <c r="N373" s="52"/>
      <c r="O373" s="52"/>
      <c r="P373" s="52" t="str">
        <f>IFERROR(__xludf.DUMMYFUNCTION("""COMPUTED_VALUE"""),"informing::recheck")</f>
        <v>informing::recheck</v>
      </c>
      <c r="Q373" s="52"/>
      <c r="R373" s="52"/>
      <c r="S373" s="52"/>
      <c r="T373" s="52"/>
      <c r="U373" s="52"/>
      <c r="V373" s="52"/>
      <c r="W373" s="52"/>
      <c r="X373" s="52"/>
      <c r="Y373" s="52"/>
      <c r="Z373" s="52"/>
    </row>
    <row r="374">
      <c r="A374" s="52"/>
      <c r="B374" s="52" t="str">
        <f>IFERROR(__xludf.DUMMYFUNCTION("""COMPUTED_VALUE"""),"GUI-related issue, Performance issue, Permission/deprecation issue, Security issue, Test code-related issue")</f>
        <v>GUI-related issue, Performance issue, Permission/deprecation issue, Security issue, Test code-related issue</v>
      </c>
      <c r="C374" s="52"/>
      <c r="D374" s="52"/>
      <c r="E374" s="52"/>
      <c r="F374" s="52" t="str">
        <f>IFERROR(__xludf.DUMMYFUNCTION("""COMPUTED_VALUE"""),"suggestions:.of::improvements::of::the::software::based:.on::new::opportunities:.based::on::changes::needed:.for:.the::bug")</f>
        <v>suggestions:.of::improvements::of::the::software::based:.on::new::opportunities:.based::on::changes::needed:.for:.the::bug</v>
      </c>
      <c r="G374" s="52"/>
      <c r="H374" s="52"/>
      <c r="I374" s="52"/>
      <c r="J374" s="52"/>
      <c r="K374" s="52"/>
      <c r="L374" s="52"/>
      <c r="M374" s="52"/>
      <c r="N374" s="52"/>
      <c r="O374" s="52"/>
      <c r="P374" s="52" t="str">
        <f>IFERROR(__xludf.DUMMYFUNCTION("""COMPUTED_VALUE"""),"informing::recheck::(experimental)")</f>
        <v>informing::recheck::(experimental)</v>
      </c>
      <c r="Q374" s="52"/>
      <c r="R374" s="52"/>
      <c r="S374" s="52"/>
      <c r="T374" s="52"/>
      <c r="U374" s="52"/>
      <c r="V374" s="52"/>
      <c r="W374" s="52"/>
      <c r="X374" s="52"/>
      <c r="Y374" s="52"/>
      <c r="Z374" s="52"/>
    </row>
    <row r="375">
      <c r="A375" s="52"/>
      <c r="B375" s="52" t="str">
        <f>IFERROR(__xludf.DUMMYFUNCTION("""COMPUTED_VALUE"""),"GUI-related issue, Performance issue, Security issue, Program anomaly issue, Test code-related issue")</f>
        <v>GUI-related issue, Performance issue, Security issue, Program anomaly issue, Test code-related issue</v>
      </c>
      <c r="C375" s="52"/>
      <c r="D375" s="52"/>
      <c r="E375" s="52"/>
      <c r="F375" s="52" t="str">
        <f>IFERROR(__xludf.DUMMYFUNCTION("""COMPUTED_VALUE"""),"summary::of::the::design::choices::(in::the::mailing::list)")</f>
        <v>summary::of::the::design::choices::(in::the::mailing::list)</v>
      </c>
      <c r="G375" s="52"/>
      <c r="H375" s="52"/>
      <c r="I375" s="52"/>
      <c r="J375" s="52"/>
      <c r="K375" s="52"/>
      <c r="L375" s="52"/>
      <c r="M375" s="52"/>
      <c r="N375" s="52"/>
      <c r="O375" s="52"/>
      <c r="P375" s="52" t="str">
        <f>IFERROR(__xludf.DUMMYFUNCTION("""COMPUTED_VALUE"""),"informing::recheck::(hyper-v)")</f>
        <v>informing::recheck::(hyper-v)</v>
      </c>
      <c r="Q375" s="52"/>
      <c r="R375" s="52"/>
      <c r="S375" s="52"/>
      <c r="T375" s="52"/>
      <c r="U375" s="52"/>
      <c r="V375" s="52"/>
      <c r="W375" s="52"/>
      <c r="X375" s="52"/>
      <c r="Y375" s="52"/>
      <c r="Z375" s="52"/>
    </row>
    <row r="376">
      <c r="A376" s="52"/>
      <c r="B376" s="52" t="str">
        <f>IFERROR(__xludf.DUMMYFUNCTION("""COMPUTED_VALUE"""),"GUI-related issue, Permission/deprecation issue, Security issue, Program anomaly issue, Test code-related issue")</f>
        <v>GUI-related issue, Permission/deprecation issue, Security issue, Program anomaly issue, Test code-related issue</v>
      </c>
      <c r="C376" s="52"/>
      <c r="D376" s="52"/>
      <c r="E376" s="52"/>
      <c r="F376" s="52" t="str">
        <f>IFERROR(__xludf.DUMMYFUNCTION("""COMPUTED_VALUE"""),"taking::care::of::review::in::related::changes::of::the::project")</f>
        <v>taking::care::of::review::in::related::changes::of::the::project</v>
      </c>
      <c r="G376" s="52"/>
      <c r="H376" s="52"/>
      <c r="I376" s="52"/>
      <c r="J376" s="52"/>
      <c r="K376" s="52"/>
      <c r="L376" s="52"/>
      <c r="M376" s="52"/>
      <c r="N376" s="52"/>
      <c r="O376" s="52"/>
      <c r="P376" s="52" t="str">
        <f>IFERROR(__xludf.DUMMYFUNCTION("""COMPUTED_VALUE"""),"informing::recheck::(migrations)")</f>
        <v>informing::recheck::(migrations)</v>
      </c>
      <c r="Q376" s="52"/>
      <c r="R376" s="52"/>
      <c r="S376" s="52"/>
      <c r="T376" s="52"/>
      <c r="U376" s="52"/>
      <c r="V376" s="52"/>
      <c r="W376" s="52"/>
      <c r="X376" s="52"/>
      <c r="Y376" s="52"/>
      <c r="Z376" s="52"/>
    </row>
    <row r="377">
      <c r="A377" s="52"/>
      <c r="B377" s="52" t="str">
        <f>IFERROR(__xludf.DUMMYFUNCTION("""COMPUTED_VALUE"""),"Network issue, Performance issue, Permission/deprecation issue, Program anomaly issue, Test code-related issue")</f>
        <v>Network issue, Performance issue, Permission/deprecation issue, Program anomaly issue, Test code-related issue</v>
      </c>
      <c r="C377" s="52"/>
      <c r="D377" s="52"/>
      <c r="E377" s="52"/>
      <c r="F377" s="52" t="str">
        <f>IFERROR(__xludf.DUMMYFUNCTION("""COMPUTED_VALUE"""),"test::performance::improvement")</f>
        <v>test::performance::improvement</v>
      </c>
      <c r="G377" s="52"/>
      <c r="H377" s="52"/>
      <c r="I377" s="52"/>
      <c r="J377" s="52"/>
      <c r="K377" s="52"/>
      <c r="L377" s="52"/>
      <c r="M377" s="52"/>
      <c r="N377" s="52"/>
      <c r="O377" s="52"/>
      <c r="P377" s="52" t="str">
        <f>IFERROR(__xludf.DUMMYFUNCTION("""COMPUTED_VALUE"""),"informing::recheck::(migrations)::after::build::failures")</f>
        <v>informing::recheck::(migrations)::after::build::failures</v>
      </c>
      <c r="Q377" s="52"/>
      <c r="R377" s="52"/>
      <c r="S377" s="52"/>
      <c r="T377" s="52"/>
      <c r="U377" s="52"/>
      <c r="V377" s="52"/>
      <c r="W377" s="52"/>
      <c r="X377" s="52"/>
      <c r="Y377" s="52"/>
      <c r="Z377" s="52"/>
    </row>
    <row r="378">
      <c r="A378" s="52"/>
      <c r="B378" s="52" t="str">
        <f>IFERROR(__xludf.DUMMYFUNCTION("""COMPUTED_VALUE"""),"Network issue, Performance issue, Permission/deprecation issue, Security issue, Program anomaly issue")</f>
        <v>Network issue, Performance issue, Permission/deprecation issue, Security issue, Program anomaly issue</v>
      </c>
      <c r="C378" s="52"/>
      <c r="D378" s="52"/>
      <c r="E378" s="52"/>
      <c r="F378" s="52" t="str">
        <f>IFERROR(__xludf.DUMMYFUNCTION("""COMPUTED_VALUE"""),"testing::performance::of::drafted::proposal::for::implementing::the::BP/feature::not::production::code")</f>
        <v>testing::performance::of::drafted::proposal::for::implementing::the::BP/feature::not::production::code</v>
      </c>
      <c r="G378" s="52"/>
      <c r="H378" s="52"/>
      <c r="I378" s="52"/>
      <c r="J378" s="52"/>
      <c r="K378" s="52"/>
      <c r="L378" s="52"/>
      <c r="M378" s="52"/>
      <c r="N378" s="52"/>
      <c r="O378" s="52"/>
      <c r="P378" s="52" t="str">
        <f>IFERROR(__xludf.DUMMYFUNCTION("""COMPUTED_VALUE"""),"informing::recheck::(no::bug)")</f>
        <v>informing::recheck::(no::bug)</v>
      </c>
      <c r="Q378" s="52"/>
      <c r="R378" s="52"/>
      <c r="S378" s="52"/>
      <c r="T378" s="52"/>
      <c r="U378" s="52"/>
      <c r="V378" s="52"/>
      <c r="W378" s="52"/>
      <c r="X378" s="52"/>
      <c r="Y378" s="52"/>
      <c r="Z378" s="52"/>
    </row>
    <row r="379">
      <c r="A379" s="52"/>
      <c r="B379" s="52" t="str">
        <f>IFERROR(__xludf.DUMMYFUNCTION("""COMPUTED_VALUE"""),"Network issue, Performance issue, Permission/deprecation issue, Security issue, Test code-related issue")</f>
        <v>Network issue, Performance issue, Permission/deprecation issue, Security issue, Test code-related issue</v>
      </c>
      <c r="C379" s="52"/>
      <c r="D379" s="52"/>
      <c r="E379" s="52"/>
      <c r="F379" s="52" t="str">
        <f>IFERROR(__xludf.DUMMYFUNCTION("""COMPUTED_VALUE"""),"thanking::for::effort")</f>
        <v>thanking::for::effort</v>
      </c>
      <c r="G379" s="52"/>
      <c r="H379" s="52"/>
      <c r="I379" s="52"/>
      <c r="J379" s="52"/>
      <c r="K379" s="52"/>
      <c r="L379" s="52"/>
      <c r="M379" s="52"/>
      <c r="N379" s="52"/>
      <c r="O379" s="52"/>
      <c r="P379" s="52" t="str">
        <f>IFERROR(__xludf.DUMMYFUNCTION("""COMPUTED_VALUE"""),"informing::recheck::(specific::bug)")</f>
        <v>informing::recheck::(specific::bug)</v>
      </c>
      <c r="Q379" s="52"/>
      <c r="R379" s="52"/>
      <c r="S379" s="52"/>
      <c r="T379" s="52"/>
      <c r="U379" s="52"/>
      <c r="V379" s="52"/>
      <c r="W379" s="52"/>
      <c r="X379" s="52"/>
      <c r="Y379" s="52"/>
      <c r="Z379" s="52"/>
    </row>
    <row r="380">
      <c r="A380" s="52"/>
      <c r="B380" s="52" t="str">
        <f>IFERROR(__xludf.DUMMYFUNCTION("""COMPUTED_VALUE"""),"Network issue, Performance issue, Security issue, Program anomaly issue, Test code-related issue")</f>
        <v>Network issue, Performance issue, Security issue, Program anomaly issue, Test code-related issue</v>
      </c>
      <c r="C380" s="52"/>
      <c r="D380" s="52"/>
      <c r="E380" s="52"/>
      <c r="F380" s="52" t="str">
        <f>IFERROR(__xludf.DUMMYFUNCTION("""COMPUTED_VALUE"""),"updating::documentation::for::a::new::feature/BP")</f>
        <v>updating::documentation::for::a::new::feature/BP</v>
      </c>
      <c r="G380" s="52"/>
      <c r="H380" s="52"/>
      <c r="I380" s="52"/>
      <c r="J380" s="52"/>
      <c r="K380" s="52"/>
      <c r="L380" s="52"/>
      <c r="M380" s="52"/>
      <c r="N380" s="52"/>
      <c r="O380" s="52"/>
      <c r="P380" s="52" t="str">
        <f>IFERROR(__xludf.DUMMYFUNCTION("""COMPUTED_VALUE"""),"informing::recheck::(ste)")</f>
        <v>informing::recheck::(ste)</v>
      </c>
      <c r="Q380" s="52"/>
      <c r="R380" s="52"/>
      <c r="S380" s="52"/>
      <c r="T380" s="52"/>
      <c r="U380" s="52"/>
      <c r="V380" s="52"/>
      <c r="W380" s="52"/>
      <c r="X380" s="52"/>
      <c r="Y380" s="52"/>
      <c r="Z380" s="52"/>
    </row>
    <row r="381">
      <c r="A381" s="52"/>
      <c r="B381" s="52" t="str">
        <f>IFERROR(__xludf.DUMMYFUNCTION("""COMPUTED_VALUE"""),"Network issue, Permission/deprecation issue, Security issue, Program anomaly issue, Test code-related issue")</f>
        <v>Network issue, Permission/deprecation issue, Security issue, Program anomaly issue, Test code-related issue</v>
      </c>
      <c r="C381" s="52"/>
      <c r="D381" s="52"/>
      <c r="E381" s="52"/>
      <c r="F381" s="52" t="str">
        <f>IFERROR(__xludf.DUMMYFUNCTION("""COMPUTED_VALUE"""),"updating::documentation::for::feature::(feautre::not::up::to::date)")</f>
        <v>updating::documentation::for::feature::(feautre::not::up::to::date)</v>
      </c>
      <c r="G381" s="52"/>
      <c r="H381" s="52"/>
      <c r="I381" s="52"/>
      <c r="J381" s="52"/>
      <c r="K381" s="52"/>
      <c r="L381" s="52"/>
      <c r="M381" s="52"/>
      <c r="N381" s="52"/>
      <c r="O381" s="52"/>
      <c r="P381" s="52" t="str">
        <f>IFERROR(__xludf.DUMMYFUNCTION("""COMPUTED_VALUE"""),"informing::recheck::(xenserver)")</f>
        <v>informing::recheck::(xenserver)</v>
      </c>
      <c r="Q381" s="52"/>
      <c r="R381" s="52"/>
      <c r="S381" s="52"/>
      <c r="T381" s="52"/>
      <c r="U381" s="52"/>
      <c r="V381" s="52"/>
      <c r="W381" s="52"/>
      <c r="X381" s="52"/>
      <c r="Y381" s="52"/>
      <c r="Z381" s="52"/>
    </row>
    <row r="382">
      <c r="A382" s="52"/>
      <c r="B382" s="52" t="str">
        <f>IFERROR(__xludf.DUMMYFUNCTION("""COMPUTED_VALUE"""),"Performance issue, Permission/deprecation issue, Security issue, Program anomaly issue, Test code-related issue")</f>
        <v>Performance issue, Permission/deprecation issue, Security issue, Program anomaly issue, Test code-related issue</v>
      </c>
      <c r="C382" s="52"/>
      <c r="D382" s="52"/>
      <c r="E382" s="52"/>
      <c r="F382" s="52"/>
      <c r="G382" s="52"/>
      <c r="H382" s="52"/>
      <c r="I382" s="52"/>
      <c r="J382" s="52"/>
      <c r="K382" s="52"/>
      <c r="L382" s="52"/>
      <c r="M382" s="52"/>
      <c r="N382" s="52"/>
      <c r="O382" s="52"/>
      <c r="P382" s="52" t="str">
        <f>IFERROR(__xludf.DUMMYFUNCTION("""COMPUTED_VALUE"""),"informing::recheck::after::build::failures")</f>
        <v>informing::recheck::after::build::failures</v>
      </c>
      <c r="Q382" s="52"/>
      <c r="R382" s="52"/>
      <c r="S382" s="52"/>
      <c r="T382" s="52"/>
      <c r="U382" s="52"/>
      <c r="V382" s="52"/>
      <c r="W382" s="52"/>
      <c r="X382" s="52"/>
      <c r="Y382" s="52"/>
      <c r="Z382" s="52"/>
    </row>
    <row r="383">
      <c r="A383" s="52"/>
      <c r="B383" s="52" t="str">
        <f>IFERROR(__xludf.DUMMYFUNCTION("""COMPUTED_VALUE"""),"Configuration issue, Database-related issue, GUI-related issue, Network issue, Performance issue, Permission/deprecation issue")</f>
        <v>Configuration issue, Database-related issue, GUI-related issue, Network issue, Performance issue, Permission/deprecation issue</v>
      </c>
      <c r="C383" s="52"/>
      <c r="D383" s="52"/>
      <c r="E383" s="52"/>
      <c r="F383" s="52"/>
      <c r="G383" s="52"/>
      <c r="H383" s="52"/>
      <c r="I383" s="52"/>
      <c r="J383" s="52"/>
      <c r="K383" s="52"/>
      <c r="L383" s="52"/>
      <c r="M383" s="52"/>
      <c r="N383" s="52"/>
      <c r="O383" s="52"/>
      <c r="P383" s="52" t="str">
        <f>IFERROR(__xludf.DUMMYFUNCTION("""COMPUTED_VALUE"""),"informing::refactoring::(style)")</f>
        <v>informing::refactoring::(style)</v>
      </c>
      <c r="Q383" s="52"/>
      <c r="R383" s="52"/>
      <c r="S383" s="52"/>
      <c r="T383" s="52"/>
      <c r="U383" s="52"/>
      <c r="V383" s="52"/>
      <c r="W383" s="52"/>
      <c r="X383" s="52"/>
      <c r="Y383" s="52"/>
      <c r="Z383" s="52"/>
    </row>
    <row r="384">
      <c r="A384" s="52"/>
      <c r="B384" s="52" t="str">
        <f>IFERROR(__xludf.DUMMYFUNCTION("""COMPUTED_VALUE"""),"Configuration issue, Database-related issue, GUI-related issue, Network issue, Performance issue, Program anomaly issue")</f>
        <v>Configuration issue, Database-related issue, GUI-related issue, Network issue, Performance issue, Program anomaly issue</v>
      </c>
      <c r="C384" s="52"/>
      <c r="D384" s="52"/>
      <c r="E384" s="52"/>
      <c r="F384" s="52"/>
      <c r="G384" s="52"/>
      <c r="H384" s="52"/>
      <c r="I384" s="52"/>
      <c r="J384" s="52"/>
      <c r="K384" s="52"/>
      <c r="L384" s="52"/>
      <c r="M384" s="52"/>
      <c r="N384" s="52"/>
      <c r="O384" s="52"/>
      <c r="P384" s="52" t="str">
        <f>IFERROR(__xludf.DUMMYFUNCTION("""COMPUTED_VALUE"""),"informing::removing::code::that::was::commented::on")</f>
        <v>informing::removing::code::that::was::commented::on</v>
      </c>
      <c r="Q384" s="52"/>
      <c r="R384" s="52"/>
      <c r="S384" s="52"/>
      <c r="T384" s="52"/>
      <c r="U384" s="52"/>
      <c r="V384" s="52"/>
      <c r="W384" s="52"/>
      <c r="X384" s="52"/>
      <c r="Y384" s="52"/>
      <c r="Z384" s="52"/>
    </row>
    <row r="385">
      <c r="A385" s="52"/>
      <c r="B385" s="52" t="str">
        <f>IFERROR(__xludf.DUMMYFUNCTION("""COMPUTED_VALUE"""),"Configuration issue, Database-related issue, GUI-related issue, Network issue, Performance issue, Security issue")</f>
        <v>Configuration issue, Database-related issue, GUI-related issue, Network issue, Performance issue, Security issue</v>
      </c>
      <c r="C385" s="52"/>
      <c r="D385" s="52"/>
      <c r="E385" s="52"/>
      <c r="F385" s="52"/>
      <c r="G385" s="52"/>
      <c r="H385" s="52"/>
      <c r="I385" s="52"/>
      <c r="J385" s="52"/>
      <c r="K385" s="52"/>
      <c r="L385" s="52"/>
      <c r="M385" s="52"/>
      <c r="N385" s="52"/>
      <c r="O385" s="52"/>
      <c r="P385" s="52" t="str">
        <f>IFERROR(__xludf.DUMMYFUNCTION("""COMPUTED_VALUE"""),"informing::research::error::unit::test")</f>
        <v>informing::research::error::unit::test</v>
      </c>
      <c r="Q385" s="52"/>
      <c r="R385" s="52"/>
      <c r="S385" s="52"/>
      <c r="T385" s="52"/>
      <c r="U385" s="52"/>
      <c r="V385" s="52"/>
      <c r="W385" s="52"/>
      <c r="X385" s="52"/>
      <c r="Y385" s="52"/>
      <c r="Z385" s="52"/>
    </row>
    <row r="386">
      <c r="A386" s="52"/>
      <c r="B386" s="52" t="str">
        <f>IFERROR(__xludf.DUMMYFUNCTION("""COMPUTED_VALUE"""),"Configuration issue, Database-related issue, GUI-related issue, Network issue, Performance issue, Test code-related issue")</f>
        <v>Configuration issue, Database-related issue, GUI-related issue, Network issue, Performance issue, Test code-related issue</v>
      </c>
      <c r="C386" s="52"/>
      <c r="D386" s="52"/>
      <c r="E386" s="52"/>
      <c r="F386" s="52"/>
      <c r="G386" s="52"/>
      <c r="H386" s="52"/>
      <c r="I386" s="52"/>
      <c r="J386" s="52"/>
      <c r="K386" s="52"/>
      <c r="L386" s="52"/>
      <c r="M386" s="52"/>
      <c r="N386" s="52"/>
      <c r="O386" s="52"/>
      <c r="P386" s="52" t="str">
        <f>IFERROR(__xludf.DUMMYFUNCTION("""COMPUTED_VALUE"""),"informing::reverify")</f>
        <v>informing::reverify</v>
      </c>
      <c r="Q386" s="52"/>
      <c r="R386" s="52"/>
      <c r="S386" s="52"/>
      <c r="T386" s="52"/>
      <c r="U386" s="52"/>
      <c r="V386" s="52"/>
      <c r="W386" s="52"/>
      <c r="X386" s="52"/>
      <c r="Y386" s="52"/>
      <c r="Z386" s="52"/>
    </row>
    <row r="387">
      <c r="A387" s="52"/>
      <c r="B387" s="52" t="str">
        <f>IFERROR(__xludf.DUMMYFUNCTION("""COMPUTED_VALUE"""),"Configuration issue, Database-related issue, GUI-related issue, Network issue, Permission/deprecation issue, Program anomaly issue")</f>
        <v>Configuration issue, Database-related issue, GUI-related issue, Network issue, Permission/deprecation issue, Program anomaly issue</v>
      </c>
      <c r="C387" s="52"/>
      <c r="D387" s="52"/>
      <c r="E387" s="52"/>
      <c r="F387" s="52"/>
      <c r="G387" s="52"/>
      <c r="H387" s="52"/>
      <c r="I387" s="52"/>
      <c r="J387" s="52"/>
      <c r="K387" s="52"/>
      <c r="L387" s="52"/>
      <c r="M387" s="52"/>
      <c r="N387" s="52"/>
      <c r="O387" s="52"/>
      <c r="P387" s="52" t="str">
        <f>IFERROR(__xludf.DUMMYFUNCTION("""COMPUTED_VALUE"""),"informing::reversing::changes")</f>
        <v>informing::reversing::changes</v>
      </c>
      <c r="Q387" s="52"/>
      <c r="R387" s="52"/>
      <c r="S387" s="52"/>
      <c r="T387" s="52"/>
      <c r="U387" s="52"/>
      <c r="V387" s="52"/>
      <c r="W387" s="52"/>
      <c r="X387" s="52"/>
      <c r="Y387" s="52"/>
      <c r="Z387" s="52"/>
    </row>
    <row r="388">
      <c r="A388" s="52"/>
      <c r="B388" s="52" t="str">
        <f>IFERROR(__xludf.DUMMYFUNCTION("""COMPUTED_VALUE"""),"Configuration issue, Database-related issue, GUI-related issue, Network issue, Permission/deprecation issue, Security issue")</f>
        <v>Configuration issue, Database-related issue, GUI-related issue, Network issue, Permission/deprecation issue, Security issue</v>
      </c>
      <c r="C388" s="52"/>
      <c r="D388" s="52"/>
      <c r="E388" s="52"/>
      <c r="F388" s="52"/>
      <c r="G388" s="52"/>
      <c r="H388" s="52"/>
      <c r="I388" s="52"/>
      <c r="J388" s="52"/>
      <c r="K388" s="52"/>
      <c r="L388" s="52"/>
      <c r="M388" s="52"/>
      <c r="N388" s="52"/>
      <c r="O388" s="52"/>
      <c r="P388" s="52" t="str">
        <f>IFERROR(__xludf.DUMMYFUNCTION("""COMPUTED_VALUE"""),"informing::review::expired")</f>
        <v>informing::review::expired</v>
      </c>
      <c r="Q388" s="52"/>
      <c r="R388" s="52"/>
      <c r="S388" s="52"/>
      <c r="T388" s="52"/>
      <c r="U388" s="52"/>
      <c r="V388" s="52"/>
      <c r="W388" s="52"/>
      <c r="X388" s="52"/>
      <c r="Y388" s="52"/>
      <c r="Z388" s="52"/>
    </row>
    <row r="389">
      <c r="A389" s="52"/>
      <c r="B389" s="52" t="str">
        <f>IFERROR(__xludf.DUMMYFUNCTION("""COMPUTED_VALUE"""),"Configuration issue, Database-related issue, GUI-related issue, Network issue, Permission/deprecation issue, Test code-related issue")</f>
        <v>Configuration issue, Database-related issue, GUI-related issue, Network issue, Permission/deprecation issue, Test code-related issue</v>
      </c>
      <c r="C389" s="52"/>
      <c r="D389" s="52"/>
      <c r="E389" s="52"/>
      <c r="F389" s="52"/>
      <c r="G389" s="52"/>
      <c r="H389" s="52"/>
      <c r="I389" s="52"/>
      <c r="J389" s="52"/>
      <c r="K389" s="52"/>
      <c r="L389" s="52"/>
      <c r="M389" s="52"/>
      <c r="N389" s="52"/>
      <c r="O389" s="52"/>
      <c r="P389" s="52" t="str">
        <f>IFERROR(__xludf.DUMMYFUNCTION("""COMPUTED_VALUE"""),"informing::run::tests")</f>
        <v>informing::run::tests</v>
      </c>
      <c r="Q389" s="52"/>
      <c r="R389" s="52"/>
      <c r="S389" s="52"/>
      <c r="T389" s="52"/>
      <c r="U389" s="52"/>
      <c r="V389" s="52"/>
      <c r="W389" s="52"/>
      <c r="X389" s="52"/>
      <c r="Y389" s="52"/>
      <c r="Z389" s="52"/>
    </row>
    <row r="390">
      <c r="A390" s="52"/>
      <c r="B390" s="52" t="str">
        <f>IFERROR(__xludf.DUMMYFUNCTION("""COMPUTED_VALUE"""),"Configuration issue, Database-related issue, GUI-related issue, Network issue, Program anomaly issue, Test code-related issue")</f>
        <v>Configuration issue, Database-related issue, GUI-related issue, Network issue, Program anomaly issue, Test code-related issue</v>
      </c>
      <c r="C390" s="52"/>
      <c r="D390" s="52"/>
      <c r="E390" s="52"/>
      <c r="F390" s="52"/>
      <c r="G390" s="52"/>
      <c r="H390" s="52"/>
      <c r="I390" s="52"/>
      <c r="J390" s="52"/>
      <c r="K390" s="52"/>
      <c r="L390" s="52"/>
      <c r="M390" s="52"/>
      <c r="N390" s="52"/>
      <c r="O390" s="52"/>
      <c r="P390" s="52" t="str">
        <f>IFERROR(__xludf.DUMMYFUNCTION("""COMPUTED_VALUE"""),"informing::run::tests::(manual)")</f>
        <v>informing::run::tests::(manual)</v>
      </c>
      <c r="Q390" s="52"/>
      <c r="R390" s="52"/>
      <c r="S390" s="52"/>
      <c r="T390" s="52"/>
      <c r="U390" s="52"/>
      <c r="V390" s="52"/>
      <c r="W390" s="52"/>
      <c r="X390" s="52"/>
      <c r="Y390" s="52"/>
      <c r="Z390" s="52"/>
    </row>
    <row r="391">
      <c r="A391" s="52"/>
      <c r="B391" s="52" t="str">
        <f>IFERROR(__xludf.DUMMYFUNCTION("""COMPUTED_VALUE"""),"Configuration issue, Database-related issue, GUI-related issue, Network issue, Security issue, Program anomaly issue")</f>
        <v>Configuration issue, Database-related issue, GUI-related issue, Network issue, Security issue, Program anomaly issue</v>
      </c>
      <c r="C391" s="52"/>
      <c r="D391" s="52"/>
      <c r="E391" s="52"/>
      <c r="F391" s="52"/>
      <c r="G391" s="52"/>
      <c r="H391" s="52"/>
      <c r="I391" s="52"/>
      <c r="J391" s="52"/>
      <c r="K391" s="52"/>
      <c r="L391" s="52"/>
      <c r="M391" s="52"/>
      <c r="N391" s="52"/>
      <c r="O391" s="52"/>
      <c r="P391" s="52" t="str">
        <f>IFERROR(__xludf.DUMMYFUNCTION("""COMPUTED_VALUE"""),"informing::run::tests::(passed)")</f>
        <v>informing::run::tests::(passed)</v>
      </c>
      <c r="Q391" s="52"/>
      <c r="R391" s="52"/>
      <c r="S391" s="52"/>
      <c r="T391" s="52"/>
      <c r="U391" s="52"/>
      <c r="V391" s="52"/>
      <c r="W391" s="52"/>
      <c r="X391" s="52"/>
      <c r="Y391" s="52"/>
      <c r="Z391" s="52"/>
    </row>
    <row r="392">
      <c r="A392" s="52"/>
      <c r="B392" s="52" t="str">
        <f>IFERROR(__xludf.DUMMYFUNCTION("""COMPUTED_VALUE"""),"Configuration issue, Database-related issue, GUI-related issue, Network issue, Security issue, Test code-related issue")</f>
        <v>Configuration issue, Database-related issue, GUI-related issue, Network issue, Security issue, Test code-related issue</v>
      </c>
      <c r="C392" s="52"/>
      <c r="D392" s="52"/>
      <c r="E392" s="52"/>
      <c r="F392" s="52"/>
      <c r="G392" s="52"/>
      <c r="H392" s="52"/>
      <c r="I392" s="52"/>
      <c r="J392" s="52"/>
      <c r="K392" s="52"/>
      <c r="L392" s="52"/>
      <c r="M392" s="52"/>
      <c r="N392" s="52"/>
      <c r="O392" s="52"/>
      <c r="P392" s="52" t="str">
        <f>IFERROR(__xludf.DUMMYFUNCTION("""COMPUTED_VALUE"""),"informing::solution::not::ideal")</f>
        <v>informing::solution::not::ideal</v>
      </c>
      <c r="Q392" s="52"/>
      <c r="R392" s="52"/>
      <c r="S392" s="52"/>
      <c r="T392" s="52"/>
      <c r="U392" s="52"/>
      <c r="V392" s="52"/>
      <c r="W392" s="52"/>
      <c r="X392" s="52"/>
      <c r="Y392" s="52"/>
      <c r="Z392" s="52"/>
    </row>
    <row r="393">
      <c r="A393" s="52"/>
      <c r="B393" s="52" t="str">
        <f>IFERROR(__xludf.DUMMYFUNCTION("""COMPUTED_VALUE"""),"Configuration issue, Database-related issue, GUI-related issue, Performance issue, Permission/deprecation issue, Program anomaly issue")</f>
        <v>Configuration issue, Database-related issue, GUI-related issue, Performance issue, Permission/deprecation issue, Program anomaly issue</v>
      </c>
      <c r="C393" s="52"/>
      <c r="D393" s="52"/>
      <c r="E393" s="52"/>
      <c r="F393" s="52"/>
      <c r="G393" s="52"/>
      <c r="H393" s="52"/>
      <c r="I393" s="52"/>
      <c r="J393" s="52"/>
      <c r="K393" s="52"/>
      <c r="L393" s="52"/>
      <c r="M393" s="52"/>
      <c r="N393" s="52"/>
      <c r="O393" s="52"/>
      <c r="P393" s="52" t="str">
        <f>IFERROR(__xludf.DUMMYFUNCTION("""COMPUTED_VALUE"""),"informing::switching::used::editor")</f>
        <v>informing::switching::used::editor</v>
      </c>
      <c r="Q393" s="52"/>
      <c r="R393" s="52"/>
      <c r="S393" s="52"/>
      <c r="T393" s="52"/>
      <c r="U393" s="52"/>
      <c r="V393" s="52"/>
      <c r="W393" s="52"/>
      <c r="X393" s="52"/>
      <c r="Y393" s="52"/>
      <c r="Z393" s="52"/>
    </row>
    <row r="394">
      <c r="A394" s="52"/>
      <c r="B394" s="52" t="str">
        <f>IFERROR(__xludf.DUMMYFUNCTION("""COMPUTED_VALUE"""),"Configuration issue, Database-related issue, GUI-related issue, Performance issue, Permission/deprecation issue, Security issue")</f>
        <v>Configuration issue, Database-related issue, GUI-related issue, Performance issue, Permission/deprecation issue, Security issue</v>
      </c>
      <c r="C394" s="52"/>
      <c r="D394" s="52"/>
      <c r="E394" s="52"/>
      <c r="F394" s="52"/>
      <c r="G394" s="52"/>
      <c r="H394" s="52"/>
      <c r="I394" s="52"/>
      <c r="J394" s="52"/>
      <c r="K394" s="52"/>
      <c r="L394" s="52"/>
      <c r="M394" s="52"/>
      <c r="N394" s="52"/>
      <c r="O394" s="52"/>
      <c r="P394" s="52" t="str">
        <f>IFERROR(__xludf.DUMMYFUNCTION("""COMPUTED_VALUE"""),"informing::tests::added")</f>
        <v>informing::tests::added</v>
      </c>
      <c r="Q394" s="52"/>
      <c r="R394" s="52"/>
      <c r="S394" s="52"/>
      <c r="T394" s="52"/>
      <c r="U394" s="52"/>
      <c r="V394" s="52"/>
      <c r="W394" s="52"/>
      <c r="X394" s="52"/>
      <c r="Y394" s="52"/>
      <c r="Z394" s="52"/>
    </row>
    <row r="395">
      <c r="A395" s="52"/>
      <c r="B395" s="52" t="str">
        <f>IFERROR(__xludf.DUMMYFUNCTION("""COMPUTED_VALUE"""),"Configuration issue, Database-related issue, GUI-related issue, Performance issue, Permission/deprecation issue, Test code-related issue")</f>
        <v>Configuration issue, Database-related issue, GUI-related issue, Performance issue, Permission/deprecation issue, Test code-related issue</v>
      </c>
      <c r="C395" s="52"/>
      <c r="D395" s="52"/>
      <c r="E395" s="52"/>
      <c r="F395" s="52"/>
      <c r="G395" s="52"/>
      <c r="H395" s="52"/>
      <c r="I395" s="52"/>
      <c r="J395" s="52"/>
      <c r="K395" s="52"/>
      <c r="L395" s="52"/>
      <c r="M395" s="52"/>
      <c r="N395" s="52"/>
      <c r="O395" s="52"/>
      <c r="P395" s="52" t="str">
        <f>IFERROR(__xludf.DUMMYFUNCTION("""COMPUTED_VALUE"""),"informing::tests::added::(no::inline::message)")</f>
        <v>informing::tests::added::(no::inline::message)</v>
      </c>
      <c r="Q395" s="52"/>
      <c r="R395" s="52"/>
      <c r="S395" s="52"/>
      <c r="T395" s="52"/>
      <c r="U395" s="52"/>
      <c r="V395" s="52"/>
      <c r="W395" s="52"/>
      <c r="X395" s="52"/>
      <c r="Y395" s="52"/>
      <c r="Z395" s="52"/>
    </row>
    <row r="396">
      <c r="A396" s="52"/>
      <c r="B396" s="52" t="str">
        <f>IFERROR(__xludf.DUMMYFUNCTION("""COMPUTED_VALUE"""),"Configuration issue, Database-related issue, GUI-related issue, Performance issue, Program anomaly issue, Test code-related issue")</f>
        <v>Configuration issue, Database-related issue, GUI-related issue, Performance issue, Program anomaly issue, Test code-related issue</v>
      </c>
      <c r="C396" s="52"/>
      <c r="D396" s="52"/>
      <c r="E396" s="52"/>
      <c r="F396" s="52"/>
      <c r="G396" s="52"/>
      <c r="H396" s="52"/>
      <c r="I396" s="52"/>
      <c r="J396" s="52"/>
      <c r="K396" s="52"/>
      <c r="L396" s="52"/>
      <c r="M396" s="52"/>
      <c r="N396" s="52"/>
      <c r="O396" s="52"/>
      <c r="P396" s="52" t="str">
        <f>IFERROR(__xludf.DUMMYFUNCTION("""COMPUTED_VALUE"""),"informing::tests::failing")</f>
        <v>informing::tests::failing</v>
      </c>
      <c r="Q396" s="52"/>
      <c r="R396" s="52"/>
      <c r="S396" s="52"/>
      <c r="T396" s="52"/>
      <c r="U396" s="52"/>
      <c r="V396" s="52"/>
      <c r="W396" s="52"/>
      <c r="X396" s="52"/>
      <c r="Y396" s="52"/>
      <c r="Z396" s="52"/>
    </row>
    <row r="397">
      <c r="A397" s="52"/>
      <c r="B397" s="52" t="str">
        <f>IFERROR(__xludf.DUMMYFUNCTION("""COMPUTED_VALUE"""),"Configuration issue, Database-related issue, GUI-related issue, Performance issue, Security issue, Program anomaly issue")</f>
        <v>Configuration issue, Database-related issue, GUI-related issue, Performance issue, Security issue, Program anomaly issue</v>
      </c>
      <c r="C397" s="52"/>
      <c r="D397" s="52"/>
      <c r="E397" s="52"/>
      <c r="F397" s="52"/>
      <c r="G397" s="52"/>
      <c r="H397" s="52"/>
      <c r="I397" s="52"/>
      <c r="J397" s="52"/>
      <c r="K397" s="52"/>
      <c r="L397" s="52"/>
      <c r="M397" s="52"/>
      <c r="N397" s="52"/>
      <c r="O397" s="52"/>
      <c r="P397" s="52" t="str">
        <f>IFERROR(__xludf.DUMMYFUNCTION("""COMPUTED_VALUE"""),"informing::tests::passing")</f>
        <v>informing::tests::passing</v>
      </c>
      <c r="Q397" s="52"/>
      <c r="R397" s="52"/>
      <c r="S397" s="52"/>
      <c r="T397" s="52"/>
      <c r="U397" s="52"/>
      <c r="V397" s="52"/>
      <c r="W397" s="52"/>
      <c r="X397" s="52"/>
      <c r="Y397" s="52"/>
      <c r="Z397" s="52"/>
    </row>
    <row r="398">
      <c r="A398" s="52"/>
      <c r="B398" s="52" t="str">
        <f>IFERROR(__xludf.DUMMYFUNCTION("""COMPUTED_VALUE"""),"Configuration issue, Database-related issue, GUI-related issue, Performance issue, Security issue, Test code-related issue")</f>
        <v>Configuration issue, Database-related issue, GUI-related issue, Performance issue, Security issue, Test code-related issue</v>
      </c>
      <c r="C398" s="52"/>
      <c r="D398" s="52"/>
      <c r="E398" s="52"/>
      <c r="F398" s="52"/>
      <c r="G398" s="52"/>
      <c r="H398" s="52"/>
      <c r="I398" s="52"/>
      <c r="J398" s="52"/>
      <c r="K398" s="52"/>
      <c r="L398" s="52"/>
      <c r="M398" s="52"/>
      <c r="N398" s="52"/>
      <c r="O398" s="52"/>
      <c r="P398" s="52" t="str">
        <f>IFERROR(__xludf.DUMMYFUNCTION("""COMPUTED_VALUE"""),"informing::tests::passing::(different::envs)")</f>
        <v>informing::tests::passing::(different::envs)</v>
      </c>
      <c r="Q398" s="52"/>
      <c r="R398" s="52"/>
      <c r="S398" s="52"/>
      <c r="T398" s="52"/>
      <c r="U398" s="52"/>
      <c r="V398" s="52"/>
      <c r="W398" s="52"/>
      <c r="X398" s="52"/>
      <c r="Y398" s="52"/>
      <c r="Z398" s="52"/>
    </row>
    <row r="399">
      <c r="A399" s="52"/>
      <c r="B399" s="52" t="str">
        <f>IFERROR(__xludf.DUMMYFUNCTION("""COMPUTED_VALUE"""),"Configuration issue, Database-related issue, GUI-related issue, Permission/deprecation issue, Program anomaly issue, Test code-related issue")</f>
        <v>Configuration issue, Database-related issue, GUI-related issue, Permission/deprecation issue, Program anomaly issue, Test code-related issue</v>
      </c>
      <c r="C399" s="52"/>
      <c r="D399" s="52"/>
      <c r="E399" s="52"/>
      <c r="F399" s="52"/>
      <c r="G399" s="52"/>
      <c r="H399" s="52"/>
      <c r="I399" s="52"/>
      <c r="J399" s="52"/>
      <c r="K399" s="52"/>
      <c r="L399" s="52"/>
      <c r="M399" s="52"/>
      <c r="N399" s="52"/>
      <c r="O399" s="52"/>
      <c r="P399" s="52" t="str">
        <f>IFERROR(__xludf.DUMMYFUNCTION("""COMPUTED_VALUE"""),"informing::tests::results")</f>
        <v>informing::tests::results</v>
      </c>
      <c r="Q399" s="52"/>
      <c r="R399" s="52"/>
      <c r="S399" s="52"/>
      <c r="T399" s="52"/>
      <c r="U399" s="52"/>
      <c r="V399" s="52"/>
      <c r="W399" s="52"/>
      <c r="X399" s="52"/>
      <c r="Y399" s="52"/>
      <c r="Z399" s="52"/>
    </row>
    <row r="400">
      <c r="A400" s="52"/>
      <c r="B400" s="52" t="str">
        <f>IFERROR(__xludf.DUMMYFUNCTION("""COMPUTED_VALUE"""),"Configuration issue, Database-related issue, GUI-related issue, Permission/deprecation issue, Security issue, Program anomaly issue")</f>
        <v>Configuration issue, Database-related issue, GUI-related issue, Permission/deprecation issue, Security issue, Program anomaly issue</v>
      </c>
      <c r="C400" s="52"/>
      <c r="D400" s="52"/>
      <c r="E400" s="52"/>
      <c r="F400" s="52"/>
      <c r="G400" s="52"/>
      <c r="H400" s="52"/>
      <c r="I400" s="52"/>
      <c r="J400" s="52"/>
      <c r="K400" s="52"/>
      <c r="L400" s="52"/>
      <c r="M400" s="52"/>
      <c r="N400" s="52"/>
      <c r="O400" s="52"/>
      <c r="P400" s="52" t="str">
        <f>IFERROR(__xludf.DUMMYFUNCTION("""COMPUTED_VALUE"""),"informing::that::questions::about::how::to::use::do::not::belong::PR")</f>
        <v>informing::that::questions::about::how::to::use::do::not::belong::PR</v>
      </c>
      <c r="Q400" s="52"/>
      <c r="R400" s="52"/>
      <c r="S400" s="52"/>
      <c r="T400" s="52"/>
      <c r="U400" s="52"/>
      <c r="V400" s="52"/>
      <c r="W400" s="52"/>
      <c r="X400" s="52"/>
      <c r="Y400" s="52"/>
      <c r="Z400" s="52"/>
    </row>
    <row r="401">
      <c r="A401" s="52"/>
      <c r="B401" s="52" t="str">
        <f>IFERROR(__xludf.DUMMYFUNCTION("""COMPUTED_VALUE"""),"Configuration issue, Database-related issue, GUI-related issue, Permission/deprecation issue, Security issue, Test code-related issue")</f>
        <v>Configuration issue, Database-related issue, GUI-related issue, Permission/deprecation issue, Security issue, Test code-related issue</v>
      </c>
      <c r="C401" s="52"/>
      <c r="D401" s="52"/>
      <c r="E401" s="52"/>
      <c r="F401" s="52"/>
      <c r="G401" s="52"/>
      <c r="H401" s="52"/>
      <c r="I401" s="52"/>
      <c r="J401" s="52"/>
      <c r="K401" s="52"/>
      <c r="L401" s="52"/>
      <c r="M401" s="52"/>
      <c r="N401" s="52"/>
      <c r="O401" s="52"/>
      <c r="P401" s="52" t="str">
        <f>IFERROR(__xludf.DUMMYFUNCTION("""COMPUTED_VALUE"""),"informing::that::there::are::no::bugs")</f>
        <v>informing::that::there::are::no::bugs</v>
      </c>
      <c r="Q401" s="52"/>
      <c r="R401" s="52"/>
      <c r="S401" s="52"/>
      <c r="T401" s="52"/>
      <c r="U401" s="52"/>
      <c r="V401" s="52"/>
      <c r="W401" s="52"/>
      <c r="X401" s="52"/>
      <c r="Y401" s="52"/>
      <c r="Z401" s="52"/>
    </row>
    <row r="402">
      <c r="A402" s="52"/>
      <c r="B402" s="52" t="str">
        <f>IFERROR(__xludf.DUMMYFUNCTION("""COMPUTED_VALUE"""),"Configuration issue, Database-related issue, GUI-related issue, Security issue, Program anomaly issue, Test code-related issue")</f>
        <v>Configuration issue, Database-related issue, GUI-related issue, Security issue, Program anomaly issue, Test code-related issue</v>
      </c>
      <c r="C402" s="52"/>
      <c r="D402" s="52"/>
      <c r="E402" s="52"/>
      <c r="F402" s="52"/>
      <c r="G402" s="52"/>
      <c r="H402" s="52"/>
      <c r="I402" s="52"/>
      <c r="J402" s="52"/>
      <c r="K402" s="52"/>
      <c r="L402" s="52"/>
      <c r="M402" s="52"/>
      <c r="N402" s="52"/>
      <c r="O402" s="52"/>
      <c r="P402" s="52" t="str">
        <f>IFERROR(__xludf.DUMMYFUNCTION("""COMPUTED_VALUE"""),"informing::that::there::are::no::bugs::after::build::failures")</f>
        <v>informing::that::there::are::no::bugs::after::build::failures</v>
      </c>
      <c r="Q402" s="52"/>
      <c r="R402" s="52"/>
      <c r="S402" s="52"/>
      <c r="T402" s="52"/>
      <c r="U402" s="52"/>
      <c r="V402" s="52"/>
      <c r="W402" s="52"/>
      <c r="X402" s="52"/>
      <c r="Y402" s="52"/>
      <c r="Z402" s="52"/>
    </row>
    <row r="403">
      <c r="A403" s="52"/>
      <c r="B403" s="52" t="str">
        <f>IFERROR(__xludf.DUMMYFUNCTION("""COMPUTED_VALUE"""),"Configuration issue, Database-related issue, Network issue, Performance issue, Permission/deprecation issue, Program anomaly issue")</f>
        <v>Configuration issue, Database-related issue, Network issue, Performance issue, Permission/deprecation issue, Program anomaly issue</v>
      </c>
      <c r="C403" s="52"/>
      <c r="D403" s="52"/>
      <c r="E403" s="52"/>
      <c r="F403" s="52"/>
      <c r="G403" s="52"/>
      <c r="H403" s="52"/>
      <c r="I403" s="52"/>
      <c r="J403" s="52"/>
      <c r="K403" s="52"/>
      <c r="L403" s="52"/>
      <c r="M403" s="52"/>
      <c r="N403" s="52"/>
      <c r="O403" s="52"/>
      <c r="P403" s="52" t="str">
        <f>IFERROR(__xludf.DUMMYFUNCTION("""COMPUTED_VALUE"""),"informing::the::impossibility::(run::tests)")</f>
        <v>informing::the::impossibility::(run::tests)</v>
      </c>
      <c r="Q403" s="52"/>
      <c r="R403" s="52"/>
      <c r="S403" s="52"/>
      <c r="T403" s="52"/>
      <c r="U403" s="52"/>
      <c r="V403" s="52"/>
      <c r="W403" s="52"/>
      <c r="X403" s="52"/>
      <c r="Y403" s="52"/>
      <c r="Z403" s="52"/>
    </row>
    <row r="404">
      <c r="A404" s="52"/>
      <c r="B404" s="52" t="str">
        <f>IFERROR(__xludf.DUMMYFUNCTION("""COMPUTED_VALUE"""),"Configuration issue, Database-related issue, Network issue, Performance issue, Permission/deprecation issue, Security issue")</f>
        <v>Configuration issue, Database-related issue, Network issue, Performance issue, Permission/deprecation issue, Security issue</v>
      </c>
      <c r="C404" s="52"/>
      <c r="D404" s="52"/>
      <c r="E404" s="52"/>
      <c r="F404" s="52"/>
      <c r="G404" s="52"/>
      <c r="H404" s="52"/>
      <c r="I404" s="52"/>
      <c r="J404" s="52"/>
      <c r="K404" s="52"/>
      <c r="L404" s="52"/>
      <c r="M404" s="52"/>
      <c r="N404" s="52"/>
      <c r="O404" s="52"/>
      <c r="P404" s="52" t="str">
        <f>IFERROR(__xludf.DUMMYFUNCTION("""COMPUTED_VALUE"""),"informing::update")</f>
        <v>informing::update</v>
      </c>
      <c r="Q404" s="52"/>
      <c r="R404" s="52"/>
      <c r="S404" s="52"/>
      <c r="T404" s="52"/>
      <c r="U404" s="52"/>
      <c r="V404" s="52"/>
      <c r="W404" s="52"/>
      <c r="X404" s="52"/>
      <c r="Y404" s="52"/>
      <c r="Z404" s="52"/>
    </row>
    <row r="405">
      <c r="A405" s="52"/>
      <c r="B405" s="52" t="str">
        <f>IFERROR(__xludf.DUMMYFUNCTION("""COMPUTED_VALUE"""),"Configuration issue, Database-related issue, Network issue, Performance issue, Permission/deprecation issue, Test code-related issue")</f>
        <v>Configuration issue, Database-related issue, Network issue, Performance issue, Permission/deprecation issue, Test code-related issue</v>
      </c>
      <c r="C405" s="52"/>
      <c r="D405" s="52"/>
      <c r="E405" s="52"/>
      <c r="F405" s="52"/>
      <c r="G405" s="52"/>
      <c r="H405" s="52"/>
      <c r="I405" s="52"/>
      <c r="J405" s="52"/>
      <c r="K405" s="52"/>
      <c r="L405" s="52"/>
      <c r="M405" s="52"/>
      <c r="N405" s="52"/>
      <c r="O405" s="52"/>
      <c r="P405" s="52" t="str">
        <f>IFERROR(__xludf.DUMMYFUNCTION("""COMPUTED_VALUE"""),"informing::using::GATE::(testing::platform)::for::pep8::due::to::they::are::not::working")</f>
        <v>informing::using::GATE::(testing::platform)::for::pep8::due::to::they::are::not::working</v>
      </c>
      <c r="Q405" s="52"/>
      <c r="R405" s="52"/>
      <c r="S405" s="52"/>
      <c r="T405" s="52"/>
      <c r="U405" s="52"/>
      <c r="V405" s="52"/>
      <c r="W405" s="52"/>
      <c r="X405" s="52"/>
      <c r="Y405" s="52"/>
      <c r="Z405" s="52"/>
    </row>
    <row r="406">
      <c r="A406" s="52"/>
      <c r="B406" s="52" t="str">
        <f>IFERROR(__xludf.DUMMYFUNCTION("""COMPUTED_VALUE"""),"Configuration issue, Database-related issue, Network issue, Performance issue, Program anomaly issue, Test code-related issue")</f>
        <v>Configuration issue, Database-related issue, Network issue, Performance issue, Program anomaly issue, Test code-related issue</v>
      </c>
      <c r="C406" s="52"/>
      <c r="D406" s="52"/>
      <c r="E406" s="52"/>
      <c r="F406" s="52"/>
      <c r="G406" s="52"/>
      <c r="H406" s="52"/>
      <c r="I406" s="52"/>
      <c r="J406" s="52"/>
      <c r="K406" s="52"/>
      <c r="L406" s="52"/>
      <c r="M406" s="52"/>
      <c r="N406" s="52"/>
      <c r="O406" s="52"/>
      <c r="P406" s="52" t="str">
        <f>IFERROR(__xludf.DUMMYFUNCTION("""COMPUTED_VALUE"""),"informing::version::software")</f>
        <v>informing::version::software</v>
      </c>
      <c r="Q406" s="52"/>
      <c r="R406" s="52"/>
      <c r="S406" s="52"/>
      <c r="T406" s="52"/>
      <c r="U406" s="52"/>
      <c r="V406" s="52"/>
      <c r="W406" s="52"/>
      <c r="X406" s="52"/>
      <c r="Y406" s="52"/>
      <c r="Z406" s="52"/>
    </row>
    <row r="407">
      <c r="A407" s="52"/>
      <c r="B407" s="52" t="str">
        <f>IFERROR(__xludf.DUMMYFUNCTION("""COMPUTED_VALUE"""),"Configuration issue, Database-related issue, Network issue, Performance issue, Security issue, Program anomaly issue")</f>
        <v>Configuration issue, Database-related issue, Network issue, Performance issue, Security issue, Program anomaly issue</v>
      </c>
      <c r="C407" s="52"/>
      <c r="D407" s="52"/>
      <c r="E407" s="52"/>
      <c r="F407" s="52"/>
      <c r="G407" s="52"/>
      <c r="H407" s="52"/>
      <c r="I407" s="52"/>
      <c r="J407" s="52"/>
      <c r="K407" s="52"/>
      <c r="L407" s="52"/>
      <c r="M407" s="52"/>
      <c r="N407" s="52"/>
      <c r="O407" s="52"/>
      <c r="P407" s="52" t="str">
        <f>IFERROR(__xludf.DUMMYFUNCTION("""COMPUTED_VALUE"""),"informing::work::in::progress")</f>
        <v>informing::work::in::progress</v>
      </c>
      <c r="Q407" s="52"/>
      <c r="R407" s="52"/>
      <c r="S407" s="52"/>
      <c r="T407" s="52"/>
      <c r="U407" s="52"/>
      <c r="V407" s="52"/>
      <c r="W407" s="52"/>
      <c r="X407" s="52"/>
      <c r="Y407" s="52"/>
      <c r="Z407" s="52"/>
    </row>
    <row r="408">
      <c r="A408" s="52"/>
      <c r="B408" s="52" t="str">
        <f>IFERROR(__xludf.DUMMYFUNCTION("""COMPUTED_VALUE"""),"Configuration issue, Database-related issue, Network issue, Performance issue, Security issue, Test code-related issue")</f>
        <v>Configuration issue, Database-related issue, Network issue, Performance issue, Security issue, Test code-related issue</v>
      </c>
      <c r="C408" s="52"/>
      <c r="D408" s="52"/>
      <c r="E408" s="52"/>
      <c r="F408" s="52"/>
      <c r="G408" s="52"/>
      <c r="H408" s="52"/>
      <c r="I408" s="52"/>
      <c r="J408" s="52"/>
      <c r="K408" s="52"/>
      <c r="L408" s="52"/>
      <c r="M408" s="52"/>
      <c r="N408" s="52"/>
      <c r="O408" s="52"/>
      <c r="P408" s="52" t="str">
        <f>IFERROR(__xludf.DUMMYFUNCTION("""COMPUTED_VALUE"""),"informing::work::in::progress::(vote::workflow-1)")</f>
        <v>informing::work::in::progress::(vote::workflow-1)</v>
      </c>
      <c r="Q408" s="52"/>
      <c r="R408" s="52"/>
      <c r="S408" s="52"/>
      <c r="T408" s="52"/>
      <c r="U408" s="52"/>
      <c r="V408" s="52"/>
      <c r="W408" s="52"/>
      <c r="X408" s="52"/>
      <c r="Y408" s="52"/>
      <c r="Z408" s="52"/>
    </row>
    <row r="409">
      <c r="A409" s="52"/>
      <c r="B409" s="52" t="str">
        <f>IFERROR(__xludf.DUMMYFUNCTION("""COMPUTED_VALUE"""),"Configuration issue, Database-related issue, Network issue, Permission/deprecation issue, Program anomaly issue, Test code-related issue")</f>
        <v>Configuration issue, Database-related issue, Network issue, Permission/deprecation issue, Program anomaly issue, Test code-related issue</v>
      </c>
      <c r="C409" s="52"/>
      <c r="D409" s="52"/>
      <c r="E409" s="52"/>
      <c r="F409" s="52"/>
      <c r="G409" s="52"/>
      <c r="H409" s="52"/>
      <c r="I409" s="52"/>
      <c r="J409" s="52"/>
      <c r="K409" s="52"/>
      <c r="L409" s="52"/>
      <c r="M409" s="52"/>
      <c r="N409" s="52"/>
      <c r="O409" s="52"/>
      <c r="P409" s="52" t="str">
        <f>IFERROR(__xludf.DUMMYFUNCTION("""COMPUTED_VALUE"""),"informing::work::in::progress2::(vote::workflow-1)")</f>
        <v>informing::work::in::progress2::(vote::workflow-1)</v>
      </c>
      <c r="Q409" s="52"/>
      <c r="R409" s="52"/>
      <c r="S409" s="52"/>
      <c r="T409" s="52"/>
      <c r="U409" s="52"/>
      <c r="V409" s="52"/>
      <c r="W409" s="52"/>
      <c r="X409" s="52"/>
      <c r="Y409" s="52"/>
      <c r="Z409" s="52"/>
    </row>
    <row r="410">
      <c r="A410" s="52"/>
      <c r="B410" s="52" t="str">
        <f>IFERROR(__xludf.DUMMYFUNCTION("""COMPUTED_VALUE"""),"Configuration issue, Database-related issue, Network issue, Permission/deprecation issue, Security issue, Program anomaly issue")</f>
        <v>Configuration issue, Database-related issue, Network issue, Permission/deprecation issue, Security issue, Program anomaly issue</v>
      </c>
      <c r="C410" s="52"/>
      <c r="D410" s="52"/>
      <c r="E410" s="52"/>
      <c r="F410" s="52"/>
      <c r="G410" s="52"/>
      <c r="H410" s="52"/>
      <c r="I410" s="52"/>
      <c r="J410" s="52"/>
      <c r="K410" s="52"/>
      <c r="L410" s="52"/>
      <c r="M410" s="52"/>
      <c r="N410" s="52"/>
      <c r="O410" s="52"/>
      <c r="P410" s="52" t="str">
        <f>IFERROR(__xludf.DUMMYFUNCTION("""COMPUTED_VALUE"""),"informing::work::in::progress3::(vote::workflow-1)")</f>
        <v>informing::work::in::progress3::(vote::workflow-1)</v>
      </c>
      <c r="Q410" s="52"/>
      <c r="R410" s="52"/>
      <c r="S410" s="52"/>
      <c r="T410" s="52"/>
      <c r="U410" s="52"/>
      <c r="V410" s="52"/>
      <c r="W410" s="52"/>
      <c r="X410" s="52"/>
      <c r="Y410" s="52"/>
      <c r="Z410" s="52"/>
    </row>
    <row r="411">
      <c r="A411" s="52"/>
      <c r="B411" s="52" t="str">
        <f>IFERROR(__xludf.DUMMYFUNCTION("""COMPUTED_VALUE"""),"Configuration issue, Database-related issue, Network issue, Permission/deprecation issue, Security issue, Test code-related issue")</f>
        <v>Configuration issue, Database-related issue, Network issue, Permission/deprecation issue, Security issue, Test code-related issue</v>
      </c>
      <c r="C411" s="52"/>
      <c r="D411" s="52"/>
      <c r="E411" s="52"/>
      <c r="F411" s="52"/>
      <c r="G411" s="52"/>
      <c r="H411" s="52"/>
      <c r="I411" s="52"/>
      <c r="J411" s="52"/>
      <c r="K411" s="52"/>
      <c r="L411" s="52"/>
      <c r="M411" s="52"/>
      <c r="N411" s="52"/>
      <c r="O411" s="52"/>
      <c r="P411" s="52" t="str">
        <f>IFERROR(__xludf.DUMMYFUNCTION("""COMPUTED_VALUE"""),"informing::work::in::progress4::(vote::workflow-1)")</f>
        <v>informing::work::in::progress4::(vote::workflow-1)</v>
      </c>
      <c r="Q411" s="52"/>
      <c r="R411" s="52"/>
      <c r="S411" s="52"/>
      <c r="T411" s="52"/>
      <c r="U411" s="52"/>
      <c r="V411" s="52"/>
      <c r="W411" s="52"/>
      <c r="X411" s="52"/>
      <c r="Y411" s="52"/>
      <c r="Z411" s="52"/>
    </row>
    <row r="412">
      <c r="A412" s="52"/>
      <c r="B412" s="52" t="str">
        <f>IFERROR(__xludf.DUMMYFUNCTION("""COMPUTED_VALUE"""),"Configuration issue, Database-related issue, Network issue, Security issue, Program anomaly issue, Test code-related issue")</f>
        <v>Configuration issue, Database-related issue, Network issue, Security issue, Program anomaly issue, Test code-related issue</v>
      </c>
      <c r="C412" s="52"/>
      <c r="D412" s="52"/>
      <c r="E412" s="52"/>
      <c r="F412" s="52"/>
      <c r="G412" s="52"/>
      <c r="H412" s="52"/>
      <c r="I412" s="52"/>
      <c r="J412" s="52"/>
      <c r="K412" s="52"/>
      <c r="L412" s="52"/>
      <c r="M412" s="52"/>
      <c r="N412" s="52"/>
      <c r="O412" s="52"/>
      <c r="P412" s="52" t="str">
        <f>IFERROR(__xludf.DUMMYFUNCTION("""COMPUTED_VALUE"""),"informing::wrong::place::for::discussion")</f>
        <v>informing::wrong::place::for::discussion</v>
      </c>
      <c r="Q412" s="52"/>
      <c r="R412" s="52"/>
      <c r="S412" s="52"/>
      <c r="T412" s="52"/>
      <c r="U412" s="52"/>
      <c r="V412" s="52"/>
      <c r="W412" s="52"/>
      <c r="X412" s="52"/>
      <c r="Y412" s="52"/>
      <c r="Z412" s="52"/>
    </row>
    <row r="413">
      <c r="A413" s="52"/>
      <c r="B413" s="52" t="str">
        <f>IFERROR(__xludf.DUMMYFUNCTION("""COMPUTED_VALUE"""),"Configuration issue, Database-related issue, Performance issue, Permission/deprecation issue, Program anomaly issue, Test code-related issue")</f>
        <v>Configuration issue, Database-related issue, Performance issue, Permission/deprecation issue, Program anomaly issue, Test code-related issue</v>
      </c>
      <c r="C413" s="52"/>
      <c r="D413" s="52"/>
      <c r="E413" s="52"/>
      <c r="F413" s="52"/>
      <c r="G413" s="52"/>
      <c r="H413" s="52"/>
      <c r="I413" s="52"/>
      <c r="J413" s="52"/>
      <c r="K413" s="52"/>
      <c r="L413" s="52"/>
      <c r="M413" s="52"/>
      <c r="N413" s="52"/>
      <c r="O413" s="52"/>
      <c r="P413" s="52" t="str">
        <f>IFERROR(__xludf.DUMMYFUNCTION("""COMPUTED_VALUE"""),"informing:.conflict:.(another::review)")</f>
        <v>informing:.conflict:.(another::review)</v>
      </c>
      <c r="Q413" s="52"/>
      <c r="R413" s="52"/>
      <c r="S413" s="52"/>
      <c r="T413" s="52"/>
      <c r="U413" s="52"/>
      <c r="V413" s="52"/>
      <c r="W413" s="52"/>
      <c r="X413" s="52"/>
      <c r="Y413" s="52"/>
      <c r="Z413" s="52"/>
    </row>
    <row r="414">
      <c r="A414" s="52"/>
      <c r="B414" s="52" t="str">
        <f>IFERROR(__xludf.DUMMYFUNCTION("""COMPUTED_VALUE"""),"Configuration issue, Database-related issue, Performance issue, Permission/deprecation issue, Security issue, Program anomaly issue")</f>
        <v>Configuration issue, Database-related issue, Performance issue, Permission/deprecation issue, Security issue, Program anomaly issue</v>
      </c>
      <c r="C414" s="52"/>
      <c r="D414" s="52"/>
      <c r="E414" s="52"/>
      <c r="F414" s="52"/>
      <c r="G414" s="52"/>
      <c r="H414" s="52"/>
      <c r="I414" s="52"/>
      <c r="J414" s="52"/>
      <c r="K414" s="52"/>
      <c r="L414" s="52"/>
      <c r="M414" s="52"/>
      <c r="N414" s="52"/>
      <c r="O414" s="52"/>
      <c r="P414" s="52" t="str">
        <f>IFERROR(__xludf.DUMMYFUNCTION("""COMPUTED_VALUE"""),"informing:.that::a::change::made::was::already::done")</f>
        <v>informing:.that::a::change::made::was::already::done</v>
      </c>
      <c r="Q414" s="52"/>
      <c r="R414" s="52"/>
      <c r="S414" s="52"/>
      <c r="T414" s="52"/>
      <c r="U414" s="52"/>
      <c r="V414" s="52"/>
      <c r="W414" s="52"/>
      <c r="X414" s="52"/>
      <c r="Y414" s="52"/>
      <c r="Z414" s="52"/>
    </row>
    <row r="415">
      <c r="A415" s="52"/>
      <c r="B415" s="52" t="str">
        <f>IFERROR(__xludf.DUMMYFUNCTION("""COMPUTED_VALUE"""),"Configuration issue, Database-related issue, Performance issue, Permission/deprecation issue, Security issue, Test code-related issue")</f>
        <v>Configuration issue, Database-related issue, Performance issue, Permission/deprecation issue, Security issue, Test code-related issue</v>
      </c>
      <c r="C415" s="52"/>
      <c r="D415" s="52"/>
      <c r="E415" s="52"/>
      <c r="F415" s="52"/>
      <c r="G415" s="52"/>
      <c r="H415" s="52"/>
      <c r="I415" s="52"/>
      <c r="J415" s="52"/>
      <c r="K415" s="52"/>
      <c r="L415" s="52"/>
      <c r="M415" s="52"/>
      <c r="N415" s="52"/>
      <c r="O415" s="52"/>
      <c r="P415" s="52" t="str">
        <f>IFERROR(__xludf.DUMMYFUNCTION("""COMPUTED_VALUE"""),"introducing::solution::design::(explanation)")</f>
        <v>introducing::solution::design::(explanation)</v>
      </c>
      <c r="Q415" s="52"/>
      <c r="R415" s="52"/>
      <c r="S415" s="52"/>
      <c r="T415" s="52"/>
      <c r="U415" s="52"/>
      <c r="V415" s="52"/>
      <c r="W415" s="52"/>
      <c r="X415" s="52"/>
      <c r="Y415" s="52"/>
      <c r="Z415" s="52"/>
    </row>
    <row r="416">
      <c r="A416" s="52"/>
      <c r="B416" s="52" t="str">
        <f>IFERROR(__xludf.DUMMYFUNCTION("""COMPUTED_VALUE"""),"Configuration issue, Database-related issue, Performance issue, Security issue, Program anomaly issue, Test code-related issue")</f>
        <v>Configuration issue, Database-related issue, Performance issue, Security issue, Program anomaly issue, Test code-related issue</v>
      </c>
      <c r="C416" s="52"/>
      <c r="D416" s="52"/>
      <c r="E416" s="52"/>
      <c r="F416" s="52"/>
      <c r="G416" s="52"/>
      <c r="H416" s="52"/>
      <c r="I416" s="52"/>
      <c r="J416" s="52"/>
      <c r="K416" s="52"/>
      <c r="L416" s="52"/>
      <c r="M416" s="52"/>
      <c r="N416" s="52"/>
      <c r="O416" s="52"/>
      <c r="P416" s="52" t="str">
        <f>IFERROR(__xludf.DUMMYFUNCTION("""COMPUTED_VALUE"""),"Issues::(BP/bugs)::related::to::the::change")</f>
        <v>Issues::(BP/bugs)::related::to::the::change</v>
      </c>
      <c r="Q416" s="52"/>
      <c r="R416" s="52"/>
      <c r="S416" s="52"/>
      <c r="T416" s="52"/>
      <c r="U416" s="52"/>
      <c r="V416" s="52"/>
      <c r="W416" s="52"/>
      <c r="X416" s="52"/>
      <c r="Y416" s="52"/>
      <c r="Z416" s="52"/>
    </row>
    <row r="417">
      <c r="A417" s="52"/>
      <c r="B417" s="52" t="str">
        <f>IFERROR(__xludf.DUMMYFUNCTION("""COMPUTED_VALUE"""),"Configuration issue, Database-related issue, Permission/deprecation issue, Security issue, Program anomaly issue, Test code-related issue")</f>
        <v>Configuration issue, Database-related issue, Permission/deprecation issue, Security issue, Program anomaly issue, Test code-related issue</v>
      </c>
      <c r="C417" s="52"/>
      <c r="D417" s="52"/>
      <c r="E417" s="52"/>
      <c r="F417" s="52"/>
      <c r="G417" s="52"/>
      <c r="H417" s="52"/>
      <c r="I417" s="52"/>
      <c r="J417" s="52"/>
      <c r="K417" s="52"/>
      <c r="L417" s="52"/>
      <c r="M417" s="52"/>
      <c r="N417" s="52"/>
      <c r="O417" s="52"/>
      <c r="P417" s="52" t="str">
        <f>IFERROR(__xludf.DUMMYFUNCTION("""COMPUTED_VALUE"""),"Issues::(BP/bugs)::that::caused::the::change")</f>
        <v>Issues::(BP/bugs)::that::caused::the::change</v>
      </c>
      <c r="Q417" s="52"/>
      <c r="R417" s="52"/>
      <c r="S417" s="52"/>
      <c r="T417" s="52"/>
      <c r="U417" s="52"/>
      <c r="V417" s="52"/>
      <c r="W417" s="52"/>
      <c r="X417" s="52"/>
      <c r="Y417" s="52"/>
      <c r="Z417" s="52"/>
    </row>
    <row r="418">
      <c r="A418" s="52"/>
      <c r="B418" s="52" t="str">
        <f>IFERROR(__xludf.DUMMYFUNCTION("""COMPUTED_VALUE"""),"Configuration issue, GUI-related issue, Network issue, Performance issue, Permission/deprecation issue, Program anomaly issue")</f>
        <v>Configuration issue, GUI-related issue, Network issue, Performance issue, Permission/deprecation issue, Program anomaly issue</v>
      </c>
      <c r="C418" s="52"/>
      <c r="D418" s="52"/>
      <c r="E418" s="52"/>
      <c r="F418" s="52"/>
      <c r="G418" s="52"/>
      <c r="H418" s="52"/>
      <c r="I418" s="52"/>
      <c r="J418" s="52"/>
      <c r="K418" s="52"/>
      <c r="L418" s="52"/>
      <c r="M418" s="52"/>
      <c r="N418" s="52"/>
      <c r="O418" s="52"/>
      <c r="P418" s="52" t="str">
        <f>IFERROR(__xludf.DUMMYFUNCTION("""COMPUTED_VALUE"""),"justifying::no::need::of::new::tests")</f>
        <v>justifying::no::need::of::new::tests</v>
      </c>
      <c r="Q418" s="52"/>
      <c r="R418" s="52"/>
      <c r="S418" s="52"/>
      <c r="T418" s="52"/>
      <c r="U418" s="52"/>
      <c r="V418" s="52"/>
      <c r="W418" s="52"/>
      <c r="X418" s="52"/>
      <c r="Y418" s="52"/>
      <c r="Z418" s="52"/>
    </row>
    <row r="419">
      <c r="A419" s="52"/>
      <c r="B419" s="52" t="str">
        <f>IFERROR(__xludf.DUMMYFUNCTION("""COMPUTED_VALUE"""),"Configuration issue, GUI-related issue, Network issue, Performance issue, Permission/deprecation issue, Security issue")</f>
        <v>Configuration issue, GUI-related issue, Network issue, Performance issue, Permission/deprecation issue, Security issue</v>
      </c>
      <c r="C419" s="52"/>
      <c r="D419" s="52"/>
      <c r="E419" s="52"/>
      <c r="F419" s="52"/>
      <c r="G419" s="52"/>
      <c r="H419" s="52"/>
      <c r="I419" s="52"/>
      <c r="J419" s="52"/>
      <c r="K419" s="52"/>
      <c r="L419" s="52"/>
      <c r="M419" s="52"/>
      <c r="N419" s="52"/>
      <c r="O419" s="52"/>
      <c r="P419" s="52" t="str">
        <f>IFERROR(__xludf.DUMMYFUNCTION("""COMPUTED_VALUE"""),"justifying::the::approach::of::the::change")</f>
        <v>justifying::the::approach::of::the::change</v>
      </c>
      <c r="Q419" s="52"/>
      <c r="R419" s="52"/>
      <c r="S419" s="52"/>
      <c r="T419" s="52"/>
      <c r="U419" s="52"/>
      <c r="V419" s="52"/>
      <c r="W419" s="52"/>
      <c r="X419" s="52"/>
      <c r="Y419" s="52"/>
      <c r="Z419" s="52"/>
    </row>
    <row r="420">
      <c r="A420" s="52"/>
      <c r="B420" s="52" t="str">
        <f>IFERROR(__xludf.DUMMYFUNCTION("""COMPUTED_VALUE"""),"Configuration issue, GUI-related issue, Network issue, Performance issue, Permission/deprecation issue, Test code-related issue")</f>
        <v>Configuration issue, GUI-related issue, Network issue, Performance issue, Permission/deprecation issue, Test code-related issue</v>
      </c>
      <c r="C420" s="52"/>
      <c r="D420" s="52"/>
      <c r="E420" s="52"/>
      <c r="F420" s="52"/>
      <c r="G420" s="52"/>
      <c r="H420" s="52"/>
      <c r="I420" s="52"/>
      <c r="J420" s="52"/>
      <c r="K420" s="52"/>
      <c r="L420" s="52"/>
      <c r="M420" s="52"/>
      <c r="N420" s="52"/>
      <c r="O420" s="52"/>
      <c r="P420" s="52" t="str">
        <f>IFERROR(__xludf.DUMMYFUNCTION("""COMPUTED_VALUE"""),"links::to::twitter")</f>
        <v>links::to::twitter</v>
      </c>
      <c r="Q420" s="52"/>
      <c r="R420" s="52"/>
      <c r="S420" s="52"/>
      <c r="T420" s="52"/>
      <c r="U420" s="52"/>
      <c r="V420" s="52"/>
      <c r="W420" s="52"/>
      <c r="X420" s="52"/>
      <c r="Y420" s="52"/>
      <c r="Z420" s="52"/>
    </row>
    <row r="421">
      <c r="A421" s="52"/>
      <c r="B421" s="52" t="str">
        <f>IFERROR(__xludf.DUMMYFUNCTION("""COMPUTED_VALUE"""),"Configuration issue, GUI-related issue, Network issue, Performance issue, Program anomaly issue, Test code-related issue")</f>
        <v>Configuration issue, GUI-related issue, Network issue, Performance issue, Program anomaly issue, Test code-related issue</v>
      </c>
      <c r="C421" s="52"/>
      <c r="D421" s="52"/>
      <c r="E421" s="52"/>
      <c r="F421" s="52"/>
      <c r="G421" s="52"/>
      <c r="H421" s="52"/>
      <c r="I421" s="52"/>
      <c r="J421" s="52"/>
      <c r="K421" s="52"/>
      <c r="L421" s="52"/>
      <c r="M421" s="52"/>
      <c r="N421" s="52"/>
      <c r="O421" s="52"/>
      <c r="P421" s="52" t="str">
        <f>IFERROR(__xludf.DUMMYFUNCTION("""COMPUTED_VALUE"""),"mediate::objecting::and::suggestion::change::(move::logic)")</f>
        <v>mediate::objecting::and::suggestion::change::(move::logic)</v>
      </c>
      <c r="Q421" s="52"/>
      <c r="R421" s="52"/>
      <c r="S421" s="52"/>
      <c r="T421" s="52"/>
      <c r="U421" s="52"/>
      <c r="V421" s="52"/>
      <c r="W421" s="52"/>
      <c r="X421" s="52"/>
      <c r="Y421" s="52"/>
      <c r="Z421" s="52"/>
    </row>
    <row r="422">
      <c r="A422" s="52"/>
      <c r="B422" s="52" t="str">
        <f>IFERROR(__xludf.DUMMYFUNCTION("""COMPUTED_VALUE"""),"Configuration issue, GUI-related issue, Network issue, Performance issue, Security issue, Program anomaly issue")</f>
        <v>Configuration issue, GUI-related issue, Network issue, Performance issue, Security issue, Program anomaly issue</v>
      </c>
      <c r="C422" s="52"/>
      <c r="D422" s="52"/>
      <c r="E422" s="52"/>
      <c r="F422" s="52"/>
      <c r="G422" s="52"/>
      <c r="H422" s="52"/>
      <c r="I422" s="52"/>
      <c r="J422" s="52"/>
      <c r="K422" s="52"/>
      <c r="L422" s="52"/>
      <c r="M422" s="52"/>
      <c r="N422" s="52"/>
      <c r="O422" s="52"/>
      <c r="P422" s="52" t="str">
        <f>IFERROR(__xludf.DUMMYFUNCTION("""COMPUTED_VALUE"""),"mentioning::co::authors")</f>
        <v>mentioning::co::authors</v>
      </c>
      <c r="Q422" s="52"/>
      <c r="R422" s="52"/>
      <c r="S422" s="52"/>
      <c r="T422" s="52"/>
      <c r="U422" s="52"/>
      <c r="V422" s="52"/>
      <c r="W422" s="52"/>
      <c r="X422" s="52"/>
      <c r="Y422" s="52"/>
      <c r="Z422" s="52"/>
    </row>
    <row r="423">
      <c r="A423" s="52"/>
      <c r="B423" s="52" t="str">
        <f>IFERROR(__xludf.DUMMYFUNCTION("""COMPUTED_VALUE"""),"Configuration issue, GUI-related issue, Network issue, Performance issue, Security issue, Test code-related issue")</f>
        <v>Configuration issue, GUI-related issue, Network issue, Performance issue, Security issue, Test code-related issue</v>
      </c>
      <c r="C423" s="52"/>
      <c r="D423" s="52"/>
      <c r="E423" s="52"/>
      <c r="F423" s="52"/>
      <c r="G423" s="52"/>
      <c r="H423" s="52"/>
      <c r="I423" s="52"/>
      <c r="J423" s="52"/>
      <c r="K423" s="52"/>
      <c r="L423" s="52"/>
      <c r="M423" s="52"/>
      <c r="N423" s="52"/>
      <c r="O423" s="52"/>
      <c r="P423" s="52" t="str">
        <f>IFERROR(__xludf.DUMMYFUNCTION("""COMPUTED_VALUE"""),"mentioning::experience::in::project::(new::in::project)")</f>
        <v>mentioning::experience::in::project::(new::in::project)</v>
      </c>
      <c r="Q423" s="52"/>
      <c r="R423" s="52"/>
      <c r="S423" s="52"/>
      <c r="T423" s="52"/>
      <c r="U423" s="52"/>
      <c r="V423" s="52"/>
      <c r="W423" s="52"/>
      <c r="X423" s="52"/>
      <c r="Y423" s="52"/>
      <c r="Z423" s="52"/>
    </row>
    <row r="424">
      <c r="A424" s="52"/>
      <c r="B424" s="52" t="str">
        <f>IFERROR(__xludf.DUMMYFUNCTION("""COMPUTED_VALUE"""),"Configuration issue, GUI-related issue, Network issue, Permission/deprecation issue, Program anomaly issue, Test code-related issue")</f>
        <v>Configuration issue, GUI-related issue, Network issue, Permission/deprecation issue, Program anomaly issue, Test code-related issue</v>
      </c>
      <c r="C424" s="52"/>
      <c r="D424" s="52"/>
      <c r="E424" s="52"/>
      <c r="F424" s="52"/>
      <c r="G424" s="52"/>
      <c r="H424" s="52"/>
      <c r="I424" s="52"/>
      <c r="J424" s="52"/>
      <c r="K424" s="52"/>
      <c r="L424" s="52"/>
      <c r="M424" s="52"/>
      <c r="N424" s="52"/>
      <c r="O424" s="52"/>
      <c r="P424" s="52" t="str">
        <f>IFERROR(__xludf.DUMMYFUNCTION("""COMPUTED_VALUE"""),"mentions::PR::target")</f>
        <v>mentions::PR::target</v>
      </c>
      <c r="Q424" s="52"/>
      <c r="R424" s="52"/>
      <c r="S424" s="52"/>
      <c r="T424" s="52"/>
      <c r="U424" s="52"/>
      <c r="V424" s="52"/>
      <c r="W424" s="52"/>
      <c r="X424" s="52"/>
      <c r="Y424" s="52"/>
      <c r="Z424" s="52"/>
    </row>
    <row r="425">
      <c r="A425" s="52"/>
      <c r="B425" s="52" t="str">
        <f>IFERROR(__xludf.DUMMYFUNCTION("""COMPUTED_VALUE"""),"Configuration issue, GUI-related issue, Network issue, Permission/deprecation issue, Security issue, Program anomaly issue")</f>
        <v>Configuration issue, GUI-related issue, Network issue, Permission/deprecation issue, Security issue, Program anomaly issue</v>
      </c>
      <c r="C425" s="52"/>
      <c r="D425" s="52"/>
      <c r="E425" s="52"/>
      <c r="F425" s="52"/>
      <c r="G425" s="52"/>
      <c r="H425" s="52"/>
      <c r="I425" s="52"/>
      <c r="J425" s="52"/>
      <c r="K425" s="52"/>
      <c r="L425" s="52"/>
      <c r="M425" s="52"/>
      <c r="N425" s="52"/>
      <c r="O425" s="52"/>
      <c r="P425" s="52" t="str">
        <f>IFERROR(__xludf.DUMMYFUNCTION("""COMPUTED_VALUE"""),"minor::changes::required::for::submitting")</f>
        <v>minor::changes::required::for::submitting</v>
      </c>
      <c r="Q425" s="52"/>
      <c r="R425" s="52"/>
      <c r="S425" s="52"/>
      <c r="T425" s="52"/>
      <c r="U425" s="52"/>
      <c r="V425" s="52"/>
      <c r="W425" s="52"/>
      <c r="X425" s="52"/>
      <c r="Y425" s="52"/>
      <c r="Z425" s="52"/>
    </row>
    <row r="426">
      <c r="A426" s="52"/>
      <c r="B426" s="52" t="str">
        <f>IFERROR(__xludf.DUMMYFUNCTION("""COMPUTED_VALUE"""),"Configuration issue, GUI-related issue, Network issue, Permission/deprecation issue, Security issue, Test code-related issue")</f>
        <v>Configuration issue, GUI-related issue, Network issue, Permission/deprecation issue, Security issue, Test code-related issue</v>
      </c>
      <c r="C426" s="52"/>
      <c r="D426" s="52"/>
      <c r="E426" s="52"/>
      <c r="F426" s="52"/>
      <c r="G426" s="52"/>
      <c r="H426" s="52"/>
      <c r="I426" s="52"/>
      <c r="J426" s="52"/>
      <c r="K426" s="52"/>
      <c r="L426" s="52"/>
      <c r="M426" s="52"/>
      <c r="N426" s="52"/>
      <c r="O426" s="52"/>
      <c r="P426" s="52" t="str">
        <f>IFERROR(__xludf.DUMMYFUNCTION("""COMPUTED_VALUE"""),"minor::changes::required::for::submitting::(comments::added::elsewhere)")</f>
        <v>minor::changes::required::for::submitting::(comments::added::elsewhere)</v>
      </c>
      <c r="Q426" s="52"/>
      <c r="R426" s="52"/>
      <c r="S426" s="52"/>
      <c r="T426" s="52"/>
      <c r="U426" s="52"/>
      <c r="V426" s="52"/>
      <c r="W426" s="52"/>
      <c r="X426" s="52"/>
      <c r="Y426" s="52"/>
      <c r="Z426" s="52"/>
    </row>
    <row r="427">
      <c r="A427" s="52"/>
      <c r="B427" s="52" t="str">
        <f>IFERROR(__xludf.DUMMYFUNCTION("""COMPUTED_VALUE"""),"Configuration issue, GUI-related issue, Network issue, Security issue, Program anomaly issue, Test code-related issue")</f>
        <v>Configuration issue, GUI-related issue, Network issue, Security issue, Program anomaly issue, Test code-related issue</v>
      </c>
      <c r="C427" s="52"/>
      <c r="D427" s="52"/>
      <c r="E427" s="52"/>
      <c r="F427" s="52"/>
      <c r="G427" s="52"/>
      <c r="H427" s="52"/>
      <c r="I427" s="52"/>
      <c r="J427" s="52"/>
      <c r="K427" s="52"/>
      <c r="L427" s="52"/>
      <c r="M427" s="52"/>
      <c r="N427" s="52"/>
      <c r="O427" s="52"/>
      <c r="P427" s="52" t="str">
        <f>IFERROR(__xludf.DUMMYFUNCTION("""COMPUTED_VALUE"""),"minor::changes::required::for::submitting::(comments::added)")</f>
        <v>minor::changes::required::for::submitting::(comments::added)</v>
      </c>
      <c r="Q427" s="52"/>
      <c r="R427" s="52"/>
      <c r="S427" s="52"/>
      <c r="T427" s="52"/>
      <c r="U427" s="52"/>
      <c r="V427" s="52"/>
      <c r="W427" s="52"/>
      <c r="X427" s="52"/>
      <c r="Y427" s="52"/>
      <c r="Z427" s="52"/>
    </row>
    <row r="428">
      <c r="A428" s="52"/>
      <c r="B428" s="52" t="str">
        <f>IFERROR(__xludf.DUMMYFUNCTION("""COMPUTED_VALUE"""),"Configuration issue, GUI-related issue, Performance issue, Permission/deprecation issue, Program anomaly issue, Test code-related issue")</f>
        <v>Configuration issue, GUI-related issue, Performance issue, Permission/deprecation issue, Program anomaly issue, Test code-related issue</v>
      </c>
      <c r="C428" s="52"/>
      <c r="D428" s="52"/>
      <c r="E428" s="52"/>
      <c r="F428" s="52"/>
      <c r="G428" s="52"/>
      <c r="H428" s="52"/>
      <c r="I428" s="52"/>
      <c r="J428" s="52"/>
      <c r="K428" s="52"/>
      <c r="L428" s="52"/>
      <c r="M428" s="52"/>
      <c r="N428" s="52"/>
      <c r="O428" s="52"/>
      <c r="P428" s="52" t="str">
        <f>IFERROR(__xludf.DUMMYFUNCTION("""COMPUTED_VALUE"""),"need::CI")</f>
        <v>need::CI</v>
      </c>
      <c r="Q428" s="52"/>
      <c r="R428" s="52"/>
      <c r="S428" s="52"/>
      <c r="T428" s="52"/>
      <c r="U428" s="52"/>
      <c r="V428" s="52"/>
      <c r="W428" s="52"/>
      <c r="X428" s="52"/>
      <c r="Y428" s="52"/>
      <c r="Z428" s="52"/>
    </row>
    <row r="429">
      <c r="A429" s="52"/>
      <c r="B429" s="52" t="str">
        <f>IFERROR(__xludf.DUMMYFUNCTION("""COMPUTED_VALUE"""),"Configuration issue, GUI-related issue, Performance issue, Permission/deprecation issue, Security issue, Program anomaly issue")</f>
        <v>Configuration issue, GUI-related issue, Performance issue, Permission/deprecation issue, Security issue, Program anomaly issue</v>
      </c>
      <c r="C429" s="52"/>
      <c r="D429" s="52"/>
      <c r="E429" s="52"/>
      <c r="F429" s="52"/>
      <c r="G429" s="52"/>
      <c r="H429" s="52"/>
      <c r="I429" s="52"/>
      <c r="J429" s="52"/>
      <c r="K429" s="52"/>
      <c r="L429" s="52"/>
      <c r="M429" s="52"/>
      <c r="N429" s="52"/>
      <c r="O429" s="52"/>
      <c r="P429" s="52" t="str">
        <f>IFERROR(__xludf.DUMMYFUNCTION("""COMPUTED_VALUE"""),"need::of::rebase")</f>
        <v>need::of::rebase</v>
      </c>
      <c r="Q429" s="52"/>
      <c r="R429" s="52"/>
      <c r="S429" s="52"/>
      <c r="T429" s="52"/>
      <c r="U429" s="52"/>
      <c r="V429" s="52"/>
      <c r="W429" s="52"/>
      <c r="X429" s="52"/>
      <c r="Y429" s="52"/>
      <c r="Z429" s="52"/>
    </row>
    <row r="430">
      <c r="A430" s="52"/>
      <c r="B430" s="52" t="str">
        <f>IFERROR(__xludf.DUMMYFUNCTION("""COMPUTED_VALUE"""),"Configuration issue, GUI-related issue, Performance issue, Permission/deprecation issue, Security issue, Test code-related issue")</f>
        <v>Configuration issue, GUI-related issue, Performance issue, Permission/deprecation issue, Security issue, Test code-related issue</v>
      </c>
      <c r="C430" s="52"/>
      <c r="D430" s="52"/>
      <c r="E430" s="52"/>
      <c r="F430" s="52"/>
      <c r="G430" s="52"/>
      <c r="H430" s="52"/>
      <c r="I430" s="52"/>
      <c r="J430" s="52"/>
      <c r="K430" s="52"/>
      <c r="L430" s="52"/>
      <c r="M430" s="52"/>
      <c r="N430" s="52"/>
      <c r="O430" s="52"/>
      <c r="P430" s="52" t="str">
        <f>IFERROR(__xludf.DUMMYFUNCTION("""COMPUTED_VALUE"""),"no::score")</f>
        <v>no::score</v>
      </c>
      <c r="Q430" s="52"/>
      <c r="R430" s="52"/>
      <c r="S430" s="52"/>
      <c r="T430" s="52"/>
      <c r="U430" s="52"/>
      <c r="V430" s="52"/>
      <c r="W430" s="52"/>
      <c r="X430" s="52"/>
      <c r="Y430" s="52"/>
      <c r="Z430" s="52"/>
    </row>
    <row r="431">
      <c r="A431" s="52"/>
      <c r="B431" s="52" t="str">
        <f>IFERROR(__xludf.DUMMYFUNCTION("""COMPUTED_VALUE"""),"Configuration issue, GUI-related issue, Performance issue, Security issue, Program anomaly issue, Test code-related issue")</f>
        <v>Configuration issue, GUI-related issue, Performance issue, Security issue, Program anomaly issue, Test code-related issue</v>
      </c>
      <c r="C431" s="52"/>
      <c r="D431" s="52"/>
      <c r="E431" s="52"/>
      <c r="F431" s="52"/>
      <c r="G431" s="52"/>
      <c r="H431" s="52"/>
      <c r="I431" s="52"/>
      <c r="J431" s="52"/>
      <c r="K431" s="52"/>
      <c r="L431" s="52"/>
      <c r="M431" s="52"/>
      <c r="N431" s="52"/>
      <c r="O431" s="52"/>
      <c r="P431" s="52" t="str">
        <f>IFERROR(__xludf.DUMMYFUNCTION("""COMPUTED_VALUE"""),"not::approval::for::submitting")</f>
        <v>not::approval::for::submitting</v>
      </c>
      <c r="Q431" s="52"/>
      <c r="R431" s="52"/>
      <c r="S431" s="52"/>
      <c r="T431" s="52"/>
      <c r="U431" s="52"/>
      <c r="V431" s="52"/>
      <c r="W431" s="52"/>
      <c r="X431" s="52"/>
      <c r="Y431" s="52"/>
      <c r="Z431" s="52"/>
    </row>
    <row r="432">
      <c r="A432" s="52"/>
      <c r="B432" s="52" t="str">
        <f>IFERROR(__xludf.DUMMYFUNCTION("""COMPUTED_VALUE"""),"Configuration issue, GUI-related issue, Permission/deprecation issue, Security issue, Program anomaly issue, Test code-related issue")</f>
        <v>Configuration issue, GUI-related issue, Permission/deprecation issue, Security issue, Program anomaly issue, Test code-related issue</v>
      </c>
      <c r="C432" s="52"/>
      <c r="D432" s="52"/>
      <c r="E432" s="52"/>
      <c r="F432" s="52"/>
      <c r="G432" s="52"/>
      <c r="H432" s="52"/>
      <c r="I432" s="52"/>
      <c r="J432" s="52"/>
      <c r="K432" s="52"/>
      <c r="L432" s="52"/>
      <c r="M432" s="52"/>
      <c r="N432" s="52"/>
      <c r="O432" s="52"/>
      <c r="P432" s="52" t="str">
        <f>IFERROR(__xludf.DUMMYFUNCTION("""COMPUTED_VALUE"""),"not::approval::for::submitting::(as::merge)")</f>
        <v>not::approval::for::submitting::(as::merge)</v>
      </c>
      <c r="Q432" s="52"/>
      <c r="R432" s="52"/>
      <c r="S432" s="52"/>
      <c r="T432" s="52"/>
      <c r="U432" s="52"/>
      <c r="V432" s="52"/>
      <c r="W432" s="52"/>
      <c r="X432" s="52"/>
      <c r="Y432" s="52"/>
      <c r="Z432" s="52"/>
    </row>
    <row r="433">
      <c r="A433" s="52"/>
      <c r="B433" s="52" t="str">
        <f>IFERROR(__xludf.DUMMYFUNCTION("""COMPUTED_VALUE"""),"Configuration issue, Network issue, Performance issue, Permission/deprecation issue, Program anomaly issue, Test code-related issue")</f>
        <v>Configuration issue, Network issue, Performance issue, Permission/deprecation issue, Program anomaly issue, Test code-related issue</v>
      </c>
      <c r="C433" s="52"/>
      <c r="D433" s="52"/>
      <c r="E433" s="52"/>
      <c r="F433" s="52"/>
      <c r="G433" s="52"/>
      <c r="H433" s="52"/>
      <c r="I433" s="52"/>
      <c r="J433" s="52"/>
      <c r="K433" s="52"/>
      <c r="L433" s="52"/>
      <c r="M433" s="52"/>
      <c r="N433" s="52"/>
      <c r="O433" s="52"/>
      <c r="P433" s="52" t="str">
        <f>IFERROR(__xludf.DUMMYFUNCTION("""COMPUTED_VALUE"""),"not::approval::for::submitting::(vote)")</f>
        <v>not::approval::for::submitting::(vote)</v>
      </c>
      <c r="Q433" s="52"/>
      <c r="R433" s="52"/>
      <c r="S433" s="52"/>
      <c r="T433" s="52"/>
      <c r="U433" s="52"/>
      <c r="V433" s="52"/>
      <c r="W433" s="52"/>
      <c r="X433" s="52"/>
      <c r="Y433" s="52"/>
      <c r="Z433" s="52"/>
    </row>
    <row r="434">
      <c r="A434" s="52"/>
      <c r="B434" s="52" t="str">
        <f>IFERROR(__xludf.DUMMYFUNCTION("""COMPUTED_VALUE"""),"Configuration issue, Network issue, Performance issue, Permission/deprecation issue, Security issue, Program anomaly issue")</f>
        <v>Configuration issue, Network issue, Performance issue, Permission/deprecation issue, Security issue, Program anomaly issue</v>
      </c>
      <c r="C434" s="52"/>
      <c r="D434" s="52"/>
      <c r="E434" s="52"/>
      <c r="F434" s="52"/>
      <c r="G434" s="52"/>
      <c r="H434" s="52"/>
      <c r="I434" s="52"/>
      <c r="J434" s="52"/>
      <c r="K434" s="52"/>
      <c r="L434" s="52"/>
      <c r="M434" s="52"/>
      <c r="N434" s="52"/>
      <c r="O434" s="52"/>
      <c r="P434" s="52" t="str">
        <f>IFERROR(__xludf.DUMMYFUNCTION("""COMPUTED_VALUE"""),"not::approval::for::submitting::(vote1)")</f>
        <v>not::approval::for::submitting::(vote1)</v>
      </c>
      <c r="Q434" s="52"/>
      <c r="R434" s="52"/>
      <c r="S434" s="52"/>
      <c r="T434" s="52"/>
      <c r="U434" s="52"/>
      <c r="V434" s="52"/>
      <c r="W434" s="52"/>
      <c r="X434" s="52"/>
      <c r="Y434" s="52"/>
      <c r="Z434" s="52"/>
    </row>
    <row r="435">
      <c r="A435" s="52"/>
      <c r="B435" s="52" t="str">
        <f>IFERROR(__xludf.DUMMYFUNCTION("""COMPUTED_VALUE"""),"Configuration issue, Network issue, Performance issue, Permission/deprecation issue, Security issue, Test code-related issue")</f>
        <v>Configuration issue, Network issue, Performance issue, Permission/deprecation issue, Security issue, Test code-related issue</v>
      </c>
      <c r="C435" s="52"/>
      <c r="D435" s="52"/>
      <c r="E435" s="52"/>
      <c r="F435" s="52"/>
      <c r="G435" s="52"/>
      <c r="H435" s="52"/>
      <c r="I435" s="52"/>
      <c r="J435" s="52"/>
      <c r="K435" s="52"/>
      <c r="L435" s="52"/>
      <c r="M435" s="52"/>
      <c r="N435" s="52"/>
      <c r="O435" s="52"/>
      <c r="P435" s="52" t="str">
        <f>IFERROR(__xludf.DUMMYFUNCTION("""COMPUTED_VALUE"""),"not::approval::for::submitting::(vote10)")</f>
        <v>not::approval::for::submitting::(vote10)</v>
      </c>
      <c r="Q435" s="52"/>
      <c r="R435" s="52"/>
      <c r="S435" s="52"/>
      <c r="T435" s="52"/>
      <c r="U435" s="52"/>
      <c r="V435" s="52"/>
      <c r="W435" s="52"/>
      <c r="X435" s="52"/>
      <c r="Y435" s="52"/>
      <c r="Z435" s="52"/>
    </row>
    <row r="436">
      <c r="A436" s="52"/>
      <c r="B436" s="52" t="str">
        <f>IFERROR(__xludf.DUMMYFUNCTION("""COMPUTED_VALUE"""),"Configuration issue, Network issue, Performance issue, Security issue, Program anomaly issue, Test code-related issue")</f>
        <v>Configuration issue, Network issue, Performance issue, Security issue, Program anomaly issue, Test code-related issue</v>
      </c>
      <c r="C436" s="52"/>
      <c r="D436" s="52"/>
      <c r="E436" s="52"/>
      <c r="F436" s="52"/>
      <c r="G436" s="52"/>
      <c r="H436" s="52"/>
      <c r="I436" s="52"/>
      <c r="J436" s="52"/>
      <c r="K436" s="52"/>
      <c r="L436" s="52"/>
      <c r="M436" s="52"/>
      <c r="N436" s="52"/>
      <c r="O436" s="52"/>
      <c r="P436" s="52" t="str">
        <f>IFERROR(__xludf.DUMMYFUNCTION("""COMPUTED_VALUE"""),"not::approval::for::submitting::(vote11)")</f>
        <v>not::approval::for::submitting::(vote11)</v>
      </c>
      <c r="Q436" s="52"/>
      <c r="R436" s="52"/>
      <c r="S436" s="52"/>
      <c r="T436" s="52"/>
      <c r="U436" s="52"/>
      <c r="V436" s="52"/>
      <c r="W436" s="52"/>
      <c r="X436" s="52"/>
      <c r="Y436" s="52"/>
      <c r="Z436" s="52"/>
    </row>
    <row r="437">
      <c r="A437" s="52"/>
      <c r="B437" s="52" t="str">
        <f>IFERROR(__xludf.DUMMYFUNCTION("""COMPUTED_VALUE"""),"Configuration issue, Network issue, Permission/deprecation issue, Security issue, Program anomaly issue, Test code-related issue")</f>
        <v>Configuration issue, Network issue, Permission/deprecation issue, Security issue, Program anomaly issue, Test code-related issue</v>
      </c>
      <c r="C437" s="52"/>
      <c r="D437" s="52"/>
      <c r="E437" s="52"/>
      <c r="F437" s="52"/>
      <c r="G437" s="52"/>
      <c r="H437" s="52"/>
      <c r="I437" s="52"/>
      <c r="J437" s="52"/>
      <c r="K437" s="52"/>
      <c r="L437" s="52"/>
      <c r="M437" s="52"/>
      <c r="N437" s="52"/>
      <c r="O437" s="52"/>
      <c r="P437" s="52" t="str">
        <f>IFERROR(__xludf.DUMMYFUNCTION("""COMPUTED_VALUE"""),"not::approval::for::submitting::(vote2)")</f>
        <v>not::approval::for::submitting::(vote2)</v>
      </c>
      <c r="Q437" s="52"/>
      <c r="R437" s="52"/>
      <c r="S437" s="52"/>
      <c r="T437" s="52"/>
      <c r="U437" s="52"/>
      <c r="V437" s="52"/>
      <c r="W437" s="52"/>
      <c r="X437" s="52"/>
      <c r="Y437" s="52"/>
      <c r="Z437" s="52"/>
    </row>
    <row r="438">
      <c r="A438" s="52"/>
      <c r="B438" s="52" t="str">
        <f>IFERROR(__xludf.DUMMYFUNCTION("""COMPUTED_VALUE"""),"Configuration issue, Performance issue, Permission/deprecation issue, Security issue, Program anomaly issue, Test code-related issue")</f>
        <v>Configuration issue, Performance issue, Permission/deprecation issue, Security issue, Program anomaly issue, Test code-related issue</v>
      </c>
      <c r="C438" s="52"/>
      <c r="D438" s="52"/>
      <c r="E438" s="52"/>
      <c r="F438" s="52"/>
      <c r="G438" s="52"/>
      <c r="H438" s="52"/>
      <c r="I438" s="52"/>
      <c r="J438" s="52"/>
      <c r="K438" s="52"/>
      <c r="L438" s="52"/>
      <c r="M438" s="52"/>
      <c r="N438" s="52"/>
      <c r="O438" s="52"/>
      <c r="P438" s="52" t="str">
        <f>IFERROR(__xludf.DUMMYFUNCTION("""COMPUTED_VALUE"""),"not::approval::for::submitting::(vote3)")</f>
        <v>not::approval::for::submitting::(vote3)</v>
      </c>
      <c r="Q438" s="52"/>
      <c r="R438" s="52"/>
      <c r="S438" s="52"/>
      <c r="T438" s="52"/>
      <c r="U438" s="52"/>
      <c r="V438" s="52"/>
      <c r="W438" s="52"/>
      <c r="X438" s="52"/>
      <c r="Y438" s="52"/>
      <c r="Z438" s="52"/>
    </row>
    <row r="439">
      <c r="A439" s="52"/>
      <c r="B439" s="52" t="str">
        <f>IFERROR(__xludf.DUMMYFUNCTION("""COMPUTED_VALUE"""),"Database-related issue, GUI-related issue, Network issue, Performance issue, Permission/deprecation issue, Program anomaly issue")</f>
        <v>Database-related issue, GUI-related issue, Network issue, Performance issue, Permission/deprecation issue, Program anomaly issue</v>
      </c>
      <c r="C439" s="52"/>
      <c r="D439" s="52"/>
      <c r="E439" s="52"/>
      <c r="F439" s="52"/>
      <c r="G439" s="52"/>
      <c r="H439" s="52"/>
      <c r="I439" s="52"/>
      <c r="J439" s="52"/>
      <c r="K439" s="52"/>
      <c r="L439" s="52"/>
      <c r="M439" s="52"/>
      <c r="N439" s="52"/>
      <c r="O439" s="52"/>
      <c r="P439" s="52" t="str">
        <f>IFERROR(__xludf.DUMMYFUNCTION("""COMPUTED_VALUE"""),"not::approval::for::submitting::(vote4)")</f>
        <v>not::approval::for::submitting::(vote4)</v>
      </c>
      <c r="Q439" s="52"/>
      <c r="R439" s="52"/>
      <c r="S439" s="52"/>
      <c r="T439" s="52"/>
      <c r="U439" s="52"/>
      <c r="V439" s="52"/>
      <c r="W439" s="52"/>
      <c r="X439" s="52"/>
      <c r="Y439" s="52"/>
      <c r="Z439" s="52"/>
    </row>
    <row r="440">
      <c r="A440" s="52"/>
      <c r="B440" s="52" t="str">
        <f>IFERROR(__xludf.DUMMYFUNCTION("""COMPUTED_VALUE"""),"Database-related issue, GUI-related issue, Network issue, Performance issue, Permission/deprecation issue, Security issue")</f>
        <v>Database-related issue, GUI-related issue, Network issue, Performance issue, Permission/deprecation issue, Security issue</v>
      </c>
      <c r="C440" s="52"/>
      <c r="D440" s="52"/>
      <c r="E440" s="52"/>
      <c r="F440" s="52"/>
      <c r="G440" s="52"/>
      <c r="H440" s="52"/>
      <c r="I440" s="52"/>
      <c r="J440" s="52"/>
      <c r="K440" s="52"/>
      <c r="L440" s="52"/>
      <c r="M440" s="52"/>
      <c r="N440" s="52"/>
      <c r="O440" s="52"/>
      <c r="P440" s="52" t="str">
        <f>IFERROR(__xludf.DUMMYFUNCTION("""COMPUTED_VALUE"""),"not::approval::for::submitting::(vote5)")</f>
        <v>not::approval::for::submitting::(vote5)</v>
      </c>
      <c r="Q440" s="52"/>
      <c r="R440" s="52"/>
      <c r="S440" s="52"/>
      <c r="T440" s="52"/>
      <c r="U440" s="52"/>
      <c r="V440" s="52"/>
      <c r="W440" s="52"/>
      <c r="X440" s="52"/>
      <c r="Y440" s="52"/>
      <c r="Z440" s="52"/>
    </row>
    <row r="441">
      <c r="A441" s="52"/>
      <c r="B441" s="52" t="str">
        <f>IFERROR(__xludf.DUMMYFUNCTION("""COMPUTED_VALUE"""),"Database-related issue, GUI-related issue, Network issue, Performance issue, Permission/deprecation issue, Test code-related issue")</f>
        <v>Database-related issue, GUI-related issue, Network issue, Performance issue, Permission/deprecation issue, Test code-related issue</v>
      </c>
      <c r="C441" s="52"/>
      <c r="D441" s="52"/>
      <c r="E441" s="52"/>
      <c r="F441" s="52"/>
      <c r="G441" s="52"/>
      <c r="H441" s="52"/>
      <c r="I441" s="52"/>
      <c r="J441" s="52"/>
      <c r="K441" s="52"/>
      <c r="L441" s="52"/>
      <c r="M441" s="52"/>
      <c r="N441" s="52"/>
      <c r="O441" s="52"/>
      <c r="P441" s="52" t="str">
        <f>IFERROR(__xludf.DUMMYFUNCTION("""COMPUTED_VALUE"""),"not::approval::for::submitting::(vote6)")</f>
        <v>not::approval::for::submitting::(vote6)</v>
      </c>
      <c r="Q441" s="52"/>
      <c r="R441" s="52"/>
      <c r="S441" s="52"/>
      <c r="T441" s="52"/>
      <c r="U441" s="52"/>
      <c r="V441" s="52"/>
      <c r="W441" s="52"/>
      <c r="X441" s="52"/>
      <c r="Y441" s="52"/>
      <c r="Z441" s="52"/>
    </row>
    <row r="442">
      <c r="A442" s="52"/>
      <c r="B442" s="52" t="str">
        <f>IFERROR(__xludf.DUMMYFUNCTION("""COMPUTED_VALUE"""),"Database-related issue, GUI-related issue, Network issue, Performance issue, Program anomaly issue, Test code-related issue")</f>
        <v>Database-related issue, GUI-related issue, Network issue, Performance issue, Program anomaly issue, Test code-related issue</v>
      </c>
      <c r="C442" s="52"/>
      <c r="D442" s="52"/>
      <c r="E442" s="52"/>
      <c r="F442" s="52"/>
      <c r="G442" s="52"/>
      <c r="H442" s="52"/>
      <c r="I442" s="52"/>
      <c r="J442" s="52"/>
      <c r="K442" s="52"/>
      <c r="L442" s="52"/>
      <c r="M442" s="52"/>
      <c r="N442" s="52"/>
      <c r="O442" s="52"/>
      <c r="P442" s="52" t="str">
        <f>IFERROR(__xludf.DUMMYFUNCTION("""COMPUTED_VALUE"""),"not::approval::for::submitting::(vote7)")</f>
        <v>not::approval::for::submitting::(vote7)</v>
      </c>
      <c r="Q442" s="52"/>
      <c r="R442" s="52"/>
      <c r="S442" s="52"/>
      <c r="T442" s="52"/>
      <c r="U442" s="52"/>
      <c r="V442" s="52"/>
      <c r="W442" s="52"/>
      <c r="X442" s="52"/>
      <c r="Y442" s="52"/>
      <c r="Z442" s="52"/>
    </row>
    <row r="443">
      <c r="A443" s="52"/>
      <c r="B443" s="52" t="str">
        <f>IFERROR(__xludf.DUMMYFUNCTION("""COMPUTED_VALUE"""),"Database-related issue, GUI-related issue, Network issue, Performance issue, Security issue, Program anomaly issue")</f>
        <v>Database-related issue, GUI-related issue, Network issue, Performance issue, Security issue, Program anomaly issue</v>
      </c>
      <c r="C443" s="52"/>
      <c r="D443" s="52"/>
      <c r="E443" s="52"/>
      <c r="F443" s="52"/>
      <c r="G443" s="52"/>
      <c r="H443" s="52"/>
      <c r="I443" s="52"/>
      <c r="J443" s="52"/>
      <c r="K443" s="52"/>
      <c r="L443" s="52"/>
      <c r="M443" s="52"/>
      <c r="N443" s="52"/>
      <c r="O443" s="52"/>
      <c r="P443" s="52" t="str">
        <f>IFERROR(__xludf.DUMMYFUNCTION("""COMPUTED_VALUE"""),"not::approval::for::submitting::(vote8)")</f>
        <v>not::approval::for::submitting::(vote8)</v>
      </c>
      <c r="Q443" s="52"/>
      <c r="R443" s="52"/>
      <c r="S443" s="52"/>
      <c r="T443" s="52"/>
      <c r="U443" s="52"/>
      <c r="V443" s="52"/>
      <c r="W443" s="52"/>
      <c r="X443" s="52"/>
      <c r="Y443" s="52"/>
      <c r="Z443" s="52"/>
    </row>
    <row r="444">
      <c r="A444" s="52"/>
      <c r="B444" s="52" t="str">
        <f>IFERROR(__xludf.DUMMYFUNCTION("""COMPUTED_VALUE"""),"Database-related issue, GUI-related issue, Network issue, Performance issue, Security issue, Test code-related issue")</f>
        <v>Database-related issue, GUI-related issue, Network issue, Performance issue, Security issue, Test code-related issue</v>
      </c>
      <c r="C444" s="52"/>
      <c r="D444" s="52"/>
      <c r="E444" s="52"/>
      <c r="F444" s="52"/>
      <c r="G444" s="52"/>
      <c r="H444" s="52"/>
      <c r="I444" s="52"/>
      <c r="J444" s="52"/>
      <c r="K444" s="52"/>
      <c r="L444" s="52"/>
      <c r="M444" s="52"/>
      <c r="N444" s="52"/>
      <c r="O444" s="52"/>
      <c r="P444" s="52" t="str">
        <f>IFERROR(__xludf.DUMMYFUNCTION("""COMPUTED_VALUE"""),"not::approval::for::submitting::(vote9)")</f>
        <v>not::approval::for::submitting::(vote9)</v>
      </c>
      <c r="Q444" s="52"/>
      <c r="R444" s="52"/>
      <c r="S444" s="52"/>
      <c r="T444" s="52"/>
      <c r="U444" s="52"/>
      <c r="V444" s="52"/>
      <c r="W444" s="52"/>
      <c r="X444" s="52"/>
      <c r="Y444" s="52"/>
      <c r="Z444" s="52"/>
    </row>
    <row r="445">
      <c r="A445" s="52"/>
      <c r="B445" s="52" t="str">
        <f>IFERROR(__xludf.DUMMYFUNCTION("""COMPUTED_VALUE"""),"Database-related issue, GUI-related issue, Network issue, Permission/deprecation issue, Program anomaly issue, Test code-related issue")</f>
        <v>Database-related issue, GUI-related issue, Network issue, Permission/deprecation issue, Program anomaly issue, Test code-related issue</v>
      </c>
      <c r="C445" s="52"/>
      <c r="D445" s="52"/>
      <c r="E445" s="52"/>
      <c r="F445" s="52"/>
      <c r="G445" s="52"/>
      <c r="H445" s="52"/>
      <c r="I445" s="52"/>
      <c r="J445" s="52"/>
      <c r="K445" s="52"/>
      <c r="L445" s="52"/>
      <c r="M445" s="52"/>
      <c r="N445" s="52"/>
      <c r="O445" s="52"/>
      <c r="P445" s="52" t="str">
        <f>IFERROR(__xludf.DUMMYFUNCTION("""COMPUTED_VALUE"""),"not::approval::for::submitting::(with::reasons)1")</f>
        <v>not::approval::for::submitting::(with::reasons)1</v>
      </c>
      <c r="Q445" s="52"/>
      <c r="R445" s="52"/>
      <c r="S445" s="52"/>
      <c r="T445" s="52"/>
      <c r="U445" s="52"/>
      <c r="V445" s="52"/>
      <c r="W445" s="52"/>
      <c r="X445" s="52"/>
      <c r="Y445" s="52"/>
      <c r="Z445" s="52"/>
    </row>
    <row r="446">
      <c r="A446" s="52"/>
      <c r="B446" s="52" t="str">
        <f>IFERROR(__xludf.DUMMYFUNCTION("""COMPUTED_VALUE"""),"Database-related issue, GUI-related issue, Network issue, Permission/deprecation issue, Security issue, Program anomaly issue")</f>
        <v>Database-related issue, GUI-related issue, Network issue, Permission/deprecation issue, Security issue, Program anomaly issue</v>
      </c>
      <c r="C446" s="52"/>
      <c r="D446" s="52"/>
      <c r="E446" s="52"/>
      <c r="F446" s="52"/>
      <c r="G446" s="52"/>
      <c r="H446" s="52"/>
      <c r="I446" s="52"/>
      <c r="J446" s="52"/>
      <c r="K446" s="52"/>
      <c r="L446" s="52"/>
      <c r="M446" s="52"/>
      <c r="N446" s="52"/>
      <c r="O446" s="52"/>
      <c r="P446" s="52" t="str">
        <f>IFERROR(__xludf.DUMMYFUNCTION("""COMPUTED_VALUE"""),"not::approval::for::submitting::(with::reasons)2")</f>
        <v>not::approval::for::submitting::(with::reasons)2</v>
      </c>
      <c r="Q446" s="52"/>
      <c r="R446" s="52"/>
      <c r="S446" s="52"/>
      <c r="T446" s="52"/>
      <c r="U446" s="52"/>
      <c r="V446" s="52"/>
      <c r="W446" s="52"/>
      <c r="X446" s="52"/>
      <c r="Y446" s="52"/>
      <c r="Z446" s="52"/>
    </row>
    <row r="447">
      <c r="A447" s="52"/>
      <c r="B447" s="52" t="str">
        <f>IFERROR(__xludf.DUMMYFUNCTION("""COMPUTED_VALUE"""),"Database-related issue, GUI-related issue, Network issue, Permission/deprecation issue, Security issue, Test code-related issue")</f>
        <v>Database-related issue, GUI-related issue, Network issue, Permission/deprecation issue, Security issue, Test code-related issue</v>
      </c>
      <c r="C447" s="52"/>
      <c r="D447" s="52"/>
      <c r="E447" s="52"/>
      <c r="F447" s="52"/>
      <c r="G447" s="52"/>
      <c r="H447" s="52"/>
      <c r="I447" s="52"/>
      <c r="J447" s="52"/>
      <c r="K447" s="52"/>
      <c r="L447" s="52"/>
      <c r="M447" s="52"/>
      <c r="N447" s="52"/>
      <c r="O447" s="52"/>
      <c r="P447" s="52" t="str">
        <f>IFERROR(__xludf.DUMMYFUNCTION("""COMPUTED_VALUE"""),"not::approval::for::submitting::(with::reasons)8")</f>
        <v>not::approval::for::submitting::(with::reasons)8</v>
      </c>
      <c r="Q447" s="52"/>
      <c r="R447" s="52"/>
      <c r="S447" s="52"/>
      <c r="T447" s="52"/>
      <c r="U447" s="52"/>
      <c r="V447" s="52"/>
      <c r="W447" s="52"/>
      <c r="X447" s="52"/>
      <c r="Y447" s="52"/>
      <c r="Z447" s="52"/>
    </row>
    <row r="448">
      <c r="A448" s="52"/>
      <c r="B448" s="52" t="str">
        <f>IFERROR(__xludf.DUMMYFUNCTION("""COMPUTED_VALUE"""),"Database-related issue, GUI-related issue, Network issue, Security issue, Program anomaly issue, Test code-related issue")</f>
        <v>Database-related issue, GUI-related issue, Network issue, Security issue, Program anomaly issue, Test code-related issue</v>
      </c>
      <c r="C448" s="52"/>
      <c r="D448" s="52"/>
      <c r="E448" s="52"/>
      <c r="F448" s="52"/>
      <c r="G448" s="52"/>
      <c r="H448" s="52"/>
      <c r="I448" s="52"/>
      <c r="J448" s="52"/>
      <c r="K448" s="52"/>
      <c r="L448" s="52"/>
      <c r="M448" s="52"/>
      <c r="N448" s="52"/>
      <c r="O448" s="52"/>
      <c r="P448" s="52" t="str">
        <f>IFERROR(__xludf.DUMMYFUNCTION("""COMPUTED_VALUE"""),"not::approval::for::submitting::core::rev::(vote1)")</f>
        <v>not::approval::for::submitting::core::rev::(vote1)</v>
      </c>
      <c r="Q448" s="52"/>
      <c r="R448" s="52"/>
      <c r="S448" s="52"/>
      <c r="T448" s="52"/>
      <c r="U448" s="52"/>
      <c r="V448" s="52"/>
      <c r="W448" s="52"/>
      <c r="X448" s="52"/>
      <c r="Y448" s="52"/>
      <c r="Z448" s="52"/>
    </row>
    <row r="449">
      <c r="A449" s="52"/>
      <c r="B449" s="52" t="str">
        <f>IFERROR(__xludf.DUMMYFUNCTION("""COMPUTED_VALUE"""),"Database-related issue, GUI-related issue, Performance issue, Permission/deprecation issue, Program anomaly issue, Test code-related issue")</f>
        <v>Database-related issue, GUI-related issue, Performance issue, Permission/deprecation issue, Program anomaly issue, Test code-related issue</v>
      </c>
      <c r="C449" s="52"/>
      <c r="D449" s="52"/>
      <c r="E449" s="52"/>
      <c r="F449" s="52"/>
      <c r="G449" s="52"/>
      <c r="H449" s="52"/>
      <c r="I449" s="52"/>
      <c r="J449" s="52"/>
      <c r="K449" s="52"/>
      <c r="L449" s="52"/>
      <c r="M449" s="52"/>
      <c r="N449" s="52"/>
      <c r="O449" s="52"/>
      <c r="P449" s="52" t="str">
        <f>IFERROR(__xludf.DUMMYFUNCTION("""COMPUTED_VALUE"""),"not::approval::for::submitting::core::rev::(vote4)")</f>
        <v>not::approval::for::submitting::core::rev::(vote4)</v>
      </c>
      <c r="Q449" s="52"/>
      <c r="R449" s="52"/>
      <c r="S449" s="52"/>
      <c r="T449" s="52"/>
      <c r="U449" s="52"/>
      <c r="V449" s="52"/>
      <c r="W449" s="52"/>
      <c r="X449" s="52"/>
      <c r="Y449" s="52"/>
      <c r="Z449" s="52"/>
    </row>
    <row r="450">
      <c r="A450" s="52"/>
      <c r="B450" s="52" t="str">
        <f>IFERROR(__xludf.DUMMYFUNCTION("""COMPUTED_VALUE"""),"Database-related issue, GUI-related issue, Performance issue, Permission/deprecation issue, Security issue, Program anomaly issue")</f>
        <v>Database-related issue, GUI-related issue, Performance issue, Permission/deprecation issue, Security issue, Program anomaly issue</v>
      </c>
      <c r="C450" s="52"/>
      <c r="D450" s="52"/>
      <c r="E450" s="52"/>
      <c r="F450" s="52"/>
      <c r="G450" s="52"/>
      <c r="H450" s="52"/>
      <c r="I450" s="52"/>
      <c r="J450" s="52"/>
      <c r="K450" s="52"/>
      <c r="L450" s="52"/>
      <c r="M450" s="52"/>
      <c r="N450" s="52"/>
      <c r="O450" s="52"/>
      <c r="P450" s="52" t="str">
        <f>IFERROR(__xludf.DUMMYFUNCTION("""COMPUTED_VALUE"""),"not::approval::for::submitting::core::rev::(vote5)")</f>
        <v>not::approval::for::submitting::core::rev::(vote5)</v>
      </c>
      <c r="Q450" s="52"/>
      <c r="R450" s="52"/>
      <c r="S450" s="52"/>
      <c r="T450" s="52"/>
      <c r="U450" s="52"/>
      <c r="V450" s="52"/>
      <c r="W450" s="52"/>
      <c r="X450" s="52"/>
      <c r="Y450" s="52"/>
      <c r="Z450" s="52"/>
    </row>
    <row r="451">
      <c r="A451" s="52"/>
      <c r="B451" s="52" t="str">
        <f>IFERROR(__xludf.DUMMYFUNCTION("""COMPUTED_VALUE"""),"Database-related issue, GUI-related issue, Performance issue, Permission/deprecation issue, Security issue, Test code-related issue")</f>
        <v>Database-related issue, GUI-related issue, Performance issue, Permission/deprecation issue, Security issue, Test code-related issue</v>
      </c>
      <c r="C451" s="52"/>
      <c r="D451" s="52"/>
      <c r="E451" s="52"/>
      <c r="F451" s="52"/>
      <c r="G451" s="52"/>
      <c r="H451" s="52"/>
      <c r="I451" s="52"/>
      <c r="J451" s="52"/>
      <c r="K451" s="52"/>
      <c r="L451" s="52"/>
      <c r="M451" s="52"/>
      <c r="N451" s="52"/>
      <c r="O451" s="52"/>
      <c r="P451" s="52" t="str">
        <f>IFERROR(__xludf.DUMMYFUNCTION("""COMPUTED_VALUE"""),"not::approval::for::submitting::core::rev::(vote6)")</f>
        <v>not::approval::for::submitting::core::rev::(vote6)</v>
      </c>
      <c r="Q451" s="52"/>
      <c r="R451" s="52"/>
      <c r="S451" s="52"/>
      <c r="T451" s="52"/>
      <c r="U451" s="52"/>
      <c r="V451" s="52"/>
      <c r="W451" s="52"/>
      <c r="X451" s="52"/>
      <c r="Y451" s="52"/>
      <c r="Z451" s="52"/>
    </row>
    <row r="452">
      <c r="A452" s="52"/>
      <c r="B452" s="52" t="str">
        <f>IFERROR(__xludf.DUMMYFUNCTION("""COMPUTED_VALUE"""),"Database-related issue, GUI-related issue, Performance issue, Security issue, Program anomaly issue, Test code-related issue")</f>
        <v>Database-related issue, GUI-related issue, Performance issue, Security issue, Program anomaly issue, Test code-related issue</v>
      </c>
      <c r="C452" s="52"/>
      <c r="D452" s="52"/>
      <c r="E452" s="52"/>
      <c r="F452" s="52"/>
      <c r="G452" s="52"/>
      <c r="H452" s="52"/>
      <c r="I452" s="52"/>
      <c r="J452" s="52"/>
      <c r="K452" s="52"/>
      <c r="L452" s="52"/>
      <c r="M452" s="52"/>
      <c r="N452" s="52"/>
      <c r="O452" s="52"/>
      <c r="P452" s="52" t="str">
        <f>IFERROR(__xludf.DUMMYFUNCTION("""COMPUTED_VALUE"""),"not::approval::for::submitting::core::rev1")</f>
        <v>not::approval::for::submitting::core::rev1</v>
      </c>
      <c r="Q452" s="52"/>
      <c r="R452" s="52"/>
      <c r="S452" s="52"/>
      <c r="T452" s="52"/>
      <c r="U452" s="52"/>
      <c r="V452" s="52"/>
      <c r="W452" s="52"/>
      <c r="X452" s="52"/>
      <c r="Y452" s="52"/>
      <c r="Z452" s="52"/>
    </row>
    <row r="453">
      <c r="A453" s="52"/>
      <c r="B453" s="52" t="str">
        <f>IFERROR(__xludf.DUMMYFUNCTION("""COMPUTED_VALUE"""),"Database-related issue, GUI-related issue, Permission/deprecation issue, Security issue, Program anomaly issue, Test code-related issue")</f>
        <v>Database-related issue, GUI-related issue, Permission/deprecation issue, Security issue, Program anomaly issue, Test code-related issue</v>
      </c>
      <c r="C453" s="52"/>
      <c r="D453" s="52"/>
      <c r="E453" s="52"/>
      <c r="F453" s="52"/>
      <c r="G453" s="52"/>
      <c r="H453" s="52"/>
      <c r="I453" s="52"/>
      <c r="J453" s="52"/>
      <c r="K453" s="52"/>
      <c r="L453" s="52"/>
      <c r="M453" s="52"/>
      <c r="N453" s="52"/>
      <c r="O453" s="52"/>
      <c r="P453" s="52" t="str">
        <f>IFERROR(__xludf.DUMMYFUNCTION("""COMPUTED_VALUE"""),"not::approval::for::submitting1")</f>
        <v>not::approval::for::submitting1</v>
      </c>
      <c r="Q453" s="52"/>
      <c r="R453" s="52"/>
      <c r="S453" s="52"/>
      <c r="T453" s="52"/>
      <c r="U453" s="52"/>
      <c r="V453" s="52"/>
      <c r="W453" s="52"/>
      <c r="X453" s="52"/>
      <c r="Y453" s="52"/>
      <c r="Z453" s="52"/>
    </row>
    <row r="454">
      <c r="A454" s="52"/>
      <c r="B454" s="52" t="str">
        <f>IFERROR(__xludf.DUMMYFUNCTION("""COMPUTED_VALUE"""),"Database-related issue, Network issue, Performance issue, Permission/deprecation issue, Program anomaly issue, Test code-related issue")</f>
        <v>Database-related issue, Network issue, Performance issue, Permission/deprecation issue, Program anomaly issue, Test code-related issue</v>
      </c>
      <c r="C454" s="52"/>
      <c r="D454" s="52"/>
      <c r="E454" s="52"/>
      <c r="F454" s="52"/>
      <c r="G454" s="52"/>
      <c r="H454" s="52"/>
      <c r="I454" s="52"/>
      <c r="J454" s="52"/>
      <c r="K454" s="52"/>
      <c r="L454" s="52"/>
      <c r="M454" s="52"/>
      <c r="N454" s="52"/>
      <c r="O454" s="52"/>
      <c r="P454" s="52" t="str">
        <f>IFERROR(__xludf.DUMMYFUNCTION("""COMPUTED_VALUE"""),"not::approval::for::submitting10")</f>
        <v>not::approval::for::submitting10</v>
      </c>
      <c r="Q454" s="52"/>
      <c r="R454" s="52"/>
      <c r="S454" s="52"/>
      <c r="T454" s="52"/>
      <c r="U454" s="52"/>
      <c r="V454" s="52"/>
      <c r="W454" s="52"/>
      <c r="X454" s="52"/>
      <c r="Y454" s="52"/>
      <c r="Z454" s="52"/>
    </row>
    <row r="455">
      <c r="A455" s="52"/>
      <c r="B455" s="52" t="str">
        <f>IFERROR(__xludf.DUMMYFUNCTION("""COMPUTED_VALUE"""),"Database-related issue, Network issue, Performance issue, Permission/deprecation issue, Security issue, Program anomaly issue")</f>
        <v>Database-related issue, Network issue, Performance issue, Permission/deprecation issue, Security issue, Program anomaly issue</v>
      </c>
      <c r="C455" s="52"/>
      <c r="D455" s="52"/>
      <c r="E455" s="52"/>
      <c r="F455" s="52"/>
      <c r="G455" s="52"/>
      <c r="H455" s="52"/>
      <c r="I455" s="52"/>
      <c r="J455" s="52"/>
      <c r="K455" s="52"/>
      <c r="L455" s="52"/>
      <c r="M455" s="52"/>
      <c r="N455" s="52"/>
      <c r="O455" s="52"/>
      <c r="P455" s="52" t="str">
        <f>IFERROR(__xludf.DUMMYFUNCTION("""COMPUTED_VALUE"""),"not::approval::for::submitting11")</f>
        <v>not::approval::for::submitting11</v>
      </c>
      <c r="Q455" s="52"/>
      <c r="R455" s="52"/>
      <c r="S455" s="52"/>
      <c r="T455" s="52"/>
      <c r="U455" s="52"/>
      <c r="V455" s="52"/>
      <c r="W455" s="52"/>
      <c r="X455" s="52"/>
      <c r="Y455" s="52"/>
      <c r="Z455" s="52"/>
    </row>
    <row r="456">
      <c r="A456" s="52"/>
      <c r="B456" s="52" t="str">
        <f>IFERROR(__xludf.DUMMYFUNCTION("""COMPUTED_VALUE"""),"Database-related issue, Network issue, Performance issue, Permission/deprecation issue, Security issue, Test code-related issue")</f>
        <v>Database-related issue, Network issue, Performance issue, Permission/deprecation issue, Security issue, Test code-related issue</v>
      </c>
      <c r="C456" s="52"/>
      <c r="D456" s="52"/>
      <c r="E456" s="52"/>
      <c r="F456" s="52"/>
      <c r="G456" s="52"/>
      <c r="H456" s="52"/>
      <c r="I456" s="52"/>
      <c r="J456" s="52"/>
      <c r="K456" s="52"/>
      <c r="L456" s="52"/>
      <c r="M456" s="52"/>
      <c r="N456" s="52"/>
      <c r="O456" s="52"/>
      <c r="P456" s="52" t="str">
        <f>IFERROR(__xludf.DUMMYFUNCTION("""COMPUTED_VALUE"""),"not::approval::for::submitting12")</f>
        <v>not::approval::for::submitting12</v>
      </c>
      <c r="Q456" s="52"/>
      <c r="R456" s="52"/>
      <c r="S456" s="52"/>
      <c r="T456" s="52"/>
      <c r="U456" s="52"/>
      <c r="V456" s="52"/>
      <c r="W456" s="52"/>
      <c r="X456" s="52"/>
      <c r="Y456" s="52"/>
      <c r="Z456" s="52"/>
    </row>
    <row r="457">
      <c r="A457" s="52"/>
      <c r="B457" s="52" t="str">
        <f>IFERROR(__xludf.DUMMYFUNCTION("""COMPUTED_VALUE"""),"Database-related issue, Network issue, Performance issue, Security issue, Program anomaly issue, Test code-related issue")</f>
        <v>Database-related issue, Network issue, Performance issue, Security issue, Program anomaly issue, Test code-related issue</v>
      </c>
      <c r="C457" s="52"/>
      <c r="D457" s="52"/>
      <c r="E457" s="52"/>
      <c r="F457" s="52"/>
      <c r="G457" s="52"/>
      <c r="H457" s="52"/>
      <c r="I457" s="52"/>
      <c r="J457" s="52"/>
      <c r="K457" s="52"/>
      <c r="L457" s="52"/>
      <c r="M457" s="52"/>
      <c r="N457" s="52"/>
      <c r="O457" s="52"/>
      <c r="P457" s="52" t="str">
        <f>IFERROR(__xludf.DUMMYFUNCTION("""COMPUTED_VALUE"""),"not::approval::for::submitting13")</f>
        <v>not::approval::for::submitting13</v>
      </c>
      <c r="Q457" s="52"/>
      <c r="R457" s="52"/>
      <c r="S457" s="52"/>
      <c r="T457" s="52"/>
      <c r="U457" s="52"/>
      <c r="V457" s="52"/>
      <c r="W457" s="52"/>
      <c r="X457" s="52"/>
      <c r="Y457" s="52"/>
      <c r="Z457" s="52"/>
    </row>
    <row r="458">
      <c r="A458" s="52"/>
      <c r="B458" s="52" t="str">
        <f>IFERROR(__xludf.DUMMYFUNCTION("""COMPUTED_VALUE"""),"Database-related issue, Network issue, Permission/deprecation issue, Security issue, Program anomaly issue, Test code-related issue")</f>
        <v>Database-related issue, Network issue, Permission/deprecation issue, Security issue, Program anomaly issue, Test code-related issue</v>
      </c>
      <c r="C458" s="52"/>
      <c r="D458" s="52"/>
      <c r="E458" s="52"/>
      <c r="F458" s="52"/>
      <c r="G458" s="52"/>
      <c r="H458" s="52"/>
      <c r="I458" s="52"/>
      <c r="J458" s="52"/>
      <c r="K458" s="52"/>
      <c r="L458" s="52"/>
      <c r="M458" s="52"/>
      <c r="N458" s="52"/>
      <c r="O458" s="52"/>
      <c r="P458" s="52" t="str">
        <f>IFERROR(__xludf.DUMMYFUNCTION("""COMPUTED_VALUE"""),"not::approval::for::submitting14")</f>
        <v>not::approval::for::submitting14</v>
      </c>
      <c r="Q458" s="52"/>
      <c r="R458" s="52"/>
      <c r="S458" s="52"/>
      <c r="T458" s="52"/>
      <c r="U458" s="52"/>
      <c r="V458" s="52"/>
      <c r="W458" s="52"/>
      <c r="X458" s="52"/>
      <c r="Y458" s="52"/>
      <c r="Z458" s="52"/>
    </row>
    <row r="459">
      <c r="A459" s="52"/>
      <c r="B459" s="52" t="str">
        <f>IFERROR(__xludf.DUMMYFUNCTION("""COMPUTED_VALUE"""),"Database-related issue, Performance issue, Permission/deprecation issue, Security issue, Program anomaly issue, Test code-related issue")</f>
        <v>Database-related issue, Performance issue, Permission/deprecation issue, Security issue, Program anomaly issue, Test code-related issue</v>
      </c>
      <c r="C459" s="52"/>
      <c r="D459" s="52"/>
      <c r="E459" s="52"/>
      <c r="F459" s="52"/>
      <c r="G459" s="52"/>
      <c r="H459" s="52"/>
      <c r="I459" s="52"/>
      <c r="J459" s="52"/>
      <c r="K459" s="52"/>
      <c r="L459" s="52"/>
      <c r="M459" s="52"/>
      <c r="N459" s="52"/>
      <c r="O459" s="52"/>
      <c r="P459" s="52" t="str">
        <f>IFERROR(__xludf.DUMMYFUNCTION("""COMPUTED_VALUE"""),"not::approval::for::submitting15")</f>
        <v>not::approval::for::submitting15</v>
      </c>
      <c r="Q459" s="52"/>
      <c r="R459" s="52"/>
      <c r="S459" s="52"/>
      <c r="T459" s="52"/>
      <c r="U459" s="52"/>
      <c r="V459" s="52"/>
      <c r="W459" s="52"/>
      <c r="X459" s="52"/>
      <c r="Y459" s="52"/>
      <c r="Z459" s="52"/>
    </row>
    <row r="460">
      <c r="A460" s="52"/>
      <c r="B460" s="52" t="str">
        <f>IFERROR(__xludf.DUMMYFUNCTION("""COMPUTED_VALUE"""),"GUI-related issue, Network issue, Performance issue, Permission/deprecation issue, Program anomaly issue, Test code-related issue")</f>
        <v>GUI-related issue, Network issue, Performance issue, Permission/deprecation issue, Program anomaly issue, Test code-related issue</v>
      </c>
      <c r="C460" s="52"/>
      <c r="D460" s="52"/>
      <c r="E460" s="52"/>
      <c r="F460" s="52"/>
      <c r="G460" s="52"/>
      <c r="H460" s="52"/>
      <c r="I460" s="52"/>
      <c r="J460" s="52"/>
      <c r="K460" s="52"/>
      <c r="L460" s="52"/>
      <c r="M460" s="52"/>
      <c r="N460" s="52"/>
      <c r="O460" s="52"/>
      <c r="P460" s="52" t="str">
        <f>IFERROR(__xludf.DUMMYFUNCTION("""COMPUTED_VALUE"""),"not::approval::for::submitting16")</f>
        <v>not::approval::for::submitting16</v>
      </c>
      <c r="Q460" s="52"/>
      <c r="R460" s="52"/>
      <c r="S460" s="52"/>
      <c r="T460" s="52"/>
      <c r="U460" s="52"/>
      <c r="V460" s="52"/>
      <c r="W460" s="52"/>
      <c r="X460" s="52"/>
      <c r="Y460" s="52"/>
      <c r="Z460" s="52"/>
    </row>
    <row r="461">
      <c r="A461" s="52"/>
      <c r="B461" s="52" t="str">
        <f>IFERROR(__xludf.DUMMYFUNCTION("""COMPUTED_VALUE"""),"GUI-related issue, Network issue, Performance issue, Permission/deprecation issue, Security issue, Program anomaly issue")</f>
        <v>GUI-related issue, Network issue, Performance issue, Permission/deprecation issue, Security issue, Program anomaly issue</v>
      </c>
      <c r="C461" s="52"/>
      <c r="D461" s="52"/>
      <c r="E461" s="52"/>
      <c r="F461" s="52"/>
      <c r="G461" s="52"/>
      <c r="H461" s="52"/>
      <c r="I461" s="52"/>
      <c r="J461" s="52"/>
      <c r="K461" s="52"/>
      <c r="L461" s="52"/>
      <c r="M461" s="52"/>
      <c r="N461" s="52"/>
      <c r="O461" s="52"/>
      <c r="P461" s="52" t="str">
        <f>IFERROR(__xludf.DUMMYFUNCTION("""COMPUTED_VALUE"""),"not::approval::for::submitting17")</f>
        <v>not::approval::for::submitting17</v>
      </c>
      <c r="Q461" s="52"/>
      <c r="R461" s="52"/>
      <c r="S461" s="52"/>
      <c r="T461" s="52"/>
      <c r="U461" s="52"/>
      <c r="V461" s="52"/>
      <c r="W461" s="52"/>
      <c r="X461" s="52"/>
      <c r="Y461" s="52"/>
      <c r="Z461" s="52"/>
    </row>
    <row r="462">
      <c r="A462" s="52"/>
      <c r="B462" s="52" t="str">
        <f>IFERROR(__xludf.DUMMYFUNCTION("""COMPUTED_VALUE"""),"GUI-related issue, Network issue, Performance issue, Permission/deprecation issue, Security issue, Test code-related issue")</f>
        <v>GUI-related issue, Network issue, Performance issue, Permission/deprecation issue, Security issue, Test code-related issue</v>
      </c>
      <c r="C462" s="52"/>
      <c r="D462" s="52"/>
      <c r="E462" s="52"/>
      <c r="F462" s="52"/>
      <c r="G462" s="52"/>
      <c r="H462" s="52"/>
      <c r="I462" s="52"/>
      <c r="J462" s="52"/>
      <c r="K462" s="52"/>
      <c r="L462" s="52"/>
      <c r="M462" s="52"/>
      <c r="N462" s="52"/>
      <c r="O462" s="52"/>
      <c r="P462" s="52" t="str">
        <f>IFERROR(__xludf.DUMMYFUNCTION("""COMPUTED_VALUE"""),"not::approval::for::submitting18")</f>
        <v>not::approval::for::submitting18</v>
      </c>
      <c r="Q462" s="52"/>
      <c r="R462" s="52"/>
      <c r="S462" s="52"/>
      <c r="T462" s="52"/>
      <c r="U462" s="52"/>
      <c r="V462" s="52"/>
      <c r="W462" s="52"/>
      <c r="X462" s="52"/>
      <c r="Y462" s="52"/>
      <c r="Z462" s="52"/>
    </row>
    <row r="463">
      <c r="A463" s="52"/>
      <c r="B463" s="52" t="str">
        <f>IFERROR(__xludf.DUMMYFUNCTION("""COMPUTED_VALUE"""),"GUI-related issue, Network issue, Performance issue, Security issue, Program anomaly issue, Test code-related issue")</f>
        <v>GUI-related issue, Network issue, Performance issue, Security issue, Program anomaly issue, Test code-related issue</v>
      </c>
      <c r="C463" s="52"/>
      <c r="D463" s="52"/>
      <c r="E463" s="52"/>
      <c r="F463" s="52"/>
      <c r="G463" s="52"/>
      <c r="H463" s="52"/>
      <c r="I463" s="52"/>
      <c r="J463" s="52"/>
      <c r="K463" s="52"/>
      <c r="L463" s="52"/>
      <c r="M463" s="52"/>
      <c r="N463" s="52"/>
      <c r="O463" s="52"/>
      <c r="P463" s="52" t="str">
        <f>IFERROR(__xludf.DUMMYFUNCTION("""COMPUTED_VALUE"""),"not::approval::for::submitting19")</f>
        <v>not::approval::for::submitting19</v>
      </c>
      <c r="Q463" s="52"/>
      <c r="R463" s="52"/>
      <c r="S463" s="52"/>
      <c r="T463" s="52"/>
      <c r="U463" s="52"/>
      <c r="V463" s="52"/>
      <c r="W463" s="52"/>
      <c r="X463" s="52"/>
      <c r="Y463" s="52"/>
      <c r="Z463" s="52"/>
    </row>
    <row r="464">
      <c r="A464" s="52"/>
      <c r="B464" s="52" t="str">
        <f>IFERROR(__xludf.DUMMYFUNCTION("""COMPUTED_VALUE"""),"GUI-related issue, Network issue, Permission/deprecation issue, Security issue, Program anomaly issue, Test code-related issue")</f>
        <v>GUI-related issue, Network issue, Permission/deprecation issue, Security issue, Program anomaly issue, Test code-related issue</v>
      </c>
      <c r="C464" s="52"/>
      <c r="D464" s="52"/>
      <c r="E464" s="52"/>
      <c r="F464" s="52"/>
      <c r="G464" s="52"/>
      <c r="H464" s="52"/>
      <c r="I464" s="52"/>
      <c r="J464" s="52"/>
      <c r="K464" s="52"/>
      <c r="L464" s="52"/>
      <c r="M464" s="52"/>
      <c r="N464" s="52"/>
      <c r="O464" s="52"/>
      <c r="P464" s="52" t="str">
        <f>IFERROR(__xludf.DUMMYFUNCTION("""COMPUTED_VALUE"""),"not::approval::for::submitting2")</f>
        <v>not::approval::for::submitting2</v>
      </c>
      <c r="Q464" s="52"/>
      <c r="R464" s="52"/>
      <c r="S464" s="52"/>
      <c r="T464" s="52"/>
      <c r="U464" s="52"/>
      <c r="V464" s="52"/>
      <c r="W464" s="52"/>
      <c r="X464" s="52"/>
      <c r="Y464" s="52"/>
      <c r="Z464" s="52"/>
    </row>
    <row r="465">
      <c r="A465" s="52"/>
      <c r="B465" s="52" t="str">
        <f>IFERROR(__xludf.DUMMYFUNCTION("""COMPUTED_VALUE"""),"GUI-related issue, Performance issue, Permission/deprecation issue, Security issue, Program anomaly issue, Test code-related issue")</f>
        <v>GUI-related issue, Performance issue, Permission/deprecation issue, Security issue, Program anomaly issue, Test code-related issue</v>
      </c>
      <c r="C465" s="52"/>
      <c r="D465" s="52"/>
      <c r="E465" s="52"/>
      <c r="F465" s="52"/>
      <c r="G465" s="52"/>
      <c r="H465" s="52"/>
      <c r="I465" s="52"/>
      <c r="J465" s="52"/>
      <c r="K465" s="52"/>
      <c r="L465" s="52"/>
      <c r="M465" s="52"/>
      <c r="N465" s="52"/>
      <c r="O465" s="52"/>
      <c r="P465" s="52" t="str">
        <f>IFERROR(__xludf.DUMMYFUNCTION("""COMPUTED_VALUE"""),"not::approval::for::submitting20")</f>
        <v>not::approval::for::submitting20</v>
      </c>
      <c r="Q465" s="52"/>
      <c r="R465" s="52"/>
      <c r="S465" s="52"/>
      <c r="T465" s="52"/>
      <c r="U465" s="52"/>
      <c r="V465" s="52"/>
      <c r="W465" s="52"/>
      <c r="X465" s="52"/>
      <c r="Y465" s="52"/>
      <c r="Z465" s="52"/>
    </row>
    <row r="466">
      <c r="A466" s="52"/>
      <c r="B466" s="52" t="str">
        <f>IFERROR(__xludf.DUMMYFUNCTION("""COMPUTED_VALUE"""),"Network issue, Performance issue, Permission/deprecation issue, Security issue, Program anomaly issue, Test code-related issue")</f>
        <v>Network issue, Performance issue, Permission/deprecation issue, Security issue, Program anomaly issue, Test code-related issue</v>
      </c>
      <c r="C466" s="52"/>
      <c r="D466" s="52"/>
      <c r="E466" s="52"/>
      <c r="F466" s="52"/>
      <c r="G466" s="52"/>
      <c r="H466" s="52"/>
      <c r="I466" s="52"/>
      <c r="J466" s="52"/>
      <c r="K466" s="52"/>
      <c r="L466" s="52"/>
      <c r="M466" s="52"/>
      <c r="N466" s="52"/>
      <c r="O466" s="52"/>
      <c r="P466" s="52" t="str">
        <f>IFERROR(__xludf.DUMMYFUNCTION("""COMPUTED_VALUE"""),"not::approval::for::submitting21")</f>
        <v>not::approval::for::submitting21</v>
      </c>
      <c r="Q466" s="52"/>
      <c r="R466" s="52"/>
      <c r="S466" s="52"/>
      <c r="T466" s="52"/>
      <c r="U466" s="52"/>
      <c r="V466" s="52"/>
      <c r="W466" s="52"/>
      <c r="X466" s="52"/>
      <c r="Y466" s="52"/>
      <c r="Z466" s="52"/>
    </row>
    <row r="467">
      <c r="A467" s="52"/>
      <c r="B467" s="52" t="str">
        <f>IFERROR(__xludf.DUMMYFUNCTION("""COMPUTED_VALUE"""),"Configuration issue, Database-related issue, GUI-related issue, Network issue, Performance issue, Permission/deprecation issue, Program anomaly issue")</f>
        <v>Configuration issue, Database-related issue, GUI-related issue, Network issue, Performance issue, Permission/deprecation issue, Program anomaly issue</v>
      </c>
      <c r="C467" s="52"/>
      <c r="D467" s="52"/>
      <c r="E467" s="52"/>
      <c r="F467" s="52"/>
      <c r="G467" s="52"/>
      <c r="H467" s="52"/>
      <c r="I467" s="52"/>
      <c r="J467" s="52"/>
      <c r="K467" s="52"/>
      <c r="L467" s="52"/>
      <c r="M467" s="52"/>
      <c r="N467" s="52"/>
      <c r="O467" s="52"/>
      <c r="P467" s="52" t="str">
        <f>IFERROR(__xludf.DUMMYFUNCTION("""COMPUTED_VALUE"""),"not::approval::for::submitting22")</f>
        <v>not::approval::for::submitting22</v>
      </c>
      <c r="Q467" s="52"/>
      <c r="R467" s="52"/>
      <c r="S467" s="52"/>
      <c r="T467" s="52"/>
      <c r="U467" s="52"/>
      <c r="V467" s="52"/>
      <c r="W467" s="52"/>
      <c r="X467" s="52"/>
      <c r="Y467" s="52"/>
      <c r="Z467" s="52"/>
    </row>
    <row r="468">
      <c r="A468" s="52"/>
      <c r="B468" s="52" t="str">
        <f>IFERROR(__xludf.DUMMYFUNCTION("""COMPUTED_VALUE"""),"Configuration issue, Database-related issue, GUI-related issue, Network issue, Performance issue, Permission/deprecation issue, Security issue")</f>
        <v>Configuration issue, Database-related issue, GUI-related issue, Network issue, Performance issue, Permission/deprecation issue, Security issue</v>
      </c>
      <c r="C468" s="52"/>
      <c r="D468" s="52"/>
      <c r="E468" s="52"/>
      <c r="F468" s="52"/>
      <c r="G468" s="52"/>
      <c r="H468" s="52"/>
      <c r="I468" s="52"/>
      <c r="J468" s="52"/>
      <c r="K468" s="52"/>
      <c r="L468" s="52"/>
      <c r="M468" s="52"/>
      <c r="N468" s="52"/>
      <c r="O468" s="52"/>
      <c r="P468" s="52" t="str">
        <f>IFERROR(__xludf.DUMMYFUNCTION("""COMPUTED_VALUE"""),"not::approval::for::submitting23")</f>
        <v>not::approval::for::submitting23</v>
      </c>
      <c r="Q468" s="52"/>
      <c r="R468" s="52"/>
      <c r="S468" s="52"/>
      <c r="T468" s="52"/>
      <c r="U468" s="52"/>
      <c r="V468" s="52"/>
      <c r="W468" s="52"/>
      <c r="X468" s="52"/>
      <c r="Y468" s="52"/>
      <c r="Z468" s="52"/>
    </row>
    <row r="469">
      <c r="A469" s="52"/>
      <c r="B469" s="52" t="str">
        <f>IFERROR(__xludf.DUMMYFUNCTION("""COMPUTED_VALUE"""),"Configuration issue, Database-related issue, GUI-related issue, Network issue, Performance issue, Permission/deprecation issue, Test code-related issue")</f>
        <v>Configuration issue, Database-related issue, GUI-related issue, Network issue, Performance issue, Permission/deprecation issue, Test code-related issue</v>
      </c>
      <c r="C469" s="52"/>
      <c r="D469" s="52"/>
      <c r="E469" s="52"/>
      <c r="F469" s="52"/>
      <c r="G469" s="52"/>
      <c r="H469" s="52"/>
      <c r="I469" s="52"/>
      <c r="J469" s="52"/>
      <c r="K469" s="52"/>
      <c r="L469" s="52"/>
      <c r="M469" s="52"/>
      <c r="N469" s="52"/>
      <c r="O469" s="52"/>
      <c r="P469" s="52" t="str">
        <f>IFERROR(__xludf.DUMMYFUNCTION("""COMPUTED_VALUE"""),"not::approval::for::submitting24")</f>
        <v>not::approval::for::submitting24</v>
      </c>
      <c r="Q469" s="52"/>
      <c r="R469" s="52"/>
      <c r="S469" s="52"/>
      <c r="T469" s="52"/>
      <c r="U469" s="52"/>
      <c r="V469" s="52"/>
      <c r="W469" s="52"/>
      <c r="X469" s="52"/>
      <c r="Y469" s="52"/>
      <c r="Z469" s="52"/>
    </row>
    <row r="470">
      <c r="A470" s="52"/>
      <c r="B470" s="52" t="str">
        <f>IFERROR(__xludf.DUMMYFUNCTION("""COMPUTED_VALUE"""),"Configuration issue, Database-related issue, GUI-related issue, Network issue, Performance issue, Program anomaly issue, Test code-related issue")</f>
        <v>Configuration issue, Database-related issue, GUI-related issue, Network issue, Performance issue, Program anomaly issue, Test code-related issue</v>
      </c>
      <c r="C470" s="52"/>
      <c r="D470" s="52"/>
      <c r="E470" s="52"/>
      <c r="F470" s="52"/>
      <c r="G470" s="52"/>
      <c r="H470" s="52"/>
      <c r="I470" s="52"/>
      <c r="J470" s="52"/>
      <c r="K470" s="52"/>
      <c r="L470" s="52"/>
      <c r="M470" s="52"/>
      <c r="N470" s="52"/>
      <c r="O470" s="52"/>
      <c r="P470" s="52" t="str">
        <f>IFERROR(__xludf.DUMMYFUNCTION("""COMPUTED_VALUE"""),"not::approval::for::submitting25")</f>
        <v>not::approval::for::submitting25</v>
      </c>
      <c r="Q470" s="52"/>
      <c r="R470" s="52"/>
      <c r="S470" s="52"/>
      <c r="T470" s="52"/>
      <c r="U470" s="52"/>
      <c r="V470" s="52"/>
      <c r="W470" s="52"/>
      <c r="X470" s="52"/>
      <c r="Y470" s="52"/>
      <c r="Z470" s="52"/>
    </row>
    <row r="471">
      <c r="A471" s="52"/>
      <c r="B471" s="52" t="str">
        <f>IFERROR(__xludf.DUMMYFUNCTION("""COMPUTED_VALUE"""),"Configuration issue, Database-related issue, GUI-related issue, Network issue, Performance issue, Security issue, Program anomaly issue")</f>
        <v>Configuration issue, Database-related issue, GUI-related issue, Network issue, Performance issue, Security issue, Program anomaly issue</v>
      </c>
      <c r="C471" s="52"/>
      <c r="D471" s="52"/>
      <c r="E471" s="52"/>
      <c r="F471" s="52"/>
      <c r="G471" s="52"/>
      <c r="H471" s="52"/>
      <c r="I471" s="52"/>
      <c r="J471" s="52"/>
      <c r="K471" s="52"/>
      <c r="L471" s="52"/>
      <c r="M471" s="52"/>
      <c r="N471" s="52"/>
      <c r="O471" s="52"/>
      <c r="P471" s="52" t="str">
        <f>IFERROR(__xludf.DUMMYFUNCTION("""COMPUTED_VALUE"""),"not::approval::for::submitting26")</f>
        <v>not::approval::for::submitting26</v>
      </c>
      <c r="Q471" s="52"/>
      <c r="R471" s="52"/>
      <c r="S471" s="52"/>
      <c r="T471" s="52"/>
      <c r="U471" s="52"/>
      <c r="V471" s="52"/>
      <c r="W471" s="52"/>
      <c r="X471" s="52"/>
      <c r="Y471" s="52"/>
      <c r="Z471" s="52"/>
    </row>
    <row r="472">
      <c r="A472" s="52"/>
      <c r="B472" s="52" t="str">
        <f>IFERROR(__xludf.DUMMYFUNCTION("""COMPUTED_VALUE"""),"Configuration issue, Database-related issue, GUI-related issue, Network issue, Performance issue, Security issue, Test code-related issue")</f>
        <v>Configuration issue, Database-related issue, GUI-related issue, Network issue, Performance issue, Security issue, Test code-related issue</v>
      </c>
      <c r="C472" s="52"/>
      <c r="D472" s="52"/>
      <c r="E472" s="52"/>
      <c r="F472" s="52"/>
      <c r="G472" s="52"/>
      <c r="H472" s="52"/>
      <c r="I472" s="52"/>
      <c r="J472" s="52"/>
      <c r="K472" s="52"/>
      <c r="L472" s="52"/>
      <c r="M472" s="52"/>
      <c r="N472" s="52"/>
      <c r="O472" s="52"/>
      <c r="P472" s="52" t="str">
        <f>IFERROR(__xludf.DUMMYFUNCTION("""COMPUTED_VALUE"""),"not::approval::for::submitting27")</f>
        <v>not::approval::for::submitting27</v>
      </c>
      <c r="Q472" s="52"/>
      <c r="R472" s="52"/>
      <c r="S472" s="52"/>
      <c r="T472" s="52"/>
      <c r="U472" s="52"/>
      <c r="V472" s="52"/>
      <c r="W472" s="52"/>
      <c r="X472" s="52"/>
      <c r="Y472" s="52"/>
      <c r="Z472" s="52"/>
    </row>
    <row r="473">
      <c r="A473" s="52"/>
      <c r="B473" s="52" t="str">
        <f>IFERROR(__xludf.DUMMYFUNCTION("""COMPUTED_VALUE"""),"Configuration issue, Database-related issue, GUI-related issue, Network issue, Permission/deprecation issue, Program anomaly issue, Test code-related issue")</f>
        <v>Configuration issue, Database-related issue, GUI-related issue, Network issue, Permission/deprecation issue, Program anomaly issue, Test code-related issue</v>
      </c>
      <c r="C473" s="52"/>
      <c r="D473" s="52"/>
      <c r="E473" s="52"/>
      <c r="F473" s="52"/>
      <c r="G473" s="52"/>
      <c r="H473" s="52"/>
      <c r="I473" s="52"/>
      <c r="J473" s="52"/>
      <c r="K473" s="52"/>
      <c r="L473" s="52"/>
      <c r="M473" s="52"/>
      <c r="N473" s="52"/>
      <c r="O473" s="52"/>
      <c r="P473" s="52" t="str">
        <f>IFERROR(__xludf.DUMMYFUNCTION("""COMPUTED_VALUE"""),"not::approval::for::submitting3")</f>
        <v>not::approval::for::submitting3</v>
      </c>
      <c r="Q473" s="52"/>
      <c r="R473" s="52"/>
      <c r="S473" s="52"/>
      <c r="T473" s="52"/>
      <c r="U473" s="52"/>
      <c r="V473" s="52"/>
      <c r="W473" s="52"/>
      <c r="X473" s="52"/>
      <c r="Y473" s="52"/>
      <c r="Z473" s="52"/>
    </row>
    <row r="474">
      <c r="A474" s="52"/>
      <c r="B474" s="52" t="str">
        <f>IFERROR(__xludf.DUMMYFUNCTION("""COMPUTED_VALUE"""),"Configuration issue, Database-related issue, GUI-related issue, Network issue, Permission/deprecation issue, Security issue, Program anomaly issue")</f>
        <v>Configuration issue, Database-related issue, GUI-related issue, Network issue, Permission/deprecation issue, Security issue, Program anomaly issue</v>
      </c>
      <c r="C474" s="52"/>
      <c r="D474" s="52"/>
      <c r="E474" s="52"/>
      <c r="F474" s="52"/>
      <c r="G474" s="52"/>
      <c r="H474" s="52"/>
      <c r="I474" s="52"/>
      <c r="J474" s="52"/>
      <c r="K474" s="52"/>
      <c r="L474" s="52"/>
      <c r="M474" s="52"/>
      <c r="N474" s="52"/>
      <c r="O474" s="52"/>
      <c r="P474" s="52" t="str">
        <f>IFERROR(__xludf.DUMMYFUNCTION("""COMPUTED_VALUE"""),"not::approval::for::submitting4")</f>
        <v>not::approval::for::submitting4</v>
      </c>
      <c r="Q474" s="52"/>
      <c r="R474" s="52"/>
      <c r="S474" s="52"/>
      <c r="T474" s="52"/>
      <c r="U474" s="52"/>
      <c r="V474" s="52"/>
      <c r="W474" s="52"/>
      <c r="X474" s="52"/>
      <c r="Y474" s="52"/>
      <c r="Z474" s="52"/>
    </row>
    <row r="475">
      <c r="A475" s="52"/>
      <c r="B475" s="52" t="str">
        <f>IFERROR(__xludf.DUMMYFUNCTION("""COMPUTED_VALUE"""),"Configuration issue, Database-related issue, GUI-related issue, Network issue, Permission/deprecation issue, Security issue, Test code-related issue")</f>
        <v>Configuration issue, Database-related issue, GUI-related issue, Network issue, Permission/deprecation issue, Security issue, Test code-related issue</v>
      </c>
      <c r="C475" s="52"/>
      <c r="D475" s="52"/>
      <c r="E475" s="52"/>
      <c r="F475" s="52"/>
      <c r="G475" s="52"/>
      <c r="H475" s="52"/>
      <c r="I475" s="52"/>
      <c r="J475" s="52"/>
      <c r="K475" s="52"/>
      <c r="L475" s="52"/>
      <c r="M475" s="52"/>
      <c r="N475" s="52"/>
      <c r="O475" s="52"/>
      <c r="P475" s="52" t="str">
        <f>IFERROR(__xludf.DUMMYFUNCTION("""COMPUTED_VALUE"""),"not::approval::for::submitting5")</f>
        <v>not::approval::for::submitting5</v>
      </c>
      <c r="Q475" s="52"/>
      <c r="R475" s="52"/>
      <c r="S475" s="52"/>
      <c r="T475" s="52"/>
      <c r="U475" s="52"/>
      <c r="V475" s="52"/>
      <c r="W475" s="52"/>
      <c r="X475" s="52"/>
      <c r="Y475" s="52"/>
      <c r="Z475" s="52"/>
    </row>
    <row r="476">
      <c r="A476" s="52"/>
      <c r="B476" s="52" t="str">
        <f>IFERROR(__xludf.DUMMYFUNCTION("""COMPUTED_VALUE"""),"Configuration issue, Database-related issue, GUI-related issue, Network issue, Security issue, Program anomaly issue, Test code-related issue")</f>
        <v>Configuration issue, Database-related issue, GUI-related issue, Network issue, Security issue, Program anomaly issue, Test code-related issue</v>
      </c>
      <c r="C476" s="52"/>
      <c r="D476" s="52"/>
      <c r="E476" s="52"/>
      <c r="F476" s="52"/>
      <c r="G476" s="52"/>
      <c r="H476" s="52"/>
      <c r="I476" s="52"/>
      <c r="J476" s="52"/>
      <c r="K476" s="52"/>
      <c r="L476" s="52"/>
      <c r="M476" s="52"/>
      <c r="N476" s="52"/>
      <c r="O476" s="52"/>
      <c r="P476" s="52" t="str">
        <f>IFERROR(__xludf.DUMMYFUNCTION("""COMPUTED_VALUE"""),"not::approval::for::submitting6")</f>
        <v>not::approval::for::submitting6</v>
      </c>
      <c r="Q476" s="52"/>
      <c r="R476" s="52"/>
      <c r="S476" s="52"/>
      <c r="T476" s="52"/>
      <c r="U476" s="52"/>
      <c r="V476" s="52"/>
      <c r="W476" s="52"/>
      <c r="X476" s="52"/>
      <c r="Y476" s="52"/>
      <c r="Z476" s="52"/>
    </row>
    <row r="477">
      <c r="A477" s="52"/>
      <c r="B477" s="52" t="str">
        <f>IFERROR(__xludf.DUMMYFUNCTION("""COMPUTED_VALUE"""),"Configuration issue, Database-related issue, GUI-related issue, Performance issue, Permission/deprecation issue, Program anomaly issue, Test code-related issue")</f>
        <v>Configuration issue, Database-related issue, GUI-related issue, Performance issue, Permission/deprecation issue, Program anomaly issue, Test code-related issue</v>
      </c>
      <c r="C477" s="52"/>
      <c r="D477" s="52"/>
      <c r="E477" s="52"/>
      <c r="F477" s="52"/>
      <c r="G477" s="52"/>
      <c r="H477" s="52"/>
      <c r="I477" s="52"/>
      <c r="J477" s="52"/>
      <c r="K477" s="52"/>
      <c r="L477" s="52"/>
      <c r="M477" s="52"/>
      <c r="N477" s="52"/>
      <c r="O477" s="52"/>
      <c r="P477" s="52" t="str">
        <f>IFERROR(__xludf.DUMMYFUNCTION("""COMPUTED_VALUE"""),"not::approval::for::submitting7")</f>
        <v>not::approval::for::submitting7</v>
      </c>
      <c r="Q477" s="52"/>
      <c r="R477" s="52"/>
      <c r="S477" s="52"/>
      <c r="T477" s="52"/>
      <c r="U477" s="52"/>
      <c r="V477" s="52"/>
      <c r="W477" s="52"/>
      <c r="X477" s="52"/>
      <c r="Y477" s="52"/>
      <c r="Z477" s="52"/>
    </row>
    <row r="478">
      <c r="A478" s="52"/>
      <c r="B478" s="52" t="str">
        <f>IFERROR(__xludf.DUMMYFUNCTION("""COMPUTED_VALUE"""),"Configuration issue, Database-related issue, GUI-related issue, Performance issue, Permission/deprecation issue, Security issue, Program anomaly issue")</f>
        <v>Configuration issue, Database-related issue, GUI-related issue, Performance issue, Permission/deprecation issue, Security issue, Program anomaly issue</v>
      </c>
      <c r="C478" s="52"/>
      <c r="D478" s="52"/>
      <c r="E478" s="52"/>
      <c r="F478" s="52"/>
      <c r="G478" s="52"/>
      <c r="H478" s="52"/>
      <c r="I478" s="52"/>
      <c r="J478" s="52"/>
      <c r="K478" s="52"/>
      <c r="L478" s="52"/>
      <c r="M478" s="52"/>
      <c r="N478" s="52"/>
      <c r="O478" s="52"/>
      <c r="P478" s="52" t="str">
        <f>IFERROR(__xludf.DUMMYFUNCTION("""COMPUTED_VALUE"""),"not::approval::for::submitting8")</f>
        <v>not::approval::for::submitting8</v>
      </c>
      <c r="Q478" s="52"/>
      <c r="R478" s="52"/>
      <c r="S478" s="52"/>
      <c r="T478" s="52"/>
      <c r="U478" s="52"/>
      <c r="V478" s="52"/>
      <c r="W478" s="52"/>
      <c r="X478" s="52"/>
      <c r="Y478" s="52"/>
      <c r="Z478" s="52"/>
    </row>
    <row r="479">
      <c r="A479" s="52"/>
      <c r="B479" s="52" t="str">
        <f>IFERROR(__xludf.DUMMYFUNCTION("""COMPUTED_VALUE"""),"Configuration issue, Database-related issue, GUI-related issue, Performance issue, Permission/deprecation issue, Security issue, Test code-related issue")</f>
        <v>Configuration issue, Database-related issue, GUI-related issue, Performance issue, Permission/deprecation issue, Security issue, Test code-related issue</v>
      </c>
      <c r="C479" s="52"/>
      <c r="D479" s="52"/>
      <c r="E479" s="52"/>
      <c r="F479" s="52"/>
      <c r="G479" s="52"/>
      <c r="H479" s="52"/>
      <c r="I479" s="52"/>
      <c r="J479" s="52"/>
      <c r="K479" s="52"/>
      <c r="L479" s="52"/>
      <c r="M479" s="52"/>
      <c r="N479" s="52"/>
      <c r="O479" s="52"/>
      <c r="P479" s="52" t="str">
        <f>IFERROR(__xludf.DUMMYFUNCTION("""COMPUTED_VALUE"""),"not::approval::for::submitting9")</f>
        <v>not::approval::for::submitting9</v>
      </c>
      <c r="Q479" s="52"/>
      <c r="R479" s="52"/>
      <c r="S479" s="52"/>
      <c r="T479" s="52"/>
      <c r="U479" s="52"/>
      <c r="V479" s="52"/>
      <c r="W479" s="52"/>
      <c r="X479" s="52"/>
      <c r="Y479" s="52"/>
      <c r="Z479" s="52"/>
    </row>
    <row r="480">
      <c r="A480" s="52"/>
      <c r="B480" s="52" t="str">
        <f>IFERROR(__xludf.DUMMYFUNCTION("""COMPUTED_VALUE"""),"Configuration issue, Database-related issue, GUI-related issue, Performance issue, Security issue, Program anomaly issue, Test code-related issue")</f>
        <v>Configuration issue, Database-related issue, GUI-related issue, Performance issue, Security issue, Program anomaly issue, Test code-related issue</v>
      </c>
      <c r="C480" s="52"/>
      <c r="D480" s="52"/>
      <c r="E480" s="52"/>
      <c r="F480" s="52"/>
      <c r="G480" s="52"/>
      <c r="H480" s="52"/>
      <c r="I480" s="52"/>
      <c r="J480" s="52"/>
      <c r="K480" s="52"/>
      <c r="L480" s="52"/>
      <c r="M480" s="52"/>
      <c r="N480" s="52"/>
      <c r="O480" s="52"/>
      <c r="P480" s="52" t="str">
        <f>IFERROR(__xludf.DUMMYFUNCTION("""COMPUTED_VALUE"""),"not::approval::workflow::(vote1)")</f>
        <v>not::approval::workflow::(vote1)</v>
      </c>
      <c r="Q480" s="52"/>
      <c r="R480" s="52"/>
      <c r="S480" s="52"/>
      <c r="T480" s="52"/>
      <c r="U480" s="52"/>
      <c r="V480" s="52"/>
      <c r="W480" s="52"/>
      <c r="X480" s="52"/>
      <c r="Y480" s="52"/>
      <c r="Z480" s="52"/>
    </row>
    <row r="481">
      <c r="A481" s="52"/>
      <c r="B481" s="52" t="str">
        <f>IFERROR(__xludf.DUMMYFUNCTION("""COMPUTED_VALUE"""),"Configuration issue, Database-related issue, GUI-related issue, Permission/deprecation issue, Security issue, Program anomaly issue, Test code-related issue")</f>
        <v>Configuration issue, Database-related issue, GUI-related issue, Permission/deprecation issue, Security issue, Program anomaly issue, Test code-related issue</v>
      </c>
      <c r="C481" s="52"/>
      <c r="D481" s="52"/>
      <c r="E481" s="52"/>
      <c r="F481" s="52"/>
      <c r="G481" s="52"/>
      <c r="H481" s="52"/>
      <c r="I481" s="52"/>
      <c r="J481" s="52"/>
      <c r="K481" s="52"/>
      <c r="L481" s="52"/>
      <c r="M481" s="52"/>
      <c r="N481" s="52"/>
      <c r="O481" s="52"/>
      <c r="P481" s="52" t="str">
        <f>IFERROR(__xludf.DUMMYFUNCTION("""COMPUTED_VALUE"""),"not::approval::workflow::(vote2)")</f>
        <v>not::approval::workflow::(vote2)</v>
      </c>
      <c r="Q481" s="52"/>
      <c r="R481" s="52"/>
      <c r="S481" s="52"/>
      <c r="T481" s="52"/>
      <c r="U481" s="52"/>
      <c r="V481" s="52"/>
      <c r="W481" s="52"/>
      <c r="X481" s="52"/>
      <c r="Y481" s="52"/>
      <c r="Z481" s="52"/>
    </row>
    <row r="482">
      <c r="A482" s="52"/>
      <c r="B482" s="52" t="str">
        <f>IFERROR(__xludf.DUMMYFUNCTION("""COMPUTED_VALUE"""),"Configuration issue, Database-related issue, Network issue, Performance issue, Permission/deprecation issue, Program anomaly issue, Test code-related issue")</f>
        <v>Configuration issue, Database-related issue, Network issue, Performance issue, Permission/deprecation issue, Program anomaly issue, Test code-related issue</v>
      </c>
      <c r="C482" s="52"/>
      <c r="D482" s="52"/>
      <c r="E482" s="52"/>
      <c r="F482" s="52"/>
      <c r="G482" s="52"/>
      <c r="H482" s="52"/>
      <c r="I482" s="52"/>
      <c r="J482" s="52"/>
      <c r="K482" s="52"/>
      <c r="L482" s="52"/>
      <c r="M482" s="52"/>
      <c r="N482" s="52"/>
      <c r="O482" s="52"/>
      <c r="P482" s="52" t="str">
        <f>IFERROR(__xludf.DUMMYFUNCTION("""COMPUTED_VALUE"""),"not::approval::workflow::(vote3)")</f>
        <v>not::approval::workflow::(vote3)</v>
      </c>
      <c r="Q482" s="52"/>
      <c r="R482" s="52"/>
      <c r="S482" s="52"/>
      <c r="T482" s="52"/>
      <c r="U482" s="52"/>
      <c r="V482" s="52"/>
      <c r="W482" s="52"/>
      <c r="X482" s="52"/>
      <c r="Y482" s="52"/>
      <c r="Z482" s="52"/>
    </row>
    <row r="483">
      <c r="A483" s="52"/>
      <c r="B483" s="52" t="str">
        <f>IFERROR(__xludf.DUMMYFUNCTION("""COMPUTED_VALUE"""),"Configuration issue, Database-related issue, Network issue, Performance issue, Permission/deprecation issue, Security issue, Program anomaly issue")</f>
        <v>Configuration issue, Database-related issue, Network issue, Performance issue, Permission/deprecation issue, Security issue, Program anomaly issue</v>
      </c>
      <c r="C483" s="52"/>
      <c r="D483" s="52"/>
      <c r="E483" s="52"/>
      <c r="F483" s="52"/>
      <c r="G483" s="52"/>
      <c r="H483" s="52"/>
      <c r="I483" s="52"/>
      <c r="J483" s="52"/>
      <c r="K483" s="52"/>
      <c r="L483" s="52"/>
      <c r="M483" s="52"/>
      <c r="N483" s="52"/>
      <c r="O483" s="52"/>
      <c r="P483" s="52" t="str">
        <f>IFERROR(__xludf.DUMMYFUNCTION("""COMPUTED_VALUE"""),"not::approval::workflow::(vote4)")</f>
        <v>not::approval::workflow::(vote4)</v>
      </c>
      <c r="Q483" s="52"/>
      <c r="R483" s="52"/>
      <c r="S483" s="52"/>
      <c r="T483" s="52"/>
      <c r="U483" s="52"/>
      <c r="V483" s="52"/>
      <c r="W483" s="52"/>
      <c r="X483" s="52"/>
      <c r="Y483" s="52"/>
      <c r="Z483" s="52"/>
    </row>
    <row r="484">
      <c r="A484" s="52"/>
      <c r="B484" s="52" t="str">
        <f>IFERROR(__xludf.DUMMYFUNCTION("""COMPUTED_VALUE"""),"Configuration issue, Database-related issue, Network issue, Performance issue, Permission/deprecation issue, Security issue, Test code-related issue")</f>
        <v>Configuration issue, Database-related issue, Network issue, Performance issue, Permission/deprecation issue, Security issue, Test code-related issue</v>
      </c>
      <c r="C484" s="52"/>
      <c r="D484" s="52"/>
      <c r="E484" s="52"/>
      <c r="F484" s="52"/>
      <c r="G484" s="52"/>
      <c r="H484" s="52"/>
      <c r="I484" s="52"/>
      <c r="J484" s="52"/>
      <c r="K484" s="52"/>
      <c r="L484" s="52"/>
      <c r="M484" s="52"/>
      <c r="N484" s="52"/>
      <c r="O484" s="52"/>
      <c r="P484" s="52" t="str">
        <f>IFERROR(__xludf.DUMMYFUNCTION("""COMPUTED_VALUE"""),"nothing")</f>
        <v>nothing</v>
      </c>
      <c r="Q484" s="52"/>
      <c r="R484" s="52"/>
      <c r="S484" s="52"/>
      <c r="T484" s="52"/>
      <c r="U484" s="52"/>
      <c r="V484" s="52"/>
      <c r="W484" s="52"/>
      <c r="X484" s="52"/>
      <c r="Y484" s="52"/>
      <c r="Z484" s="52"/>
    </row>
    <row r="485">
      <c r="A485" s="52"/>
      <c r="B485" s="52" t="str">
        <f>IFERROR(__xludf.DUMMYFUNCTION("""COMPUTED_VALUE"""),"Configuration issue, Database-related issue, Network issue, Performance issue, Security issue, Program anomaly issue, Test code-related issue")</f>
        <v>Configuration issue, Database-related issue, Network issue, Performance issue, Security issue, Program anomaly issue, Test code-related issue</v>
      </c>
      <c r="C485" s="52"/>
      <c r="D485" s="52"/>
      <c r="E485" s="52"/>
      <c r="F485" s="52"/>
      <c r="G485" s="52"/>
      <c r="H485" s="52"/>
      <c r="I485" s="52"/>
      <c r="J485" s="52"/>
      <c r="K485" s="52"/>
      <c r="L485" s="52"/>
      <c r="M485" s="52"/>
      <c r="N485" s="52"/>
      <c r="O485" s="52"/>
      <c r="P485" s="52" t="str">
        <f>IFERROR(__xludf.DUMMYFUNCTION("""COMPUTED_VALUE"""),"noticing::code::(deleted::code)")</f>
        <v>noticing::code::(deleted::code)</v>
      </c>
      <c r="Q485" s="52"/>
      <c r="R485" s="52"/>
      <c r="S485" s="52"/>
      <c r="T485" s="52"/>
      <c r="U485" s="52"/>
      <c r="V485" s="52"/>
      <c r="W485" s="52"/>
      <c r="X485" s="52"/>
      <c r="Y485" s="52"/>
      <c r="Z485" s="52"/>
    </row>
    <row r="486">
      <c r="A486" s="52"/>
      <c r="B486" s="52" t="str">
        <f>IFERROR(__xludf.DUMMYFUNCTION("""COMPUTED_VALUE"""),"Configuration issue, Database-related issue, Network issue, Permission/deprecation issue, Security issue, Program anomaly issue, Test code-related issue")</f>
        <v>Configuration issue, Database-related issue, Network issue, Permission/deprecation issue, Security issue, Program anomaly issue, Test code-related issue</v>
      </c>
      <c r="C486" s="52"/>
      <c r="D486" s="52"/>
      <c r="E486" s="52"/>
      <c r="F486" s="52"/>
      <c r="G486" s="52"/>
      <c r="H486" s="52"/>
      <c r="I486" s="52"/>
      <c r="J486" s="52"/>
      <c r="K486" s="52"/>
      <c r="L486" s="52"/>
      <c r="M486" s="52"/>
      <c r="N486" s="52"/>
      <c r="O486" s="52"/>
      <c r="P486" s="52" t="str">
        <f>IFERROR(__xludf.DUMMYFUNCTION("""COMPUTED_VALUE"""),"noticing::code::(race::condition)")</f>
        <v>noticing::code::(race::condition)</v>
      </c>
      <c r="Q486" s="52"/>
      <c r="R486" s="52"/>
      <c r="S486" s="52"/>
      <c r="T486" s="52"/>
      <c r="U486" s="52"/>
      <c r="V486" s="52"/>
      <c r="W486" s="52"/>
      <c r="X486" s="52"/>
      <c r="Y486" s="52"/>
      <c r="Z486" s="52"/>
    </row>
    <row r="487">
      <c r="A487" s="52"/>
      <c r="B487" s="52" t="str">
        <f>IFERROR(__xludf.DUMMYFUNCTION("""COMPUTED_VALUE"""),"Configuration issue, Database-related issue, Performance issue, Permission/deprecation issue, Security issue, Program anomaly issue, Test code-related issue")</f>
        <v>Configuration issue, Database-related issue, Performance issue, Permission/deprecation issue, Security issue, Program anomaly issue, Test code-related issue</v>
      </c>
      <c r="C487" s="52"/>
      <c r="D487" s="52"/>
      <c r="E487" s="52"/>
      <c r="F487" s="52"/>
      <c r="G487" s="52"/>
      <c r="H487" s="52"/>
      <c r="I487" s="52"/>
      <c r="J487" s="52"/>
      <c r="K487" s="52"/>
      <c r="L487" s="52"/>
      <c r="M487" s="52"/>
      <c r="N487" s="52"/>
      <c r="O487" s="52"/>
      <c r="P487" s="52" t="str">
        <f>IFERROR(__xludf.DUMMYFUNCTION("""COMPUTED_VALUE"""),"noticing::code::duplication")</f>
        <v>noticing::code::duplication</v>
      </c>
      <c r="Q487" s="52"/>
      <c r="R487" s="52"/>
      <c r="S487" s="52"/>
      <c r="T487" s="52"/>
      <c r="U487" s="52"/>
      <c r="V487" s="52"/>
      <c r="W487" s="52"/>
      <c r="X487" s="52"/>
      <c r="Y487" s="52"/>
      <c r="Z487" s="52"/>
    </row>
    <row r="488">
      <c r="A488" s="52"/>
      <c r="B488" s="52" t="str">
        <f>IFERROR(__xludf.DUMMYFUNCTION("""COMPUTED_VALUE"""),"Configuration issue, GUI-related issue, Network issue, Performance issue, Permission/deprecation issue, Program anomaly issue, Test code-related issue")</f>
        <v>Configuration issue, GUI-related issue, Network issue, Performance issue, Permission/deprecation issue, Program anomaly issue, Test code-related issue</v>
      </c>
      <c r="C488" s="52"/>
      <c r="D488" s="52"/>
      <c r="E488" s="52"/>
      <c r="F488" s="52"/>
      <c r="G488" s="52"/>
      <c r="H488" s="52"/>
      <c r="I488" s="52"/>
      <c r="J488" s="52"/>
      <c r="K488" s="52"/>
      <c r="L488" s="52"/>
      <c r="M488" s="52"/>
      <c r="N488" s="52"/>
      <c r="O488" s="52"/>
      <c r="P488" s="52" t="str">
        <f>IFERROR(__xludf.DUMMYFUNCTION("""COMPUTED_VALUE"""),"noticing::comment::not::addressed::(previous::patch)")</f>
        <v>noticing::comment::not::addressed::(previous::patch)</v>
      </c>
      <c r="Q488" s="52"/>
      <c r="R488" s="52"/>
      <c r="S488" s="52"/>
      <c r="T488" s="52"/>
      <c r="U488" s="52"/>
      <c r="V488" s="52"/>
      <c r="W488" s="52"/>
      <c r="X488" s="52"/>
      <c r="Y488" s="52"/>
      <c r="Z488" s="52"/>
    </row>
    <row r="489">
      <c r="A489" s="52"/>
      <c r="B489" s="52" t="str">
        <f>IFERROR(__xludf.DUMMYFUNCTION("""COMPUTED_VALUE"""),"Configuration issue, GUI-related issue, Network issue, Performance issue, Permission/deprecation issue, Security issue, Program anomaly issue")</f>
        <v>Configuration issue, GUI-related issue, Network issue, Performance issue, Permission/deprecation issue, Security issue, Program anomaly issue</v>
      </c>
      <c r="C489" s="52"/>
      <c r="D489" s="52"/>
      <c r="E489" s="52"/>
      <c r="F489" s="52"/>
      <c r="G489" s="52"/>
      <c r="H489" s="52"/>
      <c r="I489" s="52"/>
      <c r="J489" s="52"/>
      <c r="K489" s="52"/>
      <c r="L489" s="52"/>
      <c r="M489" s="52"/>
      <c r="N489" s="52"/>
      <c r="O489" s="52"/>
      <c r="P489" s="52" t="str">
        <f>IFERROR(__xludf.DUMMYFUNCTION("""COMPUTED_VALUE"""),"noticing::copy::code::practice")</f>
        <v>noticing::copy::code::practice</v>
      </c>
      <c r="Q489" s="52"/>
      <c r="R489" s="52"/>
      <c r="S489" s="52"/>
      <c r="T489" s="52"/>
      <c r="U489" s="52"/>
      <c r="V489" s="52"/>
      <c r="W489" s="52"/>
      <c r="X489" s="52"/>
      <c r="Y489" s="52"/>
      <c r="Z489" s="52"/>
    </row>
    <row r="490">
      <c r="A490" s="52"/>
      <c r="B490" s="52" t="str">
        <f>IFERROR(__xludf.DUMMYFUNCTION("""COMPUTED_VALUE"""),"Configuration issue, GUI-related issue, Network issue, Performance issue, Permission/deprecation issue, Security issue, Test code-related issue")</f>
        <v>Configuration issue, GUI-related issue, Network issue, Performance issue, Permission/deprecation issue, Security issue, Test code-related issue</v>
      </c>
      <c r="C490" s="52"/>
      <c r="D490" s="52"/>
      <c r="E490" s="52"/>
      <c r="F490" s="52"/>
      <c r="G490" s="52"/>
      <c r="H490" s="52"/>
      <c r="I490" s="52"/>
      <c r="J490" s="52"/>
      <c r="K490" s="52"/>
      <c r="L490" s="52"/>
      <c r="M490" s="52"/>
      <c r="N490" s="52"/>
      <c r="O490" s="52"/>
      <c r="P490" s="52" t="str">
        <f>IFERROR(__xludf.DUMMYFUNCTION("""COMPUTED_VALUE"""),"noticing::incorrect::use::of::patches")</f>
        <v>noticing::incorrect::use::of::patches</v>
      </c>
      <c r="Q490" s="52"/>
      <c r="R490" s="52"/>
      <c r="S490" s="52"/>
      <c r="T490" s="52"/>
      <c r="U490" s="52"/>
      <c r="V490" s="52"/>
      <c r="W490" s="52"/>
      <c r="X490" s="52"/>
      <c r="Y490" s="52"/>
      <c r="Z490" s="52"/>
    </row>
    <row r="491">
      <c r="A491" s="52"/>
      <c r="B491" s="52" t="str">
        <f>IFERROR(__xludf.DUMMYFUNCTION("""COMPUTED_VALUE"""),"Configuration issue, GUI-related issue, Network issue, Performance issue, Security issue, Program anomaly issue, Test code-related issue")</f>
        <v>Configuration issue, GUI-related issue, Network issue, Performance issue, Security issue, Program anomaly issue, Test code-related issue</v>
      </c>
      <c r="C491" s="52"/>
      <c r="D491" s="52"/>
      <c r="E491" s="52"/>
      <c r="F491" s="52"/>
      <c r="G491" s="52"/>
      <c r="H491" s="52"/>
      <c r="I491" s="52"/>
      <c r="J491" s="52"/>
      <c r="K491" s="52"/>
      <c r="L491" s="52"/>
      <c r="M491" s="52"/>
      <c r="N491" s="52"/>
      <c r="O491" s="52"/>
      <c r="P491" s="52" t="str">
        <f>IFERROR(__xludf.DUMMYFUNCTION("""COMPUTED_VALUE"""),"noticing::overwritting::code")</f>
        <v>noticing::overwritting::code</v>
      </c>
      <c r="Q491" s="52"/>
      <c r="R491" s="52"/>
      <c r="S491" s="52"/>
      <c r="T491" s="52"/>
      <c r="U491" s="52"/>
      <c r="V491" s="52"/>
      <c r="W491" s="52"/>
      <c r="X491" s="52"/>
      <c r="Y491" s="52"/>
      <c r="Z491" s="52"/>
    </row>
    <row r="492">
      <c r="A492" s="52"/>
      <c r="B492" s="52" t="str">
        <f>IFERROR(__xludf.DUMMYFUNCTION("""COMPUTED_VALUE"""),"Configuration issue, GUI-related issue, Network issue, Permission/deprecation issue, Security issue, Program anomaly issue, Test code-related issue")</f>
        <v>Configuration issue, GUI-related issue, Network issue, Permission/deprecation issue, Security issue, Program anomaly issue, Test code-related issue</v>
      </c>
      <c r="C492" s="52"/>
      <c r="D492" s="52"/>
      <c r="E492" s="52"/>
      <c r="F492" s="52"/>
      <c r="G492" s="52"/>
      <c r="H492" s="52"/>
      <c r="I492" s="52"/>
      <c r="J492" s="52"/>
      <c r="K492" s="52"/>
      <c r="L492" s="52"/>
      <c r="M492" s="52"/>
      <c r="N492" s="52"/>
      <c r="O492" s="52"/>
      <c r="P492" s="52" t="str">
        <f>IFERROR(__xludf.DUMMYFUNCTION("""COMPUTED_VALUE"""),"noticing::style::change::in::code::(tab::space::indent)")</f>
        <v>noticing::style::change::in::code::(tab::space::indent)</v>
      </c>
      <c r="Q492" s="52"/>
      <c r="R492" s="52"/>
      <c r="S492" s="52"/>
      <c r="T492" s="52"/>
      <c r="U492" s="52"/>
      <c r="V492" s="52"/>
      <c r="W492" s="52"/>
      <c r="X492" s="52"/>
      <c r="Y492" s="52"/>
      <c r="Z492" s="52"/>
    </row>
    <row r="493">
      <c r="A493" s="52"/>
      <c r="B493" s="52" t="str">
        <f>IFERROR(__xludf.DUMMYFUNCTION("""COMPUTED_VALUE"""),"Configuration issue, GUI-related issue, Performance issue, Permission/deprecation issue, Security issue, Program anomaly issue, Test code-related issue")</f>
        <v>Configuration issue, GUI-related issue, Performance issue, Permission/deprecation issue, Security issue, Program anomaly issue, Test code-related issue</v>
      </c>
      <c r="C493" s="52"/>
      <c r="D493" s="52"/>
      <c r="E493" s="52"/>
      <c r="F493" s="52"/>
      <c r="G493" s="52"/>
      <c r="H493" s="52"/>
      <c r="I493" s="52"/>
      <c r="J493" s="52"/>
      <c r="K493" s="52"/>
      <c r="L493" s="52"/>
      <c r="M493" s="52"/>
      <c r="N493" s="52"/>
      <c r="O493" s="52"/>
      <c r="P493" s="52" t="str">
        <f>IFERROR(__xludf.DUMMYFUNCTION("""COMPUTED_VALUE"""),"noticing::unnecessary::variable")</f>
        <v>noticing::unnecessary::variable</v>
      </c>
      <c r="Q493" s="52"/>
      <c r="R493" s="52"/>
      <c r="S493" s="52"/>
      <c r="T493" s="52"/>
      <c r="U493" s="52"/>
      <c r="V493" s="52"/>
      <c r="W493" s="52"/>
      <c r="X493" s="52"/>
      <c r="Y493" s="52"/>
      <c r="Z493" s="52"/>
    </row>
    <row r="494">
      <c r="A494" s="52"/>
      <c r="B494" s="52" t="str">
        <f>IFERROR(__xludf.DUMMYFUNCTION("""COMPUTED_VALUE"""),"Configuration issue, Network issue, Performance issue, Permission/deprecation issue, Security issue, Program anomaly issue, Test code-related issue")</f>
        <v>Configuration issue, Network issue, Performance issue, Permission/deprecation issue, Security issue, Program anomaly issue, Test code-related issue</v>
      </c>
      <c r="C494" s="52"/>
      <c r="D494" s="52"/>
      <c r="E494" s="52"/>
      <c r="F494" s="52"/>
      <c r="G494" s="52"/>
      <c r="H494" s="52"/>
      <c r="I494" s="52"/>
      <c r="J494" s="52"/>
      <c r="K494" s="52"/>
      <c r="L494" s="52"/>
      <c r="M494" s="52"/>
      <c r="N494" s="52"/>
      <c r="O494" s="52"/>
      <c r="P494" s="52" t="str">
        <f>IFERROR(__xludf.DUMMYFUNCTION("""COMPUTED_VALUE"""),"noticing::wrong::information(author::commit)")</f>
        <v>noticing::wrong::information(author::commit)</v>
      </c>
      <c r="Q494" s="52"/>
      <c r="R494" s="52"/>
      <c r="S494" s="52"/>
      <c r="T494" s="52"/>
      <c r="U494" s="52"/>
      <c r="V494" s="52"/>
      <c r="W494" s="52"/>
      <c r="X494" s="52"/>
      <c r="Y494" s="52"/>
      <c r="Z494" s="52"/>
    </row>
    <row r="495">
      <c r="A495" s="52"/>
      <c r="B495" s="52" t="str">
        <f>IFERROR(__xludf.DUMMYFUNCTION("""COMPUTED_VALUE"""),"Database-related issue, GUI-related issue, Network issue, Performance issue, Permission/deprecation issue, Program anomaly issue, Test code-related issue")</f>
        <v>Database-related issue, GUI-related issue, Network issue, Performance issue, Permission/deprecation issue, Program anomaly issue, Test code-related issue</v>
      </c>
      <c r="C495" s="52"/>
      <c r="D495" s="52"/>
      <c r="E495" s="52"/>
      <c r="F495" s="52"/>
      <c r="G495" s="52"/>
      <c r="H495" s="52"/>
      <c r="I495" s="52"/>
      <c r="J495" s="52"/>
      <c r="K495" s="52"/>
      <c r="L495" s="52"/>
      <c r="M495" s="52"/>
      <c r="N495" s="52"/>
      <c r="O495" s="52"/>
      <c r="P495" s="52" t="str">
        <f>IFERROR(__xludf.DUMMYFUNCTION("""COMPUTED_VALUE"""),"noticing::wrong::information(co::authors::commit)")</f>
        <v>noticing::wrong::information(co::authors::commit)</v>
      </c>
      <c r="Q495" s="52"/>
      <c r="R495" s="52"/>
      <c r="S495" s="52"/>
      <c r="T495" s="52"/>
      <c r="U495" s="52"/>
      <c r="V495" s="52"/>
      <c r="W495" s="52"/>
      <c r="X495" s="52"/>
      <c r="Y495" s="52"/>
      <c r="Z495" s="52"/>
    </row>
    <row r="496">
      <c r="A496" s="52"/>
      <c r="B496" s="52" t="str">
        <f>IFERROR(__xludf.DUMMYFUNCTION("""COMPUTED_VALUE"""),"Database-related issue, GUI-related issue, Network issue, Performance issue, Permission/deprecation issue, Security issue, Program anomaly issue")</f>
        <v>Database-related issue, GUI-related issue, Network issue, Performance issue, Permission/deprecation issue, Security issue, Program anomaly issue</v>
      </c>
      <c r="C496" s="52"/>
      <c r="D496" s="52"/>
      <c r="E496" s="52"/>
      <c r="F496" s="52"/>
      <c r="G496" s="52"/>
      <c r="H496" s="52"/>
      <c r="I496" s="52"/>
      <c r="J496" s="52"/>
      <c r="K496" s="52"/>
      <c r="L496" s="52"/>
      <c r="M496" s="52"/>
      <c r="N496" s="52"/>
      <c r="O496" s="52"/>
      <c r="P496" s="52" t="str">
        <f>IFERROR(__xludf.DUMMYFUNCTION("""COMPUTED_VALUE"""),"objecting::advice::how::to::develop")</f>
        <v>objecting::advice::how::to::develop</v>
      </c>
      <c r="Q496" s="52"/>
      <c r="R496" s="52"/>
      <c r="S496" s="52"/>
      <c r="T496" s="52"/>
      <c r="U496" s="52"/>
      <c r="V496" s="52"/>
      <c r="W496" s="52"/>
      <c r="X496" s="52"/>
      <c r="Y496" s="52"/>
      <c r="Z496" s="52"/>
    </row>
    <row r="497">
      <c r="A497" s="52"/>
      <c r="B497" s="52" t="str">
        <f>IFERROR(__xludf.DUMMYFUNCTION("""COMPUTED_VALUE"""),"Database-related issue, GUI-related issue, Network issue, Performance issue, Permission/deprecation issue, Security issue, Test code-related issue")</f>
        <v>Database-related issue, GUI-related issue, Network issue, Performance issue, Permission/deprecation issue, Security issue, Test code-related issue</v>
      </c>
      <c r="C497" s="52"/>
      <c r="D497" s="52"/>
      <c r="E497" s="52"/>
      <c r="F497" s="52"/>
      <c r="G497" s="52"/>
      <c r="H497" s="52"/>
      <c r="I497" s="52"/>
      <c r="J497" s="52"/>
      <c r="K497" s="52"/>
      <c r="L497" s="52"/>
      <c r="M497" s="52"/>
      <c r="N497" s="52"/>
      <c r="O497" s="52"/>
      <c r="P497" s="52" t="str">
        <f>IFERROR(__xludf.DUMMYFUNCTION("""COMPUTED_VALUE"""),"objecting::change::intended::solution::design")</f>
        <v>objecting::change::intended::solution::design</v>
      </c>
      <c r="Q497" s="52"/>
      <c r="R497" s="52"/>
      <c r="S497" s="52"/>
      <c r="T497" s="52"/>
      <c r="U497" s="52"/>
      <c r="V497" s="52"/>
      <c r="W497" s="52"/>
      <c r="X497" s="52"/>
      <c r="Y497" s="52"/>
      <c r="Z497" s="52"/>
    </row>
    <row r="498">
      <c r="A498" s="52"/>
      <c r="B498" s="52" t="str">
        <f>IFERROR(__xludf.DUMMYFUNCTION("""COMPUTED_VALUE"""),"Database-related issue, GUI-related issue, Network issue, Performance issue, Security issue, Program anomaly issue, Test code-related issue")</f>
        <v>Database-related issue, GUI-related issue, Network issue, Performance issue, Security issue, Program anomaly issue, Test code-related issue</v>
      </c>
      <c r="C498" s="52"/>
      <c r="D498" s="52"/>
      <c r="E498" s="52"/>
      <c r="F498" s="52"/>
      <c r="G498" s="52"/>
      <c r="H498" s="52"/>
      <c r="I498" s="52"/>
      <c r="J498" s="52"/>
      <c r="K498" s="52"/>
      <c r="L498" s="52"/>
      <c r="M498" s="52"/>
      <c r="N498" s="52"/>
      <c r="O498" s="52"/>
      <c r="P498" s="52" t="str">
        <f>IFERROR(__xludf.DUMMYFUNCTION("""COMPUTED_VALUE"""),"objecting::changes::required::for::submitting")</f>
        <v>objecting::changes::required::for::submitting</v>
      </c>
      <c r="Q498" s="52"/>
      <c r="R498" s="52"/>
      <c r="S498" s="52"/>
      <c r="T498" s="52"/>
      <c r="U498" s="52"/>
      <c r="V498" s="52"/>
      <c r="W498" s="52"/>
      <c r="X498" s="52"/>
      <c r="Y498" s="52"/>
      <c r="Z498" s="52"/>
    </row>
    <row r="499">
      <c r="A499" s="52"/>
      <c r="B499" s="52" t="str">
        <f>IFERROR(__xludf.DUMMYFUNCTION("""COMPUTED_VALUE"""),"Database-related issue, GUI-related issue, Network issue, Permission/deprecation issue, Security issue, Program anomaly issue, Test code-related issue")</f>
        <v>Database-related issue, GUI-related issue, Network issue, Permission/deprecation issue, Security issue, Program anomaly issue, Test code-related issue</v>
      </c>
      <c r="C499" s="52"/>
      <c r="D499" s="52"/>
      <c r="E499" s="52"/>
      <c r="F499" s="52"/>
      <c r="G499" s="52"/>
      <c r="H499" s="52"/>
      <c r="I499" s="52"/>
      <c r="J499" s="52"/>
      <c r="K499" s="52"/>
      <c r="L499" s="52"/>
      <c r="M499" s="52"/>
      <c r="N499" s="52"/>
      <c r="O499" s="52"/>
      <c r="P499" s="52" t="str">
        <f>IFERROR(__xludf.DUMMYFUNCTION("""COMPUTED_VALUE"""),"objecting::clarification::about::code")</f>
        <v>objecting::clarification::about::code</v>
      </c>
      <c r="Q499" s="52"/>
      <c r="R499" s="52"/>
      <c r="S499" s="52"/>
      <c r="T499" s="52"/>
      <c r="U499" s="52"/>
      <c r="V499" s="52"/>
      <c r="W499" s="52"/>
      <c r="X499" s="52"/>
      <c r="Y499" s="52"/>
      <c r="Z499" s="52"/>
    </row>
    <row r="500">
      <c r="A500" s="52"/>
      <c r="B500" s="52" t="str">
        <f>IFERROR(__xludf.DUMMYFUNCTION("""COMPUTED_VALUE"""),"Database-related issue, GUI-related issue, Performance issue, Permission/deprecation issue, Security issue, Program anomaly issue, Test code-related issue")</f>
        <v>Database-related issue, GUI-related issue, Performance issue, Permission/deprecation issue, Security issue, Program anomaly issue, Test code-related issue</v>
      </c>
      <c r="C500" s="52"/>
      <c r="D500" s="52"/>
      <c r="E500" s="52"/>
      <c r="F500" s="52"/>
      <c r="G500" s="52"/>
      <c r="H500" s="52"/>
      <c r="I500" s="52"/>
      <c r="J500" s="52"/>
      <c r="K500" s="52"/>
      <c r="L500" s="52"/>
      <c r="M500" s="52"/>
      <c r="N500" s="52"/>
      <c r="O500" s="52"/>
      <c r="P500" s="52" t="str">
        <f>IFERROR(__xludf.DUMMYFUNCTION("""COMPUTED_VALUE"""),"objecting::clarification::about::code::(how::to::test::it)")</f>
        <v>objecting::clarification::about::code::(how::to::test::it)</v>
      </c>
      <c r="Q500" s="52"/>
      <c r="R500" s="52"/>
      <c r="S500" s="52"/>
      <c r="T500" s="52"/>
      <c r="U500" s="52"/>
      <c r="V500" s="52"/>
      <c r="W500" s="52"/>
      <c r="X500" s="52"/>
      <c r="Y500" s="52"/>
      <c r="Z500" s="52"/>
    </row>
    <row r="501">
      <c r="A501" s="52"/>
      <c r="B501" s="52" t="str">
        <f>IFERROR(__xludf.DUMMYFUNCTION("""COMPUTED_VALUE"""),"Database-related issue, Network issue, Performance issue, Permission/deprecation issue, Security issue, Program anomaly issue, Test code-related issue")</f>
        <v>Database-related issue, Network issue, Performance issue, Permission/deprecation issue, Security issue, Program anomaly issue, Test code-related issue</v>
      </c>
      <c r="C501" s="52"/>
      <c r="D501" s="52"/>
      <c r="E501" s="52"/>
      <c r="F501" s="52"/>
      <c r="G501" s="52"/>
      <c r="H501" s="52"/>
      <c r="I501" s="52"/>
      <c r="J501" s="52"/>
      <c r="K501" s="52"/>
      <c r="L501" s="52"/>
      <c r="M501" s="52"/>
      <c r="N501" s="52"/>
      <c r="O501" s="52"/>
      <c r="P501" s="52" t="str">
        <f>IFERROR(__xludf.DUMMYFUNCTION("""COMPUTED_VALUE"""),"objecting::clarification::about::code::(input::paramenter)")</f>
        <v>objecting::clarification::about::code::(input::paramenter)</v>
      </c>
      <c r="Q501" s="52"/>
      <c r="R501" s="52"/>
      <c r="S501" s="52"/>
      <c r="T501" s="52"/>
      <c r="U501" s="52"/>
      <c r="V501" s="52"/>
      <c r="W501" s="52"/>
      <c r="X501" s="52"/>
      <c r="Y501" s="52"/>
      <c r="Z501" s="52"/>
    </row>
    <row r="502">
      <c r="A502" s="52"/>
      <c r="B502" s="52" t="str">
        <f>IFERROR(__xludf.DUMMYFUNCTION("""COMPUTED_VALUE"""),"GUI-related issue, Network issue, Performance issue, Permission/deprecation issue, Security issue, Program anomaly issue, Test code-related issue")</f>
        <v>GUI-related issue, Network issue, Performance issue, Permission/deprecation issue, Security issue, Program anomaly issue, Test code-related issue</v>
      </c>
      <c r="C502" s="52"/>
      <c r="D502" s="52"/>
      <c r="E502" s="52"/>
      <c r="F502" s="52"/>
      <c r="G502" s="52"/>
      <c r="H502" s="52"/>
      <c r="I502" s="52"/>
      <c r="J502" s="52"/>
      <c r="K502" s="52"/>
      <c r="L502" s="52"/>
      <c r="M502" s="52"/>
      <c r="N502" s="52"/>
      <c r="O502" s="52"/>
      <c r="P502" s="52" t="str">
        <f>IFERROR(__xludf.DUMMYFUNCTION("""COMPUTED_VALUE"""),"objecting::clarification::about::code::(reason::of::the::design::tests)")</f>
        <v>objecting::clarification::about::code::(reason::of::the::design::tests)</v>
      </c>
      <c r="Q502" s="52"/>
      <c r="R502" s="52"/>
      <c r="S502" s="52"/>
      <c r="T502" s="52"/>
      <c r="U502" s="52"/>
      <c r="V502" s="52"/>
      <c r="W502" s="52"/>
      <c r="X502" s="52"/>
      <c r="Y502" s="52"/>
      <c r="Z502" s="52"/>
    </row>
    <row r="503">
      <c r="A503" s="52"/>
      <c r="B503" s="52" t="str">
        <f>IFERROR(__xludf.DUMMYFUNCTION("""COMPUTED_VALUE"""),"Configuration issue, Database-related issue, GUI-related issue, Network issue, Performance issue, Permission/deprecation issue, Program anomaly issue, Test code-related issue")</f>
        <v>Configuration issue, Database-related issue, GUI-related issue, Network issue, Performance issue, Permission/deprecation issue, Program anomaly issue, Test code-related issue</v>
      </c>
      <c r="C503" s="52"/>
      <c r="D503" s="52"/>
      <c r="E503" s="52"/>
      <c r="F503" s="52"/>
      <c r="G503" s="52"/>
      <c r="H503" s="52"/>
      <c r="I503" s="52"/>
      <c r="J503" s="52"/>
      <c r="K503" s="52"/>
      <c r="L503" s="52"/>
      <c r="M503" s="52"/>
      <c r="N503" s="52"/>
      <c r="O503" s="52"/>
      <c r="P503" s="52" t="str">
        <f>IFERROR(__xludf.DUMMYFUNCTION("""COMPUTED_VALUE"""),"objecting::clarification::intended::solution::design::(does::not::apply)")</f>
        <v>objecting::clarification::intended::solution::design::(does::not::apply)</v>
      </c>
      <c r="Q503" s="52"/>
      <c r="R503" s="52"/>
      <c r="S503" s="52"/>
      <c r="T503" s="52"/>
      <c r="U503" s="52"/>
      <c r="V503" s="52"/>
      <c r="W503" s="52"/>
      <c r="X503" s="52"/>
      <c r="Y503" s="52"/>
      <c r="Z503" s="52"/>
    </row>
    <row r="504">
      <c r="A504" s="52"/>
      <c r="B504" s="52" t="str">
        <f>IFERROR(__xludf.DUMMYFUNCTION("""COMPUTED_VALUE"""),"Configuration issue, Database-related issue, GUI-related issue, Network issue, Performance issue, Permission/deprecation issue, Security issue, Program anomaly issue")</f>
        <v>Configuration issue, Database-related issue, GUI-related issue, Network issue, Performance issue, Permission/deprecation issue, Security issue, Program anomaly issue</v>
      </c>
      <c r="C504" s="52"/>
      <c r="D504" s="52"/>
      <c r="E504" s="52"/>
      <c r="F504" s="52"/>
      <c r="G504" s="52"/>
      <c r="H504" s="52"/>
      <c r="I504" s="52"/>
      <c r="J504" s="52"/>
      <c r="K504" s="52"/>
      <c r="L504" s="52"/>
      <c r="M504" s="52"/>
      <c r="N504" s="52"/>
      <c r="O504" s="52"/>
      <c r="P504" s="52" t="str">
        <f>IFERROR(__xludf.DUMMYFUNCTION("""COMPUTED_VALUE"""),"objecting::clarification::intended::solution::design::(it::is::a::new::BP)")</f>
        <v>objecting::clarification::intended::solution::design::(it::is::a::new::BP)</v>
      </c>
      <c r="Q504" s="52"/>
      <c r="R504" s="52"/>
      <c r="S504" s="52"/>
      <c r="T504" s="52"/>
      <c r="U504" s="52"/>
      <c r="V504" s="52"/>
      <c r="W504" s="52"/>
      <c r="X504" s="52"/>
      <c r="Y504" s="52"/>
      <c r="Z504" s="52"/>
    </row>
    <row r="505">
      <c r="A505" s="52"/>
      <c r="B505" s="52" t="str">
        <f>IFERROR(__xludf.DUMMYFUNCTION("""COMPUTED_VALUE"""),"Configuration issue, Database-related issue, GUI-related issue, Network issue, Performance issue, Permission/deprecation issue, Security issue, Test code-related issue")</f>
        <v>Configuration issue, Database-related issue, GUI-related issue, Network issue, Performance issue, Permission/deprecation issue, Security issue, Test code-related issue</v>
      </c>
      <c r="C505" s="52"/>
      <c r="D505" s="52"/>
      <c r="E505" s="52"/>
      <c r="F505" s="52"/>
      <c r="G505" s="52"/>
      <c r="H505" s="52"/>
      <c r="I505" s="52"/>
      <c r="J505" s="52"/>
      <c r="K505" s="52"/>
      <c r="L505" s="52"/>
      <c r="M505" s="52"/>
      <c r="N505" s="52"/>
      <c r="O505" s="52"/>
      <c r="P505" s="52" t="str">
        <f>IFERROR(__xludf.DUMMYFUNCTION("""COMPUTED_VALUE"""),"objecting::code::(approach::change::config::file)")</f>
        <v>objecting::code::(approach::change::config::file)</v>
      </c>
      <c r="Q505" s="52"/>
      <c r="R505" s="52"/>
      <c r="S505" s="52"/>
      <c r="T505" s="52"/>
      <c r="U505" s="52"/>
      <c r="V505" s="52"/>
      <c r="W505" s="52"/>
      <c r="X505" s="52"/>
      <c r="Y505" s="52"/>
      <c r="Z505" s="52"/>
    </row>
    <row r="506">
      <c r="A506" s="52"/>
      <c r="B506" s="52" t="str">
        <f>IFERROR(__xludf.DUMMYFUNCTION("""COMPUTED_VALUE"""),"Configuration issue, Database-related issue, GUI-related issue, Network issue, Performance issue, Security issue, Program anomaly issue, Test code-related issue")</f>
        <v>Configuration issue, Database-related issue, GUI-related issue, Network issue, Performance issue, Security issue, Program anomaly issue, Test code-related issue</v>
      </c>
      <c r="C506" s="52"/>
      <c r="D506" s="52"/>
      <c r="E506" s="52"/>
      <c r="F506" s="52"/>
      <c r="G506" s="52"/>
      <c r="H506" s="52"/>
      <c r="I506" s="52"/>
      <c r="J506" s="52"/>
      <c r="K506" s="52"/>
      <c r="L506" s="52"/>
      <c r="M506" s="52"/>
      <c r="N506" s="52"/>
      <c r="O506" s="52"/>
      <c r="P506" s="52" t="str">
        <f>IFERROR(__xludf.DUMMYFUNCTION("""COMPUTED_VALUE"""),"objecting::code::(need::of::config::parameters)")</f>
        <v>objecting::code::(need::of::config::parameters)</v>
      </c>
      <c r="Q506" s="52"/>
      <c r="R506" s="52"/>
      <c r="S506" s="52"/>
      <c r="T506" s="52"/>
      <c r="U506" s="52"/>
      <c r="V506" s="52"/>
      <c r="W506" s="52"/>
      <c r="X506" s="52"/>
      <c r="Y506" s="52"/>
      <c r="Z506" s="52"/>
    </row>
    <row r="507">
      <c r="A507" s="52"/>
      <c r="B507" s="52" t="str">
        <f>IFERROR(__xludf.DUMMYFUNCTION("""COMPUTED_VALUE"""),"Configuration issue, Database-related issue, GUI-related issue, Network issue, Permission/deprecation issue, Security issue, Program anomaly issue, Test code-related issue")</f>
        <v>Configuration issue, Database-related issue, GUI-related issue, Network issue, Permission/deprecation issue, Security issue, Program anomaly issue, Test code-related issue</v>
      </c>
      <c r="C507" s="52"/>
      <c r="D507" s="52"/>
      <c r="E507" s="52"/>
      <c r="F507" s="52"/>
      <c r="G507" s="52"/>
      <c r="H507" s="52"/>
      <c r="I507" s="52"/>
      <c r="J507" s="52"/>
      <c r="K507" s="52"/>
      <c r="L507" s="52"/>
      <c r="M507" s="52"/>
      <c r="N507" s="52"/>
      <c r="O507" s="52"/>
      <c r="P507" s="52" t="str">
        <f>IFERROR(__xludf.DUMMYFUNCTION("""COMPUTED_VALUE"""),"objecting::current::approach::(change::for::api::version)")</f>
        <v>objecting::current::approach::(change::for::api::version)</v>
      </c>
      <c r="Q507" s="52"/>
      <c r="R507" s="52"/>
      <c r="S507" s="52"/>
      <c r="T507" s="52"/>
      <c r="U507" s="52"/>
      <c r="V507" s="52"/>
      <c r="W507" s="52"/>
      <c r="X507" s="52"/>
      <c r="Y507" s="52"/>
      <c r="Z507" s="52"/>
    </row>
    <row r="508">
      <c r="A508" s="52"/>
      <c r="B508" s="52" t="str">
        <f>IFERROR(__xludf.DUMMYFUNCTION("""COMPUTED_VALUE"""),"Configuration issue, Database-related issue, GUI-related issue, Performance issue, Permission/deprecation issue, Security issue, Program anomaly issue, Test code-related issue")</f>
        <v>Configuration issue, Database-related issue, GUI-related issue, Performance issue, Permission/deprecation issue, Security issue, Program anomaly issue, Test code-related issue</v>
      </c>
      <c r="C508" s="52"/>
      <c r="D508" s="52"/>
      <c r="E508" s="52"/>
      <c r="F508" s="52"/>
      <c r="G508" s="52"/>
      <c r="H508" s="52"/>
      <c r="I508" s="52"/>
      <c r="J508" s="52"/>
      <c r="K508" s="52"/>
      <c r="L508" s="52"/>
      <c r="M508" s="52"/>
      <c r="N508" s="52"/>
      <c r="O508" s="52"/>
      <c r="P508" s="52" t="str">
        <f>IFERROR(__xludf.DUMMYFUNCTION("""COMPUTED_VALUE"""),"objecting::informing::conflicts::with::existing::dependency::(another::project)::of::the::change::(egg::and::chicken)")</f>
        <v>objecting::informing::conflicts::with::existing::dependency::(another::project)::of::the::change::(egg::and::chicken)</v>
      </c>
      <c r="Q508" s="52"/>
      <c r="R508" s="52"/>
      <c r="S508" s="52"/>
      <c r="T508" s="52"/>
      <c r="U508" s="52"/>
      <c r="V508" s="52"/>
      <c r="W508" s="52"/>
      <c r="X508" s="52"/>
      <c r="Y508" s="52"/>
      <c r="Z508" s="52"/>
    </row>
    <row r="509">
      <c r="A509" s="52"/>
      <c r="B509" s="52" t="str">
        <f>IFERROR(__xludf.DUMMYFUNCTION("""COMPUTED_VALUE"""),"Configuration issue, Database-related issue, Network issue, Performance issue, Permission/deprecation issue, Security issue, Program anomaly issue, Test code-related issue")</f>
        <v>Configuration issue, Database-related issue, Network issue, Performance issue, Permission/deprecation issue, Security issue, Program anomaly issue, Test code-related issue</v>
      </c>
      <c r="C509" s="52"/>
      <c r="D509" s="52"/>
      <c r="E509" s="52"/>
      <c r="F509" s="52"/>
      <c r="G509" s="52"/>
      <c r="H509" s="52"/>
      <c r="I509" s="52"/>
      <c r="J509" s="52"/>
      <c r="K509" s="52"/>
      <c r="L509" s="52"/>
      <c r="M509" s="52"/>
      <c r="N509" s="52"/>
      <c r="O509" s="52"/>
      <c r="P509" s="52" t="str">
        <f>IFERROR(__xludf.DUMMYFUNCTION("""COMPUTED_VALUE"""),"objecting::intended::refactoring::(naming)")</f>
        <v>objecting::intended::refactoring::(naming)</v>
      </c>
      <c r="Q509" s="52"/>
      <c r="R509" s="52"/>
      <c r="S509" s="52"/>
      <c r="T509" s="52"/>
      <c r="U509" s="52"/>
      <c r="V509" s="52"/>
      <c r="W509" s="52"/>
      <c r="X509" s="52"/>
      <c r="Y509" s="52"/>
      <c r="Z509" s="52"/>
    </row>
    <row r="510">
      <c r="A510" s="52"/>
      <c r="B510" s="52" t="str">
        <f>IFERROR(__xludf.DUMMYFUNCTION("""COMPUTED_VALUE"""),"Configuration issue, GUI-related issue, Network issue, Performance issue, Permission/deprecation issue, Security issue, Program anomaly issue, Test code-related issue")</f>
        <v>Configuration issue, GUI-related issue, Network issue, Performance issue, Permission/deprecation issue, Security issue, Program anomaly issue, Test code-related issue</v>
      </c>
      <c r="C510" s="52"/>
      <c r="D510" s="52"/>
      <c r="E510" s="52"/>
      <c r="F510" s="52"/>
      <c r="G510" s="52"/>
      <c r="H510" s="52"/>
      <c r="I510" s="52"/>
      <c r="J510" s="52"/>
      <c r="K510" s="52"/>
      <c r="L510" s="52"/>
      <c r="M510" s="52"/>
      <c r="N510" s="52"/>
      <c r="O510" s="52"/>
      <c r="P510" s="52" t="str">
        <f>IFERROR(__xludf.DUMMYFUNCTION("""COMPUTED_VALUE"""),"objecting::intended::solution::design")</f>
        <v>objecting::intended::solution::design</v>
      </c>
      <c r="Q510" s="52"/>
      <c r="R510" s="52"/>
      <c r="S510" s="52"/>
      <c r="T510" s="52"/>
      <c r="U510" s="52"/>
      <c r="V510" s="52"/>
      <c r="W510" s="52"/>
      <c r="X510" s="52"/>
      <c r="Y510" s="52"/>
      <c r="Z510" s="52"/>
    </row>
    <row r="511">
      <c r="A511" s="52"/>
      <c r="B511" s="52" t="str">
        <f>IFERROR(__xludf.DUMMYFUNCTION("""COMPUTED_VALUE"""),"Database-related issue, GUI-related issue, Network issue, Performance issue, Permission/deprecation issue, Security issue, Program anomaly issue, Test code-related issue")</f>
        <v>Database-related issue, GUI-related issue, Network issue, Performance issue, Permission/deprecation issue, Security issue, Program anomaly issue, Test code-related issue</v>
      </c>
      <c r="C511" s="52"/>
      <c r="D511" s="52"/>
      <c r="E511" s="52"/>
      <c r="F511" s="52"/>
      <c r="G511" s="52"/>
      <c r="H511" s="52"/>
      <c r="I511" s="52"/>
      <c r="J511" s="52"/>
      <c r="K511" s="52"/>
      <c r="L511" s="52"/>
      <c r="M511" s="52"/>
      <c r="N511" s="52"/>
      <c r="O511" s="52"/>
      <c r="P511" s="52" t="str">
        <f>IFERROR(__xludf.DUMMYFUNCTION("""COMPUTED_VALUE"""),"objecting::move:.the::changes:.to::different::patch::(new::patch)")</f>
        <v>objecting::move:.the::changes:.to::different::patch::(new::patch)</v>
      </c>
      <c r="Q511" s="52"/>
      <c r="R511" s="52"/>
      <c r="S511" s="52"/>
      <c r="T511" s="52"/>
      <c r="U511" s="52"/>
      <c r="V511" s="52"/>
      <c r="W511" s="52"/>
      <c r="X511" s="52"/>
      <c r="Y511" s="52"/>
      <c r="Z511" s="52"/>
    </row>
    <row r="512">
      <c r="A512" s="52"/>
      <c r="B512" s="52" t="str">
        <f>IFERROR(__xludf.DUMMYFUNCTION("""COMPUTED_VALUE"""),"Configuration issue, Database-related issue, GUI-related issue, Network issue, Performance issue, Permission/deprecation issue, Security issue, Program anomaly issue, Test code-related issue")</f>
        <v>Configuration issue, Database-related issue, GUI-related issue, Network issue, Performance issue, Permission/deprecation issue, Security issue, Program anomaly issue, Test code-related issue</v>
      </c>
      <c r="C512" s="52"/>
      <c r="D512" s="52"/>
      <c r="E512" s="52"/>
      <c r="F512" s="52"/>
      <c r="G512" s="52"/>
      <c r="H512" s="52"/>
      <c r="I512" s="52"/>
      <c r="J512" s="52"/>
      <c r="K512" s="52"/>
      <c r="L512" s="52"/>
      <c r="M512" s="52"/>
      <c r="N512" s="52"/>
      <c r="O512" s="52"/>
      <c r="P512" s="52" t="str">
        <f>IFERROR(__xludf.DUMMYFUNCTION("""COMPUTED_VALUE"""),"objecting::objecting::suggestion::change::(move::logic)")</f>
        <v>objecting::objecting::suggestion::change::(move::logic)</v>
      </c>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t="str">
        <f>IFERROR(__xludf.DUMMYFUNCTION("""COMPUTED_VALUE"""),"objecting::objecting::suggestion::refactoring::(move::logic)")</f>
        <v>objecting::objecting::suggestion::refactoring::(move::logic)</v>
      </c>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t="str">
        <f>IFERROR(__xludf.DUMMYFUNCTION("""COMPUTED_VALUE"""),"objecting::objection::suggestion::refactoring::(unnecesary::loop)")</f>
        <v>objecting::objection::suggestion::refactoring::(unnecesary::loop)</v>
      </c>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t="str">
        <f>IFERROR(__xludf.DUMMYFUNCTION("""COMPUTED_VALUE"""),"objecting::objection::suggestion::refactoring::(use::method/function)")</f>
        <v>objecting::objection::suggestion::refactoring::(use::method/function)</v>
      </c>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t="str">
        <f>IFERROR(__xludf.DUMMYFUNCTION("""COMPUTED_VALUE"""),"objecting::providing::instructions::for::release::next:.development:.cycle")</f>
        <v>objecting::providing::instructions::for::release::next:.development:.cycle</v>
      </c>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t="str">
        <f>IFERROR(__xludf.DUMMYFUNCTION("""COMPUTED_VALUE"""),"objecting::refactoring::(style)")</f>
        <v>objecting::refactoring::(style)</v>
      </c>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t="str">
        <f>IFERROR(__xludf.DUMMYFUNCTION("""COMPUTED_VALUE"""),"objecting::suggestion::about::code::(no::need::of::code)")</f>
        <v>objecting::suggestion::about::code::(no::need::of::code)</v>
      </c>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t="str">
        <f>IFERROR(__xludf.DUMMYFUNCTION("""COMPUTED_VALUE"""),"objecting::suggestion::change::(architecture)")</f>
        <v>objecting::suggestion::change::(architecture)</v>
      </c>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t="str">
        <f>IFERROR(__xludf.DUMMYFUNCTION("""COMPUTED_VALUE"""),"objecting::suggestion::change::(change::input::parameter)")</f>
        <v>objecting::suggestion::change::(change::input::parameter)</v>
      </c>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t="str">
        <f>IFERROR(__xludf.DUMMYFUNCTION("""COMPUTED_VALUE"""),"objecting::suggestion::change::(change::method)")</f>
        <v>objecting::suggestion::change::(change::method)</v>
      </c>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t="str">
        <f>IFERROR(__xludf.DUMMYFUNCTION("""COMPUTED_VALUE"""),"objecting::suggestion::change::(change::type)")</f>
        <v>objecting::suggestion::change::(change::type)</v>
      </c>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t="str">
        <f>IFERROR(__xludf.DUMMYFUNCTION("""COMPUTED_VALUE"""),"objecting::suggestion::change::(database::query)")</f>
        <v>objecting::suggestion::change::(database::query)</v>
      </c>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t="str">
        <f>IFERROR(__xludf.DUMMYFUNCTION("""COMPUTED_VALUE"""),"objecting::suggestion::change::(default::values)")</f>
        <v>objecting::suggestion::change::(default::values)</v>
      </c>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t="str">
        <f>IFERROR(__xludf.DUMMYFUNCTION("""COMPUTED_VALUE"""),"objecting::suggestion::change::(design::access::modifiers)")</f>
        <v>objecting::suggestion::change::(design::access::modifiers)</v>
      </c>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t="str">
        <f>IFERROR(__xludf.DUMMYFUNCTION("""COMPUTED_VALUE"""),"objecting::suggestion::change::(documentation::docstring)")</f>
        <v>objecting::suggestion::change::(documentation::docstring)</v>
      </c>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t="str">
        <f>IFERROR(__xludf.DUMMYFUNCTION("""COMPUTED_VALUE"""),"objecting::suggestion::change::(documentation)")</f>
        <v>objecting::suggestion::change::(documentation)</v>
      </c>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t="str">
        <f>IFERROR(__xludf.DUMMYFUNCTION("""COMPUTED_VALUE"""),"objecting::suggestion::change::(error::handling)")</f>
        <v>objecting::suggestion::change::(error::handling)</v>
      </c>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t="str">
        <f>IFERROR(__xludf.DUMMYFUNCTION("""COMPUTED_VALUE"""),"objecting::suggestion::change::(exception::type)")</f>
        <v>objecting::suggestion::change::(exception::type)</v>
      </c>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t="str">
        <f>IFERROR(__xludf.DUMMYFUNCTION("""COMPUTED_VALUE"""),"objecting::suggestion::change::(functionallity)")</f>
        <v>objecting::suggestion::change::(functionallity)</v>
      </c>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t="str">
        <f>IFERROR(__xludf.DUMMYFUNCTION("""COMPUTED_VALUE"""),"objecting::suggestion::change::(logic)")</f>
        <v>objecting::suggestion::change::(logic)</v>
      </c>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t="str">
        <f>IFERROR(__xludf.DUMMYFUNCTION("""COMPUTED_VALUE"""),"objecting::suggestion::change::(missing::tests)")</f>
        <v>objecting::suggestion::change::(missing::tests)</v>
      </c>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t="str">
        <f>IFERROR(__xludf.DUMMYFUNCTION("""COMPUTED_VALUE"""),"objecting::suggestion::change::(move::logic)")</f>
        <v>objecting::suggestion::change::(move::logic)</v>
      </c>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t="str">
        <f>IFERROR(__xludf.DUMMYFUNCTION("""COMPUTED_VALUE"""),"objecting::suggestion::change::(move::logic)::with::code")</f>
        <v>objecting::suggestion::change::(move::logic)::with::code</v>
      </c>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t="str">
        <f>IFERROR(__xludf.DUMMYFUNCTION("""COMPUTED_VALUE"""),"objecting::suggestion::change::(prevent::failure)")</f>
        <v>objecting::suggestion::change::(prevent::failure)</v>
      </c>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t="str">
        <f>IFERROR(__xludf.DUMMYFUNCTION("""COMPUTED_VALUE"""),"objecting::suggestion::change::(solution::design)")</f>
        <v>objecting::suggestion::change::(solution::design)</v>
      </c>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t="str">
        <f>IFERROR(__xludf.DUMMYFUNCTION("""COMPUTED_VALUE"""),"objecting::suggestion::change::(test::design)")</f>
        <v>objecting::suggestion::change::(test::design)</v>
      </c>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t="str">
        <f>IFERROR(__xludf.DUMMYFUNCTION("""COMPUTED_VALUE"""),"objecting::suggestion::change::(tests::result::specific::case)")</f>
        <v>objecting::suggestion::change::(tests::result::specific::case)</v>
      </c>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t="str">
        <f>IFERROR(__xludf.DUMMYFUNCTION("""COMPUTED_VALUE"""),"objecting::suggestion::change::(to::mantain::bacward::compatibility)")</f>
        <v>objecting::suggestion::change::(to::mantain::bacward::compatibility)</v>
      </c>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t="str">
        <f>IFERROR(__xludf.DUMMYFUNCTION("""COMPUTED_VALUE"""),"objecting::suggestion::change::(typo)")</f>
        <v>objecting::suggestion::change::(typo)</v>
      </c>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t="str">
        <f>IFERROR(__xludf.DUMMYFUNCTION("""COMPUTED_VALUE"""),"objecting::suggestion::change::(update::method)")</f>
        <v>objecting::suggestion::change::(update::method)</v>
      </c>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t="str">
        <f>IFERROR(__xludf.DUMMYFUNCTION("""COMPUTED_VALUE"""),"objecting::suggestion::change::(use::method/function)")</f>
        <v>objecting::suggestion::change::(use::method/function)</v>
      </c>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t="str">
        <f>IFERROR(__xludf.DUMMYFUNCTION("""COMPUTED_VALUE"""),"objecting::suggestion::change::(variable::to::constant)")</f>
        <v>objecting::suggestion::change::(variable::to::constant)</v>
      </c>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t="str">
        <f>IFERROR(__xludf.DUMMYFUNCTION("""COMPUTED_VALUE"""),"objecting::suggestion::change::(versioning)")</f>
        <v>objecting::suggestion::change::(versioning)</v>
      </c>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t="str">
        <f>IFERROR(__xludf.DUMMYFUNCTION("""COMPUTED_VALUE"""),"objecting::suggestion::change::(wrapp::with::exception)")</f>
        <v>objecting::suggestion::change::(wrapp::with::exception)</v>
      </c>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t="str">
        <f>IFERROR(__xludf.DUMMYFUNCTION("""COMPUTED_VALUE"""),"objecting::suggestion::change::(wrong::logic)")</f>
        <v>objecting::suggestion::change::(wrong::logic)</v>
      </c>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t="str">
        <f>IFERROR(__xludf.DUMMYFUNCTION("""COMPUTED_VALUE"""),"objecting::suggestion::move:.the::changes:.to::different::patch::(new::patch)")</f>
        <v>objecting::suggestion::move:.the::changes:.to::different::patch::(new::patch)</v>
      </c>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t="str">
        <f>IFERROR(__xludf.DUMMYFUNCTION("""COMPUTED_VALUE"""),"objecting::suggestion::rebase")</f>
        <v>objecting::suggestion::rebase</v>
      </c>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t="str">
        <f>IFERROR(__xludf.DUMMYFUNCTION("""COMPUTED_VALUE"""),"objecting::suggestion::refactoring::(add::exception)")</f>
        <v>objecting::suggestion::refactoring::(add::exception)</v>
      </c>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t="str">
        <f>IFERROR(__xludf.DUMMYFUNCTION("""COMPUTED_VALUE"""),"objecting::suggestion::refactoring::(change::data::structure)")</f>
        <v>objecting::suggestion::refactoring::(change::data::structure)</v>
      </c>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t="str">
        <f>IFERROR(__xludf.DUMMYFUNCTION("""COMPUTED_VALUE"""),"objecting::suggestion::refactoring::(cleaner::code)")</f>
        <v>objecting::suggestion::refactoring::(cleaner::code)</v>
      </c>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t="str">
        <f>IFERROR(__xludf.DUMMYFUNCTION("""COMPUTED_VALUE"""),"objecting::suggestion::refactoring::(cleaner::code)::with::code")</f>
        <v>objecting::suggestion::refactoring::(cleaner::code)::with::code</v>
      </c>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t="str">
        <f>IFERROR(__xludf.DUMMYFUNCTION("""COMPUTED_VALUE"""),"objecting::suggestion::refactoring::(config::file::new::group)")</f>
        <v>objecting::suggestion::refactoring::(config::file::new::group)</v>
      </c>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t="str">
        <f>IFERROR(__xludf.DUMMYFUNCTION("""COMPUTED_VALUE"""),"objecting::suggestion::refactoring::(duplications)")</f>
        <v>objecting::suggestion::refactoring::(duplications)</v>
      </c>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t="str">
        <f>IFERROR(__xludf.DUMMYFUNCTION("""COMPUTED_VALUE"""),"objecting::suggestion::refactoring::(extract::method)::with::code")</f>
        <v>objecting::suggestion::refactoring::(extract::method)::with::code</v>
      </c>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t="str">
        <f>IFERROR(__xludf.DUMMYFUNCTION("""COMPUTED_VALUE"""),"objecting::suggestion::refactoring::(merge::methods)")</f>
        <v>objecting::suggestion::refactoring::(merge::methods)</v>
      </c>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t="str">
        <f>IFERROR(__xludf.DUMMYFUNCTION("""COMPUTED_VALUE"""),"objecting::suggestion::refactoring::(move::logic)")</f>
        <v>objecting::suggestion::refactoring::(move::logic)</v>
      </c>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t="str">
        <f>IFERROR(__xludf.DUMMYFUNCTION("""COMPUTED_VALUE"""),"objecting::suggestion::refactoring::(naming::variable)")</f>
        <v>objecting::suggestion::refactoring::(naming::variable)</v>
      </c>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t="str">
        <f>IFERROR(__xludf.DUMMYFUNCTION("""COMPUTED_VALUE"""),"objecting::suggestion::refactoring::(not::use::mock::object)")</f>
        <v>objecting::suggestion::refactoring::(not::use::mock::object)</v>
      </c>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t="str">
        <f>IFERROR(__xludf.DUMMYFUNCTION("""COMPUTED_VALUE"""),"objecting::suggestion::refactoring::(optional::improvement)")</f>
        <v>objecting::suggestion::refactoring::(optional::improvement)</v>
      </c>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t="str">
        <f>IFERROR(__xludf.DUMMYFUNCTION("""COMPUTED_VALUE"""),"objecting::suggestion::refactoring::(out::of::scope)")</f>
        <v>objecting::suggestion::refactoring::(out::of::scope)</v>
      </c>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t="str">
        <f>IFERROR(__xludf.DUMMYFUNCTION("""COMPUTED_VALUE"""),"objecting::suggestion::refactoring::(performance)")</f>
        <v>objecting::suggestion::refactoring::(performance)</v>
      </c>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t="str">
        <f>IFERROR(__xludf.DUMMYFUNCTION("""COMPUTED_VALUE"""),"objecting::suggestion::refactoring::(performance)::with::code")</f>
        <v>objecting::suggestion::refactoring::(performance)::with::code</v>
      </c>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t="str">
        <f>IFERROR(__xludf.DUMMYFUNCTION("""COMPUTED_VALUE"""),"objecting::suggestion::refactoring::(prevent::failure)")</f>
        <v>objecting::suggestion::refactoring::(prevent::failure)</v>
      </c>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t="str">
        <f>IFERROR(__xludf.DUMMYFUNCTION("""COMPUTED_VALUE"""),"objecting::suggestion::refactoring::(removing::unnecessary::code)")</f>
        <v>objecting::suggestion::refactoring::(removing::unnecessary::code)</v>
      </c>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t="str">
        <f>IFERROR(__xludf.DUMMYFUNCTION("""COMPUTED_VALUE"""),"objecting::suggestion::refactoring::(renaming)")</f>
        <v>objecting::suggestion::refactoring::(renaming)</v>
      </c>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t="str">
        <f>IFERROR(__xludf.DUMMYFUNCTION("""COMPUTED_VALUE"""),"objecting::suggestion::refactoring::(style)")</f>
        <v>objecting::suggestion::refactoring::(style)</v>
      </c>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t="str">
        <f>IFERROR(__xludf.DUMMYFUNCTION("""COMPUTED_VALUE"""),"objecting::suggestion::refactoring::(style)::what::to::import")</f>
        <v>objecting::suggestion::refactoring::(style)::what::to::import</v>
      </c>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t="str">
        <f>IFERROR(__xludf.DUMMYFUNCTION("""COMPUTED_VALUE"""),"objecting::suggestion::refactoring::(test::naming)")</f>
        <v>objecting::suggestion::refactoring::(test::naming)</v>
      </c>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t="str">
        <f>IFERROR(__xludf.DUMMYFUNCTION("""COMPUTED_VALUE"""),"objecting::suggestion::refactoring::(type::exception)")</f>
        <v>objecting::suggestion::refactoring::(type::exception)</v>
      </c>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t="str">
        <f>IFERROR(__xludf.DUMMYFUNCTION("""COMPUTED_VALUE"""),"objecting::suggestion::refactoring::(unnecesary::code)")</f>
        <v>objecting::suggestion::refactoring::(unnecesary::code)</v>
      </c>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t="str">
        <f>IFERROR(__xludf.DUMMYFUNCTION("""COMPUTED_VALUE"""),"objecting::suggestion::refactoring::(unnecesary::loop)")</f>
        <v>objecting::suggestion::refactoring::(unnecesary::loop)</v>
      </c>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t="str">
        <f>IFERROR(__xludf.DUMMYFUNCTION("""COMPUTED_VALUE"""),"objecting::suggestion::refactoring::(use::decorators)")</f>
        <v>objecting::suggestion::refactoring::(use::decorators)</v>
      </c>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t="str">
        <f>IFERROR(__xludf.DUMMYFUNCTION("""COMPUTED_VALUE"""),"objecting::suggestion::refactoring::(use::loop)")</f>
        <v>objecting::suggestion::refactoring::(use::loop)</v>
      </c>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t="str">
        <f>IFERROR(__xludf.DUMMYFUNCTION("""COMPUTED_VALUE"""),"objecting::suggestion::refactoring::(use::method/function)")</f>
        <v>objecting::suggestion::refactoring::(use::method/function)</v>
      </c>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t="str">
        <f>IFERROR(__xludf.DUMMYFUNCTION("""COMPUTED_VALUE"""),"objecting::suggestion::refactoring::(wrapper)")</f>
        <v>objecting::suggestion::refactoring::(wrapper)</v>
      </c>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t="str">
        <f>IFERROR(__xludf.DUMMYFUNCTION("""COMPUTED_VALUE"""),"objecting::the::categorization::of::issue::as::bug")</f>
        <v>objecting::the::categorization::of::issue::as::bug</v>
      </c>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t="str">
        <f>IFERROR(__xludf.DUMMYFUNCTION("""COMPUTED_VALUE"""),"objecting::wait::for::next::release")</f>
        <v>objecting::wait::for::next::release</v>
      </c>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t="str">
        <f>IFERROR(__xludf.DUMMYFUNCTION("""COMPUTED_VALUE"""),"objection::suggestion::change::(new::dependency)")</f>
        <v>objection::suggestion::change::(new::dependency)</v>
      </c>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t="str">
        <f>IFERROR(__xludf.DUMMYFUNCTION("""COMPUTED_VALUE"""),"objection::suggestion::refactoring::(split::method)")</f>
        <v>objection::suggestion::refactoring::(split::method)</v>
      </c>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t="str">
        <f>IFERROR(__xludf.DUMMYFUNCTION("""COMPUTED_VALUE"""),"other::review::is::waiting::for::this")</f>
        <v>other::review::is::waiting::for::this</v>
      </c>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t="str">
        <f>IFERROR(__xludf.DUMMYFUNCTION("""COMPUTED_VALUE"""),"partial::implementation")</f>
        <v>partial::implementation</v>
      </c>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t="str">
        <f>IFERROR(__xludf.DUMMYFUNCTION("""COMPUTED_VALUE"""),"patch::good::enough")</f>
        <v>patch::good::enough</v>
      </c>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t="str">
        <f>IFERROR(__xludf.DUMMYFUNCTION("""COMPUTED_VALUE"""),"pr::is::continuation::of::other::pr")</f>
        <v>pr::is::continuation::of::other::pr</v>
      </c>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t="str">
        <f>IFERROR(__xludf.DUMMYFUNCTION("""COMPUTED_VALUE"""),"providing::advice::about::changes::(verify::correctness)")</f>
        <v>providing::advice::about::changes::(verify::correctness)</v>
      </c>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t="str">
        <f>IFERROR(__xludf.DUMMYFUNCTION("""COMPUTED_VALUE"""),"providing::advice::about::code::(a::different::approach::than::existing::one)")</f>
        <v>providing::advice::about::code::(a::different::approach::than::existing::one)</v>
      </c>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t="str">
        <f>IFERROR(__xludf.DUMMYFUNCTION("""COMPUTED_VALUE"""),"providing::advice::about::code::(reason::of::changing::code)")</f>
        <v>providing::advice::about::code::(reason::of::changing::code)</v>
      </c>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t="str">
        <f>IFERROR(__xludf.DUMMYFUNCTION("""COMPUTED_VALUE"""),"providing::advice::about::code::and::documentation::(functionallity)")</f>
        <v>providing::advice::about::code::and::documentation::(functionallity)</v>
      </c>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t="str">
        <f>IFERROR(__xludf.DUMMYFUNCTION("""COMPUTED_VALUE"""),"providing::advice::about::suggestion::change::current::approach::(change::for::different::api::version)")</f>
        <v>providing::advice::about::suggestion::change::current::approach::(change::for::different::api::version)</v>
      </c>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t="str">
        <f>IFERROR(__xludf.DUMMYFUNCTION("""COMPUTED_VALUE"""),"providing::advice::about::suggestion::refactoring::(style::removing::unnecessary::newline)")</f>
        <v>providing::advice::about::suggestion::refactoring::(style::removing::unnecessary::newline)</v>
      </c>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t="str">
        <f>IFERROR(__xludf.DUMMYFUNCTION("""COMPUTED_VALUE"""),"providing::advice::best::practice::(style)")</f>
        <v>providing::advice::best::practice::(style)</v>
      </c>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t="str">
        <f>IFERROR(__xludf.DUMMYFUNCTION("""COMPUTED_VALUE"""),"providing::advice::best::practice::(versioning)::with::code")</f>
        <v>providing::advice::best::practice::(versioning)::with::code</v>
      </c>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t="str">
        <f>IFERROR(__xludf.DUMMYFUNCTION("""COMPUTED_VALUE"""),"providing::advice::developing::process::(need::to::file::BP)")</f>
        <v>providing::advice::developing::process::(need::to::file::BP)</v>
      </c>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t="str">
        <f>IFERROR(__xludf.DUMMYFUNCTION("""COMPUTED_VALUE"""),"providing::advice::developing::process::(relate::a::BP::or::bug::with::commit)")</f>
        <v>providing::advice::developing::process::(relate::a::BP::or::bug::with::commit)</v>
      </c>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t="str">
        <f>IFERROR(__xludf.DUMMYFUNCTION("""COMPUTED_VALUE"""),"providing::advice::how::to::develop::(standards)")</f>
        <v>providing::advice::how::to::develop::(standards)</v>
      </c>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t="str">
        <f>IFERROR(__xludf.DUMMYFUNCTION("""COMPUTED_VALUE"""),"providing::advice::how::to::develop::(use::of::patches)")</f>
        <v>providing::advice::how::to::develop::(use::of::patches)</v>
      </c>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t="str">
        <f>IFERROR(__xludf.DUMMYFUNCTION("""COMPUTED_VALUE"""),"providing::advice::how::to::fix::(alternative::solution)")</f>
        <v>providing::advice::how::to::fix::(alternative::solution)</v>
      </c>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t="str">
        <f>IFERROR(__xludf.DUMMYFUNCTION("""COMPUTED_VALUE"""),"providing::advice::how::to::fix::failures")</f>
        <v>providing::advice::how::to::fix::failures</v>
      </c>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t="str">
        <f>IFERROR(__xludf.DUMMYFUNCTION("""COMPUTED_VALUE"""),"providing::advice::how::to::fix::failures::(avoid::shutdown)")</f>
        <v>providing::advice::how::to::fix::failures::(avoid::shutdown)</v>
      </c>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t="str">
        <f>IFERROR(__xludf.DUMMYFUNCTION("""COMPUTED_VALUE"""),"providing::advice::how::to::fix::failures::(building::tests)")</f>
        <v>providing::advice::how::to::fix::failures::(building::tests)</v>
      </c>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t="str">
        <f>IFERROR(__xludf.DUMMYFUNCTION("""COMPUTED_VALUE"""),"providing::advice::how::to::fix::failures::(how::to::initialize::variables)::with::code")</f>
        <v>providing::advice::how::to::fix::failures::(how::to::initialize::variables)::with::code</v>
      </c>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t="str">
        <f>IFERROR(__xludf.DUMMYFUNCTION("""COMPUTED_VALUE"""),"providing::advice::how::to::fix::failures::(revert:.changes)")</f>
        <v>providing::advice::how::to::fix::failures::(revert:.changes)</v>
      </c>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t="str">
        <f>IFERROR(__xludf.DUMMYFUNCTION("""COMPUTED_VALUE"""),"providing::advice::implications::of::suggestion::refactoring::(move::logic::parent::class::instead::of::sub::classes)")</f>
        <v>providing::advice::implications::of::suggestion::refactoring::(move::logic::parent::class::instead::of::sub::classes)</v>
      </c>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t="str">
        <f>IFERROR(__xludf.DUMMYFUNCTION("""COMPUTED_VALUE"""),"providing::advice::suggestion::refactoring::(naming::function)")</f>
        <v>providing::advice::suggestion::refactoring::(naming::function)</v>
      </c>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t="str">
        <f>IFERROR(__xludf.DUMMYFUNCTION("""COMPUTED_VALUE"""),"providing::clarification::(need::of::conditional)")</f>
        <v>providing::clarification::(need::of::conditional)</v>
      </c>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t="str">
        <f>IFERROR(__xludf.DUMMYFUNCTION("""COMPUTED_VALUE"""),"providing::clarification::(need::of::constant)")</f>
        <v>providing::clarification::(need::of::constant)</v>
      </c>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t="str">
        <f>IFERROR(__xludf.DUMMYFUNCTION("""COMPUTED_VALUE"""),"providing::clarification::(need::of::method::calling)")</f>
        <v>providing::clarification::(need::of::method::calling)</v>
      </c>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t="str">
        <f>IFERROR(__xludf.DUMMYFUNCTION("""COMPUTED_VALUE"""),"providing::clarification::(need::of::new::PR)")</f>
        <v>providing::clarification::(need::of::new::PR)</v>
      </c>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t="str">
        <f>IFERROR(__xludf.DUMMYFUNCTION("""COMPUTED_VALUE"""),"providing::clarification::(need::to::move::logic)")</f>
        <v>providing::clarification::(need::to::move::logic)</v>
      </c>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t="str">
        <f>IFERROR(__xludf.DUMMYFUNCTION("""COMPUTED_VALUE"""),"providing::clarification::(need::to::remove::code)")</f>
        <v>providing::clarification::(need::to::remove::code)</v>
      </c>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t="str">
        <f>IFERROR(__xludf.DUMMYFUNCTION("""COMPUTED_VALUE"""),"providing::clarification::(where::is::the::BP::implemented)")</f>
        <v>providing::clarification::(where::is::the::BP::implemented)</v>
      </c>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t="str">
        <f>IFERROR(__xludf.DUMMYFUNCTION("""COMPUTED_VALUE"""),"providing::clarification::about::change")</f>
        <v>providing::clarification::about::change</v>
      </c>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t="str">
        <f>IFERROR(__xludf.DUMMYFUNCTION("""COMPUTED_VALUE"""),"providing::clarification::about::change::(documentation)")</f>
        <v>providing::clarification::about::change::(documentation)</v>
      </c>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t="str">
        <f>IFERROR(__xludf.DUMMYFUNCTION("""COMPUTED_VALUE"""),"providing::clarification::about::change::(logic)")</f>
        <v>providing::clarification::about::change::(logic)</v>
      </c>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t="str">
        <f>IFERROR(__xludf.DUMMYFUNCTION("""COMPUTED_VALUE"""),"providing::clarification::about::code")</f>
        <v>providing::clarification::about::code</v>
      </c>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t="str">
        <f>IFERROR(__xludf.DUMMYFUNCTION("""COMPUTED_VALUE"""),"providing::clarification::about::code::(a::different::approach::than::existing::one)")</f>
        <v>providing::clarification::about::code::(a::different::approach::than::existing::one)</v>
      </c>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t="str">
        <f>IFERROR(__xludf.DUMMYFUNCTION("""COMPUTED_VALUE"""),"providing::clarification::about::code::(conditional::with::break)")</f>
        <v>providing::clarification::about::code::(conditional::with::break)</v>
      </c>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t="str">
        <f>IFERROR(__xludf.DUMMYFUNCTION("""COMPUTED_VALUE"""),"providing::clarification::about::code::(default::value)")</f>
        <v>providing::clarification::about::code::(default::value)</v>
      </c>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t="str">
        <f>IFERROR(__xludf.DUMMYFUNCTION("""COMPUTED_VALUE"""),"providing::clarification::about::code::(design::access::modifiers)")</f>
        <v>providing::clarification::about::code::(design::access::modifiers)</v>
      </c>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t="str">
        <f>IFERROR(__xludf.DUMMYFUNCTION("""COMPUTED_VALUE"""),"providing::clarification::about::code::(design)")</f>
        <v>providing::clarification::about::code::(design)</v>
      </c>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t="str">
        <f>IFERROR(__xludf.DUMMYFUNCTION("""COMPUTED_VALUE"""),"providing::clarification::about::code::(error::handling)")</f>
        <v>providing::clarification::about::code::(error::handling)</v>
      </c>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t="str">
        <f>IFERROR(__xludf.DUMMYFUNCTION("""COMPUTED_VALUE"""),"providing::clarification::about::code::(functionallity::paths::scope)")</f>
        <v>providing::clarification::about::code::(functionallity::paths::scope)</v>
      </c>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t="str">
        <f>IFERROR(__xludf.DUMMYFUNCTION("""COMPUTED_VALUE"""),"providing::clarification::about::code::(functionallity)")</f>
        <v>providing::clarification::about::code::(functionallity)</v>
      </c>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t="str">
        <f>IFERROR(__xludf.DUMMYFUNCTION("""COMPUTED_VALUE"""),"providing::clarification::about::code::(how::to::test::it)")</f>
        <v>providing::clarification::about::code::(how::to::test::it)</v>
      </c>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t="str">
        <f>IFERROR(__xludf.DUMMYFUNCTION("""COMPUTED_VALUE"""),"providing::clarification::about::code::(input::parameter)")</f>
        <v>providing::clarification::about::code::(input::parameter)</v>
      </c>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t="str">
        <f>IFERROR(__xludf.DUMMYFUNCTION("""COMPUTED_VALUE"""),"providing::clarification::about::code::(log::need)")</f>
        <v>providing::clarification::about::code::(log::need)</v>
      </c>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t="str">
        <f>IFERROR(__xludf.DUMMYFUNCTION("""COMPUTED_VALUE"""),"providing::clarification::about::code::(logging)")</f>
        <v>providing::clarification::about::code::(logging)</v>
      </c>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t="str">
        <f>IFERROR(__xludf.DUMMYFUNCTION("""COMPUTED_VALUE"""),"providing::clarification::about::code::(logic)")</f>
        <v>providing::clarification::about::code::(logic)</v>
      </c>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t="str">
        <f>IFERROR(__xludf.DUMMYFUNCTION("""COMPUTED_VALUE"""),"providing::clarification::about::code::(missing::context)")</f>
        <v>providing::clarification::about::code::(missing::context)</v>
      </c>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t="str">
        <f>IFERROR(__xludf.DUMMYFUNCTION("""COMPUTED_VALUE"""),"providing::clarification::about::code::(missing::tests)")</f>
        <v>providing::clarification::about::code::(missing::tests)</v>
      </c>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t="str">
        <f>IFERROR(__xludf.DUMMYFUNCTION("""COMPUTED_VALUE"""),"providing::clarification::about::code::(naming)")</f>
        <v>providing::clarification::about::code::(naming)</v>
      </c>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t="str">
        <f>IFERROR(__xludf.DUMMYFUNCTION("""COMPUTED_VALUE"""),"providing::clarification::about::code::(need::functionallity)")</f>
        <v>providing::clarification::about::code::(need::functionallity)</v>
      </c>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t="str">
        <f>IFERROR(__xludf.DUMMYFUNCTION("""COMPUTED_VALUE"""),"providing::clarification::about::code::(need::of::code)")</f>
        <v>providing::clarification::about::code::(need::of::code)</v>
      </c>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t="str">
        <f>IFERROR(__xludf.DUMMYFUNCTION("""COMPUTED_VALUE"""),"providing::clarification::about::code::(need::of::config::parameters)")</f>
        <v>providing::clarification::about::code::(need::of::config::parameters)</v>
      </c>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t="str">
        <f>IFERROR(__xludf.DUMMYFUNCTION("""COMPUTED_VALUE"""),"providing::clarification::about::code::(need::of::tests)")</f>
        <v>providing::clarification::about::code::(need::of::tests)</v>
      </c>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t="str">
        <f>IFERROR(__xludf.DUMMYFUNCTION("""COMPUTED_VALUE"""),"providing::clarification::about::code::(previous::version::vs::actual::code)")</f>
        <v>providing::clarification::about::code::(previous::version::vs::actual::code)</v>
      </c>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t="str">
        <f>IFERROR(__xludf.DUMMYFUNCTION("""COMPUTED_VALUE"""),"providing::clarification::about::code::(reason::of::changing::code)")</f>
        <v>providing::clarification::about::code::(reason::of::changing::code)</v>
      </c>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t="str">
        <f>IFERROR(__xludf.DUMMYFUNCTION("""COMPUTED_VALUE"""),"providing::clarification::about::code::(reason::of::the::design)")</f>
        <v>providing::clarification::about::code::(reason::of::the::design)</v>
      </c>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t="str">
        <f>IFERROR(__xludf.DUMMYFUNCTION("""COMPUTED_VALUE"""),"providing::clarification::about::code::(reason::of::the:.code)")</f>
        <v>providing::clarification::about::code::(reason::of::the:.code)</v>
      </c>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t="str">
        <f>IFERROR(__xludf.DUMMYFUNCTION("""COMPUTED_VALUE"""),"providing::clarification::about::code::(solution::design)")</f>
        <v>providing::clarification::about::code::(solution::design)</v>
      </c>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t="str">
        <f>IFERROR(__xludf.DUMMYFUNCTION("""COMPUTED_VALUE"""),"providing::clarification::about::code::(tests::result::specific::case)")</f>
        <v>providing::clarification::about::code::(tests::result::specific::case)</v>
      </c>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t="str">
        <f>IFERROR(__xludf.DUMMYFUNCTION("""COMPUTED_VALUE"""),"providing::clarification::about::code::(types)")</f>
        <v>providing::clarification::about::code::(types)</v>
      </c>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t="str">
        <f>IFERROR(__xludf.DUMMYFUNCTION("""COMPUTED_VALUE"""),"providing::clarification::about::code::(unnecesary::loop)")</f>
        <v>providing::clarification::about::code::(unnecesary::loop)</v>
      </c>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t="str">
        <f>IFERROR(__xludf.DUMMYFUNCTION("""COMPUTED_VALUE"""),"providing::clarification::about::config")</f>
        <v>providing::clarification::about::config</v>
      </c>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t="str">
        <f>IFERROR(__xludf.DUMMYFUNCTION("""COMPUTED_VALUE"""),"providing::clarification::about::config::(fixed::values)")</f>
        <v>providing::clarification::about::config::(fixed::values)</v>
      </c>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t="str">
        <f>IFERROR(__xludf.DUMMYFUNCTION("""COMPUTED_VALUE"""),"providing::clarification::about::content::(commit::message)")</f>
        <v>providing::clarification::about::content::(commit::message)</v>
      </c>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t="str">
        <f>IFERROR(__xludf.DUMMYFUNCTION("""COMPUTED_VALUE"""),"providing::clarification::about::dependencies")</f>
        <v>providing::clarification::about::dependencies</v>
      </c>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t="str">
        <f>IFERROR(__xludf.DUMMYFUNCTION("""COMPUTED_VALUE"""),"providing::clarification::about::dependency")</f>
        <v>providing::clarification::about::dependency</v>
      </c>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t="str">
        <f>IFERROR(__xludf.DUMMYFUNCTION("""COMPUTED_VALUE"""),"providing::clarification::about::dependency::(api::version)")</f>
        <v>providing::clarification::about::dependency::(api::version)</v>
      </c>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t="str">
        <f>IFERROR(__xludf.DUMMYFUNCTION("""COMPUTED_VALUE"""),"providing::clarification::about::documentation")</f>
        <v>providing::clarification::about::documentation</v>
      </c>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t="str">
        <f>IFERROR(__xludf.DUMMYFUNCTION("""COMPUTED_VALUE"""),"providing::clarification::about::project::(version)")</f>
        <v>providing::clarification::about::project::(version)</v>
      </c>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t="str">
        <f>IFERROR(__xludf.DUMMYFUNCTION("""COMPUTED_VALUE"""),"providing::clarification::about::suggestion")</f>
        <v>providing::clarification::about::suggestion</v>
      </c>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t="str">
        <f>IFERROR(__xludf.DUMMYFUNCTION("""COMPUTED_VALUE"""),"providing::clarification::about::waiting::for::patch::(other::review)")</f>
        <v>providing::clarification::about::waiting::for::patch::(other::review)</v>
      </c>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t="str">
        <f>IFERROR(__xludf.DUMMYFUNCTION("""COMPUTED_VALUE"""),"providing::clarification::change::(change::method)")</f>
        <v>providing::clarification::change::(change::method)</v>
      </c>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t="str">
        <f>IFERROR(__xludf.DUMMYFUNCTION("""COMPUTED_VALUE"""),"providing::clarification::change::(logging::message::clearness::and::level)")</f>
        <v>providing::clarification::change::(logging::message::clearness::and::level)</v>
      </c>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t="str">
        <f>IFERROR(__xludf.DUMMYFUNCTION("""COMPUTED_VALUE"""),"providing::clarification::content::(commit::message)")</f>
        <v>providing::clarification::content::(commit::message)</v>
      </c>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t="str">
        <f>IFERROR(__xludf.DUMMYFUNCTION("""COMPUTED_VALUE"""),"providing::clarification::developing::process::(added::wrong::commit::to::PR)")</f>
        <v>providing::clarification::developing::process::(added::wrong::commit::to::PR)</v>
      </c>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t="str">
        <f>IFERROR(__xludf.DUMMYFUNCTION("""COMPUTED_VALUE"""),"providing::clarification::developing::process::(code::and::managment::of::patches)")</f>
        <v>providing::clarification::developing::process::(code::and::managment::of::patches)</v>
      </c>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t="str">
        <f>IFERROR(__xludf.DUMMYFUNCTION("""COMPUTED_VALUE"""),"providing::clarification::developing::process::(need::to::file::BP)")</f>
        <v>providing::clarification::developing::process::(need::to::file::BP)</v>
      </c>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t="str">
        <f>IFERROR(__xludf.DUMMYFUNCTION("""COMPUTED_VALUE"""),"providing::clarification::implications::of::suggestion::refactoring::(move::logic::parent::class::instead::of::sub::classes)")</f>
        <v>providing::clarification::implications::of::suggestion::refactoring::(move::logic::parent::class::instead::of::sub::classes)</v>
      </c>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t="str">
        <f>IFERROR(__xludf.DUMMYFUNCTION("""COMPUTED_VALUE"""),"providing::clarification::intended::solution::design")</f>
        <v>providing::clarification::intended::solution::design</v>
      </c>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t="str">
        <f>IFERROR(__xludf.DUMMYFUNCTION("""COMPUTED_VALUE"""),"providing::clarification::noticing::comment::not::addressed::(previous::patch)")</f>
        <v>providing::clarification::noticing::comment::not::addressed::(previous::patch)</v>
      </c>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t="str">
        <f>IFERROR(__xludf.DUMMYFUNCTION("""COMPUTED_VALUE"""),"providing::clarification::previous::version::(deliberate)")</f>
        <v>providing::clarification::previous::version::(deliberate)</v>
      </c>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t="str">
        <f>IFERROR(__xludf.DUMMYFUNCTION("""COMPUTED_VALUE"""),"providing::confirmation::of::intended::solution")</f>
        <v>providing::confirmation::of::intended::solution</v>
      </c>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t="str">
        <f>IFERROR(__xludf.DUMMYFUNCTION("""COMPUTED_VALUE"""),"providing::instructions::for::current:.development:.cycle")</f>
        <v>providing::instructions::for::current:.development:.cycle</v>
      </c>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t="str">
        <f>IFERROR(__xludf.DUMMYFUNCTION("""COMPUTED_VALUE"""),"providing::instructions::for::release::next:.development:.cycle")</f>
        <v>providing::instructions::for::release::next:.development:.cycle</v>
      </c>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t="str">
        <f>IFERROR(__xludf.DUMMYFUNCTION("""COMPUTED_VALUE"""),"providing::justification::about::code::(reason::of::the::design::tests)")</f>
        <v>providing::justification::about::code::(reason::of::the::design::tests)</v>
      </c>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t="str">
        <f>IFERROR(__xludf.DUMMYFUNCTION("""COMPUTED_VALUE"""),"providing::justification::about::code::(reason::of::the::type::choices)")</f>
        <v>providing::justification::about::code::(reason::of::the::type::choices)</v>
      </c>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t="str">
        <f>IFERROR(__xludf.DUMMYFUNCTION("""COMPUTED_VALUE"""),"providing::justification::about::voting::(importance::to::include::the::change)")</f>
        <v>providing::justification::about::voting::(importance::to::include::the::change)</v>
      </c>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t="str">
        <f>IFERROR(__xludf.DUMMYFUNCTION("""COMPUTED_VALUE"""),"providing::pros::and::cons:.change:.design")</f>
        <v>providing::pros::and::cons:.change:.design</v>
      </c>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t="str">
        <f>IFERROR(__xludf.DUMMYFUNCTION("""COMPUTED_VALUE"""),"providing::solution::(new::library)")</f>
        <v>providing::solution::(new::library)</v>
      </c>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t="str">
        <f>IFERROR(__xludf.DUMMYFUNCTION("""COMPUTED_VALUE"""),"providing::solution::(performance)")</f>
        <v>providing::solution::(performance)</v>
      </c>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t="str">
        <f>IFERROR(__xludf.DUMMYFUNCTION("""COMPUTED_VALUE"""),"providing::solution::to:.design::challenge::(responsability::another::project:.(e.g.,ironic)")</f>
        <v>providing::solution::to:.design::challenge::(responsability::another::project:.(e.g.,ironic)</v>
      </c>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t="str">
        <f>IFERROR(__xludf.DUMMYFUNCTION("""COMPUTED_VALUE"""),"providing:.advice::refactoring::(conditional::with::interface)")</f>
        <v>providing:.advice::refactoring::(conditional::with::interface)</v>
      </c>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t="str">
        <f>IFERROR(__xludf.DUMMYFUNCTION("""COMPUTED_VALUE"""),"providing:.clarification::about::the::reason::error::unit::test")</f>
        <v>providing:.clarification::about::the::reason::error::unit::test</v>
      </c>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t="str">
        <f>IFERROR(__xludf.DUMMYFUNCTION("""COMPUTED_VALUE"""),"providing:.clarification::on::broken::functionallity::after::submitting::changes::(how::was::it::fixed)")</f>
        <v>providing:.clarification::on::broken::functionallity::after::submitting::changes::(how::was::it::fixed)</v>
      </c>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t="str">
        <f>IFERROR(__xludf.DUMMYFUNCTION("""COMPUTED_VALUE"""),"providing:.clarification::on::broken::functionallity::after::submitting::changes::(what::happened)")</f>
        <v>providing:.clarification::on::broken::functionallity::after::submitting::changes::(what::happened)</v>
      </c>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t="str">
        <f>IFERROR(__xludf.DUMMYFUNCTION("""COMPUTED_VALUE"""),"question::regarding::blueprint")</f>
        <v>question::regarding::blueprint</v>
      </c>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t="str">
        <f>IFERROR(__xludf.DUMMYFUNCTION("""COMPUTED_VALUE"""),"raising::issue::(potential::technical::debt)")</f>
        <v>raising::issue::(potential::technical::debt)</v>
      </c>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t="str">
        <f>IFERROR(__xludf.DUMMYFUNCTION("""COMPUTED_VALUE"""),"raising::issue::(typo::comment)")</f>
        <v>raising::issue::(typo::comment)</v>
      </c>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t="str">
        <f>IFERROR(__xludf.DUMMYFUNCTION("""COMPUTED_VALUE"""),"ready::approval::for::submitting")</f>
        <v>ready::approval::for::submitting</v>
      </c>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t="str">
        <f>IFERROR(__xludf.DUMMYFUNCTION("""COMPUTED_VALUE"""),"ready::approval::for::submitting::(core::reviewer)")</f>
        <v>ready::approval::for::submitting::(core::reviewer)</v>
      </c>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t="str">
        <f>IFERROR(__xludf.DUMMYFUNCTION("""COMPUTED_VALUE"""),"ready::approval::for::submitting::(vote)")</f>
        <v>ready::approval::for::submitting::(vote)</v>
      </c>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t="str">
        <f>IFERROR(__xludf.DUMMYFUNCTION("""COMPUTED_VALUE"""),"ready::approval::for::submitting::(vote)::(core::reviewer)")</f>
        <v>ready::approval::for::submitting::(vote)::(core::reviewer)</v>
      </c>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t="str">
        <f>IFERROR(__xludf.DUMMYFUNCTION("""COMPUTED_VALUE"""),"ready::approval::for::submitting::(vote10)")</f>
        <v>ready::approval::for::submitting::(vote10)</v>
      </c>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t="str">
        <f>IFERROR(__xludf.DUMMYFUNCTION("""COMPUTED_VALUE"""),"ready::approval::for::submitting::(vote11)")</f>
        <v>ready::approval::for::submitting::(vote11)</v>
      </c>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t="str">
        <f>IFERROR(__xludf.DUMMYFUNCTION("""COMPUTED_VALUE"""),"ready::approval::for::submitting::(vote12)::(code::review)")</f>
        <v>ready::approval::for::submitting::(vote12)::(code::review)</v>
      </c>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t="str">
        <f>IFERROR(__xludf.DUMMYFUNCTION("""COMPUTED_VALUE"""),"ready::approval::for::submitting::(vote13)")</f>
        <v>ready::approval::for::submitting::(vote13)</v>
      </c>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t="str">
        <f>IFERROR(__xludf.DUMMYFUNCTION("""COMPUTED_VALUE"""),"ready::approval::for::submitting::(vote2)")</f>
        <v>ready::approval::for::submitting::(vote2)</v>
      </c>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t="str">
        <f>IFERROR(__xludf.DUMMYFUNCTION("""COMPUTED_VALUE"""),"ready::approval::for::submitting::(vote2)::(core::reviewer)")</f>
        <v>ready::approval::for::submitting::(vote2)::(core::reviewer)</v>
      </c>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t="str">
        <f>IFERROR(__xludf.DUMMYFUNCTION("""COMPUTED_VALUE"""),"ready::approval::for::submitting::(vote3)")</f>
        <v>ready::approval::for::submitting::(vote3)</v>
      </c>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t="str">
        <f>IFERROR(__xludf.DUMMYFUNCTION("""COMPUTED_VALUE"""),"ready::approval::for::submitting::(vote3)::(core::reviewer)")</f>
        <v>ready::approval::for::submitting::(vote3)::(core::reviewer)</v>
      </c>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t="str">
        <f>IFERROR(__xludf.DUMMYFUNCTION("""COMPUTED_VALUE"""),"ready::approval::for::submitting::(vote4)")</f>
        <v>ready::approval::for::submitting::(vote4)</v>
      </c>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t="str">
        <f>IFERROR(__xludf.DUMMYFUNCTION("""COMPUTED_VALUE"""),"ready::approval::for::submitting::(vote4)::(core::reviewer)")</f>
        <v>ready::approval::for::submitting::(vote4)::(core::reviewer)</v>
      </c>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t="str">
        <f>IFERROR(__xludf.DUMMYFUNCTION("""COMPUTED_VALUE"""),"ready::approval::for::submitting::(vote5)")</f>
        <v>ready::approval::for::submitting::(vote5)</v>
      </c>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t="str">
        <f>IFERROR(__xludf.DUMMYFUNCTION("""COMPUTED_VALUE"""),"ready::approval::for::submitting::(vote5)::(core::reviewer)")</f>
        <v>ready::approval::for::submitting::(vote5)::(core::reviewer)</v>
      </c>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t="str">
        <f>IFERROR(__xludf.DUMMYFUNCTION("""COMPUTED_VALUE"""),"ready::approval::for::submitting::(vote6)")</f>
        <v>ready::approval::for::submitting::(vote6)</v>
      </c>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t="str">
        <f>IFERROR(__xludf.DUMMYFUNCTION("""COMPUTED_VALUE"""),"ready::approval::for::submitting::(vote6)::(core::reviewer)")</f>
        <v>ready::approval::for::submitting::(vote6)::(core::reviewer)</v>
      </c>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t="str">
        <f>IFERROR(__xludf.DUMMYFUNCTION("""COMPUTED_VALUE"""),"ready::approval::for::submitting::(vote7)")</f>
        <v>ready::approval::for::submitting::(vote7)</v>
      </c>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t="str">
        <f>IFERROR(__xludf.DUMMYFUNCTION("""COMPUTED_VALUE"""),"ready::approval::for::submitting::(vote7)::(core::reviewer)")</f>
        <v>ready::approval::for::submitting::(vote7)::(core::reviewer)</v>
      </c>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t="str">
        <f>IFERROR(__xludf.DUMMYFUNCTION("""COMPUTED_VALUE"""),"ready::approval::for::submitting::(vote8)")</f>
        <v>ready::approval::for::submitting::(vote8)</v>
      </c>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t="str">
        <f>IFERROR(__xludf.DUMMYFUNCTION("""COMPUTED_VALUE"""),"ready::approval::for::submitting::(vote8)::(core::reviewer)")</f>
        <v>ready::approval::for::submitting::(vote8)::(core::reviewer)</v>
      </c>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t="str">
        <f>IFERROR(__xludf.DUMMYFUNCTION("""COMPUTED_VALUE"""),"ready::approval::for::submitting::(vote9)")</f>
        <v>ready::approval::for::submitting::(vote9)</v>
      </c>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t="str">
        <f>IFERROR(__xludf.DUMMYFUNCTION("""COMPUTED_VALUE"""),"ready::approval::for::submitting::(vote9)::(core::reviewer)")</f>
        <v>ready::approval::for::submitting::(vote9)::(core::reviewer)</v>
      </c>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t="str">
        <f>IFERROR(__xludf.DUMMYFUNCTION("""COMPUTED_VALUE"""),"ready::approval::for::submitting10")</f>
        <v>ready::approval::for::submitting10</v>
      </c>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t="str">
        <f>IFERROR(__xludf.DUMMYFUNCTION("""COMPUTED_VALUE"""),"ready::approval::for::submitting10::(core::reviewer)")</f>
        <v>ready::approval::for::submitting10::(core::reviewer)</v>
      </c>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t="str">
        <f>IFERROR(__xludf.DUMMYFUNCTION("""COMPUTED_VALUE"""),"ready::approval::for::submitting11")</f>
        <v>ready::approval::for::submitting11</v>
      </c>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t="str">
        <f>IFERROR(__xludf.DUMMYFUNCTION("""COMPUTED_VALUE"""),"ready::approval::for::submitting11::(core::reviewer)")</f>
        <v>ready::approval::for::submitting11::(core::reviewer)</v>
      </c>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t="str">
        <f>IFERROR(__xludf.DUMMYFUNCTION("""COMPUTED_VALUE"""),"ready::approval::for::submitting12")</f>
        <v>ready::approval::for::submitting12</v>
      </c>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t="str">
        <f>IFERROR(__xludf.DUMMYFUNCTION("""COMPUTED_VALUE"""),"ready::approval::for::submitting12::(core::reviewer)")</f>
        <v>ready::approval::for::submitting12::(core::reviewer)</v>
      </c>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t="str">
        <f>IFERROR(__xludf.DUMMYFUNCTION("""COMPUTED_VALUE"""),"ready::approval::for::submitting13")</f>
        <v>ready::approval::for::submitting13</v>
      </c>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t="str">
        <f>IFERROR(__xludf.DUMMYFUNCTION("""COMPUTED_VALUE"""),"ready::approval::for::submitting13::(core::reviewer)")</f>
        <v>ready::approval::for::submitting13::(core::reviewer)</v>
      </c>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t="str">
        <f>IFERROR(__xludf.DUMMYFUNCTION("""COMPUTED_VALUE"""),"ready::approval::for::submitting14")</f>
        <v>ready::approval::for::submitting14</v>
      </c>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t="str">
        <f>IFERROR(__xludf.DUMMYFUNCTION("""COMPUTED_VALUE"""),"ready::approval::for::submitting15::(core::reviewer)")</f>
        <v>ready::approval::for::submitting15::(core::reviewer)</v>
      </c>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t="str">
        <f>IFERROR(__xludf.DUMMYFUNCTION("""COMPUTED_VALUE"""),"ready::approval::for::submitting16")</f>
        <v>ready::approval::for::submitting16</v>
      </c>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t="str">
        <f>IFERROR(__xludf.DUMMYFUNCTION("""COMPUTED_VALUE"""),"ready::approval::for::submitting16::(core::reviewer)")</f>
        <v>ready::approval::for::submitting16::(core::reviewer)</v>
      </c>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t="str">
        <f>IFERROR(__xludf.DUMMYFUNCTION("""COMPUTED_VALUE"""),"ready::approval::for::submitting17")</f>
        <v>ready::approval::for::submitting17</v>
      </c>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t="str">
        <f>IFERROR(__xludf.DUMMYFUNCTION("""COMPUTED_VALUE"""),"ready::approval::for::submitting17::(core::reviewer)")</f>
        <v>ready::approval::for::submitting17::(core::reviewer)</v>
      </c>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t="str">
        <f>IFERROR(__xludf.DUMMYFUNCTION("""COMPUTED_VALUE"""),"ready::approval::for::submitting18")</f>
        <v>ready::approval::for::submitting18</v>
      </c>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t="str">
        <f>IFERROR(__xludf.DUMMYFUNCTION("""COMPUTED_VALUE"""),"ready::approval::for::submitting18::(core::reviewer)")</f>
        <v>ready::approval::for::submitting18::(core::reviewer)</v>
      </c>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t="str">
        <f>IFERROR(__xludf.DUMMYFUNCTION("""COMPUTED_VALUE"""),"ready::approval::for::submitting19")</f>
        <v>ready::approval::for::submitting19</v>
      </c>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t="str">
        <f>IFERROR(__xludf.DUMMYFUNCTION("""COMPUTED_VALUE"""),"ready::approval::for::submitting19::(core::reviewer)")</f>
        <v>ready::approval::for::submitting19::(core::reviewer)</v>
      </c>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t="str">
        <f>IFERROR(__xludf.DUMMYFUNCTION("""COMPUTED_VALUE"""),"ready::approval::for::submitting2")</f>
        <v>ready::approval::for::submitting2</v>
      </c>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t="str">
        <f>IFERROR(__xludf.DUMMYFUNCTION("""COMPUTED_VALUE"""),"ready::approval::for::submitting2::(core::reviewer)")</f>
        <v>ready::approval::for::submitting2::(core::reviewer)</v>
      </c>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t="str">
        <f>IFERROR(__xludf.DUMMYFUNCTION("""COMPUTED_VALUE"""),"ready::approval::for::submitting20")</f>
        <v>ready::approval::for::submitting20</v>
      </c>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t="str">
        <f>IFERROR(__xludf.DUMMYFUNCTION("""COMPUTED_VALUE"""),"ready::approval::for::submitting20::(core::reviewer)")</f>
        <v>ready::approval::for::submitting20::(core::reviewer)</v>
      </c>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t="str">
        <f>IFERROR(__xludf.DUMMYFUNCTION("""COMPUTED_VALUE"""),"ready::approval::for::submitting21")</f>
        <v>ready::approval::for::submitting21</v>
      </c>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t="str">
        <f>IFERROR(__xludf.DUMMYFUNCTION("""COMPUTED_VALUE"""),"ready::approval::for::submitting22")</f>
        <v>ready::approval::for::submitting22</v>
      </c>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t="str">
        <f>IFERROR(__xludf.DUMMYFUNCTION("""COMPUTED_VALUE"""),"ready::approval::for::submitting22::(core::reviewer)")</f>
        <v>ready::approval::for::submitting22::(core::reviewer)</v>
      </c>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t="str">
        <f>IFERROR(__xludf.DUMMYFUNCTION("""COMPUTED_VALUE"""),"ready::approval::for::submitting23")</f>
        <v>ready::approval::for::submitting23</v>
      </c>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t="str">
        <f>IFERROR(__xludf.DUMMYFUNCTION("""COMPUTED_VALUE"""),"ready::approval::for::submitting23::(core::reviewer)")</f>
        <v>ready::approval::for::submitting23::(core::reviewer)</v>
      </c>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t="str">
        <f>IFERROR(__xludf.DUMMYFUNCTION("""COMPUTED_VALUE"""),"ready::approval::for::submitting24")</f>
        <v>ready::approval::for::submitting24</v>
      </c>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t="str">
        <f>IFERROR(__xludf.DUMMYFUNCTION("""COMPUTED_VALUE"""),"ready::approval::for::submitting24::(core::reviewer)")</f>
        <v>ready::approval::for::submitting24::(core::reviewer)</v>
      </c>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t="str">
        <f>IFERROR(__xludf.DUMMYFUNCTION("""COMPUTED_VALUE"""),"ready::approval::for::submitting25")</f>
        <v>ready::approval::for::submitting25</v>
      </c>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t="str">
        <f>IFERROR(__xludf.DUMMYFUNCTION("""COMPUTED_VALUE"""),"ready::approval::for::submitting26")</f>
        <v>ready::approval::for::submitting26</v>
      </c>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t="str">
        <f>IFERROR(__xludf.DUMMYFUNCTION("""COMPUTED_VALUE"""),"ready::approval::for::submitting26::(core::reviewer)")</f>
        <v>ready::approval::for::submitting26::(core::reviewer)</v>
      </c>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t="str">
        <f>IFERROR(__xludf.DUMMYFUNCTION("""COMPUTED_VALUE"""),"ready::approval::for::submitting27")</f>
        <v>ready::approval::for::submitting27</v>
      </c>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t="str">
        <f>IFERROR(__xludf.DUMMYFUNCTION("""COMPUTED_VALUE"""),"ready::approval::for::submitting27::(core::reviewer)")</f>
        <v>ready::approval::for::submitting27::(core::reviewer)</v>
      </c>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t="str">
        <f>IFERROR(__xludf.DUMMYFUNCTION("""COMPUTED_VALUE"""),"ready::approval::for::submitting28")</f>
        <v>ready::approval::for::submitting28</v>
      </c>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t="str">
        <f>IFERROR(__xludf.DUMMYFUNCTION("""COMPUTED_VALUE"""),"ready::approval::for::submitting28::(core::reviewer)")</f>
        <v>ready::approval::for::submitting28::(core::reviewer)</v>
      </c>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t="str">
        <f>IFERROR(__xludf.DUMMYFUNCTION("""COMPUTED_VALUE"""),"ready::approval::for::submitting29")</f>
        <v>ready::approval::for::submitting29</v>
      </c>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t="str">
        <f>IFERROR(__xludf.DUMMYFUNCTION("""COMPUTED_VALUE"""),"ready::approval::for::submitting3")</f>
        <v>ready::approval::for::submitting3</v>
      </c>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t="str">
        <f>IFERROR(__xludf.DUMMYFUNCTION("""COMPUTED_VALUE"""),"ready::approval::for::submitting3::(core::reviewer)")</f>
        <v>ready::approval::for::submitting3::(core::reviewer)</v>
      </c>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t="str">
        <f>IFERROR(__xludf.DUMMYFUNCTION("""COMPUTED_VALUE"""),"ready::approval::for::submitting30::(core::reviewer)")</f>
        <v>ready::approval::for::submitting30::(core::reviewer)</v>
      </c>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t="str">
        <f>IFERROR(__xludf.DUMMYFUNCTION("""COMPUTED_VALUE"""),"ready::approval::for::submitting31")</f>
        <v>ready::approval::for::submitting31</v>
      </c>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t="str">
        <f>IFERROR(__xludf.DUMMYFUNCTION("""COMPUTED_VALUE"""),"ready::approval::for::submitting31::(core::reviewer)")</f>
        <v>ready::approval::for::submitting31::(core::reviewer)</v>
      </c>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t="str">
        <f>IFERROR(__xludf.DUMMYFUNCTION("""COMPUTED_VALUE"""),"ready::approval::for::submitting32")</f>
        <v>ready::approval::for::submitting32</v>
      </c>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t="str">
        <f>IFERROR(__xludf.DUMMYFUNCTION("""COMPUTED_VALUE"""),"ready::approval::for::submitting33")</f>
        <v>ready::approval::for::submitting33</v>
      </c>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t="str">
        <f>IFERROR(__xludf.DUMMYFUNCTION("""COMPUTED_VALUE"""),"ready::approval::for::submitting34")</f>
        <v>ready::approval::for::submitting34</v>
      </c>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t="str">
        <f>IFERROR(__xludf.DUMMYFUNCTION("""COMPUTED_VALUE"""),"ready::approval::for::submitting35")</f>
        <v>ready::approval::for::submitting35</v>
      </c>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t="str">
        <f>IFERROR(__xludf.DUMMYFUNCTION("""COMPUTED_VALUE"""),"ready::approval::for::submitting36")</f>
        <v>ready::approval::for::submitting36</v>
      </c>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t="str">
        <f>IFERROR(__xludf.DUMMYFUNCTION("""COMPUTED_VALUE"""),"ready::approval::for::submitting37")</f>
        <v>ready::approval::for::submitting37</v>
      </c>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t="str">
        <f>IFERROR(__xludf.DUMMYFUNCTION("""COMPUTED_VALUE"""),"ready::approval::for::submitting38::(core::reviewer)")</f>
        <v>ready::approval::for::submitting38::(core::reviewer)</v>
      </c>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t="str">
        <f>IFERROR(__xludf.DUMMYFUNCTION("""COMPUTED_VALUE"""),"ready::approval::for::submitting39")</f>
        <v>ready::approval::for::submitting39</v>
      </c>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t="str">
        <f>IFERROR(__xludf.DUMMYFUNCTION("""COMPUTED_VALUE"""),"ready::approval::for::submitting4")</f>
        <v>ready::approval::for::submitting4</v>
      </c>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t="str">
        <f>IFERROR(__xludf.DUMMYFUNCTION("""COMPUTED_VALUE"""),"ready::approval::for::submitting4::(core::reviewer)")</f>
        <v>ready::approval::for::submitting4::(core::reviewer)</v>
      </c>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t="str">
        <f>IFERROR(__xludf.DUMMYFUNCTION("""COMPUTED_VALUE"""),"ready::approval::for::submitting40")</f>
        <v>ready::approval::for::submitting40</v>
      </c>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t="str">
        <f>IFERROR(__xludf.DUMMYFUNCTION("""COMPUTED_VALUE"""),"ready::approval::for::submitting41")</f>
        <v>ready::approval::for::submitting41</v>
      </c>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t="str">
        <f>IFERROR(__xludf.DUMMYFUNCTION("""COMPUTED_VALUE"""),"ready::approval::for::submitting5")</f>
        <v>ready::approval::for::submitting5</v>
      </c>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t="str">
        <f>IFERROR(__xludf.DUMMYFUNCTION("""COMPUTED_VALUE"""),"ready::approval::for::submitting5::(core::reviewer)")</f>
        <v>ready::approval::for::submitting5::(core::reviewer)</v>
      </c>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t="str">
        <f>IFERROR(__xludf.DUMMYFUNCTION("""COMPUTED_VALUE"""),"ready::approval::for::submitting6")</f>
        <v>ready::approval::for::submitting6</v>
      </c>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t="str">
        <f>IFERROR(__xludf.DUMMYFUNCTION("""COMPUTED_VALUE"""),"ready::approval::for::submitting6::(core::reviewer)")</f>
        <v>ready::approval::for::submitting6::(core::reviewer)</v>
      </c>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t="str">
        <f>IFERROR(__xludf.DUMMYFUNCTION("""COMPUTED_VALUE"""),"ready::approval::for::submitting7")</f>
        <v>ready::approval::for::submitting7</v>
      </c>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t="str">
        <f>IFERROR(__xludf.DUMMYFUNCTION("""COMPUTED_VALUE"""),"ready::approval::for::submitting7::(core::reviewer)")</f>
        <v>ready::approval::for::submitting7::(core::reviewer)</v>
      </c>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t="str">
        <f>IFERROR(__xludf.DUMMYFUNCTION("""COMPUTED_VALUE"""),"ready::approval::for::submitting8")</f>
        <v>ready::approval::for::submitting8</v>
      </c>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t="str">
        <f>IFERROR(__xludf.DUMMYFUNCTION("""COMPUTED_VALUE"""),"ready::approval::for::submitting8::(core::reviewer)")</f>
        <v>ready::approval::for::submitting8::(core::reviewer)</v>
      </c>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t="str">
        <f>IFERROR(__xludf.DUMMYFUNCTION("""COMPUTED_VALUE"""),"ready::approval::for::submitting9")</f>
        <v>ready::approval::for::submitting9</v>
      </c>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t="str">
        <f>IFERROR(__xludf.DUMMYFUNCTION("""COMPUTED_VALUE"""),"ready::approval::for::submitting9::(core::reviewer)")</f>
        <v>ready::approval::for::submitting9::(core::reviewer)</v>
      </c>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t="str">
        <f>IFERROR(__xludf.DUMMYFUNCTION("""COMPUTED_VALUE"""),"reatracting::suggestion::change::(change::input::parameter)")</f>
        <v>reatracting::suggestion::change::(change::input::parameter)</v>
      </c>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t="str">
        <f>IFERROR(__xludf.DUMMYFUNCTION("""COMPUTED_VALUE"""),"rebase::conflict")</f>
        <v>rebase::conflict</v>
      </c>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t="str">
        <f>IFERROR(__xludf.DUMMYFUNCTION("""COMPUTED_VALUE"""),"reference::another::developer")</f>
        <v>reference::another::developer</v>
      </c>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t="str">
        <f>IFERROR(__xludf.DUMMYFUNCTION("""COMPUTED_VALUE"""),"references::conversation::irc")</f>
        <v>references::conversation::irc</v>
      </c>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t="str">
        <f>IFERROR(__xludf.DUMMYFUNCTION("""COMPUTED_VALUE"""),"references::meeting")</f>
        <v>references::meeting</v>
      </c>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t="str">
        <f>IFERROR(__xludf.DUMMYFUNCTION("""COMPUTED_VALUE"""),"referes::external::url")</f>
        <v>referes::external::url</v>
      </c>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t="str">
        <f>IFERROR(__xludf.DUMMYFUNCTION("""COMPUTED_VALUE"""),"referes::to::a::review")</f>
        <v>referes::to::a::review</v>
      </c>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t="str">
        <f>IFERROR(__xludf.DUMMYFUNCTION("""COMPUTED_VALUE"""),"referes::to::approved::spec")</f>
        <v>referes::to::approved::spec</v>
      </c>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t="str">
        <f>IFERROR(__xludf.DUMMYFUNCTION("""COMPUTED_VALUE"""),"referes::to::code::(elsewhere)")</f>
        <v>referes::to::code::(elsewhere)</v>
      </c>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t="str">
        <f>IFERROR(__xludf.DUMMYFUNCTION("""COMPUTED_VALUE"""),"referes::to::code::(elsewhere)::as::assistance")</f>
        <v>referes::to::code::(elsewhere)::as::assistance</v>
      </c>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t="str">
        <f>IFERROR(__xludf.DUMMYFUNCTION("""COMPUTED_VALUE"""),"referes::to::code::(gist)")</f>
        <v>referes::to::code::(gist)</v>
      </c>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t="str">
        <f>IFERROR(__xludf.DUMMYFUNCTION("""COMPUTED_VALUE"""),"referes::to::code::(github)")</f>
        <v>referes::to::code::(github)</v>
      </c>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t="str">
        <f>IFERROR(__xludf.DUMMYFUNCTION("""COMPUTED_VALUE"""),"referes::to::code::(migrations)")</f>
        <v>referes::to::code::(migrations)</v>
      </c>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t="str">
        <f>IFERROR(__xludf.DUMMYFUNCTION("""COMPUTED_VALUE"""),"referes::to::comment")</f>
        <v>referes::to::comment</v>
      </c>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t="str">
        <f>IFERROR(__xludf.DUMMYFUNCTION("""COMPUTED_VALUE"""),"referes::to::comment::(older::revision)")</f>
        <v>referes::to::comment::(older::revision)</v>
      </c>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t="str">
        <f>IFERROR(__xludf.DUMMYFUNCTION("""COMPUTED_VALUE"""),"referes::to::comment::(other::file)")</f>
        <v>referes::to::comment::(other::file)</v>
      </c>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t="str">
        <f>IFERROR(__xludf.DUMMYFUNCTION("""COMPUTED_VALUE"""),"referes::to::comment::(other::PR)")</f>
        <v>referes::to::comment::(other::PR)</v>
      </c>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t="str">
        <f>IFERROR(__xludf.DUMMYFUNCTION("""COMPUTED_VALUE"""),"referes::to::documentation")</f>
        <v>referes::to::documentation</v>
      </c>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t="str">
        <f>IFERROR(__xludf.DUMMYFUNCTION("""COMPUTED_VALUE"""),"referes::to::email")</f>
        <v>referes::to::email</v>
      </c>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t="str">
        <f>IFERROR(__xludf.DUMMYFUNCTION("""COMPUTED_VALUE"""),"referes::to::email::snippet::(solution)")</f>
        <v>referes::to::email::snippet::(solution)</v>
      </c>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t="str">
        <f>IFERROR(__xludf.DUMMYFUNCTION("""COMPUTED_VALUE"""),"referes::to::guides::(developer::guides)")</f>
        <v>referes::to::guides::(developer::guides)</v>
      </c>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t="str">
        <f>IFERROR(__xludf.DUMMYFUNCTION("""COMPUTED_VALUE"""),"referes::to::logs::(migrations)")</f>
        <v>referes::to::logs::(migrations)</v>
      </c>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t="str">
        <f>IFERROR(__xludf.DUMMYFUNCTION("""COMPUTED_VALUE"""),"referes::to::previous::conversation::(location::unknown)")</f>
        <v>referes::to::previous::conversation::(location::unknown)</v>
      </c>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t="str">
        <f>IFERROR(__xludf.DUMMYFUNCTION("""COMPUTED_VALUE"""),"referes::to::previous::objection")</f>
        <v>referes::to::previous::objection</v>
      </c>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t="str">
        <f>IFERROR(__xludf.DUMMYFUNCTION("""COMPUTED_VALUE"""),"referes::to::previous::suggestion")</f>
        <v>referes::to::previous::suggestion</v>
      </c>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t="str">
        <f>IFERROR(__xludf.DUMMYFUNCTION("""COMPUTED_VALUE"""),"referes::to::previous::suggestion::refactoring::(cleaner::code)")</f>
        <v>referes::to::previous::suggestion::refactoring::(cleaner::code)</v>
      </c>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t="str">
        <f>IFERROR(__xludf.DUMMYFUNCTION("""COMPUTED_VALUE"""),"referes::to::related::BP")</f>
        <v>referes::to::related::BP</v>
      </c>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t="str">
        <f>IFERROR(__xludf.DUMMYFUNCTION("""COMPUTED_VALUE"""),"referes::to::related::bug")</f>
        <v>referes::to::related::bug</v>
      </c>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t="str">
        <f>IFERROR(__xludf.DUMMYFUNCTION("""COMPUTED_VALUE"""),"referes::to::related::commit")</f>
        <v>referes::to::related::commit</v>
      </c>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t="str">
        <f>IFERROR(__xludf.DUMMYFUNCTION("""COMPUTED_VALUE"""),"referes::to::related::issue")</f>
        <v>referes::to::related::issue</v>
      </c>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t="str">
        <f>IFERROR(__xludf.DUMMYFUNCTION("""COMPUTED_VALUE"""),"referes::to::related::PR")</f>
        <v>referes::to::related::PR</v>
      </c>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t="str">
        <f>IFERROR(__xludf.DUMMYFUNCTION("""COMPUTED_VALUE"""),"referes::to::related::review")</f>
        <v>referes::to::related::review</v>
      </c>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t="str">
        <f>IFERROR(__xludf.DUMMYFUNCTION("""COMPUTED_VALUE"""),"referes::to::spec::(github)")</f>
        <v>referes::to::spec::(github)</v>
      </c>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t="str">
        <f>IFERROR(__xludf.DUMMYFUNCTION("""COMPUTED_VALUE"""),"refers::previous::comment")</f>
        <v>refers::previous::comment</v>
      </c>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t="str">
        <f>IFERROR(__xludf.DUMMYFUNCTION("""COMPUTED_VALUE"""),"refers::to::mailinglist")</f>
        <v>refers::to::mailinglist</v>
      </c>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t="str">
        <f>IFERROR(__xludf.DUMMYFUNCTION("""COMPUTED_VALUE"""),"reminder::previous::comment")</f>
        <v>reminder::previous::comment</v>
      </c>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t="str">
        <f>IFERROR(__xludf.DUMMYFUNCTION("""COMPUTED_VALUE"""),"reminder::todo")</f>
        <v>reminder::todo</v>
      </c>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t="str">
        <f>IFERROR(__xludf.DUMMYFUNCTION("""COMPUTED_VALUE"""),"reminder::update::votes")</f>
        <v>reminder::update::votes</v>
      </c>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t="str">
        <f>IFERROR(__xludf.DUMMYFUNCTION("""COMPUTED_VALUE"""),"request::not::mergeFFE::(feature::freeze::exception)::close")</f>
        <v>request::not::mergeFFE::(feature::freeze::exception)::close</v>
      </c>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t="str">
        <f>IFERROR(__xludf.DUMMYFUNCTION("""COMPUTED_VALUE"""),"request::of::rebase")</f>
        <v>request::of::rebase</v>
      </c>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t="str">
        <f>IFERROR(__xludf.DUMMYFUNCTION("""COMPUTED_VALUE"""),"requesting::check::pylint")</f>
        <v>requesting::check::pylint</v>
      </c>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t="str">
        <f>IFERROR(__xludf.DUMMYFUNCTION("""COMPUTED_VALUE"""),"requesting::execution::of::CI::system")</f>
        <v>requesting::execution::of::CI::system</v>
      </c>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t="str">
        <f>IFERROR(__xludf.DUMMYFUNCTION("""COMPUTED_VALUE"""),"requesting::explanation::for::not::aproval")</f>
        <v>requesting::explanation::for::not::aproval</v>
      </c>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t="str">
        <f>IFERROR(__xludf.DUMMYFUNCTION("""COMPUTED_VALUE"""),"requesting::more::tests")</f>
        <v>requesting::more::tests</v>
      </c>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t="str">
        <f>IFERROR(__xludf.DUMMYFUNCTION("""COMPUTED_VALUE"""),"requesting::more::tests::(coverage)")</f>
        <v>requesting::more::tests::(coverage)</v>
      </c>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t="str">
        <f>IFERROR(__xludf.DUMMYFUNCTION("""COMPUTED_VALUE"""),"requesting::more::tests::(coverage2)")</f>
        <v>requesting::more::tests::(coverage2)</v>
      </c>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t="str">
        <f>IFERROR(__xludf.DUMMYFUNCTION("""COMPUTED_VALUE"""),"requesting::more::tests::(missing::case)")</f>
        <v>requesting::more::tests::(missing::case)</v>
      </c>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t="str">
        <f>IFERROR(__xludf.DUMMYFUNCTION("""COMPUTED_VALUE"""),"requesting::of::checking::different::bug")</f>
        <v>requesting::of::checking::different::bug</v>
      </c>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t="str">
        <f>IFERROR(__xludf.DUMMYFUNCTION("""COMPUTED_VALUE"""),"requesting::of::checking::different::bug2")</f>
        <v>requesting::of::checking::different::bug2</v>
      </c>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t="str">
        <f>IFERROR(__xludf.DUMMYFUNCTION("""COMPUTED_VALUE"""),"requesting::of::checking::different::bug3")</f>
        <v>requesting::of::checking::different::bug3</v>
      </c>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t="str">
        <f>IFERROR(__xludf.DUMMYFUNCTION("""COMPUTED_VALUE"""),"requesting::of::checking::different::bug4")</f>
        <v>requesting::of::checking::different::bug4</v>
      </c>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t="str">
        <f>IFERROR(__xludf.DUMMYFUNCTION("""COMPUTED_VALUE"""),"requesting::of::checking::different::bug5")</f>
        <v>requesting::of::checking::different::bug5</v>
      </c>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t="str">
        <f>IFERROR(__xludf.DUMMYFUNCTION("""COMPUTED_VALUE"""),"requesting::of::checking::different::bug6")</f>
        <v>requesting::of::checking::different::bug6</v>
      </c>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t="str">
        <f>IFERROR(__xludf.DUMMYFUNCTION("""COMPUTED_VALUE"""),"requesting::of::checking::different::bug7")</f>
        <v>requesting::of::checking::different::bug7</v>
      </c>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t="str">
        <f>IFERROR(__xludf.DUMMYFUNCTION("""COMPUTED_VALUE"""),"requesting::of::checking::different::review")</f>
        <v>requesting::of::checking::different::review</v>
      </c>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t="str">
        <f>IFERROR(__xludf.DUMMYFUNCTION("""COMPUTED_VALUE"""),"requesting::of::checking::for::bugs")</f>
        <v>requesting::of::checking::for::bugs</v>
      </c>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t="str">
        <f>IFERROR(__xludf.DUMMYFUNCTION("""COMPUTED_VALUE"""),"requesting::reverify")</f>
        <v>requesting::reverify</v>
      </c>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t="str">
        <f>IFERROR(__xludf.DUMMYFUNCTION("""COMPUTED_VALUE"""),"requesting::reviews::from::others")</f>
        <v>requesting::reviews::from::others</v>
      </c>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t="str">
        <f>IFERROR(__xludf.DUMMYFUNCTION("""COMPUTED_VALUE"""),"requesting::somebodyelse::for::approval::for::submitting")</f>
        <v>requesting::somebodyelse::for::approval::for::submitting</v>
      </c>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t="str">
        <f>IFERROR(__xludf.DUMMYFUNCTION("""COMPUTED_VALUE"""),"requesting::somebodyelse::for::approval::for::submitting10")</f>
        <v>requesting::somebodyelse::for::approval::for::submitting10</v>
      </c>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t="str">
        <f>IFERROR(__xludf.DUMMYFUNCTION("""COMPUTED_VALUE"""),"requesting::somebodyelse::for::approval::for::submitting11")</f>
        <v>requesting::somebodyelse::for::approval::for::submitting11</v>
      </c>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t="str">
        <f>IFERROR(__xludf.DUMMYFUNCTION("""COMPUTED_VALUE"""),"requesting::somebodyelse::for::approval::for::submitting12")</f>
        <v>requesting::somebodyelse::for::approval::for::submitting12</v>
      </c>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t="str">
        <f>IFERROR(__xludf.DUMMYFUNCTION("""COMPUTED_VALUE"""),"requesting::somebodyelse::for::approval::for::submitting13")</f>
        <v>requesting::somebodyelse::for::approval::for::submitting13</v>
      </c>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t="str">
        <f>IFERROR(__xludf.DUMMYFUNCTION("""COMPUTED_VALUE"""),"requesting::somebodyelse::for::approval::for::submitting14")</f>
        <v>requesting::somebodyelse::for::approval::for::submitting14</v>
      </c>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t="str">
        <f>IFERROR(__xludf.DUMMYFUNCTION("""COMPUTED_VALUE"""),"requesting::somebodyelse::for::approval::for::submitting15")</f>
        <v>requesting::somebodyelse::for::approval::for::submitting15</v>
      </c>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t="str">
        <f>IFERROR(__xludf.DUMMYFUNCTION("""COMPUTED_VALUE"""),"requesting::somebodyelse::for::approval::for::submitting16")</f>
        <v>requesting::somebodyelse::for::approval::for::submitting16</v>
      </c>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t="str">
        <f>IFERROR(__xludf.DUMMYFUNCTION("""COMPUTED_VALUE"""),"requesting::somebodyelse::for::approval::for::submitting17")</f>
        <v>requesting::somebodyelse::for::approval::for::submitting17</v>
      </c>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t="str">
        <f>IFERROR(__xludf.DUMMYFUNCTION("""COMPUTED_VALUE"""),"requesting::somebodyelse::for::approval::for::submitting18")</f>
        <v>requesting::somebodyelse::for::approval::for::submitting18</v>
      </c>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t="str">
        <f>IFERROR(__xludf.DUMMYFUNCTION("""COMPUTED_VALUE"""),"requesting::somebodyelse::for::approval::for::submitting19")</f>
        <v>requesting::somebodyelse::for::approval::for::submitting19</v>
      </c>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t="str">
        <f>IFERROR(__xludf.DUMMYFUNCTION("""COMPUTED_VALUE"""),"requesting::somebodyelse::for::approval::for::submitting2")</f>
        <v>requesting::somebodyelse::for::approval::for::submitting2</v>
      </c>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t="str">
        <f>IFERROR(__xludf.DUMMYFUNCTION("""COMPUTED_VALUE"""),"requesting::somebodyelse::for::approval::for::submitting20")</f>
        <v>requesting::somebodyelse::for::approval::for::submitting20</v>
      </c>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t="str">
        <f>IFERROR(__xludf.DUMMYFUNCTION("""COMPUTED_VALUE"""),"requesting::somebodyelse::for::approval::for::submitting21")</f>
        <v>requesting::somebodyelse::for::approval::for::submitting21</v>
      </c>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t="str">
        <f>IFERROR(__xludf.DUMMYFUNCTION("""COMPUTED_VALUE"""),"requesting::somebodyelse::for::approval::for::submitting22")</f>
        <v>requesting::somebodyelse::for::approval::for::submitting22</v>
      </c>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t="str">
        <f>IFERROR(__xludf.DUMMYFUNCTION("""COMPUTED_VALUE"""),"requesting::somebodyelse::for::approval::for::submitting23")</f>
        <v>requesting::somebodyelse::for::approval::for::submitting23</v>
      </c>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t="str">
        <f>IFERROR(__xludf.DUMMYFUNCTION("""COMPUTED_VALUE"""),"requesting::somebodyelse::for::approval::for::submitting24")</f>
        <v>requesting::somebodyelse::for::approval::for::submitting24</v>
      </c>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t="str">
        <f>IFERROR(__xludf.DUMMYFUNCTION("""COMPUTED_VALUE"""),"requesting::somebodyelse::for::approval::for::submitting25")</f>
        <v>requesting::somebodyelse::for::approval::for::submitting25</v>
      </c>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t="str">
        <f>IFERROR(__xludf.DUMMYFUNCTION("""COMPUTED_VALUE"""),"requesting::somebodyelse::for::approval::for::submitting26")</f>
        <v>requesting::somebodyelse::for::approval::for::submitting26</v>
      </c>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t="str">
        <f>IFERROR(__xludf.DUMMYFUNCTION("""COMPUTED_VALUE"""),"requesting::somebodyelse::for::approval::for::submitting27")</f>
        <v>requesting::somebodyelse::for::approval::for::submitting27</v>
      </c>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t="str">
        <f>IFERROR(__xludf.DUMMYFUNCTION("""COMPUTED_VALUE"""),"requesting::somebodyelse::for::approval::for::submitting28")</f>
        <v>requesting::somebodyelse::for::approval::for::submitting28</v>
      </c>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t="str">
        <f>IFERROR(__xludf.DUMMYFUNCTION("""COMPUTED_VALUE"""),"requesting::somebodyelse::for::approval::for::submitting29")</f>
        <v>requesting::somebodyelse::for::approval::for::submitting29</v>
      </c>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t="str">
        <f>IFERROR(__xludf.DUMMYFUNCTION("""COMPUTED_VALUE"""),"requesting::somebodyelse::for::approval::for::submitting3")</f>
        <v>requesting::somebodyelse::for::approval::for::submitting3</v>
      </c>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t="str">
        <f>IFERROR(__xludf.DUMMYFUNCTION("""COMPUTED_VALUE"""),"requesting::somebodyelse::for::approval::for::submitting30")</f>
        <v>requesting::somebodyelse::for::approval::for::submitting30</v>
      </c>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t="str">
        <f>IFERROR(__xludf.DUMMYFUNCTION("""COMPUTED_VALUE"""),"requesting::somebodyelse::for::approval::for::submitting31")</f>
        <v>requesting::somebodyelse::for::approval::for::submitting31</v>
      </c>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t="str">
        <f>IFERROR(__xludf.DUMMYFUNCTION("""COMPUTED_VALUE"""),"requesting::somebodyelse::for::approval::for::submitting32")</f>
        <v>requesting::somebodyelse::for::approval::for::submitting32</v>
      </c>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t="str">
        <f>IFERROR(__xludf.DUMMYFUNCTION("""COMPUTED_VALUE"""),"requesting::somebodyelse::for::approval::for::submitting33")</f>
        <v>requesting::somebodyelse::for::approval::for::submitting33</v>
      </c>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t="str">
        <f>IFERROR(__xludf.DUMMYFUNCTION("""COMPUTED_VALUE"""),"requesting::somebodyelse::for::approval::for::submitting34")</f>
        <v>requesting::somebodyelse::for::approval::for::submitting34</v>
      </c>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t="str">
        <f>IFERROR(__xludf.DUMMYFUNCTION("""COMPUTED_VALUE"""),"requesting::somebodyelse::for::approval::for::submitting35")</f>
        <v>requesting::somebodyelse::for::approval::for::submitting35</v>
      </c>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t="str">
        <f>IFERROR(__xludf.DUMMYFUNCTION("""COMPUTED_VALUE"""),"requesting::somebodyelse::for::approval::for::submitting4")</f>
        <v>requesting::somebodyelse::for::approval::for::submitting4</v>
      </c>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t="str">
        <f>IFERROR(__xludf.DUMMYFUNCTION("""COMPUTED_VALUE"""),"requesting::somebodyelse::for::approval::for::submitting5")</f>
        <v>requesting::somebodyelse::for::approval::for::submitting5</v>
      </c>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t="str">
        <f>IFERROR(__xludf.DUMMYFUNCTION("""COMPUTED_VALUE"""),"requesting::somebodyelse::for::approval::for::submitting6")</f>
        <v>requesting::somebodyelse::for::approval::for::submitting6</v>
      </c>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t="str">
        <f>IFERROR(__xludf.DUMMYFUNCTION("""COMPUTED_VALUE"""),"requesting::somebodyelse::for::approval::for::submitting7")</f>
        <v>requesting::somebodyelse::for::approval::for::submitting7</v>
      </c>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t="str">
        <f>IFERROR(__xludf.DUMMYFUNCTION("""COMPUTED_VALUE"""),"requesting::somebodyelse::for::approval::for::submitting8")</f>
        <v>requesting::somebodyelse::for::approval::for::submitting8</v>
      </c>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t="str">
        <f>IFERROR(__xludf.DUMMYFUNCTION("""COMPUTED_VALUE"""),"requesting::somebodyelse::for::approval::for::submitting9")</f>
        <v>requesting::somebodyelse::for::approval::for::submitting9</v>
      </c>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t="str">
        <f>IFERROR(__xludf.DUMMYFUNCTION("""COMPUTED_VALUE"""),"requesting::suggestions::about::code::comment")</f>
        <v>requesting::suggestions::about::code::comment</v>
      </c>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t="str">
        <f>IFERROR(__xludf.DUMMYFUNCTION("""COMPUTED_VALUE"""),"reset::voting")</f>
        <v>reset::voting</v>
      </c>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t="str">
        <f>IFERROR(__xludf.DUMMYFUNCTION("""COMPUTED_VALUE"""),"reset::voting2")</f>
        <v>reset::voting2</v>
      </c>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t="str">
        <f>IFERROR(__xludf.DUMMYFUNCTION("""COMPUTED_VALUE"""),"reset::voting3")</f>
        <v>reset::voting3</v>
      </c>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t="str">
        <f>IFERROR(__xludf.DUMMYFUNCTION("""COMPUTED_VALUE"""),"retracting::objecting::change::(intended::solution::design)")</f>
        <v>retracting::objecting::change::(intended::solution::design)</v>
      </c>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t="str">
        <f>IFERROR(__xludf.DUMMYFUNCTION("""COMPUTED_VALUE"""),"retracting::objecting::code::(need::of::config::parameters)")</f>
        <v>retracting::objecting::code::(need::of::config::parameters)</v>
      </c>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t="str">
        <f>IFERROR(__xludf.DUMMYFUNCTION("""COMPUTED_VALUE"""),"retracting::retracting::objecting::change::(intended::solution::design)")</f>
        <v>retracting::retracting::objecting::change::(intended::solution::design)</v>
      </c>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t="str">
        <f>IFERROR(__xludf.DUMMYFUNCTION("""COMPUTED_VALUE"""),"retracting::suggestion::assert::change")</f>
        <v>retracting::suggestion::assert::change</v>
      </c>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t="str">
        <f>IFERROR(__xludf.DUMMYFUNCTION("""COMPUTED_VALUE"""),"retracting::suggestion::change::(change::method)")</f>
        <v>retracting::suggestion::change::(change::method)</v>
      </c>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t="str">
        <f>IFERROR(__xludf.DUMMYFUNCTION("""COMPUTED_VALUE"""),"retracting::suggestion::change::(class::to::static)")</f>
        <v>retracting::suggestion::change::(class::to::static)</v>
      </c>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t="str">
        <f>IFERROR(__xludf.DUMMYFUNCTION("""COMPUTED_VALUE"""),"retracting::suggestion::change::(error::handling)")</f>
        <v>retracting::suggestion::change::(error::handling)</v>
      </c>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t="str">
        <f>IFERROR(__xludf.DUMMYFUNCTION("""COMPUTED_VALUE"""),"retracting::suggestion::change::(naming)")</f>
        <v>retracting::suggestion::change::(naming)</v>
      </c>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t="str">
        <f>IFERROR(__xludf.DUMMYFUNCTION("""COMPUTED_VALUE"""),"retracting::suggestion::change::(property)")</f>
        <v>retracting::suggestion::change::(property)</v>
      </c>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t="str">
        <f>IFERROR(__xludf.DUMMYFUNCTION("""COMPUTED_VALUE"""),"retracting::suggestion::refactoring::(clearer::code)")</f>
        <v>retracting::suggestion::refactoring::(clearer::code)</v>
      </c>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t="str">
        <f>IFERROR(__xludf.DUMMYFUNCTION("""COMPUTED_VALUE"""),"retracting::suggestion::refactoring::(renaming)")</f>
        <v>retracting::suggestion::refactoring::(renaming)</v>
      </c>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t="str">
        <f>IFERROR(__xludf.DUMMYFUNCTION("""COMPUTED_VALUE"""),"retracting::suggestion::refactoring::(style)")</f>
        <v>retracting::suggestion::refactoring::(style)</v>
      </c>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t="str">
        <f>IFERROR(__xludf.DUMMYFUNCTION("""COMPUTED_VALUE"""),"retracting::suggestion::refactoring::(style)::what::to::import")</f>
        <v>retracting::suggestion::refactoring::(style)::what::to::import</v>
      </c>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t="str">
        <f>IFERROR(__xludf.DUMMYFUNCTION("""COMPUTED_VALUE"""),"review::restored::after::abandoned")</f>
        <v>review::restored::after::abandoned</v>
      </c>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t="str">
        <f>IFERROR(__xludf.DUMMYFUNCTION("""COMPUTED_VALUE"""),"review::restored::after::abandoned2")</f>
        <v>review::restored::after::abandoned2</v>
      </c>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t="str">
        <f>IFERROR(__xludf.DUMMYFUNCTION("""COMPUTED_VALUE"""),"review::restored::after::abandoned3")</f>
        <v>review::restored::after::abandoned3</v>
      </c>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t="str">
        <f>IFERROR(__xludf.DUMMYFUNCTION("""COMPUTED_VALUE"""),"review::restored::after::abandoned4")</f>
        <v>review::restored::after::abandoned4</v>
      </c>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t="str">
        <f>IFERROR(__xludf.DUMMYFUNCTION("""COMPUTED_VALUE"""),"review::restored::after::abandoned5")</f>
        <v>review::restored::after::abandoned5</v>
      </c>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t="str">
        <f>IFERROR(__xludf.DUMMYFUNCTION("""COMPUTED_VALUE"""),"security::impact::mentioned")</f>
        <v>security::impact::mentioned</v>
      </c>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t="str">
        <f>IFERROR(__xludf.DUMMYFUNCTION("""COMPUTED_VALUE"""),"solution::to::external::library::problem:.encountered")</f>
        <v>solution::to::external::library::problem:.encountered</v>
      </c>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t="str">
        <f>IFERROR(__xludf.DUMMYFUNCTION("""COMPUTED_VALUE"""),"source::of::test::failing::(external::internal)")</f>
        <v>source::of::test::failing::(external::internal)</v>
      </c>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t="str">
        <f>IFERROR(__xludf.DUMMYFUNCTION("""COMPUTED_VALUE"""),"source::of::test::failing::(external::source)")</f>
        <v>source::of::test::failing::(external::source)</v>
      </c>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t="str">
        <f>IFERROR(__xludf.DUMMYFUNCTION("""COMPUTED_VALUE"""),"source::of::test::failing::(external(bug)::internal)")</f>
        <v>source::of::test::failing::(external(bug)::internal)</v>
      </c>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t="str">
        <f>IFERROR(__xludf.DUMMYFUNCTION("""COMPUTED_VALUE"""),"split::patches")</f>
        <v>split::patches</v>
      </c>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t="str">
        <f>IFERROR(__xludf.DUMMYFUNCTION("""COMPUTED_VALUE"""),"suggesting::extending::tests")</f>
        <v>suggesting::extending::tests</v>
      </c>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t="str">
        <f>IFERROR(__xludf.DUMMYFUNCTION("""COMPUTED_VALUE"""),"suggesting::reversing::the::commit")</f>
        <v>suggesting::reversing::the::commit</v>
      </c>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t="str">
        <f>IFERROR(__xludf.DUMMYFUNCTION("""COMPUTED_VALUE"""),"suggestion::assert::change")</f>
        <v>suggestion::assert::change</v>
      </c>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t="str">
        <f>IFERROR(__xludf.DUMMYFUNCTION("""COMPUTED_VALUE"""),"suggestion::change::(add::documentation)")</f>
        <v>suggestion::change::(add::documentation)</v>
      </c>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t="str">
        <f>IFERROR(__xludf.DUMMYFUNCTION("""COMPUTED_VALUE"""),"suggestion::change::(add::functionallity)")</f>
        <v>suggestion::change::(add::functionallity)</v>
      </c>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t="str">
        <f>IFERROR(__xludf.DUMMYFUNCTION("""COMPUTED_VALUE"""),"suggestion::change::(add::inline::documentation)")</f>
        <v>suggestion::change::(add::inline::documentation)</v>
      </c>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t="str">
        <f>IFERROR(__xludf.DUMMYFUNCTION("""COMPUTED_VALUE"""),"suggestion::change::(api::version)")</f>
        <v>suggestion::change::(api::version)</v>
      </c>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t="str">
        <f>IFERROR(__xludf.DUMMYFUNCTION("""COMPUTED_VALUE"""),"suggestion::change::(apply::to::different::api::version)")</f>
        <v>suggestion::change::(apply::to::different::api::version)</v>
      </c>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t="str">
        <f>IFERROR(__xludf.DUMMYFUNCTION("""COMPUTED_VALUE"""),"suggestion::change::(architecture::tests)")</f>
        <v>suggestion::change::(architecture::tests)</v>
      </c>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t="str">
        <f>IFERROR(__xludf.DUMMYFUNCTION("""COMPUTED_VALUE"""),"suggestion::change::(architecture)")</f>
        <v>suggestion::change::(architecture)</v>
      </c>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t="str">
        <f>IFERROR(__xludf.DUMMYFUNCTION("""COMPUTED_VALUE"""),"suggestion::change::(backwards::compatebility)")</f>
        <v>suggestion::change::(backwards::compatebility)</v>
      </c>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t="str">
        <f>IFERROR(__xludf.DUMMYFUNCTION("""COMPUTED_VALUE"""),"suggestion::change::(change::input::parameter)")</f>
        <v>suggestion::change::(change::input::parameter)</v>
      </c>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t="str">
        <f>IFERROR(__xludf.DUMMYFUNCTION("""COMPUTED_VALUE"""),"suggestion::change::(change::method)")</f>
        <v>suggestion::change::(change::method)</v>
      </c>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t="str">
        <f>IFERROR(__xludf.DUMMYFUNCTION("""COMPUTED_VALUE"""),"suggestion::change::(change::the::used::value::of::variable)")</f>
        <v>suggestion::change::(change::the::used::value::of::variable)</v>
      </c>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t="str">
        <f>IFERROR(__xludf.DUMMYFUNCTION("""COMPUTED_VALUE"""),"suggestion::change::(change::type)")</f>
        <v>suggestion::change::(change::type)</v>
      </c>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t="str">
        <f>IFERROR(__xludf.DUMMYFUNCTION("""COMPUTED_VALUE"""),"suggestion::change::(class::to::static)")</f>
        <v>suggestion::change::(class::to::static)</v>
      </c>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t="str">
        <f>IFERROR(__xludf.DUMMYFUNCTION("""COMPUTED_VALUE"""),"suggestion::change::(coding::error)")</f>
        <v>suggestion::change::(coding::error)</v>
      </c>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t="str">
        <f>IFERROR(__xludf.DUMMYFUNCTION("""COMPUTED_VALUE"""),"suggestion::change::(content::logging::not::misleading)")</f>
        <v>suggestion::change::(content::logging::not::misleading)</v>
      </c>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t="str">
        <f>IFERROR(__xludf.DUMMYFUNCTION("""COMPUTED_VALUE"""),"suggestion::change::(database::models)")</f>
        <v>suggestion::change::(database::models)</v>
      </c>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t="str">
        <f>IFERROR(__xludf.DUMMYFUNCTION("""COMPUTED_VALUE"""),"suggestion::change::(database::query)")</f>
        <v>suggestion::change::(database::query)</v>
      </c>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t="str">
        <f>IFERROR(__xludf.DUMMYFUNCTION("""COMPUTED_VALUE"""),"suggestion::change::(decorator::micro::version)")</f>
        <v>suggestion::change::(decorator::micro::version)</v>
      </c>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t="str">
        <f>IFERROR(__xludf.DUMMYFUNCTION("""COMPUTED_VALUE"""),"suggestion::change::(default::values::config)")</f>
        <v>suggestion::change::(default::values::config)</v>
      </c>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t="str">
        <f>IFERROR(__xludf.DUMMYFUNCTION("""COMPUTED_VALUE"""),"suggestion::change::(default::values)")</f>
        <v>suggestion::change::(default::values)</v>
      </c>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t="str">
        <f>IFERROR(__xludf.DUMMYFUNCTION("""COMPUTED_VALUE"""),"suggestion::change::(delete::method/function)")</f>
        <v>suggestion::change::(delete::method/function)</v>
      </c>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t="str">
        <f>IFERROR(__xludf.DUMMYFUNCTION("""COMPUTED_VALUE"""),"suggestion::change::(delete::temporary::files)")</f>
        <v>suggestion::change::(delete::temporary::files)</v>
      </c>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t="str">
        <f>IFERROR(__xludf.DUMMYFUNCTION("""COMPUTED_VALUE"""),"suggestion::change::(delete::type/exception)")</f>
        <v>suggestion::change::(delete::type/exception)</v>
      </c>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t="str">
        <f>IFERROR(__xludf.DUMMYFUNCTION("""COMPUTED_VALUE"""),"suggestion::change::(design::access::modifiers)")</f>
        <v>suggestion::change::(design::access::modifiers)</v>
      </c>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t="str">
        <f>IFERROR(__xludf.DUMMYFUNCTION("""COMPUTED_VALUE"""),"suggestion::change::(documentation::config::helper::info)")</f>
        <v>suggestion::change::(documentation::config::helper::info)</v>
      </c>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t="str">
        <f>IFERROR(__xludf.DUMMYFUNCTION("""COMPUTED_VALUE"""),"suggestion::change::(documentation::docstring::introduction)")</f>
        <v>suggestion::change::(documentation::docstring::introduction)</v>
      </c>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t="str">
        <f>IFERROR(__xludf.DUMMYFUNCTION("""COMPUTED_VALUE"""),"suggestion::change::(documentation::docstring)")</f>
        <v>suggestion::change::(documentation::docstring)</v>
      </c>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t="str">
        <f>IFERROR(__xludf.DUMMYFUNCTION("""COMPUTED_VALUE"""),"suggestion::change::(documentation::License)")</f>
        <v>suggestion::change::(documentation::License)</v>
      </c>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t="str">
        <f>IFERROR(__xludf.DUMMYFUNCTION("""COMPUTED_VALUE"""),"suggestion::change::(documentation::mismatch)")</f>
        <v>suggestion::change::(documentation::mismatch)</v>
      </c>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t="str">
        <f>IFERROR(__xludf.DUMMYFUNCTION("""COMPUTED_VALUE"""),"suggestion::change::(documentation::replace::docstring::with::comments)")</f>
        <v>suggestion::change::(documentation::replace::docstring::with::comments)</v>
      </c>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t="str">
        <f>IFERROR(__xludf.DUMMYFUNCTION("""COMPUTED_VALUE"""),"suggestion::change::(documentation)")</f>
        <v>suggestion::change::(documentation)</v>
      </c>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t="str">
        <f>IFERROR(__xludf.DUMMYFUNCTION("""COMPUTED_VALUE"""),"suggestion::change::(driver::level)")</f>
        <v>suggestion::change::(driver::level)</v>
      </c>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t="str">
        <f>IFERROR(__xludf.DUMMYFUNCTION("""COMPUTED_VALUE"""),"suggestion::change::(error::handling)")</f>
        <v>suggestion::change::(error::handling)</v>
      </c>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t="str">
        <f>IFERROR(__xludf.DUMMYFUNCTION("""COMPUTED_VALUE"""),"suggestion::change::(exception::type)")</f>
        <v>suggestion::change::(exception::type)</v>
      </c>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t="str">
        <f>IFERROR(__xludf.DUMMYFUNCTION("""COMPUTED_VALUE"""),"suggestion::change::(external::endpont::url)")</f>
        <v>suggestion::change::(external::endpont::url)</v>
      </c>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t="str">
        <f>IFERROR(__xludf.DUMMYFUNCTION("""COMPUTED_VALUE"""),"suggestion::change::(functionallity)")</f>
        <v>suggestion::change::(functionallity)</v>
      </c>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t="str">
        <f>IFERROR(__xludf.DUMMYFUNCTION("""COMPUTED_VALUE"""),"suggestion::change::(in::new::PR/Issue)")</f>
        <v>suggestion::change::(in::new::PR/Issue)</v>
      </c>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t="str">
        <f>IFERROR(__xludf.DUMMYFUNCTION("""COMPUTED_VALUE"""),"suggestion::change::(input::parameter)")</f>
        <v>suggestion::change::(input::parameter)</v>
      </c>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t="str">
        <f>IFERROR(__xludf.DUMMYFUNCTION("""COMPUTED_VALUE"""),"suggestion::change::(logging::for::debugging)")</f>
        <v>suggestion::change::(logging::for::debugging)</v>
      </c>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t="str">
        <f>IFERROR(__xludf.DUMMYFUNCTION("""COMPUTED_VALUE"""),"suggestion::change::(logging::level)")</f>
        <v>suggestion::change::(logging::level)</v>
      </c>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t="str">
        <f>IFERROR(__xludf.DUMMYFUNCTION("""COMPUTED_VALUE"""),"suggestion::change::(logging::message::clearness)")</f>
        <v>suggestion::change::(logging::message::clearness)</v>
      </c>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t="str">
        <f>IFERROR(__xludf.DUMMYFUNCTION("""COMPUTED_VALUE"""),"suggestion::change::(logging)")</f>
        <v>suggestion::change::(logging)</v>
      </c>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t="str">
        <f>IFERROR(__xludf.DUMMYFUNCTION("""COMPUTED_VALUE"""),"suggestion::change::(logic::missing::info)")</f>
        <v>suggestion::change::(logic::missing::info)</v>
      </c>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t="str">
        <f>IFERROR(__xludf.DUMMYFUNCTION("""COMPUTED_VALUE"""),"suggestion::change::(logic)")</f>
        <v>suggestion::change::(logic)</v>
      </c>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t="str">
        <f>IFERROR(__xludf.DUMMYFUNCTION("""COMPUTED_VALUE"""),"suggestion::change::(method::log)")</f>
        <v>suggestion::change::(method::log)</v>
      </c>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t="str">
        <f>IFERROR(__xludf.DUMMYFUNCTION("""COMPUTED_VALUE"""),"suggestion::change::(missing::characters)")</f>
        <v>suggestion::change::(missing::characters)</v>
      </c>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t="str">
        <f>IFERROR(__xludf.DUMMYFUNCTION("""COMPUTED_VALUE"""),"suggestion::change::(missing::class)")</f>
        <v>suggestion::change::(missing::class)</v>
      </c>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t="str">
        <f>IFERROR(__xludf.DUMMYFUNCTION("""COMPUTED_VALUE"""),"suggestion::change::(missing::condition::case)::with::code")</f>
        <v>suggestion::change::(missing::condition::case)::with::code</v>
      </c>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t="str">
        <f>IFERROR(__xludf.DUMMYFUNCTION("""COMPUTED_VALUE"""),"suggestion::change::(missing::tests)")</f>
        <v>suggestion::change::(missing::tests)</v>
      </c>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t="str">
        <f>IFERROR(__xludf.DUMMYFUNCTION("""COMPUTED_VALUE"""),"suggestion::change::(missing::unit::tests)")</f>
        <v>suggestion::change::(missing::unit::tests)</v>
      </c>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t="str">
        <f>IFERROR(__xludf.DUMMYFUNCTION("""COMPUTED_VALUE"""),"suggestion::change::(move::logic::method)")</f>
        <v>suggestion::change::(move::logic::method)</v>
      </c>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t="str">
        <f>IFERROR(__xludf.DUMMYFUNCTION("""COMPUTED_VALUE"""),"suggestion::change::(move::logic)")</f>
        <v>suggestion::change::(move::logic)</v>
      </c>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t="str">
        <f>IFERROR(__xludf.DUMMYFUNCTION("""COMPUTED_VALUE"""),"suggestion::change::(move::logic)::with::code")</f>
        <v>suggestion::change::(move::logic)::with::code</v>
      </c>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t="str">
        <f>IFERROR(__xludf.DUMMYFUNCTION("""COMPUTED_VALUE"""),"suggestion::change::(naming::class)")</f>
        <v>suggestion::change::(naming::class)</v>
      </c>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t="str">
        <f>IFERROR(__xludf.DUMMYFUNCTION("""COMPUTED_VALUE"""),"suggestion::change::(naming::variable)")</f>
        <v>suggestion::change::(naming::variable)</v>
      </c>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t="str">
        <f>IFERROR(__xludf.DUMMYFUNCTION("""COMPUTED_VALUE"""),"suggestion::change::(naming)")</f>
        <v>suggestion::change::(naming)</v>
      </c>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t="str">
        <f>IFERROR(__xludf.DUMMYFUNCTION("""COMPUTED_VALUE"""),"suggestion::change::(new::dependency)")</f>
        <v>suggestion::change::(new::dependency)</v>
      </c>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t="str">
        <f>IFERROR(__xludf.DUMMYFUNCTION("""COMPUTED_VALUE"""),"suggestion::change::(object::version)")</f>
        <v>suggestion::change::(object::version)</v>
      </c>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t="str">
        <f>IFERROR(__xludf.DUMMYFUNCTION("""COMPUTED_VALUE"""),"suggestion::change::(optional::improvement::remove::duplicated::tests)")</f>
        <v>suggestion::change::(optional::improvement::remove::duplicated::tests)</v>
      </c>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t="str">
        <f>IFERROR(__xludf.DUMMYFUNCTION("""COMPUTED_VALUE"""),"suggestion::change::(optional::improvement)")</f>
        <v>suggestion::change::(optional::improvement)</v>
      </c>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t="str">
        <f>IFERROR(__xludf.DUMMYFUNCTION("""COMPUTED_VALUE"""),"suggestion::change::(prevent::failure)")</f>
        <v>suggestion::change::(prevent::failure)</v>
      </c>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t="str">
        <f>IFERROR(__xludf.DUMMYFUNCTION("""COMPUTED_VALUE"""),"suggestion::change::(property)")</f>
        <v>suggestion::change::(property)</v>
      </c>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t="str">
        <f>IFERROR(__xludf.DUMMYFUNCTION("""COMPUTED_VALUE"""),"suggestion::change::(remove::commented::code)")</f>
        <v>suggestion::change::(remove::commented::code)</v>
      </c>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t="str">
        <f>IFERROR(__xludf.DUMMYFUNCTION("""COMPUTED_VALUE"""),"suggestion::change::(remove::documentation)")</f>
        <v>suggestion::change::(remove::documentation)</v>
      </c>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t="str">
        <f>IFERROR(__xludf.DUMMYFUNCTION("""COMPUTED_VALUE"""),"suggestion::change::(remove::obsulete::tests)")</f>
        <v>suggestion::change::(remove::obsulete::tests)</v>
      </c>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t="str">
        <f>IFERROR(__xludf.DUMMYFUNCTION("""COMPUTED_VALUE"""),"suggestion::change::(remove::uncommented::code)")</f>
        <v>suggestion::change::(remove::uncommented::code)</v>
      </c>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t="str">
        <f>IFERROR(__xludf.DUMMYFUNCTION("""COMPUTED_VALUE"""),"suggestion::change::(removing::comment::documentation)")</f>
        <v>suggestion::change::(removing::comment::documentation)</v>
      </c>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t="str">
        <f>IFERROR(__xludf.DUMMYFUNCTION("""COMPUTED_VALUE"""),"suggestion::change::(removing::unnecessary::code)")</f>
        <v>suggestion::change::(removing::unnecessary::code)</v>
      </c>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t="str">
        <f>IFERROR(__xludf.DUMMYFUNCTION("""COMPUTED_VALUE"""),"suggestion::change::(removing::unnecessary::commit::info)")</f>
        <v>suggestion::change::(removing::unnecessary::commit::info)</v>
      </c>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t="str">
        <f>IFERROR(__xludf.DUMMYFUNCTION("""COMPUTED_VALUE"""),"suggestion::change::(removing::unnecessary::import)")</f>
        <v>suggestion::change::(removing::unnecessary::import)</v>
      </c>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t="str">
        <f>IFERROR(__xludf.DUMMYFUNCTION("""COMPUTED_VALUE"""),"suggestion::change::(reverting::changes)")</f>
        <v>suggestion::change::(reverting::changes)</v>
      </c>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t="str">
        <f>IFERROR(__xludf.DUMMYFUNCTION("""COMPUTED_VALUE"""),"suggestion::change::(security)")</f>
        <v>suggestion::change::(security)</v>
      </c>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t="str">
        <f>IFERROR(__xludf.DUMMYFUNCTION("""COMPUTED_VALUE"""),"suggestion::change::(solution::design)")</f>
        <v>suggestion::change::(solution::design)</v>
      </c>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t="str">
        <f>IFERROR(__xludf.DUMMYFUNCTION("""COMPUTED_VALUE"""),"suggestion::change::(test::design)")</f>
        <v>suggestion::change::(test::design)</v>
      </c>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t="str">
        <f>IFERROR(__xludf.DUMMYFUNCTION("""COMPUTED_VALUE"""),"suggestion::change::(test::fixes)")</f>
        <v>suggestion::change::(test::fixes)</v>
      </c>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t="str">
        <f>IFERROR(__xludf.DUMMYFUNCTION("""COMPUTED_VALUE"""),"suggestion::change::(test::remove)")</f>
        <v>suggestion::change::(test::remove)</v>
      </c>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t="str">
        <f>IFERROR(__xludf.DUMMYFUNCTION("""COMPUTED_VALUE"""),"suggestion::change::(tests::result::specific::case)")</f>
        <v>suggestion::change::(tests::result::specific::case)</v>
      </c>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t="str">
        <f>IFERROR(__xludf.DUMMYFUNCTION("""COMPUTED_VALUE"""),"suggestion::change::(to::mantain::bacward::compatibility)")</f>
        <v>suggestion::change::(to::mantain::bacward::compatibility)</v>
      </c>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t="str">
        <f>IFERROR(__xludf.DUMMYFUNCTION("""COMPUTED_VALUE"""),"suggestion::change::(translation::i18n)")</f>
        <v>suggestion::change::(translation::i18n)</v>
      </c>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t="str">
        <f>IFERROR(__xludf.DUMMYFUNCTION("""COMPUTED_VALUE"""),"suggestion::change::(types)")</f>
        <v>suggestion::change::(types)</v>
      </c>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t="str">
        <f>IFERROR(__xludf.DUMMYFUNCTION("""COMPUTED_VALUE"""),"suggestion::change::(typo)")</f>
        <v>suggestion::change::(typo)</v>
      </c>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t="str">
        <f>IFERROR(__xludf.DUMMYFUNCTION("""COMPUTED_VALUE"""),"suggestion::change::(undefined::value)")</f>
        <v>suggestion::change::(undefined::value)</v>
      </c>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t="str">
        <f>IFERROR(__xludf.DUMMYFUNCTION("""COMPUTED_VALUE"""),"suggestion::change::(unrelated::changes)")</f>
        <v>suggestion::change::(unrelated::changes)</v>
      </c>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t="str">
        <f>IFERROR(__xludf.DUMMYFUNCTION("""COMPUTED_VALUE"""),"suggestion::change::(update::method)")</f>
        <v>suggestion::change::(update::method)</v>
      </c>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t="str">
        <f>IFERROR(__xludf.DUMMYFUNCTION("""COMPUTED_VALUE"""),"suggestion::change::(use::method/function)")</f>
        <v>suggestion::change::(use::method/function)</v>
      </c>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t="str">
        <f>IFERROR(__xludf.DUMMYFUNCTION("""COMPUTED_VALUE"""),"suggestion::change::(use::mixin)")</f>
        <v>suggestion::change::(use::mixin)</v>
      </c>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t="str">
        <f>IFERROR(__xludf.DUMMYFUNCTION("""COMPUTED_VALUE"""),"suggestion::change::(use::python::api)")</f>
        <v>suggestion::change::(use::python::api)</v>
      </c>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t="str">
        <f>IFERROR(__xludf.DUMMYFUNCTION("""COMPUTED_VALUE"""),"suggestion::change::(variable::to::constant)")</f>
        <v>suggestion::change::(variable::to::constant)</v>
      </c>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t="str">
        <f>IFERROR(__xludf.DUMMYFUNCTION("""COMPUTED_VALUE"""),"suggestion::change::(versioning)")</f>
        <v>suggestion::change::(versioning)</v>
      </c>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t="str">
        <f>IFERROR(__xludf.DUMMYFUNCTION("""COMPUTED_VALUE"""),"suggestion::change::(wrapp::with::exception)")</f>
        <v>suggestion::change::(wrapp::with::exception)</v>
      </c>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t="str">
        <f>IFERROR(__xludf.DUMMYFUNCTION("""COMPUTED_VALUE"""),"suggestion::change::(wrong::logic)")</f>
        <v>suggestion::change::(wrong::logic)</v>
      </c>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t="str">
        <f>IFERROR(__xludf.DUMMYFUNCTION("""COMPUTED_VALUE"""),"suggestion::change::based::on::test::failure")</f>
        <v>suggestion::change::based::on::test::failure</v>
      </c>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t="str">
        <f>IFERROR(__xludf.DUMMYFUNCTION("""COMPUTED_VALUE"""),"suggestion::change::current::approach::(change::for::different::api::version)")</f>
        <v>suggestion::change::current::approach::(change::for::different::api::version)</v>
      </c>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t="str">
        <f>IFERROR(__xludf.DUMMYFUNCTION("""COMPUTED_VALUE"""),"suggestion::change::intended::solution::design")</f>
        <v>suggestion::change::intended::solution::design</v>
      </c>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t="str">
        <f>IFERROR(__xludf.DUMMYFUNCTION("""COMPUTED_VALUE"""),"suggestion::change::typo::(commit::message)")</f>
        <v>suggestion::change::typo::(commit::message)</v>
      </c>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t="str">
        <f>IFERROR(__xludf.DUMMYFUNCTION("""COMPUTED_VALUE"""),"suggestion::chnage::(add::exception)")</f>
        <v>suggestion::chnage::(add::exception)</v>
      </c>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t="str">
        <f>IFERROR(__xludf.DUMMYFUNCTION("""COMPUTED_VALUE"""),"suggestion::code::change::(missing::info)")</f>
        <v>suggestion::code::change::(missing::info)</v>
      </c>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t="str">
        <f>IFERROR(__xludf.DUMMYFUNCTION("""COMPUTED_VALUE"""),"suggestion::content::change::(commit::message::authorship)")</f>
        <v>suggestion::content::change::(commit::message::authorship)</v>
      </c>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t="str">
        <f>IFERROR(__xludf.DUMMYFUNCTION("""COMPUTED_VALUE"""),"suggestion::content::change::(commit::message::BP::referenced)")</f>
        <v>suggestion::content::change::(commit::message::BP::referenced)</v>
      </c>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t="str">
        <f>IFERROR(__xludf.DUMMYFUNCTION("""COMPUTED_VALUE"""),"suggestion::content::change::(commit::message::docImpact::explanation)")</f>
        <v>suggestion::content::change::(commit::message::docImpact::explanation)</v>
      </c>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t="str">
        <f>IFERROR(__xludf.DUMMYFUNCTION("""COMPUTED_VALUE"""),"suggestion::content::change::(commit::message::docImpact)")</f>
        <v>suggestion::content::change::(commit::message::docImpact)</v>
      </c>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t="str">
        <f>IFERROR(__xludf.DUMMYFUNCTION("""COMPUTED_VALUE"""),"suggestion::content::change::(commit::message)")</f>
        <v>suggestion::content::change::(commit::message)</v>
      </c>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t="str">
        <f>IFERROR(__xludf.DUMMYFUNCTION("""COMPUTED_VALUE"""),"suggestion::content::change::(missing::info::commit::message)")</f>
        <v>suggestion::content::change::(missing::info::commit::message)</v>
      </c>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t="str">
        <f>IFERROR(__xludf.DUMMYFUNCTION("""COMPUTED_VALUE"""),"suggestion::content::change::(typo::commit::message)")</f>
        <v>suggestion::content::change::(typo::commit::message)</v>
      </c>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t="str">
        <f>IFERROR(__xludf.DUMMYFUNCTION("""COMPUTED_VALUE"""),"suggestion::creating::followup::issue")</f>
        <v>suggestion::creating::followup::issue</v>
      </c>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t="str">
        <f>IFERROR(__xludf.DUMMYFUNCTION("""COMPUTED_VALUE"""),"suggestion::DB::migration::(need)")</f>
        <v>suggestion::DB::migration::(need)</v>
      </c>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t="str">
        <f>IFERROR(__xludf.DUMMYFUNCTION("""COMPUTED_VALUE"""),"suggestion::different::approach::(managment::keys)")</f>
        <v>suggestion::different::approach::(managment::keys)</v>
      </c>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t="str">
        <f>IFERROR(__xludf.DUMMYFUNCTION("""COMPUTED_VALUE"""),"suggestion::different::approach::to::the::change::(due::to::existing::functionallity::duplication)")</f>
        <v>suggestion::different::approach::to::the::change::(due::to::existing::functionallity::duplication)</v>
      </c>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t="str">
        <f>IFERROR(__xludf.DUMMYFUNCTION("""COMPUTED_VALUE"""),"suggestion::error::code::(extra::characters)")</f>
        <v>suggestion::error::code::(extra::characters)</v>
      </c>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t="str">
        <f>IFERROR(__xludf.DUMMYFUNCTION("""COMPUTED_VALUE"""),"suggestion::ignore::backwards::compatebility")</f>
        <v>suggestion::ignore::backwards::compatebility</v>
      </c>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t="str">
        <f>IFERROR(__xludf.DUMMYFUNCTION("""COMPUTED_VALUE"""),"suggestion::include::changes::of::another::review::(different::change::ID)")</f>
        <v>suggestion::include::changes::of::another::review::(different::change::ID)</v>
      </c>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t="str">
        <f>IFERROR(__xludf.DUMMYFUNCTION("""COMPUTED_VALUE"""),"suggestion::logging::(for::debugging)")</f>
        <v>suggestion::logging::(for::debugging)</v>
      </c>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t="str">
        <f>IFERROR(__xludf.DUMMYFUNCTION("""COMPUTED_VALUE"""),"suggestion::manual::testing")</f>
        <v>suggestion::manual::testing</v>
      </c>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t="str">
        <f>IFERROR(__xludf.DUMMYFUNCTION("""COMPUTED_VALUE"""),"suggestion::move:.the::changes:.to::different::patch::(different::change::id)")</f>
        <v>suggestion::move:.the::changes:.to::different::patch::(different::change::id)</v>
      </c>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t="str">
        <f>IFERROR(__xludf.DUMMYFUNCTION("""COMPUTED_VALUE"""),"suggestion::move:.the::changes:.to::different::patch::(new::patch)")</f>
        <v>suggestion::move:.the::changes:.to::different::patch::(new::patch)</v>
      </c>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t="str">
        <f>IFERROR(__xludf.DUMMYFUNCTION("""COMPUTED_VALUE"""),"suggestion::not::installing::libraries::not::found:.in::official::repo")</f>
        <v>suggestion::not::installing::libraries::not::found:.in::official::repo</v>
      </c>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t="str">
        <f>IFERROR(__xludf.DUMMYFUNCTION("""COMPUTED_VALUE"""),"suggestion::not::rebasing::the::change")</f>
        <v>suggestion::not::rebasing::the::change</v>
      </c>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t="str">
        <f>IFERROR(__xludf.DUMMYFUNCTION("""COMPUTED_VALUE"""),"suggestion::of::an::example::(config::file)")</f>
        <v>suggestion::of::an::example::(config::file)</v>
      </c>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t="str">
        <f>IFERROR(__xludf.DUMMYFUNCTION("""COMPUTED_VALUE"""),"suggestion::of::the::developing::process::(code::and::managment::of::patches)")</f>
        <v>suggestion::of::the::developing::process::(code::and::managment::of::patches)</v>
      </c>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t="str">
        <f>IFERROR(__xludf.DUMMYFUNCTION("""COMPUTED_VALUE"""),"suggestion::on::how::to::test::(steps::and::needed::devices)")</f>
        <v>suggestion::on::how::to::test::(steps::and::needed::devices)</v>
      </c>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t="str">
        <f>IFERROR(__xludf.DUMMYFUNCTION("""COMPUTED_VALUE"""),"suggestion::postpone::additional::changes")</f>
        <v>suggestion::postpone::additional::changes</v>
      </c>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t="str">
        <f>IFERROR(__xludf.DUMMYFUNCTION("""COMPUTED_VALUE"""),"suggestion::rebase")</f>
        <v>suggestion::rebase</v>
      </c>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t="str">
        <f>IFERROR(__xludf.DUMMYFUNCTION("""COMPUTED_VALUE"""),"suggestion::refactoring")</f>
        <v>suggestion::refactoring</v>
      </c>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t="str">
        <f>IFERROR(__xludf.DUMMYFUNCTION("""COMPUTED_VALUE"""),"suggestion::refactoring::(accessibility::modifiers)")</f>
        <v>suggestion::refactoring::(accessibility::modifiers)</v>
      </c>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t="str">
        <f>IFERROR(__xludf.DUMMYFUNCTION("""COMPUTED_VALUE"""),"suggestion::refactoring::(add::exception)")</f>
        <v>suggestion::refactoring::(add::exception)</v>
      </c>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t="str">
        <f>IFERROR(__xludf.DUMMYFUNCTION("""COMPUTED_VALUE"""),"suggestion::refactoring::(change::data::structure)")</f>
        <v>suggestion::refactoring::(change::data::structure)</v>
      </c>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t="str">
        <f>IFERROR(__xludf.DUMMYFUNCTION("""COMPUTED_VALUE"""),"suggestion::refactoring::(change::input::parameter)")</f>
        <v>suggestion::refactoring::(change::input::parameter)</v>
      </c>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t="str">
        <f>IFERROR(__xludf.DUMMYFUNCTION("""COMPUTED_VALUE"""),"suggestion::refactoring::(change::location::of::code)")</f>
        <v>suggestion::refactoring::(change::location::of::code)</v>
      </c>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t="str">
        <f>IFERROR(__xludf.DUMMYFUNCTION("""COMPUTED_VALUE"""),"suggestion::refactoring::(change::type::function)")</f>
        <v>suggestion::refactoring::(change::type::function)</v>
      </c>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t="str">
        <f>IFERROR(__xludf.DUMMYFUNCTION("""COMPUTED_VALUE"""),"suggestion::refactoring::(change::type::method)")</f>
        <v>suggestion::refactoring::(change::type::method)</v>
      </c>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t="str">
        <f>IFERROR(__xludf.DUMMYFUNCTION("""COMPUTED_VALUE"""),"suggestion::refactoring::(change::used::class)")</f>
        <v>suggestion::refactoring::(change::used::class)</v>
      </c>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t="str">
        <f>IFERROR(__xludf.DUMMYFUNCTION("""COMPUTED_VALUE"""),"suggestion::refactoring::(change::wrapper)")</f>
        <v>suggestion::refactoring::(change::wrapper)</v>
      </c>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t="str">
        <f>IFERROR(__xludf.DUMMYFUNCTION("""COMPUTED_VALUE"""),"suggestion::refactoring::(cleaner::code)")</f>
        <v>suggestion::refactoring::(cleaner::code)</v>
      </c>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t="str">
        <f>IFERROR(__xludf.DUMMYFUNCTION("""COMPUTED_VALUE"""),"suggestion::refactoring::(cleaner::code)::with::code")</f>
        <v>suggestion::refactoring::(cleaner::code)::with::code</v>
      </c>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t="str">
        <f>IFERROR(__xludf.DUMMYFUNCTION("""COMPUTED_VALUE"""),"suggestion::refactoring::(clearer::code)")</f>
        <v>suggestion::refactoring::(clearer::code)</v>
      </c>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t="str">
        <f>IFERROR(__xludf.DUMMYFUNCTION("""COMPUTED_VALUE"""),"suggestion::refactoring::(code::wont::work)")</f>
        <v>suggestion::refactoring::(code::wont::work)</v>
      </c>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t="str">
        <f>IFERROR(__xludf.DUMMYFUNCTION("""COMPUTED_VALUE"""),"suggestion::refactoring::(comparison::operators)")</f>
        <v>suggestion::refactoring::(comparison::operators)</v>
      </c>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t="str">
        <f>IFERROR(__xludf.DUMMYFUNCTION("""COMPUTED_VALUE"""),"suggestion::refactoring::(conditional::with::exception)")</f>
        <v>suggestion::refactoring::(conditional::with::exception)</v>
      </c>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t="str">
        <f>IFERROR(__xludf.DUMMYFUNCTION("""COMPUTED_VALUE"""),"suggestion::refactoring::(conditional::with::interface)")</f>
        <v>suggestion::refactoring::(conditional::with::interface)</v>
      </c>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t="str">
        <f>IFERROR(__xludf.DUMMYFUNCTION("""COMPUTED_VALUE"""),"suggestion::refactoring::(conditional::with::return)")</f>
        <v>suggestion::refactoring::(conditional::with::return)</v>
      </c>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t="str">
        <f>IFERROR(__xludf.DUMMYFUNCTION("""COMPUTED_VALUE"""),"suggestion::refactoring::(config::file::new::group)")</f>
        <v>suggestion::refactoring::(config::file::new::group)</v>
      </c>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t="str">
        <f>IFERROR(__xludf.DUMMYFUNCTION("""COMPUTED_VALUE"""),"suggestion::refactoring::(consistency::docstring)")</f>
        <v>suggestion::refactoring::(consistency::docstring)</v>
      </c>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t="str">
        <f>IFERROR(__xludf.DUMMYFUNCTION("""COMPUTED_VALUE"""),"suggestion::refactoring::(consistency)")</f>
        <v>suggestion::refactoring::(consistency)</v>
      </c>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t="str">
        <f>IFERROR(__xludf.DUMMYFUNCTION("""COMPUTED_VALUE"""),"suggestion::refactoring::(encription::type)")</f>
        <v>suggestion::refactoring::(encription::type)</v>
      </c>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t="str">
        <f>IFERROR(__xludf.DUMMYFUNCTION("""COMPUTED_VALUE"""),"suggestion::refactoring::(extensibility::code)")</f>
        <v>suggestion::refactoring::(extensibility::code)</v>
      </c>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t="str">
        <f>IFERROR(__xludf.DUMMYFUNCTION("""COMPUTED_VALUE"""),"suggestion::refactoring::(extract::method)")</f>
        <v>suggestion::refactoring::(extract::method)</v>
      </c>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t="str">
        <f>IFERROR(__xludf.DUMMYFUNCTION("""COMPUTED_VALUE"""),"suggestion::refactoring::(extract::method)::with::code")</f>
        <v>suggestion::refactoring::(extract::method)::with::code</v>
      </c>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t="str">
        <f>IFERROR(__xludf.DUMMYFUNCTION("""COMPUTED_VALUE"""),"suggestion::refactoring::(extract::sub::classes)")</f>
        <v>suggestion::refactoring::(extract::sub::classes)</v>
      </c>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t="str">
        <f>IFERROR(__xludf.DUMMYFUNCTION("""COMPUTED_VALUE"""),"suggestion::refactoring::(fixed::values::config::init)")</f>
        <v>suggestion::refactoring::(fixed::values::config::init)</v>
      </c>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t="str">
        <f>IFERROR(__xludf.DUMMYFUNCTION("""COMPUTED_VALUE"""),"suggestion::refactoring::(fixed::values::security)")</f>
        <v>suggestion::refactoring::(fixed::values::security)</v>
      </c>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t="str">
        <f>IFERROR(__xludf.DUMMYFUNCTION("""COMPUTED_VALUE"""),"suggestion::refactoring::(function::parameters)")</f>
        <v>suggestion::refactoring::(function::parameters)</v>
      </c>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t="str">
        <f>IFERROR(__xludf.DUMMYFUNCTION("""COMPUTED_VALUE"""),"suggestion::refactoring::(how::often::log)")</f>
        <v>suggestion::refactoring::(how::often::log)</v>
      </c>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t="str">
        <f>IFERROR(__xludf.DUMMYFUNCTION("""COMPUTED_VALUE"""),"suggestion::refactoring::(import::modules::not::objects)")</f>
        <v>suggestion::refactoring::(import::modules::not::objects)</v>
      </c>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t="str">
        <f>IFERROR(__xludf.DUMMYFUNCTION("""COMPUTED_VALUE"""),"suggestion::refactoring::(inline::temp::method)")</f>
        <v>suggestion::refactoring::(inline::temp::method)</v>
      </c>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t="str">
        <f>IFERROR(__xludf.DUMMYFUNCTION("""COMPUTED_VALUE"""),"suggestion::refactoring::(introduce::parameter::defaults)")</f>
        <v>suggestion::refactoring::(introduce::parameter::defaults)</v>
      </c>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t="str">
        <f>IFERROR(__xludf.DUMMYFUNCTION("""COMPUTED_VALUE"""),"suggestion::refactoring::(introduce::parameter::object)")</f>
        <v>suggestion::refactoring::(introduce::parameter::object)</v>
      </c>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t="str">
        <f>IFERROR(__xludf.DUMMYFUNCTION("""COMPUTED_VALUE"""),"suggestion::refactoring::(linting)")</f>
        <v>suggestion::refactoring::(linting)</v>
      </c>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t="str">
        <f>IFERROR(__xludf.DUMMYFUNCTION("""COMPUTED_VALUE"""),"suggestion::refactoring::(merge::methods)")</f>
        <v>suggestion::refactoring::(merge::methods)</v>
      </c>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t="str">
        <f>IFERROR(__xludf.DUMMYFUNCTION("""COMPUTED_VALUE"""),"suggestion::refactoring::(move::logic::creation::module)")</f>
        <v>suggestion::refactoring::(move::logic::creation::module)</v>
      </c>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t="str">
        <f>IFERROR(__xludf.DUMMYFUNCTION("""COMPUTED_VALUE"""),"suggestion::refactoring::(move::logic::parent::class::instead::of::sub::classes)")</f>
        <v>suggestion::refactoring::(move::logic::parent::class::instead::of::sub::classes)</v>
      </c>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t="str">
        <f>IFERROR(__xludf.DUMMYFUNCTION("""COMPUTED_VALUE"""),"suggestion::refactoring::(move::logic:.config)")</f>
        <v>suggestion::refactoring::(move::logic:.config)</v>
      </c>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t="str">
        <f>IFERROR(__xludf.DUMMYFUNCTION("""COMPUTED_VALUE"""),"suggestion::refactoring::(move::logic)")</f>
        <v>suggestion::refactoring::(move::logic)</v>
      </c>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t="str">
        <f>IFERROR(__xludf.DUMMYFUNCTION("""COMPUTED_VALUE"""),"suggestion::refactoring::(naming::class)")</f>
        <v>suggestion::refactoring::(naming::class)</v>
      </c>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t="str">
        <f>IFERROR(__xludf.DUMMYFUNCTION("""COMPUTED_VALUE"""),"suggestion::refactoring::(naming::function)")</f>
        <v>suggestion::refactoring::(naming::function)</v>
      </c>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t="str">
        <f>IFERROR(__xludf.DUMMYFUNCTION("""COMPUTED_VALUE"""),"suggestion::refactoring::(naming::variable)")</f>
        <v>suggestion::refactoring::(naming::variable)</v>
      </c>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t="str">
        <f>IFERROR(__xludf.DUMMYFUNCTION("""COMPUTED_VALUE"""),"suggestion::refactoring::(naming)")</f>
        <v>suggestion::refactoring::(naming)</v>
      </c>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t="str">
        <f>IFERROR(__xludf.DUMMYFUNCTION("""COMPUTED_VALUE"""),"suggestion::refactoring::(not::access::the::raw::key)")</f>
        <v>suggestion::refactoring::(not::access::the::raw::key)</v>
      </c>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t="str">
        <f>IFERROR(__xludf.DUMMYFUNCTION("""COMPUTED_VALUE"""),"suggestion::refactoring::(not::use::mock::object)")</f>
        <v>suggestion::refactoring::(not::use::mock::object)</v>
      </c>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t="str">
        <f>IFERROR(__xludf.DUMMYFUNCTION("""COMPUTED_VALUE"""),"suggestion::refactoring::(optional::improvement)")</f>
        <v>suggestion::refactoring::(optional::improvement)</v>
      </c>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t="str">
        <f>IFERROR(__xludf.DUMMYFUNCTION("""COMPUTED_VALUE"""),"suggestion::refactoring::(performance)")</f>
        <v>suggestion::refactoring::(performance)</v>
      </c>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t="str">
        <f>IFERROR(__xludf.DUMMYFUNCTION("""COMPUTED_VALUE"""),"suggestion::refactoring::(performance)::with::code")</f>
        <v>suggestion::refactoring::(performance)::with::code</v>
      </c>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t="str">
        <f>IFERROR(__xludf.DUMMYFUNCTION("""COMPUTED_VALUE"""),"suggestion::refactoring::(refactoring::extract::classes)")</f>
        <v>suggestion::refactoring::(refactoring::extract::classes)</v>
      </c>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t="str">
        <f>IFERROR(__xludf.DUMMYFUNCTION("""COMPUTED_VALUE"""),"suggestion::refactoring::(remove::parameter::defaults)")</f>
        <v>suggestion::refactoring::(remove::parameter::defaults)</v>
      </c>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t="str">
        <f>IFERROR(__xludf.DUMMYFUNCTION("""COMPUTED_VALUE"""),"suggestion::refactoring::(remove::unnecessary::parameter)")</f>
        <v>suggestion::refactoring::(remove::unnecessary::parameter)</v>
      </c>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t="str">
        <f>IFERROR(__xludf.DUMMYFUNCTION("""COMPUTED_VALUE"""),"suggestion::refactoring::(removing::commented:.code)")</f>
        <v>suggestion::refactoring::(removing::commented:.code)</v>
      </c>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t="str">
        <f>IFERROR(__xludf.DUMMYFUNCTION("""COMPUTED_VALUE"""),"suggestion::refactoring::(removing::not::thread::safe::code)")</f>
        <v>suggestion::refactoring::(removing::not::thread::safe::code)</v>
      </c>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t="str">
        <f>IFERROR(__xludf.DUMMYFUNCTION("""COMPUTED_VALUE"""),"suggestion::refactoring::(removing::unnecessary::code)")</f>
        <v>suggestion::refactoring::(removing::unnecessary::code)</v>
      </c>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t="str">
        <f>IFERROR(__xludf.DUMMYFUNCTION("""COMPUTED_VALUE"""),"suggestion::refactoring::(removing::unnecessary::code)::with::code")</f>
        <v>suggestion::refactoring::(removing::unnecessary::code)::with::code</v>
      </c>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t="str">
        <f>IFERROR(__xludf.DUMMYFUNCTION("""COMPUTED_VALUE"""),"suggestion::refactoring::(removing::unnecessary::constructor)")</f>
        <v>suggestion::refactoring::(removing::unnecessary::constructor)</v>
      </c>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t="str">
        <f>IFERROR(__xludf.DUMMYFUNCTION("""COMPUTED_VALUE"""),"suggestion::refactoring::(removing::unnecessary::variable)")</f>
        <v>suggestion::refactoring::(removing::unnecessary::variable)</v>
      </c>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t="str">
        <f>IFERROR(__xludf.DUMMYFUNCTION("""COMPUTED_VALUE"""),"suggestion::refactoring::(renaming::function/method)")</f>
        <v>suggestion::refactoring::(renaming::function/method)</v>
      </c>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t="str">
        <f>IFERROR(__xludf.DUMMYFUNCTION("""COMPUTED_VALUE"""),"suggestion::refactoring::(renaming)")</f>
        <v>suggestion::refactoring::(renaming)</v>
      </c>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t="str">
        <f>IFERROR(__xludf.DUMMYFUNCTION("""COMPUTED_VALUE"""),"suggestion::refactoring::(replace::context::with::decorator)")</f>
        <v>suggestion::refactoring::(replace::context::with::decorator)</v>
      </c>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t="str">
        <f>IFERROR(__xludf.DUMMYFUNCTION("""COMPUTED_VALUE"""),"suggestion::refactoring::(reverting::unnecessary::changes)")</f>
        <v>suggestion::refactoring::(reverting::unnecessary::changes)</v>
      </c>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t="str">
        <f>IFERROR(__xludf.DUMMYFUNCTION("""COMPUTED_VALUE"""),"suggestion::refactoring::(simpler::code)")</f>
        <v>suggestion::refactoring::(simpler::code)</v>
      </c>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t="str">
        <f>IFERROR(__xludf.DUMMYFUNCTION("""COMPUTED_VALUE"""),"suggestion::refactoring::(simpler::code)::with::code")</f>
        <v>suggestion::refactoring::(simpler::code)::with::code</v>
      </c>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t="str">
        <f>IFERROR(__xludf.DUMMYFUNCTION("""COMPUTED_VALUE"""),"suggestion::refactoring::(split::method::test)")</f>
        <v>suggestion::refactoring::(split::method::test)</v>
      </c>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t="str">
        <f>IFERROR(__xludf.DUMMYFUNCTION("""COMPUTED_VALUE"""),"suggestion::refactoring::(split::method)")</f>
        <v>suggestion::refactoring::(split::method)</v>
      </c>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t="str">
        <f>IFERROR(__xludf.DUMMYFUNCTION("""COMPUTED_VALUE"""),"suggestion::refactoring::(steps::to::accomplish::it)")</f>
        <v>suggestion::refactoring::(steps::to::accomplish::it)</v>
      </c>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t="str">
        <f>IFERROR(__xludf.DUMMYFUNCTION("""COMPUTED_VALUE"""),"suggestion::refactoring::(steps::to::accomplish::it)::with::code")</f>
        <v>suggestion::refactoring::(steps::to::accomplish::it)::with::code</v>
      </c>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t="str">
        <f>IFERROR(__xludf.DUMMYFUNCTION("""COMPUTED_VALUE"""),"suggestion::refactoring::(style::add::newline)")</f>
        <v>suggestion::refactoring::(style::add::newline)</v>
      </c>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t="str">
        <f>IFERROR(__xludf.DUMMYFUNCTION("""COMPUTED_VALUE"""),"suggestion::refactoring::(style::add::nqa::if::needed)")</f>
        <v>suggestion::refactoring::(style::add::nqa::if::needed)</v>
      </c>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t="str">
        <f>IFERROR(__xludf.DUMMYFUNCTION("""COMPUTED_VALUE"""),"suggestion::refactoring::(style::avoid::errors::from::ducktyping)::with::code")</f>
        <v>suggestion::refactoring::(style::avoid::errors::from::ducktyping)::with::code</v>
      </c>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t="str">
        <f>IFERROR(__xludf.DUMMYFUNCTION("""COMPUTED_VALUE"""),"suggestion::refactoring::(style::comments/documentation)")</f>
        <v>suggestion::refactoring::(style::comments/documentation)</v>
      </c>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t="str">
        <f>IFERROR(__xludf.DUMMYFUNCTION("""COMPUTED_VALUE"""),"suggestion::refactoring::(style::comparison::operators)")</f>
        <v>suggestion::refactoring::(style::comparison::operators)</v>
      </c>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t="str">
        <f>IFERROR(__xludf.DUMMYFUNCTION("""COMPUTED_VALUE"""),"suggestion::refactoring::(style::imports)")</f>
        <v>suggestion::refactoring::(style::imports)</v>
      </c>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t="str">
        <f>IFERROR(__xludf.DUMMYFUNCTION("""COMPUTED_VALUE"""),"suggestion::refactoring::(style::indentation)")</f>
        <v>suggestion::refactoring::(style::indentation)</v>
      </c>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t="str">
        <f>IFERROR(__xludf.DUMMYFUNCTION("""COMPUTED_VALUE"""),"suggestion::refactoring::(style::missing::whitespace)")</f>
        <v>suggestion::refactoring::(style::missing::whitespace)</v>
      </c>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t="str">
        <f>IFERROR(__xludf.DUMMYFUNCTION("""COMPUTED_VALUE"""),"suggestion::refactoring::(style::removing::newline)")</f>
        <v>suggestion::refactoring::(style::removing::newline)</v>
      </c>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t="str">
        <f>IFERROR(__xludf.DUMMYFUNCTION("""COMPUTED_VALUE"""),"suggestion::refactoring::(style::removing::unnecessary::newline)")</f>
        <v>suggestion::refactoring::(style::removing::unnecessary::newline)</v>
      </c>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t="str">
        <f>IFERROR(__xludf.DUMMYFUNCTION("""COMPUTED_VALUE"""),"suggestion::refactoring::(style::unnecessary::whitespace)")</f>
        <v>suggestion::refactoring::(style::unnecessary::whitespace)</v>
      </c>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t="str">
        <f>IFERROR(__xludf.DUMMYFUNCTION("""COMPUTED_VALUE"""),"suggestion::refactoring::(style)")</f>
        <v>suggestion::refactoring::(style)</v>
      </c>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t="str">
        <f>IFERROR(__xludf.DUMMYFUNCTION("""COMPUTED_VALUE"""),"suggestion::refactoring::(style)::what::to::import")</f>
        <v>suggestion::refactoring::(style)::what::to::import</v>
      </c>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t="str">
        <f>IFERROR(__xludf.DUMMYFUNCTION("""COMPUTED_VALUE"""),"suggestion::refactoring::(style)::with::code")</f>
        <v>suggestion::refactoring::(style)::with::code</v>
      </c>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t="str">
        <f>IFERROR(__xludf.DUMMYFUNCTION("""COMPUTED_VALUE"""),"suggestion::refactoring::(test::naming)")</f>
        <v>suggestion::refactoring::(test::naming)</v>
      </c>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t="str">
        <f>IFERROR(__xludf.DUMMYFUNCTION("""COMPUTED_VALUE"""),"suggestion::refactoring::(test)")</f>
        <v>suggestion::refactoring::(test)</v>
      </c>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t="str">
        <f>IFERROR(__xludf.DUMMYFUNCTION("""COMPUTED_VALUE"""),"suggestion::refactoring::(type::exception)")</f>
        <v>suggestion::refactoring::(type::exception)</v>
      </c>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t="str">
        <f>IFERROR(__xludf.DUMMYFUNCTION("""COMPUTED_VALUE"""),"suggestion::refactoring::(typo)")</f>
        <v>suggestion::refactoring::(typo)</v>
      </c>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t="str">
        <f>IFERROR(__xludf.DUMMYFUNCTION("""COMPUTED_VALUE"""),"suggestion::refactoring::(unnecesary::code)")</f>
        <v>suggestion::refactoring::(unnecesary::code)</v>
      </c>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t="str">
        <f>IFERROR(__xludf.DUMMYFUNCTION("""COMPUTED_VALUE"""),"suggestion::refactoring::(unnecesary::loop)")</f>
        <v>suggestion::refactoring::(unnecesary::loop)</v>
      </c>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t="str">
        <f>IFERROR(__xludf.DUMMYFUNCTION("""COMPUTED_VALUE"""),"suggestion::refactoring::(use::context)")</f>
        <v>suggestion::refactoring::(use::context)</v>
      </c>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t="str">
        <f>IFERROR(__xludf.DUMMYFUNCTION("""COMPUTED_VALUE"""),"suggestion::refactoring::(use::decorator)")</f>
        <v>suggestion::refactoring::(use::decorator)</v>
      </c>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t="str">
        <f>IFERROR(__xludf.DUMMYFUNCTION("""COMPUTED_VALUE"""),"suggestion::refactoring::(use::decorator)::with::code")</f>
        <v>suggestion::refactoring::(use::decorator)::with::code</v>
      </c>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t="str">
        <f>IFERROR(__xludf.DUMMYFUNCTION("""COMPUTED_VALUE"""),"suggestion::refactoring::(use::decorators)")</f>
        <v>suggestion::refactoring::(use::decorators)</v>
      </c>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t="str">
        <f>IFERROR(__xludf.DUMMYFUNCTION("""COMPUTED_VALUE"""),"suggestion::refactoring::(use::existing::variable)")</f>
        <v>suggestion::refactoring::(use::existing::variable)</v>
      </c>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t="str">
        <f>IFERROR(__xludf.DUMMYFUNCTION("""COMPUTED_VALUE"""),"suggestion::refactoring::(use::loop)")</f>
        <v>suggestion::refactoring::(use::loop)</v>
      </c>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t="str">
        <f>IFERROR(__xludf.DUMMYFUNCTION("""COMPUTED_VALUE"""),"suggestion::refactoring::(use::method/function)")</f>
        <v>suggestion::refactoring::(use::method/function)</v>
      </c>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t="str">
        <f>IFERROR(__xludf.DUMMYFUNCTION("""COMPUTED_VALUE"""),"suggestion::refactoring::(use::mock::object)")</f>
        <v>suggestion::refactoring::(use::mock::object)</v>
      </c>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t="str">
        <f>IFERROR(__xludf.DUMMYFUNCTION("""COMPUTED_VALUE"""),"suggestion::refactoring::(use::mox::object)")</f>
        <v>suggestion::refactoring::(use::mox::object)</v>
      </c>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t="str">
        <f>IFERROR(__xludf.DUMMYFUNCTION("""COMPUTED_VALUE"""),"suggestion::refactoring::(using::another::existing::method)")</f>
        <v>suggestion::refactoring::(using::another::existing::method)</v>
      </c>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t="str">
        <f>IFERROR(__xludf.DUMMYFUNCTION("""COMPUTED_VALUE"""),"suggestion::refactoring::(using::another::existing::method)::speed::vs::abstraction")</f>
        <v>suggestion::refactoring::(using::another::existing::method)::speed::vs::abstraction</v>
      </c>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t="str">
        <f>IFERROR(__xludf.DUMMYFUNCTION("""COMPUTED_VALUE"""),"suggestion::refactoring::(using::another::existing::object)")</f>
        <v>suggestion::refactoring::(using::another::existing::object)</v>
      </c>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t="str">
        <f>IFERROR(__xludf.DUMMYFUNCTION("""COMPUTED_VALUE"""),"suggestion::refactoring::(variable)")</f>
        <v>suggestion::refactoring::(variable)</v>
      </c>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t="str">
        <f>IFERROR(__xludf.DUMMYFUNCTION("""COMPUTED_VALUE"""),"suggestion::refactoring::code::(different::approach::change::config::file)")</f>
        <v>suggestion::refactoring::code::(different::approach::change::config::file)</v>
      </c>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t="str">
        <f>IFERROR(__xludf.DUMMYFUNCTION("""COMPUTED_VALUE"""),"suggestion::some::missing::changes::(changes::related::to::the::change)")</f>
        <v>suggestion::some::missing::changes::(changes::related::to::the::change)</v>
      </c>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t="str">
        <f>IFERROR(__xludf.DUMMYFUNCTION("""COMPUTED_VALUE"""),"suggestion::style::change")</f>
        <v>suggestion::style::change</v>
      </c>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t="str">
        <f>IFERROR(__xludf.DUMMYFUNCTION("""COMPUTED_VALUE"""),"suggestion::style::change::(commit::message::clearness)")</f>
        <v>suggestion::style::change::(commit::message::clearness)</v>
      </c>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t="str">
        <f>IFERROR(__xludf.DUMMYFUNCTION("""COMPUTED_VALUE"""),"suggestion::style::change::(commit::message)")</f>
        <v>suggestion::style::change::(commit::message)</v>
      </c>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t="str">
        <f>IFERROR(__xludf.DUMMYFUNCTION("""COMPUTED_VALUE"""),"suggestion::to::change::the::change::from::BP::to::a::bug::fix")</f>
        <v>suggestion::to::change::the::change::from::BP::to::a::bug::fix</v>
      </c>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t="str">
        <f>IFERROR(__xludf.DUMMYFUNCTION("""COMPUTED_VALUE"""),"suggestion::wrong::label")</f>
        <v>suggestion::wrong::label</v>
      </c>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t="str">
        <f>IFERROR(__xludf.DUMMYFUNCTION("""COMPUTED_VALUE"""),"summary::of::the::bug(s)")</f>
        <v>summary::of::the::bug(s)</v>
      </c>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t="str">
        <f>IFERROR(__xludf.DUMMYFUNCTION("""COMPUTED_VALUE"""),"summary::of::the::changes")</f>
        <v>summary::of::the::changes</v>
      </c>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t="str">
        <f>IFERROR(__xludf.DUMMYFUNCTION("""COMPUTED_VALUE"""),"summary::of::the::patch::sets")</f>
        <v>summary::of::the::patch::sets</v>
      </c>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t="str">
        <f>IFERROR(__xludf.DUMMYFUNCTION("""COMPUTED_VALUE"""),"support::clarification::about::code::(a::different::approach::than::existing::one)")</f>
        <v>support::clarification::about::code::(a::different::approach::than::existing::one)</v>
      </c>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t="str">
        <f>IFERROR(__xludf.DUMMYFUNCTION("""COMPUTED_VALUE"""),"support::objecting::suggestion::change::(design::extension)")</f>
        <v>support::objecting::suggestion::change::(design::extension)</v>
      </c>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t="str">
        <f>IFERROR(__xludf.DUMMYFUNCTION("""COMPUTED_VALUE"""),"support::objecting::suggestion::change::(wrong::logic)*")</f>
        <v>support::objecting::suggestion::change::(wrong::logic)*</v>
      </c>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t="str">
        <f>IFERROR(__xludf.DUMMYFUNCTION("""COMPUTED_VALUE"""),"support::providing::clarification::about::code::(need::of::config::parameters)")</f>
        <v>support::providing::clarification::about::code::(need::of::config::parameters)</v>
      </c>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t="str">
        <f>IFERROR(__xludf.DUMMYFUNCTION("""COMPUTED_VALUE"""),"support::suggestion::change::(add::functionallity)")</f>
        <v>support::suggestion::change::(add::functionallity)</v>
      </c>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t="str">
        <f>IFERROR(__xludf.DUMMYFUNCTION("""COMPUTED_VALUE"""),"support::suggestion::change::(design::extension)")</f>
        <v>support::suggestion::change::(design::extension)</v>
      </c>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t="str">
        <f>IFERROR(__xludf.DUMMYFUNCTION("""COMPUTED_VALUE"""),"support::suggestion::change::(wrong::logic)*")</f>
        <v>support::suggestion::change::(wrong::logic)*</v>
      </c>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t="str">
        <f>IFERROR(__xludf.DUMMYFUNCTION("""COMPUTED_VALUE"""),"support::suggestion::refactoring::(how::often::log)")</f>
        <v>support::suggestion::refactoring::(how::often::log)</v>
      </c>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t="str">
        <f>IFERROR(__xludf.DUMMYFUNCTION("""COMPUTED_VALUE"""),"support::suggestion::refactoring::(move::logic::parent::class::instead::of::sub::classes)")</f>
        <v>support::suggestion::refactoring::(move::logic::parent::class::instead::of::sub::classes)</v>
      </c>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t="str">
        <f>IFERROR(__xludf.DUMMYFUNCTION("""COMPUTED_VALUE"""),"support::suggestion::refactoring::(simpler::code)::with::code")</f>
        <v>support::suggestion::refactoring::(simpler::code)::with::code</v>
      </c>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t="str">
        <f>IFERROR(__xludf.DUMMYFUNCTION("""COMPUTED_VALUE"""),"supporting::objecting::suggestion::change::(move::logic)")</f>
        <v>supporting::objecting::suggestion::change::(move::logic)</v>
      </c>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t="str">
        <f>IFERROR(__xludf.DUMMYFUNCTION("""COMPUTED_VALUE"""),"test::implications")</f>
        <v>test::implications</v>
      </c>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t="str">
        <f>IFERROR(__xludf.DUMMYFUNCTION("""COMPUTED_VALUE"""),"test::results::(unit::tests)")</f>
        <v>test::results::(unit::tests)</v>
      </c>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t="str">
        <f>IFERROR(__xludf.DUMMYFUNCTION("""COMPUTED_VALUE"""),"thanking::for::fix")</f>
        <v>thanking::for::fix</v>
      </c>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t="str">
        <f>IFERROR(__xludf.DUMMYFUNCTION("""COMPUTED_VALUE"""),"thanking::for::reply")</f>
        <v>thanking::for::reply</v>
      </c>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t="str">
        <f>IFERROR(__xludf.DUMMYFUNCTION("""COMPUTED_VALUE"""),"thanking::for::review")</f>
        <v>thanking::for::review</v>
      </c>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t="str">
        <f>IFERROR(__xludf.DUMMYFUNCTION("""COMPUTED_VALUE"""),"trivial::fix")</f>
        <v>trivial::fix</v>
      </c>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t="str">
        <f>IFERROR(__xludf.DUMMYFUNCTION("""COMPUTED_VALUE"""),"use::of::acronyms::(e.g.,::ditto::same::as::above):.to::repeat::comment")</f>
        <v>use::of::acronyms::(e.g.,::ditto::same::as::above):.to::repeat::comment</v>
      </c>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t="str">
        <f>IFERROR(__xludf.DUMMYFUNCTION("""COMPUTED_VALUE"""),"wait::for::feature::freeze::(FFE)")</f>
        <v>wait::for::feature::freeze::(FFE)</v>
      </c>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t="str">
        <f>IFERROR(__xludf.DUMMYFUNCTION("""COMPUTED_VALUE"""),"wait::for::issue::approval::(BP)")</f>
        <v>wait::for::issue::approval::(BP)</v>
      </c>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t="str">
        <f>IFERROR(__xludf.DUMMYFUNCTION("""COMPUTED_VALUE"""),"wait::for::next::release")</f>
        <v>wait::for::next::release</v>
      </c>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t="str">
        <f>IFERROR(__xludf.DUMMYFUNCTION("""COMPUTED_VALUE"""),"wait::for::submitting::until::new::features::use::the::change")</f>
        <v>wait::for::submitting::until::new::features::use::the::change</v>
      </c>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t="str">
        <f>IFERROR(__xludf.DUMMYFUNCTION("""COMPUTED_VALUE"""),"wait::until::CI::(e.g.,Xenserver)::pass:.(green)::before::approval")</f>
        <v>wait::until::CI::(e.g.,Xenserver)::pass:.(green)::before::approval</v>
      </c>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t="str">
        <f>IFERROR(__xludf.DUMMYFUNCTION("""COMPUTED_VALUE"""),"wait::until::CI::pass")</f>
        <v>wait::until::CI::pass</v>
      </c>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t="str">
        <f>IFERROR(__xludf.DUMMYFUNCTION("""COMPUTED_VALUE"""),"waiting::for::fix")</f>
        <v>waiting::for::fix</v>
      </c>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t="str">
        <f>IFERROR(__xludf.DUMMYFUNCTION("""COMPUTED_VALUE"""),"waiting::for::patch::(other::blueprint)")</f>
        <v>waiting::for::patch::(other::blueprint)</v>
      </c>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t="str">
        <f>IFERROR(__xludf.DUMMYFUNCTION("""COMPUTED_VALUE"""),"waiting::for::patch::(other::review)")</f>
        <v>waiting::for::patch::(other::review)</v>
      </c>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t="str">
        <f>IFERROR(__xludf.DUMMYFUNCTION("""COMPUTED_VALUE"""),"who::signed::it::off")</f>
        <v>who::signed::it::off</v>
      </c>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t="str">
        <f>IFERROR(__xludf.DUMMYFUNCTION("""COMPUTED_VALUE"""),"x")</f>
        <v>x</v>
      </c>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sheetData>
  <drawing r:id="rId1"/>
</worksheet>
</file>